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630" yWindow="375" windowWidth="23340" windowHeight="8295" tabRatio="849" activeTab="1"/>
  </bookViews>
  <sheets>
    <sheet name="Index" sheetId="1" r:id="rId1"/>
    <sheet name="Summary" sheetId="2" r:id="rId2"/>
    <sheet name="Schedule 1 Revenue Requirement" sheetId="56" r:id="rId3"/>
    <sheet name="Worksheet A Rate Base" sheetId="3" r:id="rId4"/>
    <sheet name="Worksheet B Expenses" sheetId="4" r:id="rId5"/>
    <sheet name="Worksheet C Return" sheetId="5" r:id="rId6"/>
    <sheet name="Worksheet D Load" sheetId="25" r:id="rId7"/>
    <sheet name="Worksheet E Alloc. Factor" sheetId="7" r:id="rId8"/>
    <sheet name="Worksheet F Inputs" sheetId="8" r:id="rId9"/>
    <sheet name="Worksheet G O&amp;M Input" sheetId="34" r:id="rId10"/>
    <sheet name="Worksheet H SPP Upgrades" sheetId="55" r:id="rId11"/>
    <sheet name="Worksheet I Depreciation Rates" sheetId="59" r:id="rId12"/>
    <sheet name="Worksheet J Reconciliation" sheetId="49" r:id="rId13"/>
    <sheet name="Worksheet K Wages Input" sheetId="39" r:id="rId14"/>
    <sheet name="Worksheet L Depreciation Exp" sheetId="58" r:id="rId15"/>
    <sheet name="Worksheet M OthRev Input" sheetId="41" r:id="rId16"/>
    <sheet name="Worksheet N Future Use" sheetId="42" r:id="rId17"/>
    <sheet name="Worksheet O Tran by Others" sheetId="43" r:id="rId18"/>
    <sheet name="Worksheet P 575576 Expense" sheetId="57" r:id="rId19"/>
    <sheet name="Worksheet Q Compl Not Class" sheetId="45" r:id="rId20"/>
    <sheet name="Worksheet R CWIP" sheetId="46" r:id="rId21"/>
    <sheet name="Worksheet S Reg. &amp; Comm. Exp." sheetId="47" r:id="rId22"/>
    <sheet name="Worksheet T RWIP " sheetId="48" r:id="rId23"/>
    <sheet name=" Worksheet U Stations" sheetId="53" r:id="rId24"/>
    <sheet name="Worksheet V Lines" sheetId="5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ADM1" localSheetId="6">#REF!</definedName>
    <definedName name="_ADM1" localSheetId="12">#REF!</definedName>
    <definedName name="_ADM1" localSheetId="13">#REF!</definedName>
    <definedName name="_ADM1" localSheetId="15">#REF!</definedName>
    <definedName name="_ADM1" localSheetId="20">#REF!</definedName>
    <definedName name="_ADM1" localSheetId="21">#REF!</definedName>
    <definedName name="_ADM1" localSheetId="22">#REF!</definedName>
    <definedName name="_ADM1">#REF!</definedName>
    <definedName name="_ADM2" localSheetId="6">#REF!</definedName>
    <definedName name="_ADM2" localSheetId="12">#REF!</definedName>
    <definedName name="_ADM2" localSheetId="13">#REF!</definedName>
    <definedName name="_ADM2" localSheetId="15">#REF!</definedName>
    <definedName name="_ADM2" localSheetId="20">#REF!</definedName>
    <definedName name="_ADM2" localSheetId="21">#REF!</definedName>
    <definedName name="_ADM2" localSheetId="22">#REF!</definedName>
    <definedName name="_ADM2">#REF!</definedName>
    <definedName name="_DSR1" localSheetId="12">[1]ratio!#REF!</definedName>
    <definedName name="_DSR1" localSheetId="20">[2]ratio!#REF!</definedName>
    <definedName name="_DSR1" localSheetId="21">[1]ratio!#REF!</definedName>
    <definedName name="_DSR1" localSheetId="22">[1]ratio!#REF!</definedName>
    <definedName name="_DSR1">[2]ratio!#REF!</definedName>
    <definedName name="_DSR2" localSheetId="12">[1]ratio!#REF!</definedName>
    <definedName name="_DSR2" localSheetId="20">[2]ratio!#REF!</definedName>
    <definedName name="_DSR2" localSheetId="21">[1]ratio!#REF!</definedName>
    <definedName name="_DSR2" localSheetId="22">[1]ratio!#REF!</definedName>
    <definedName name="_DSR2">[2]ratio!#REF!</definedName>
    <definedName name="_xlnm._FilterDatabase" localSheetId="23" hidden="1">' Worksheet U Stations'!$A$11:$N$36</definedName>
    <definedName name="_xlnm._FilterDatabase" localSheetId="24" hidden="1">'Worksheet V Lines'!$A$11:$O$19</definedName>
    <definedName name="_INT1" localSheetId="6">#REF!</definedName>
    <definedName name="_INT1" localSheetId="12">#REF!</definedName>
    <definedName name="_INT1" localSheetId="13">#REF!</definedName>
    <definedName name="_INT1" localSheetId="15">#REF!</definedName>
    <definedName name="_INT1" localSheetId="20">#REF!</definedName>
    <definedName name="_INT1" localSheetId="21">#REF!</definedName>
    <definedName name="_INT1" localSheetId="22">#REF!</definedName>
    <definedName name="_INT1">#REF!</definedName>
    <definedName name="_INT2" localSheetId="6">#REF!</definedName>
    <definedName name="_INT2" localSheetId="12">#REF!</definedName>
    <definedName name="_INT2" localSheetId="13">#REF!</definedName>
    <definedName name="_INT2" localSheetId="15">#REF!</definedName>
    <definedName name="_INT2" localSheetId="20">#REF!</definedName>
    <definedName name="_INT2" localSheetId="21">#REF!</definedName>
    <definedName name="_INT2" localSheetId="22">#REF!</definedName>
    <definedName name="_INT2">#REF!</definedName>
    <definedName name="_INT3" localSheetId="6">#REF!</definedName>
    <definedName name="_INT3" localSheetId="12">#REF!</definedName>
    <definedName name="_INT3" localSheetId="13">#REF!</definedName>
    <definedName name="_INT3" localSheetId="15">#REF!</definedName>
    <definedName name="_INT3" localSheetId="20">#REF!</definedName>
    <definedName name="_INT3" localSheetId="21">#REF!</definedName>
    <definedName name="_INT3" localSheetId="22">#REF!</definedName>
    <definedName name="_INT3">#REF!</definedName>
    <definedName name="_INT4" localSheetId="6">#REF!</definedName>
    <definedName name="_INT4" localSheetId="12">#REF!</definedName>
    <definedName name="_INT4" localSheetId="13">#REF!</definedName>
    <definedName name="_INT4" localSheetId="15">#REF!</definedName>
    <definedName name="_INT4" localSheetId="20">#REF!</definedName>
    <definedName name="_INT4" localSheetId="21">#REF!</definedName>
    <definedName name="_INT4" localSheetId="22">#REF!</definedName>
    <definedName name="_INT4">#REF!</definedName>
    <definedName name="_LEA1" localSheetId="6">#REF!</definedName>
    <definedName name="_LEA1" localSheetId="12">#REF!</definedName>
    <definedName name="_LEA1" localSheetId="13">#REF!</definedName>
    <definedName name="_LEA1" localSheetId="15">#REF!</definedName>
    <definedName name="_LEA1" localSheetId="20">#REF!</definedName>
    <definedName name="_LEA1" localSheetId="21">#REF!</definedName>
    <definedName name="_LEA1" localSheetId="22">#REF!</definedName>
    <definedName name="_LEA1">#REF!</definedName>
    <definedName name="_LEA2" localSheetId="6">#REF!</definedName>
    <definedName name="_LEA2" localSheetId="12">#REF!</definedName>
    <definedName name="_LEA2" localSheetId="13">#REF!</definedName>
    <definedName name="_LEA2" localSheetId="15">#REF!</definedName>
    <definedName name="_LEA2" localSheetId="20">#REF!</definedName>
    <definedName name="_LEA2" localSheetId="21">#REF!</definedName>
    <definedName name="_LEA2" localSheetId="22">#REF!</definedName>
    <definedName name="_LEA2">#REF!</definedName>
    <definedName name="_SPR1" localSheetId="6">#REF!</definedName>
    <definedName name="_SPR1" localSheetId="12">#REF!</definedName>
    <definedName name="_SPR1" localSheetId="13">#REF!</definedName>
    <definedName name="_SPR1" localSheetId="15">#REF!</definedName>
    <definedName name="_SPR1" localSheetId="20">#REF!</definedName>
    <definedName name="_SPR1" localSheetId="21">#REF!</definedName>
    <definedName name="_SPR1" localSheetId="22">#REF!</definedName>
    <definedName name="_SPR1">#REF!</definedName>
    <definedName name="_SPR2" localSheetId="6">#REF!</definedName>
    <definedName name="_SPR2" localSheetId="12">#REF!</definedName>
    <definedName name="_SPR2" localSheetId="13">#REF!</definedName>
    <definedName name="_SPR2" localSheetId="15">#REF!</definedName>
    <definedName name="_SPR2" localSheetId="20">#REF!</definedName>
    <definedName name="_SPR2" localSheetId="21">#REF!</definedName>
    <definedName name="_SPR2" localSheetId="22">#REF!</definedName>
    <definedName name="_SPR2">#REF!</definedName>
    <definedName name="A" localSheetId="6">#REF!</definedName>
    <definedName name="A" localSheetId="12">#REF!</definedName>
    <definedName name="A" localSheetId="13">#REF!</definedName>
    <definedName name="A" localSheetId="15">#REF!</definedName>
    <definedName name="A" localSheetId="20">#REF!</definedName>
    <definedName name="A" localSheetId="21">#REF!</definedName>
    <definedName name="A" localSheetId="22">#REF!</definedName>
    <definedName name="A">#REF!</definedName>
    <definedName name="AlloFactors" localSheetId="12">'[3]Worksheet E, Alloc. Factor'!$B$98:$F$119</definedName>
    <definedName name="AlloFactors" localSheetId="21">'[3]Worksheet E, Alloc. Factor'!$B$98:$F$119</definedName>
    <definedName name="AlloFactors" localSheetId="22">'[3]Worksheet E, Alloc. Factor'!$B$98:$F$119</definedName>
    <definedName name="AlloFactors">'Worksheet E Alloc. Factor'!$B$39:$G$60</definedName>
    <definedName name="Allofacts" localSheetId="12">'[1]Apx E - ATRR - Total'!$L$335:$Q$352</definedName>
    <definedName name="Allofacts" localSheetId="21">'[1]Apx E - ATRR - Total'!$L$335:$Q$352</definedName>
    <definedName name="Allofacts" localSheetId="22">'[1]Apx E - ATRR - Total'!$L$335:$Q$352</definedName>
    <definedName name="Allofacts">'[2]Apx E - ATRR - Total'!$L$335:$Q$352</definedName>
    <definedName name="AvgPlant" localSheetId="12">[4]Index!$D$31</definedName>
    <definedName name="AvgPlant" localSheetId="21">[5]Index!#REF!</definedName>
    <definedName name="AvgPlant" localSheetId="22">[5]Index!#REF!</definedName>
    <definedName name="AvgPlant">Index!#REF!</definedName>
    <definedName name="AvgPlant1" localSheetId="12">[6]Index!#REF!</definedName>
    <definedName name="AvgPlant1" localSheetId="21">[7]Index!#REF!</definedName>
    <definedName name="AvgPlant1" localSheetId="22">[7]Index!#REF!</definedName>
    <definedName name="AvgPlant1">[7]Index!#REF!</definedName>
    <definedName name="AvgPlant2" localSheetId="12">[8]Index!#REF!</definedName>
    <definedName name="AvgPlant2" localSheetId="21">[9]Index!#REF!</definedName>
    <definedName name="AvgPlant2" localSheetId="22">[9]Index!#REF!</definedName>
    <definedName name="AvgPlant2">[9]Index!#REF!</definedName>
    <definedName name="AvgPlant3" localSheetId="12">[6]Index!#REF!</definedName>
    <definedName name="AvgPlant3" localSheetId="21">[7]Index!#REF!</definedName>
    <definedName name="AvgPlant3" localSheetId="22">[7]Index!#REF!</definedName>
    <definedName name="AvgPlant3">[7]Index!#REF!</definedName>
    <definedName name="AvgPlant5" localSheetId="12">[8]Index!#REF!</definedName>
    <definedName name="AvgPlant5" localSheetId="21">[9]Index!#REF!</definedName>
    <definedName name="AvgPlant5" localSheetId="22">[9]Index!#REF!</definedName>
    <definedName name="AvgPlant5">[9]Index!#REF!</definedName>
    <definedName name="B" localSheetId="13">'Worksheet K Wages Input'!$B$11:$F$19</definedName>
    <definedName name="BalName" localSheetId="12">[4]Index!$G$33</definedName>
    <definedName name="BalName" localSheetId="21">[5]Index!#REF!</definedName>
    <definedName name="BalName" localSheetId="22">[5]Index!#REF!</definedName>
    <definedName name="BalName">Index!#REF!</definedName>
    <definedName name="BalName1" localSheetId="12">[10]Index!#REF!</definedName>
    <definedName name="BalName1" localSheetId="21">[7]Index!#REF!</definedName>
    <definedName name="BalName1" localSheetId="22">[7]Index!#REF!</definedName>
    <definedName name="BalName1">[7]Index!#REF!</definedName>
    <definedName name="BalName2" localSheetId="12">[8]Index!#REF!</definedName>
    <definedName name="BalName2" localSheetId="21">[9]Index!#REF!</definedName>
    <definedName name="BalName2" localSheetId="22">[9]Index!#REF!</definedName>
    <definedName name="BalName2">[9]Index!#REF!</definedName>
    <definedName name="C_" localSheetId="6">'[11]RR 8 2'!#REF!</definedName>
    <definedName name="C_" localSheetId="12">'[11]RR 8 2'!#REF!</definedName>
    <definedName name="C_" localSheetId="13">'[11]RR 8 2'!#REF!</definedName>
    <definedName name="C_" localSheetId="15">'[11]RR 8 2'!#REF!</definedName>
    <definedName name="C_" localSheetId="20">'[11]RR 8 2'!#REF!</definedName>
    <definedName name="C_" localSheetId="21">'[11]RR 8 2'!#REF!</definedName>
    <definedName name="C_" localSheetId="22">'[11]RR 8 2'!#REF!</definedName>
    <definedName name="C_">'[11]RR 8 2'!#REF!</definedName>
    <definedName name="CAPSUM1" localSheetId="6">#REF!</definedName>
    <definedName name="CAPSUM1" localSheetId="12">#REF!</definedName>
    <definedName name="CAPSUM1" localSheetId="13">#REF!</definedName>
    <definedName name="CAPSUM1" localSheetId="15">#REF!</definedName>
    <definedName name="CAPSUM1" localSheetId="20">#REF!</definedName>
    <definedName name="CAPSUM1" localSheetId="21">#REF!</definedName>
    <definedName name="CAPSUM1" localSheetId="22">#REF!</definedName>
    <definedName name="CAPSUM1">#REF!</definedName>
    <definedName name="CAPSUM2" localSheetId="6">#REF!</definedName>
    <definedName name="CAPSUM2" localSheetId="12">#REF!</definedName>
    <definedName name="CAPSUM2" localSheetId="13">#REF!</definedName>
    <definedName name="CAPSUM2" localSheetId="15">#REF!</definedName>
    <definedName name="CAPSUM2" localSheetId="20">#REF!</definedName>
    <definedName name="CAPSUM2" localSheetId="21">#REF!</definedName>
    <definedName name="CAPSUM2" localSheetId="22">#REF!</definedName>
    <definedName name="CAPSUM2">#REF!</definedName>
    <definedName name="EIGHT" localSheetId="6">#REF!</definedName>
    <definedName name="EIGHT" localSheetId="12">#REF!</definedName>
    <definedName name="EIGHT" localSheetId="13">#REF!</definedName>
    <definedName name="EIGHT" localSheetId="15">#REF!</definedName>
    <definedName name="EIGHT" localSheetId="20">#REF!</definedName>
    <definedName name="EIGHT" localSheetId="21">#REF!</definedName>
    <definedName name="EIGHT" localSheetId="22">#REF!</definedName>
    <definedName name="EIGHT">#REF!</definedName>
    <definedName name="Elec08185">'[12]ALLOC FAC'!$N$22</definedName>
    <definedName name="Elec08189">'[12]ALLOC FAC'!$N$23</definedName>
    <definedName name="Elec08194">'[12]ALLOC FAC'!$N$24</definedName>
    <definedName name="Elec08992">'[12]ALLOC FAC'!$N$30</definedName>
    <definedName name="ELEVEN" localSheetId="6">#REF!</definedName>
    <definedName name="ELEVEN" localSheetId="12">#REF!</definedName>
    <definedName name="ELEVEN" localSheetId="13">#REF!</definedName>
    <definedName name="ELEVEN" localSheetId="15">#REF!</definedName>
    <definedName name="ELEVEN" localSheetId="20">#REF!</definedName>
    <definedName name="ELEVEN" localSheetId="21">#REF!</definedName>
    <definedName name="ELEVEN" localSheetId="22">#REF!</definedName>
    <definedName name="ELEVEN">#REF!</definedName>
    <definedName name="ENBAL1" localSheetId="12">[1]rev1!#REF!</definedName>
    <definedName name="ENBAL1" localSheetId="13">[2]rev1!#REF!</definedName>
    <definedName name="ENBAL1" localSheetId="15">[2]rev1!#REF!</definedName>
    <definedName name="ENBAL1" localSheetId="20">[2]rev1!#REF!</definedName>
    <definedName name="ENBAL1" localSheetId="21">[1]rev1!#REF!</definedName>
    <definedName name="ENBAL1" localSheetId="22">[1]rev1!#REF!</definedName>
    <definedName name="ENBAL1">[2]rev1!#REF!</definedName>
    <definedName name="ENBAL2" localSheetId="12">[1]rev1!#REF!</definedName>
    <definedName name="ENBAL2" localSheetId="13">[2]rev1!#REF!</definedName>
    <definedName name="ENBAL2" localSheetId="15">[2]rev1!#REF!</definedName>
    <definedName name="ENBAL2" localSheetId="20">[2]rev1!#REF!</definedName>
    <definedName name="ENBAL2" localSheetId="21">[1]rev1!#REF!</definedName>
    <definedName name="ENBAL2" localSheetId="22">[1]rev1!#REF!</definedName>
    <definedName name="ENBAL2">[2]rev1!#REF!</definedName>
    <definedName name="FACILITY">#REF!</definedName>
    <definedName name="FILENAME" localSheetId="6">#REF!</definedName>
    <definedName name="FILENAME" localSheetId="12">#REF!</definedName>
    <definedName name="FILENAME" localSheetId="13">#REF!</definedName>
    <definedName name="FILENAME" localSheetId="15">#REF!</definedName>
    <definedName name="FILENAME" localSheetId="20">#REF!</definedName>
    <definedName name="FILENAME" localSheetId="21">#REF!</definedName>
    <definedName name="FILENAME" localSheetId="22">#REF!</definedName>
    <definedName name="FILENAME">#REF!</definedName>
    <definedName name="FIVE" localSheetId="6">#REF!</definedName>
    <definedName name="FIVE" localSheetId="12">#REF!</definedName>
    <definedName name="FIVE" localSheetId="13">#REF!</definedName>
    <definedName name="FIVE" localSheetId="15">#REF!</definedName>
    <definedName name="FIVE" localSheetId="20">#REF!</definedName>
    <definedName name="FIVE" localSheetId="21">#REF!</definedName>
    <definedName name="FIVE" localSheetId="22">#REF!</definedName>
    <definedName name="FIVE">#REF!</definedName>
    <definedName name="Formula" localSheetId="2">[13]Index!$A$5</definedName>
    <definedName name="Formula" localSheetId="10">[13]Index!$A$5</definedName>
    <definedName name="Formula" localSheetId="11">[13]Index!$A$5</definedName>
    <definedName name="Formula" localSheetId="14">[13]Index!$A$5</definedName>
    <definedName name="Formula" localSheetId="18">[13]Index!$A$5</definedName>
    <definedName name="Formula">[14]Index!$A$5</definedName>
    <definedName name="FOUR" localSheetId="6">#REF!</definedName>
    <definedName name="FOUR" localSheetId="12">#REF!</definedName>
    <definedName name="FOUR" localSheetId="13">#REF!</definedName>
    <definedName name="FOUR" localSheetId="15">#REF!</definedName>
    <definedName name="FOUR" localSheetId="20">#REF!</definedName>
    <definedName name="FOUR" localSheetId="21">#REF!</definedName>
    <definedName name="FOUR" localSheetId="22">#REF!</definedName>
    <definedName name="FOUR">#REF!</definedName>
    <definedName name="FuelCost1" localSheetId="6">#REF!</definedName>
    <definedName name="FuelCost1" localSheetId="12">#REF!</definedName>
    <definedName name="FuelCost1" localSheetId="13">#REF!</definedName>
    <definedName name="FuelCost1" localSheetId="15">#REF!</definedName>
    <definedName name="FuelCost1" localSheetId="20">#REF!</definedName>
    <definedName name="FuelCost1" localSheetId="21">#REF!</definedName>
    <definedName name="FuelCost1" localSheetId="22">#REF!</definedName>
    <definedName name="FuelCost1">#REF!</definedName>
    <definedName name="FuelCost2" localSheetId="6">#REF!</definedName>
    <definedName name="FuelCost2" localSheetId="12">#REF!</definedName>
    <definedName name="FuelCost2" localSheetId="13">#REF!</definedName>
    <definedName name="FuelCost2" localSheetId="15">#REF!</definedName>
    <definedName name="FuelCost2" localSheetId="20">#REF!</definedName>
    <definedName name="FuelCost2" localSheetId="21">#REF!</definedName>
    <definedName name="FuelCost2" localSheetId="22">#REF!</definedName>
    <definedName name="FuelCost2">#REF!</definedName>
    <definedName name="GENCAP1" localSheetId="6">#REF!</definedName>
    <definedName name="GENCAP1" localSheetId="12">#REF!</definedName>
    <definedName name="GENCAP1" localSheetId="13">#REF!</definedName>
    <definedName name="GENCAP1" localSheetId="15">#REF!</definedName>
    <definedName name="GENCAP1" localSheetId="20">#REF!</definedName>
    <definedName name="GENCAP1" localSheetId="21">#REF!</definedName>
    <definedName name="GENCAP1" localSheetId="22">#REF!</definedName>
    <definedName name="GENCAP1">#REF!</definedName>
    <definedName name="GENCAP2" localSheetId="6">#REF!</definedName>
    <definedName name="GENCAP2" localSheetId="12">#REF!</definedName>
    <definedName name="GENCAP2" localSheetId="13">#REF!</definedName>
    <definedName name="GENCAP2" localSheetId="15">#REF!</definedName>
    <definedName name="GENCAP2" localSheetId="20">#REF!</definedName>
    <definedName name="GENCAP2" localSheetId="21">#REF!</definedName>
    <definedName name="GENCAP2" localSheetId="22">#REF!</definedName>
    <definedName name="GENCAP2">#REF!</definedName>
    <definedName name="GENCAP3" localSheetId="6">#REF!</definedName>
    <definedName name="GENCAP3" localSheetId="12">#REF!</definedName>
    <definedName name="GENCAP3" localSheetId="13">#REF!</definedName>
    <definedName name="GENCAP3" localSheetId="15">#REF!</definedName>
    <definedName name="GENCAP3" localSheetId="20">#REF!</definedName>
    <definedName name="GENCAP3" localSheetId="21">#REF!</definedName>
    <definedName name="GENCAP3" localSheetId="22">#REF!</definedName>
    <definedName name="GENCAP3">#REF!</definedName>
    <definedName name="GENCAP4" localSheetId="6">#REF!</definedName>
    <definedName name="GENCAP4" localSheetId="12">#REF!</definedName>
    <definedName name="GENCAP4" localSheetId="13">#REF!</definedName>
    <definedName name="GENCAP4" localSheetId="15">#REF!</definedName>
    <definedName name="GENCAP4" localSheetId="20">#REF!</definedName>
    <definedName name="GENCAP4" localSheetId="21">#REF!</definedName>
    <definedName name="GENCAP4" localSheetId="22">#REF!</definedName>
    <definedName name="GENCAP4">#REF!</definedName>
    <definedName name="GenOM1" localSheetId="6">#REF!</definedName>
    <definedName name="GenOM1" localSheetId="12">#REF!</definedName>
    <definedName name="GenOM1" localSheetId="13">#REF!</definedName>
    <definedName name="GenOM1" localSheetId="15">#REF!</definedName>
    <definedName name="GenOM1" localSheetId="20">#REF!</definedName>
    <definedName name="GenOM1" localSheetId="21">#REF!</definedName>
    <definedName name="GenOM1" localSheetId="22">#REF!</definedName>
    <definedName name="GenOM1">#REF!</definedName>
    <definedName name="Historical" localSheetId="12">[10]Index!#REF!</definedName>
    <definedName name="Historical" localSheetId="21">[5]Index!#REF!</definedName>
    <definedName name="Historical" localSheetId="22">[5]Index!#REF!</definedName>
    <definedName name="Historical">[15]Index!$D$33</definedName>
    <definedName name="INDEX" localSheetId="6">#REF!</definedName>
    <definedName name="INDEX" localSheetId="12">#REF!</definedName>
    <definedName name="INDEX" localSheetId="13">#REF!</definedName>
    <definedName name="INDEX" localSheetId="15">#REF!</definedName>
    <definedName name="INDEX" localSheetId="20">#REF!</definedName>
    <definedName name="INDEX" localSheetId="21">#REF!</definedName>
    <definedName name="INDEX" localSheetId="22">#REF!</definedName>
    <definedName name="INDEX">#REF!</definedName>
    <definedName name="JURALLOC" localSheetId="6">#REF!</definedName>
    <definedName name="JURALLOC" localSheetId="12">#REF!</definedName>
    <definedName name="JURALLOC" localSheetId="13">#REF!</definedName>
    <definedName name="JURALLOC" localSheetId="15">#REF!</definedName>
    <definedName name="JURALLOC" localSheetId="20">#REF!</definedName>
    <definedName name="JURALLOC" localSheetId="21">#REF!</definedName>
    <definedName name="JURALLOC" localSheetId="22">#REF!</definedName>
    <definedName name="JURALLOC">#REF!</definedName>
    <definedName name="MATran" localSheetId="12">[4]Index!$D$34</definedName>
    <definedName name="MATran" localSheetId="21">[16]Index!$D$30</definedName>
    <definedName name="MATran" localSheetId="22">[16]Index!$D$30</definedName>
    <definedName name="MATran">Index!#REF!</definedName>
    <definedName name="memrev1" localSheetId="6">[2]rev1!#REF!</definedName>
    <definedName name="memrev1" localSheetId="12">[1]rev1!#REF!</definedName>
    <definedName name="memrev1" localSheetId="13">[2]rev1!#REF!</definedName>
    <definedName name="memrev1" localSheetId="15">[2]rev1!#REF!</definedName>
    <definedName name="memrev1" localSheetId="20">[2]rev1!#REF!</definedName>
    <definedName name="memrev1" localSheetId="21">[1]rev1!#REF!</definedName>
    <definedName name="memrev1" localSheetId="22">[1]rev1!#REF!</definedName>
    <definedName name="memrev1">[2]rev1!#REF!</definedName>
    <definedName name="memrev2" localSheetId="12">[1]rev1!#REF!</definedName>
    <definedName name="memrev2" localSheetId="13">[2]rev1!#REF!</definedName>
    <definedName name="memrev2" localSheetId="15">[2]rev1!#REF!</definedName>
    <definedName name="memrev2" localSheetId="20">[2]rev1!#REF!</definedName>
    <definedName name="memrev2" localSheetId="21">[1]rev1!#REF!</definedName>
    <definedName name="memrev2" localSheetId="22">[1]rev1!#REF!</definedName>
    <definedName name="memrev2">[2]rev1!#REF!</definedName>
    <definedName name="NOCircuits" localSheetId="12">[4]Index!#REF!</definedName>
    <definedName name="NOCircuits" localSheetId="20">[17]Index!#REF!</definedName>
    <definedName name="NOCircuits" localSheetId="21">[16]Index!#REF!</definedName>
    <definedName name="NOCircuits" localSheetId="22">[16]Index!#REF!</definedName>
    <definedName name="NOCircuits">Index!#REF!</definedName>
    <definedName name="NONMEM1" localSheetId="6">#REF!</definedName>
    <definedName name="NONMEM1" localSheetId="12">#REF!</definedName>
    <definedName name="NONMEM1" localSheetId="13">#REF!</definedName>
    <definedName name="NONMEM1" localSheetId="15">#REF!</definedName>
    <definedName name="NONMEM1" localSheetId="20">#REF!</definedName>
    <definedName name="NONMEM1" localSheetId="21">#REF!</definedName>
    <definedName name="NONMEM1" localSheetId="22">#REF!</definedName>
    <definedName name="NONMEM1">#REF!</definedName>
    <definedName name="NONMEM2" localSheetId="6">#REF!</definedName>
    <definedName name="NONMEM2" localSheetId="12">#REF!</definedName>
    <definedName name="NONMEM2" localSheetId="13">#REF!</definedName>
    <definedName name="NONMEM2" localSheetId="15">#REF!</definedName>
    <definedName name="NONMEM2" localSheetId="20">#REF!</definedName>
    <definedName name="NONMEM2" localSheetId="21">#REF!</definedName>
    <definedName name="NONMEM2" localSheetId="22">#REF!</definedName>
    <definedName name="NONMEM2">#REF!</definedName>
    <definedName name="NONMEM3" localSheetId="6">#REF!</definedName>
    <definedName name="NONMEM3" localSheetId="12">#REF!</definedName>
    <definedName name="NONMEM3" localSheetId="13">#REF!</definedName>
    <definedName name="NONMEM3" localSheetId="15">#REF!</definedName>
    <definedName name="NONMEM3" localSheetId="20">#REF!</definedName>
    <definedName name="NONMEM3" localSheetId="21">#REF!</definedName>
    <definedName name="NONMEM3" localSheetId="22">#REF!</definedName>
    <definedName name="NONMEM3">#REF!</definedName>
    <definedName name="NONMEM4" localSheetId="6">#REF!</definedName>
    <definedName name="NONMEM4" localSheetId="12">#REF!</definedName>
    <definedName name="NONMEM4" localSheetId="13">#REF!</definedName>
    <definedName name="NONMEM4" localSheetId="15">#REF!</definedName>
    <definedName name="NONMEM4" localSheetId="20">#REF!</definedName>
    <definedName name="NONMEM4" localSheetId="21">#REF!</definedName>
    <definedName name="NONMEM4" localSheetId="22">#REF!</definedName>
    <definedName name="NONMEM4">#REF!</definedName>
    <definedName name="NvsASD">"V2014-12-31"</definedName>
    <definedName name="NvsAutoDrillOk">"VY"</definedName>
    <definedName name="NvsElapsedTime">0.000104166669188999</definedName>
    <definedName name="NvsEndTime">42020.5548958333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"VWFECO"</definedName>
    <definedName name="NvsPanelEffdt">"V1900-01-01"</definedName>
    <definedName name="NvsPanelSetid">"VSHARE"</definedName>
    <definedName name="NvsReqBU">"VWFECO"</definedName>
    <definedName name="NvsReqBUOnly">"VY"</definedName>
    <definedName name="NvsTransLed">"VN"</definedName>
    <definedName name="NvsTreeASD">"V2014-12-31"</definedName>
    <definedName name="NvsValTbl.ACCOUNT">"GL_ACCOUNT_TBL"</definedName>
    <definedName name="ONE" localSheetId="6">#REF!</definedName>
    <definedName name="ONE" localSheetId="12">#REF!</definedName>
    <definedName name="ONE" localSheetId="13">#REF!</definedName>
    <definedName name="ONE" localSheetId="15">#REF!</definedName>
    <definedName name="ONE" localSheetId="20">#REF!</definedName>
    <definedName name="ONE" localSheetId="21">#REF!</definedName>
    <definedName name="ONE" localSheetId="22">#REF!</definedName>
    <definedName name="ONE">#REF!</definedName>
    <definedName name="ONEBEE" localSheetId="6">#REF!</definedName>
    <definedName name="ONEBEE" localSheetId="12">#REF!</definedName>
    <definedName name="ONEBEE" localSheetId="13">#REF!</definedName>
    <definedName name="ONEBEE" localSheetId="15">#REF!</definedName>
    <definedName name="ONEBEE" localSheetId="20">#REF!</definedName>
    <definedName name="ONEBEE" localSheetId="21">#REF!</definedName>
    <definedName name="ONEBEE" localSheetId="22">#REF!</definedName>
    <definedName name="ONEBEE">#REF!</definedName>
    <definedName name="OTHINC1" localSheetId="6">#REF!</definedName>
    <definedName name="OTHINC1" localSheetId="12">#REF!</definedName>
    <definedName name="OTHINC1" localSheetId="13">#REF!</definedName>
    <definedName name="OTHINC1" localSheetId="15">#REF!</definedName>
    <definedName name="OTHINC1" localSheetId="20">#REF!</definedName>
    <definedName name="OTHINC1" localSheetId="21">#REF!</definedName>
    <definedName name="OTHINC1" localSheetId="22">#REF!</definedName>
    <definedName name="OTHINC1">#REF!</definedName>
    <definedName name="OTHINC2" localSheetId="6">#REF!</definedName>
    <definedName name="OTHINC2" localSheetId="12">#REF!</definedName>
    <definedName name="OTHINC2" localSheetId="13">#REF!</definedName>
    <definedName name="OTHINC2" localSheetId="15">#REF!</definedName>
    <definedName name="OTHINC2" localSheetId="20">#REF!</definedName>
    <definedName name="OTHINC2" localSheetId="21">#REF!</definedName>
    <definedName name="OTHINC2" localSheetId="22">#REF!</definedName>
    <definedName name="OTHINC2">#REF!</definedName>
    <definedName name="page1" localSheetId="12">'[18]W&amp;S by group'!#REF!</definedName>
    <definedName name="page1" localSheetId="20">'[18]W&amp;S by group'!#REF!</definedName>
    <definedName name="page1" localSheetId="21">'[18]W&amp;S by group'!#REF!</definedName>
    <definedName name="page1" localSheetId="22">'[18]W&amp;S by group'!#REF!</definedName>
    <definedName name="page1">'[18]W&amp;S by group'!#REF!</definedName>
    <definedName name="page10" localSheetId="12">'[18]W&amp;S by group'!#REF!</definedName>
    <definedName name="page10" localSheetId="20">'[18]W&amp;S by group'!#REF!</definedName>
    <definedName name="page10" localSheetId="21">'[18]W&amp;S by group'!#REF!</definedName>
    <definedName name="page10" localSheetId="22">'[18]W&amp;S by group'!#REF!</definedName>
    <definedName name="page10">'[18]W&amp;S by group'!#REF!</definedName>
    <definedName name="page11" localSheetId="12">'[18]W&amp;S by group'!#REF!</definedName>
    <definedName name="page11" localSheetId="20">'[18]W&amp;S by group'!#REF!</definedName>
    <definedName name="page11" localSheetId="21">'[18]W&amp;S by group'!#REF!</definedName>
    <definedName name="page11" localSheetId="22">'[18]W&amp;S by group'!#REF!</definedName>
    <definedName name="page11">'[18]W&amp;S by group'!#REF!</definedName>
    <definedName name="page12" localSheetId="12">'[18]W&amp;S by group'!#REF!</definedName>
    <definedName name="page12" localSheetId="20">'[18]W&amp;S by group'!#REF!</definedName>
    <definedName name="page12" localSheetId="21">'[18]W&amp;S by group'!#REF!</definedName>
    <definedName name="page12" localSheetId="22">'[18]W&amp;S by group'!#REF!</definedName>
    <definedName name="page12">'[18]W&amp;S by group'!#REF!</definedName>
    <definedName name="page13" localSheetId="12">'[18]W&amp;S by group'!#REF!</definedName>
    <definedName name="page13" localSheetId="20">'[18]W&amp;S by group'!#REF!</definedName>
    <definedName name="page13" localSheetId="21">'[18]W&amp;S by group'!#REF!</definedName>
    <definedName name="page13" localSheetId="22">'[18]W&amp;S by group'!#REF!</definedName>
    <definedName name="page13">'[18]W&amp;S by group'!#REF!</definedName>
    <definedName name="page14" localSheetId="12">'[18]W&amp;S by group'!#REF!</definedName>
    <definedName name="page14" localSheetId="20">'[18]W&amp;S by group'!#REF!</definedName>
    <definedName name="page14" localSheetId="21">'[18]W&amp;S by group'!#REF!</definedName>
    <definedName name="page14" localSheetId="22">'[18]W&amp;S by group'!#REF!</definedName>
    <definedName name="page14">'[18]W&amp;S by group'!#REF!</definedName>
    <definedName name="page15" localSheetId="12">'[18]W&amp;S by group'!#REF!</definedName>
    <definedName name="page15" localSheetId="20">'[18]W&amp;S by group'!#REF!</definedName>
    <definedName name="page15" localSheetId="21">'[18]W&amp;S by group'!#REF!</definedName>
    <definedName name="page15" localSheetId="22">'[18]W&amp;S by group'!#REF!</definedName>
    <definedName name="page15">'[18]W&amp;S by group'!#REF!</definedName>
    <definedName name="page16" localSheetId="12">'[18]W&amp;S by group'!#REF!</definedName>
    <definedName name="page16" localSheetId="20">'[18]W&amp;S by group'!#REF!</definedName>
    <definedName name="page16" localSheetId="21">'[18]W&amp;S by group'!#REF!</definedName>
    <definedName name="page16" localSheetId="22">'[18]W&amp;S by group'!#REF!</definedName>
    <definedName name="page16">'[18]W&amp;S by group'!#REF!</definedName>
    <definedName name="page2" localSheetId="12">'[18]W&amp;S by group'!#REF!</definedName>
    <definedName name="page2" localSheetId="20">'[18]W&amp;S by group'!#REF!</definedName>
    <definedName name="page2" localSheetId="21">'[18]W&amp;S by group'!#REF!</definedName>
    <definedName name="page2" localSheetId="22">'[18]W&amp;S by group'!#REF!</definedName>
    <definedName name="page2">'[18]W&amp;S by group'!#REF!</definedName>
    <definedName name="page3" localSheetId="12">'[18]W&amp;S by group'!#REF!</definedName>
    <definedName name="page3" localSheetId="20">'[18]W&amp;S by group'!#REF!</definedName>
    <definedName name="page3" localSheetId="21">'[18]W&amp;S by group'!#REF!</definedName>
    <definedName name="page3" localSheetId="22">'[18]W&amp;S by group'!#REF!</definedName>
    <definedName name="page3">'[18]W&amp;S by group'!#REF!</definedName>
    <definedName name="page4" localSheetId="12">'[18]W&amp;S by group'!#REF!</definedName>
    <definedName name="page4" localSheetId="20">'[18]W&amp;S by group'!#REF!</definedName>
    <definedName name="page4" localSheetId="21">'[18]W&amp;S by group'!#REF!</definedName>
    <definedName name="page4" localSheetId="22">'[18]W&amp;S by group'!#REF!</definedName>
    <definedName name="page4">'[18]W&amp;S by group'!#REF!</definedName>
    <definedName name="page5" localSheetId="6">#REF!</definedName>
    <definedName name="page5" localSheetId="12">#REF!</definedName>
    <definedName name="page5" localSheetId="13">#REF!</definedName>
    <definedName name="page5" localSheetId="15">#REF!</definedName>
    <definedName name="page5" localSheetId="20">#REF!</definedName>
    <definedName name="page5" localSheetId="21">#REF!</definedName>
    <definedName name="page5" localSheetId="22">#REF!</definedName>
    <definedName name="page5">#REF!</definedName>
    <definedName name="page6" localSheetId="6">#REF!</definedName>
    <definedName name="page6" localSheetId="12">#REF!</definedName>
    <definedName name="page6" localSheetId="13">#REF!</definedName>
    <definedName name="page6" localSheetId="15">#REF!</definedName>
    <definedName name="page6" localSheetId="20">#REF!</definedName>
    <definedName name="page6" localSheetId="21">#REF!</definedName>
    <definedName name="page6" localSheetId="22">#REF!</definedName>
    <definedName name="page6">#REF!</definedName>
    <definedName name="page7" localSheetId="12">'[18]W&amp;S by group'!#REF!</definedName>
    <definedName name="page7" localSheetId="20">'[18]W&amp;S by group'!#REF!</definedName>
    <definedName name="page7" localSheetId="21">'[18]W&amp;S by group'!#REF!</definedName>
    <definedName name="page7" localSheetId="22">'[18]W&amp;S by group'!#REF!</definedName>
    <definedName name="page7">'[18]W&amp;S by group'!#REF!</definedName>
    <definedName name="page8" localSheetId="12">'[18]W&amp;S by group'!#REF!</definedName>
    <definedName name="page8" localSheetId="20">'[18]W&amp;S by group'!#REF!</definedName>
    <definedName name="page8" localSheetId="21">'[18]W&amp;S by group'!#REF!</definedName>
    <definedName name="page8" localSheetId="22">'[18]W&amp;S by group'!#REF!</definedName>
    <definedName name="page8">'[18]W&amp;S by group'!#REF!</definedName>
    <definedName name="page9" localSheetId="12">'[18]W&amp;S by group'!#REF!</definedName>
    <definedName name="page9" localSheetId="20">'[18]W&amp;S by group'!#REF!</definedName>
    <definedName name="page9" localSheetId="21">'[18]W&amp;S by group'!#REF!</definedName>
    <definedName name="page9" localSheetId="22">'[18]W&amp;S by group'!#REF!</definedName>
    <definedName name="page9">'[18]W&amp;S by group'!#REF!</definedName>
    <definedName name="PageA" localSheetId="6">#REF!</definedName>
    <definedName name="PageA" localSheetId="12">#REF!</definedName>
    <definedName name="PageA" localSheetId="13">#REF!</definedName>
    <definedName name="PageA" localSheetId="15">#REF!</definedName>
    <definedName name="PageA" localSheetId="20">#REF!</definedName>
    <definedName name="PageA" localSheetId="21">#REF!</definedName>
    <definedName name="PageA" localSheetId="22">#REF!</definedName>
    <definedName name="PageA">#REF!</definedName>
    <definedName name="PageB" localSheetId="6">#REF!</definedName>
    <definedName name="PageB" localSheetId="12">#REF!</definedName>
    <definedName name="PageB" localSheetId="13">#REF!</definedName>
    <definedName name="PageB" localSheetId="15">#REF!</definedName>
    <definedName name="PageB" localSheetId="20">#REF!</definedName>
    <definedName name="PageB" localSheetId="21">#REF!</definedName>
    <definedName name="PageB" localSheetId="22">#REF!</definedName>
    <definedName name="PageB">#REF!</definedName>
    <definedName name="PageC" localSheetId="6">#REF!</definedName>
    <definedName name="PageC" localSheetId="12">#REF!</definedName>
    <definedName name="PageC" localSheetId="13">#REF!</definedName>
    <definedName name="PageC" localSheetId="15">#REF!</definedName>
    <definedName name="PageC" localSheetId="20">#REF!</definedName>
    <definedName name="PageC" localSheetId="21">#REF!</definedName>
    <definedName name="PageC" localSheetId="22">#REF!</definedName>
    <definedName name="PageC">#REF!</definedName>
    <definedName name="POWER1" localSheetId="6">#REF!</definedName>
    <definedName name="POWER1" localSheetId="12">#REF!</definedName>
    <definedName name="POWER1" localSheetId="13">#REF!</definedName>
    <definedName name="POWER1" localSheetId="15">#REF!</definedName>
    <definedName name="POWER1" localSheetId="20">#REF!</definedName>
    <definedName name="POWER1" localSheetId="21">#REF!</definedName>
    <definedName name="POWER1" localSheetId="22">#REF!</definedName>
    <definedName name="POWER1">#REF!</definedName>
    <definedName name="POWER2" localSheetId="6">#REF!</definedName>
    <definedName name="POWER2" localSheetId="12">#REF!</definedName>
    <definedName name="POWER2" localSheetId="13">#REF!</definedName>
    <definedName name="POWER2" localSheetId="15">#REF!</definedName>
    <definedName name="POWER2" localSheetId="20">#REF!</definedName>
    <definedName name="POWER2" localSheetId="21">#REF!</definedName>
    <definedName name="POWER2" localSheetId="22">#REF!</definedName>
    <definedName name="POWER2">#REF!</definedName>
    <definedName name="_xlnm.Print_Area" localSheetId="23">' Worksheet U Stations'!$A$12:$N$22</definedName>
    <definedName name="_xlnm.Print_Area" localSheetId="0">Index!$A$1:$D$35</definedName>
    <definedName name="_xlnm.Print_Area" localSheetId="1">Summary!$A$1:$H$28</definedName>
    <definedName name="_xlnm.Print_Area" localSheetId="3">'Worksheet A Rate Base'!$A$12:$I$88</definedName>
    <definedName name="_xlnm.Print_Area" localSheetId="4">'Worksheet B Expenses'!$A$12:$I$57</definedName>
    <definedName name="_xlnm.Print_Area" localSheetId="5">'Worksheet C Return'!$A$1:$K$35</definedName>
    <definedName name="_xlnm.Print_Area" localSheetId="6">'Worksheet D Load'!$A$1:$G$26</definedName>
    <definedName name="_xlnm.Print_Area" localSheetId="7">'Worksheet E Alloc. Factor'!$A$12:$G$39</definedName>
    <definedName name="_xlnm.Print_Area" localSheetId="8">'Worksheet F Inputs'!$A$13:$F$209</definedName>
    <definedName name="_xlnm.Print_Area" localSheetId="9">'Worksheet G O&amp;M Input'!$A$11:$F$51</definedName>
    <definedName name="_xlnm.Print_Area" localSheetId="10">'Worksheet H SPP Upgrades'!$A$1:$K$41</definedName>
    <definedName name="_xlnm.Print_Area" localSheetId="11">'Worksheet I Depreciation Rates'!$A$1:$D$63</definedName>
    <definedName name="_xlnm.Print_Area" localSheetId="12">'Worksheet J Reconciliation'!$A$1:$L$88</definedName>
    <definedName name="_xlnm.Print_Area" localSheetId="13">'Worksheet K Wages Input'!$A$12:$F$30</definedName>
    <definedName name="_xlnm.Print_Area" localSheetId="14">'Worksheet L Depreciation Exp'!$A$1:$J$65</definedName>
    <definedName name="_xlnm.Print_Area" localSheetId="15">'Worksheet M OthRev Input'!$A$1:$F$56</definedName>
    <definedName name="_xlnm.Print_Area" localSheetId="16">'Worksheet N Future Use'!$E$13:$M$42</definedName>
    <definedName name="_xlnm.Print_Area" localSheetId="17">'Worksheet O Tran by Others'!$A$13:$J$34</definedName>
    <definedName name="_xlnm.Print_Area" localSheetId="18">'Worksheet P 575576 Expense'!$A$1:$F$36</definedName>
    <definedName name="_xlnm.Print_Area" localSheetId="19">'Worksheet Q Compl Not Class'!$A$1:$M$50</definedName>
    <definedName name="_xlnm.Print_Area" localSheetId="20">'Worksheet R CWIP'!$A$12:$M$37</definedName>
    <definedName name="_xlnm.Print_Area" localSheetId="21">'Worksheet S Reg. &amp; Comm. Exp.'!$A$1:$M$26</definedName>
    <definedName name="_xlnm.Print_Area" localSheetId="22">'Worksheet T RWIP '!$A$1:$M$23</definedName>
    <definedName name="_xlnm.Print_Area" localSheetId="24">'Worksheet V Lines'!$A$1:$N$23</definedName>
    <definedName name="_xlnm.Print_Titles" localSheetId="23">' Worksheet U Stations'!$1:$11</definedName>
    <definedName name="_xlnm.Print_Titles" localSheetId="1">Summary!$1:$11</definedName>
    <definedName name="_xlnm.Print_Titles" localSheetId="3">'Worksheet A Rate Base'!$1:$11</definedName>
    <definedName name="_xlnm.Print_Titles" localSheetId="4">'Worksheet B Expenses'!$1:$11</definedName>
    <definedName name="_xlnm.Print_Titles" localSheetId="7">'Worksheet E Alloc. Factor'!$1:$11</definedName>
    <definedName name="_xlnm.Print_Titles" localSheetId="8">'Worksheet F Inputs'!$1:$12</definedName>
    <definedName name="_xlnm.Print_Titles" localSheetId="9">'Worksheet G O&amp;M Input'!$1:$10</definedName>
    <definedName name="_xlnm.Print_Titles" localSheetId="12">'Worksheet J Reconciliation'!$1:$9</definedName>
    <definedName name="_xlnm.Print_Titles" localSheetId="13">'Worksheet K Wages Input'!$1:$11</definedName>
    <definedName name="_xlnm.Print_Titles" localSheetId="14">'Worksheet L Depreciation Exp'!$1:$7</definedName>
    <definedName name="_xlnm.Print_Titles" localSheetId="15">'Worksheet M OthRev Input'!$1:$10</definedName>
    <definedName name="_xlnm.Print_Titles" localSheetId="16">'Worksheet N Future Use'!$A:$D,'Worksheet N Future Use'!$1:$12</definedName>
    <definedName name="_xlnm.Print_Titles" localSheetId="17">'Worksheet O Tran by Others'!$1:$12</definedName>
    <definedName name="_xlnm.Print_Titles" localSheetId="20">'Worksheet R CWIP'!$1:$11</definedName>
    <definedName name="_xlnm.Print_Titles" localSheetId="21">'Worksheet S Reg. &amp; Comm. Exp.'!$1:$25</definedName>
    <definedName name="_xlnm.Print_Titles" localSheetId="22">'Worksheet T RWIP '!$1:$11</definedName>
    <definedName name="_xlnm.Print_Titles" localSheetId="24">'Worksheet V Lines'!$1:$11</definedName>
    <definedName name="PURPWR1" localSheetId="6">#REF!</definedName>
    <definedName name="PURPWR1" localSheetId="12">#REF!</definedName>
    <definedName name="PURPWR1" localSheetId="13">#REF!</definedName>
    <definedName name="PURPWR1" localSheetId="15">#REF!</definedName>
    <definedName name="PURPWR1" localSheetId="20">#REF!</definedName>
    <definedName name="PURPWR1" localSheetId="21">#REF!</definedName>
    <definedName name="PURPWR1" localSheetId="22">#REF!</definedName>
    <definedName name="PURPWR1">#REF!</definedName>
    <definedName name="PURPWR2" localSheetId="6">#REF!</definedName>
    <definedName name="PURPWR2" localSheetId="12">#REF!</definedName>
    <definedName name="PURPWR2" localSheetId="13">#REF!</definedName>
    <definedName name="PURPWR2" localSheetId="15">#REF!</definedName>
    <definedName name="PURPWR2" localSheetId="20">#REF!</definedName>
    <definedName name="PURPWR2" localSheetId="21">#REF!</definedName>
    <definedName name="PURPWR2" localSheetId="22">#REF!</definedName>
    <definedName name="PURPWR2">#REF!</definedName>
    <definedName name="SIX" localSheetId="6">#REF!</definedName>
    <definedName name="SIX" localSheetId="12">#REF!</definedName>
    <definedName name="SIX" localSheetId="13">#REF!</definedName>
    <definedName name="SIX" localSheetId="15">#REF!</definedName>
    <definedName name="SIX" localSheetId="20">#REF!</definedName>
    <definedName name="SIX" localSheetId="21">#REF!</definedName>
    <definedName name="SIX" localSheetId="22">#REF!</definedName>
    <definedName name="SIX">#REF!</definedName>
    <definedName name="SnakeCreekSw" localSheetId="22">[19]Index!#REF!</definedName>
    <definedName name="SnakeCreekSw">[19]Index!#REF!</definedName>
    <definedName name="TAXDEP1" localSheetId="6">#REF!</definedName>
    <definedName name="TAXDEP1" localSheetId="12">#REF!</definedName>
    <definedName name="TAXDEP1" localSheetId="13">#REF!</definedName>
    <definedName name="TAXDEP1" localSheetId="15">#REF!</definedName>
    <definedName name="TAXDEP1" localSheetId="20">#REF!</definedName>
    <definedName name="TAXDEP1" localSheetId="21">#REF!</definedName>
    <definedName name="TAXDEP1" localSheetId="22">#REF!</definedName>
    <definedName name="TAXDEP1">#REF!</definedName>
    <definedName name="TAXDEP2" localSheetId="6">#REF!</definedName>
    <definedName name="TAXDEP2" localSheetId="12">#REF!</definedName>
    <definedName name="TAXDEP2" localSheetId="13">#REF!</definedName>
    <definedName name="TAXDEP2" localSheetId="15">#REF!</definedName>
    <definedName name="TAXDEP2" localSheetId="20">#REF!</definedName>
    <definedName name="TAXDEP2" localSheetId="21">#REF!</definedName>
    <definedName name="TAXDEP2" localSheetId="22">#REF!</definedName>
    <definedName name="TAXDEP2">#REF!</definedName>
    <definedName name="THREE" localSheetId="6">#REF!</definedName>
    <definedName name="THREE" localSheetId="12">#REF!</definedName>
    <definedName name="THREE" localSheetId="13">#REF!</definedName>
    <definedName name="THREE" localSheetId="15">#REF!</definedName>
    <definedName name="THREE" localSheetId="20">#REF!</definedName>
    <definedName name="THREE" localSheetId="21">#REF!</definedName>
    <definedName name="THREE" localSheetId="22">#REF!</definedName>
    <definedName name="THREE">#REF!</definedName>
    <definedName name="THREEBEE" localSheetId="6">#REF!</definedName>
    <definedName name="THREEBEE" localSheetId="12">#REF!</definedName>
    <definedName name="THREEBEE" localSheetId="13">#REF!</definedName>
    <definedName name="THREEBEE" localSheetId="15">#REF!</definedName>
    <definedName name="THREEBEE" localSheetId="20">#REF!</definedName>
    <definedName name="THREEBEE" localSheetId="21">#REF!</definedName>
    <definedName name="THREEBEE" localSheetId="22">#REF!</definedName>
    <definedName name="THREEBEE">#REF!</definedName>
    <definedName name="THREECEE" localSheetId="6">#REF!</definedName>
    <definedName name="THREECEE" localSheetId="12">#REF!</definedName>
    <definedName name="THREECEE" localSheetId="13">#REF!</definedName>
    <definedName name="THREECEE" localSheetId="15">#REF!</definedName>
    <definedName name="THREECEE" localSheetId="20">#REF!</definedName>
    <definedName name="THREECEE" localSheetId="21">#REF!</definedName>
    <definedName name="THREECEE" localSheetId="22">#REF!</definedName>
    <definedName name="THREECEE">#REF!</definedName>
    <definedName name="THREEDEE" localSheetId="6">#REF!</definedName>
    <definedName name="THREEDEE" localSheetId="12">#REF!</definedName>
    <definedName name="THREEDEE" localSheetId="13">#REF!</definedName>
    <definedName name="THREEDEE" localSheetId="15">#REF!</definedName>
    <definedName name="THREEDEE" localSheetId="20">#REF!</definedName>
    <definedName name="THREEDEE" localSheetId="21">#REF!</definedName>
    <definedName name="THREEDEE" localSheetId="22">#REF!</definedName>
    <definedName name="THREEDEE">#REF!</definedName>
    <definedName name="THREEEEE" localSheetId="6">#REF!</definedName>
    <definedName name="THREEEEE" localSheetId="12">#REF!</definedName>
    <definedName name="THREEEEE" localSheetId="13">#REF!</definedName>
    <definedName name="THREEEEE" localSheetId="15">#REF!</definedName>
    <definedName name="THREEEEE" localSheetId="20">#REF!</definedName>
    <definedName name="THREEEEE" localSheetId="21">#REF!</definedName>
    <definedName name="THREEEEE" localSheetId="22">#REF!</definedName>
    <definedName name="THREEEEE">#REF!</definedName>
    <definedName name="TRANOM1" localSheetId="6">#REF!</definedName>
    <definedName name="TRANOM1" localSheetId="12">#REF!</definedName>
    <definedName name="TRANOM1" localSheetId="13">#REF!</definedName>
    <definedName name="TRANOM1" localSheetId="15">#REF!</definedName>
    <definedName name="TRANOM1" localSheetId="20">#REF!</definedName>
    <definedName name="TRANOM1" localSheetId="21">#REF!</definedName>
    <definedName name="TRANOM1" localSheetId="22">#REF!</definedName>
    <definedName name="TRANOM1">#REF!</definedName>
    <definedName name="TRANOM2" localSheetId="6">#REF!</definedName>
    <definedName name="TRANOM2" localSheetId="12">#REF!</definedName>
    <definedName name="TRANOM2" localSheetId="13">#REF!</definedName>
    <definedName name="TRANOM2" localSheetId="15">#REF!</definedName>
    <definedName name="TRANOM2" localSheetId="20">#REF!</definedName>
    <definedName name="TRANOM2" localSheetId="21">#REF!</definedName>
    <definedName name="TRANOM2" localSheetId="22">#REF!</definedName>
    <definedName name="TRANOM2">#REF!</definedName>
    <definedName name="Tri" localSheetId="2">[13]Index!$A$4</definedName>
    <definedName name="Tri" localSheetId="10">[13]Index!$A$4</definedName>
    <definedName name="Tri" localSheetId="11">[13]Index!$A$4</definedName>
    <definedName name="Tri" localSheetId="14">[13]Index!$A$4</definedName>
    <definedName name="Tri" localSheetId="18">[13]Index!$A$4</definedName>
    <definedName name="Tri">[14]Index!$A$4</definedName>
    <definedName name="TRI_STATE_GENERATION_AND_TRANSMISSION_ASSOCIATION" localSheetId="6">#REF!</definedName>
    <definedName name="TRI_STATE_GENERATION_AND_TRANSMISSION_ASSOCIATION" localSheetId="12">#REF!</definedName>
    <definedName name="TRI_STATE_GENERATION_AND_TRANSMISSION_ASSOCIATION" localSheetId="13">#REF!</definedName>
    <definedName name="TRI_STATE_GENERATION_AND_TRANSMISSION_ASSOCIATION" localSheetId="15">#REF!</definedName>
    <definedName name="TRI_STATE_GENERATION_AND_TRANSMISSION_ASSOCIATION" localSheetId="20">#REF!</definedName>
    <definedName name="TRI_STATE_GENERATION_AND_TRANSMISSION_ASSOCIATION" localSheetId="21">#REF!</definedName>
    <definedName name="TRI_STATE_GENERATION_AND_TRANSMISSION_ASSOCIATION" localSheetId="22">#REF!</definedName>
    <definedName name="TRI_STATE_GENERATION_AND_TRANSMISSION_ASSOCIATION">#REF!</definedName>
    <definedName name="twelve" localSheetId="2">[13]Index!$A$7</definedName>
    <definedName name="twelve" localSheetId="10">[13]Index!$A$7</definedName>
    <definedName name="twelve" localSheetId="11">[13]Index!$A$7</definedName>
    <definedName name="twelve" localSheetId="14">[13]Index!$A$7</definedName>
    <definedName name="twelve" localSheetId="18">[13]Index!$A$7</definedName>
    <definedName name="twelve">[14]Index!$A$7</definedName>
    <definedName name="TWO" localSheetId="6">#REF!</definedName>
    <definedName name="TWO" localSheetId="12">#REF!</definedName>
    <definedName name="TWO" localSheetId="13">#REF!</definedName>
    <definedName name="TWO" localSheetId="15">#REF!</definedName>
    <definedName name="TWO" localSheetId="20">#REF!</definedName>
    <definedName name="TWO" localSheetId="21">#REF!</definedName>
    <definedName name="TWO" localSheetId="22">#REF!</definedName>
    <definedName name="TWO">#REF!</definedName>
    <definedName name="TWOBEE" localSheetId="6">#REF!</definedName>
    <definedName name="TWOBEE" localSheetId="12">#REF!</definedName>
    <definedName name="TWOBEE" localSheetId="13">#REF!</definedName>
    <definedName name="TWOBEE" localSheetId="15">#REF!</definedName>
    <definedName name="TWOBEE" localSheetId="20">#REF!</definedName>
    <definedName name="TWOBEE" localSheetId="21">#REF!</definedName>
    <definedName name="TWOBEE" localSheetId="22">#REF!</definedName>
    <definedName name="TWOBEE">#REF!</definedName>
    <definedName name="TWOCEE" localSheetId="6">#REF!</definedName>
    <definedName name="TWOCEE" localSheetId="12">#REF!</definedName>
    <definedName name="TWOCEE" localSheetId="13">#REF!</definedName>
    <definedName name="TWOCEE" localSheetId="15">#REF!</definedName>
    <definedName name="TWOCEE" localSheetId="20">#REF!</definedName>
    <definedName name="TWOCEE" localSheetId="21">#REF!</definedName>
    <definedName name="TWOCEE" localSheetId="22">#REF!</definedName>
    <definedName name="TWOCEE">#REF!</definedName>
    <definedName name="TWODEE" localSheetId="6">#REF!</definedName>
    <definedName name="TWODEE" localSheetId="12">#REF!</definedName>
    <definedName name="TWODEE" localSheetId="13">#REF!</definedName>
    <definedName name="TWODEE" localSheetId="15">#REF!</definedName>
    <definedName name="TWODEE" localSheetId="20">#REF!</definedName>
    <definedName name="TWODEE" localSheetId="21">#REF!</definedName>
    <definedName name="TWODEE" localSheetId="22">#REF!</definedName>
    <definedName name="TWODEE">#REF!</definedName>
    <definedName name="Z_3FBB0C90_C6C1_480D_B078_514EE8852FAF_.wvu.Cols" localSheetId="4" hidden="1">'Worksheet B Expenses'!#REF!</definedName>
    <definedName name="Z_3FBB0C90_C6C1_480D_B078_514EE8852FAF_.wvu.PrintArea" localSheetId="0" hidden="1">Index!$B$1:$F$22</definedName>
    <definedName name="Z_3FBB0C90_C6C1_480D_B078_514EE8852FAF_.wvu.PrintArea" localSheetId="1" hidden="1">Summary!$A$12:$H$26</definedName>
    <definedName name="Z_3FBB0C90_C6C1_480D_B078_514EE8852FAF_.wvu.PrintArea" localSheetId="3" hidden="1">'Worksheet A Rate Base'!$A$2:$J$88</definedName>
    <definedName name="Z_3FBB0C90_C6C1_480D_B078_514EE8852FAF_.wvu.PrintArea" localSheetId="4" hidden="1">'Worksheet B Expenses'!$A$12:$I$57</definedName>
    <definedName name="Z_3FBB0C90_C6C1_480D_B078_514EE8852FAF_.wvu.PrintArea" localSheetId="5" hidden="1">'Worksheet C Return'!$A$2:$L$21</definedName>
    <definedName name="Z_3FBB0C90_C6C1_480D_B078_514EE8852FAF_.wvu.PrintArea" localSheetId="7" hidden="1">'Worksheet E Alloc. Factor'!$A$2:$G$35</definedName>
    <definedName name="Z_3FBB0C90_C6C1_480D_B078_514EE8852FAF_.wvu.PrintArea" localSheetId="8" hidden="1">'Worksheet F Inputs'!$A$13:$G$149</definedName>
    <definedName name="Z_3FBB0C90_C6C1_480D_B078_514EE8852FAF_.wvu.PrintTitles" localSheetId="1" hidden="1">Summary!$2:$11</definedName>
    <definedName name="Z_3FBB0C90_C6C1_480D_B078_514EE8852FAF_.wvu.PrintTitles" localSheetId="4" hidden="1">'Worksheet B Expenses'!$2:$11</definedName>
    <definedName name="Z_3FBB0C90_C6C1_480D_B078_514EE8852FAF_.wvu.PrintTitles" localSheetId="8" hidden="1">'Worksheet F Inputs'!$2:$12</definedName>
  </definedNames>
  <calcPr calcId="145621"/>
  <customWorkbookViews>
    <customWorkbookView name="Randy Nason - Personal View" guid="{3FBB0C90-C6C1-480D-B078-514EE8852FAF}" mergeInterval="0" personalView="1" maximized="1" xWindow="-9" yWindow="-9" windowWidth="1938" windowHeight="1050" tabRatio="790" activeSheetId="20"/>
  </customWorkbookViews>
</workbook>
</file>

<file path=xl/calcChain.xml><?xml version="1.0" encoding="utf-8"?>
<calcChain xmlns="http://schemas.openxmlformats.org/spreadsheetml/2006/main">
  <c r="A26" i="43" l="1"/>
  <c r="A27" i="43"/>
  <c r="E27" i="43"/>
  <c r="D27" i="43"/>
  <c r="H12" i="48" l="1"/>
  <c r="M12" i="48" s="1"/>
  <c r="J27" i="46" l="1"/>
  <c r="K12" i="46"/>
  <c r="L12" i="46" s="1"/>
  <c r="A43" i="45"/>
  <c r="L43" i="45"/>
  <c r="L42" i="45"/>
  <c r="L41" i="45"/>
  <c r="L40" i="45"/>
  <c r="L39" i="45"/>
  <c r="L38" i="45"/>
  <c r="L37" i="45"/>
  <c r="L36" i="45"/>
  <c r="E12" i="41" l="1"/>
  <c r="I66" i="3" l="1"/>
  <c r="E18" i="54" l="1"/>
  <c r="E15" i="54"/>
  <c r="E14" i="54"/>
  <c r="E13" i="54"/>
  <c r="E12" i="54"/>
  <c r="E13" i="53"/>
  <c r="E14" i="53"/>
  <c r="E15" i="53"/>
  <c r="E16" i="53"/>
  <c r="E12" i="53"/>
  <c r="L22" i="45" l="1"/>
  <c r="L23" i="45"/>
  <c r="L24" i="45"/>
  <c r="L25" i="45"/>
  <c r="L26" i="45"/>
  <c r="L27" i="45"/>
  <c r="L28" i="45"/>
  <c r="L29" i="45"/>
  <c r="L30" i="45"/>
  <c r="L31" i="45"/>
  <c r="L32" i="45"/>
  <c r="L33" i="45"/>
  <c r="L34" i="45"/>
  <c r="L35" i="45"/>
  <c r="L14" i="45"/>
  <c r="L15" i="45"/>
  <c r="L16" i="45"/>
  <c r="L17" i="45"/>
  <c r="L18" i="45"/>
  <c r="L19" i="45"/>
  <c r="L20" i="45"/>
  <c r="L21" i="45"/>
  <c r="A177" i="8" l="1"/>
  <c r="E18" i="58" l="1"/>
  <c r="D18" i="58"/>
  <c r="A15" i="8"/>
  <c r="E16" i="58"/>
  <c r="E15" i="58"/>
  <c r="E14" i="58"/>
  <c r="A13" i="45" l="1"/>
  <c r="A14" i="45" s="1"/>
  <c r="A15" i="45" s="1"/>
  <c r="A16" i="45" s="1"/>
  <c r="A17" i="45" s="1"/>
  <c r="A18" i="45" s="1"/>
  <c r="A19" i="45" s="1"/>
  <c r="A20" i="45" s="1"/>
  <c r="A21" i="45" s="1"/>
  <c r="A22" i="45" l="1"/>
  <c r="A23" i="45" s="1"/>
  <c r="A24" i="45" s="1"/>
  <c r="A25" i="45" s="1"/>
  <c r="A26" i="45" s="1"/>
  <c r="L13" i="45"/>
  <c r="L12" i="45"/>
  <c r="A27" i="45" l="1"/>
  <c r="A28" i="45" s="1"/>
  <c r="A29" i="45" s="1"/>
  <c r="A30" i="45" s="1"/>
  <c r="A31" i="45" s="1"/>
  <c r="A32" i="45" s="1"/>
  <c r="A33" i="45" s="1"/>
  <c r="A34" i="45" s="1"/>
  <c r="A35" i="45" s="1"/>
  <c r="A36" i="45" s="1"/>
  <c r="A37" i="45" s="1"/>
  <c r="A38" i="45" s="1"/>
  <c r="A39" i="45" s="1"/>
  <c r="A40" i="45" s="1"/>
  <c r="A41" i="45" s="1"/>
  <c r="A42" i="45" s="1"/>
  <c r="A45" i="45" s="1"/>
  <c r="A47" i="45" s="1"/>
  <c r="A48" i="45" s="1"/>
  <c r="A49" i="45" s="1"/>
  <c r="A50" i="45" s="1"/>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E64" i="58" l="1"/>
  <c r="D64" i="58"/>
  <c r="D33" i="58"/>
  <c r="E33" i="58"/>
  <c r="D34" i="58"/>
  <c r="E34" i="58"/>
  <c r="D35" i="58"/>
  <c r="E35" i="58"/>
  <c r="D36" i="58"/>
  <c r="E36" i="58"/>
  <c r="D37" i="58"/>
  <c r="E37" i="58"/>
  <c r="D38" i="58"/>
  <c r="E38" i="58"/>
  <c r="D39" i="58"/>
  <c r="E39" i="58"/>
  <c r="D40" i="58"/>
  <c r="E40" i="58"/>
  <c r="D41" i="58"/>
  <c r="E41" i="58"/>
  <c r="D42" i="58"/>
  <c r="E42" i="58"/>
  <c r="D43" i="58"/>
  <c r="E43" i="58"/>
  <c r="D44" i="58"/>
  <c r="E44" i="58"/>
  <c r="D45" i="58"/>
  <c r="E45" i="58"/>
  <c r="D46" i="58"/>
  <c r="E46" i="58"/>
  <c r="D47" i="58"/>
  <c r="E47" i="58"/>
  <c r="D48" i="58"/>
  <c r="E48" i="58"/>
  <c r="D49" i="58"/>
  <c r="E49" i="58"/>
  <c r="D50" i="58"/>
  <c r="E50" i="58"/>
  <c r="D51" i="58"/>
  <c r="E51" i="58"/>
  <c r="D52" i="58"/>
  <c r="E52" i="58"/>
  <c r="D53" i="58"/>
  <c r="E53" i="58"/>
  <c r="D54" i="58"/>
  <c r="E54" i="58"/>
  <c r="D55" i="58"/>
  <c r="E55" i="58"/>
  <c r="D56" i="58"/>
  <c r="E56" i="58"/>
  <c r="D57" i="58"/>
  <c r="E57" i="58"/>
  <c r="D58" i="58"/>
  <c r="E58" i="58"/>
  <c r="D59" i="58"/>
  <c r="E59" i="58"/>
  <c r="D60" i="58"/>
  <c r="E60" i="58"/>
  <c r="E32" i="58"/>
  <c r="D32" i="58"/>
  <c r="F177" i="8"/>
  <c r="E22" i="56" s="1"/>
  <c r="F166" i="8"/>
  <c r="E21" i="56" s="1"/>
  <c r="I18" i="42" l="1"/>
  <c r="I19" i="42"/>
  <c r="I20" i="42"/>
  <c r="F18" i="42"/>
  <c r="F19" i="42"/>
  <c r="F20" i="42"/>
  <c r="F17" i="42"/>
  <c r="F21" i="42"/>
  <c r="F12" i="7" l="1"/>
  <c r="F14" i="7"/>
  <c r="H29" i="4" l="1"/>
  <c r="H28" i="4"/>
  <c r="H15" i="4"/>
  <c r="G14" i="5" l="1"/>
  <c r="G17" i="5" s="1"/>
  <c r="I14" i="5"/>
  <c r="G42" i="56" l="1"/>
  <c r="F74" i="3"/>
  <c r="D50" i="3"/>
  <c r="D49" i="3"/>
  <c r="D61" i="3" s="1"/>
  <c r="D48" i="3"/>
  <c r="D47" i="3"/>
  <c r="D46" i="3"/>
  <c r="D24" i="3"/>
  <c r="D23" i="3"/>
  <c r="D22" i="3"/>
  <c r="D21" i="3"/>
  <c r="D18" i="3"/>
  <c r="D17" i="3"/>
  <c r="D16" i="3"/>
  <c r="D15" i="3"/>
  <c r="D13" i="3"/>
  <c r="I74" i="3"/>
  <c r="E27" i="4"/>
  <c r="E24" i="4"/>
  <c r="F24" i="4" s="1"/>
  <c r="E23" i="4"/>
  <c r="F23" i="4" s="1"/>
  <c r="E22" i="4"/>
  <c r="E21" i="4"/>
  <c r="E20" i="4"/>
  <c r="E19" i="4"/>
  <c r="E18" i="4"/>
  <c r="E17" i="4"/>
  <c r="E16" i="4"/>
  <c r="E15" i="4"/>
  <c r="E14" i="4"/>
  <c r="D27" i="4"/>
  <c r="D26" i="4"/>
  <c r="F26" i="4" s="1"/>
  <c r="D25" i="4"/>
  <c r="F25" i="4" s="1"/>
  <c r="D22" i="4"/>
  <c r="D21" i="4"/>
  <c r="D20" i="4"/>
  <c r="F20" i="4" s="1"/>
  <c r="D19" i="4"/>
  <c r="D18" i="4"/>
  <c r="D17" i="4"/>
  <c r="D16" i="4"/>
  <c r="D15" i="4"/>
  <c r="D14" i="4"/>
  <c r="F14" i="5"/>
  <c r="F17" i="5" s="1"/>
  <c r="E24" i="25"/>
  <c r="D24" i="25"/>
  <c r="F17" i="7"/>
  <c r="F15" i="7"/>
  <c r="D49" i="41"/>
  <c r="E49" i="41" s="1"/>
  <c r="E149" i="8"/>
  <c r="F148" i="8"/>
  <c r="F84" i="3" s="1"/>
  <c r="F147" i="8"/>
  <c r="F83" i="3" s="1"/>
  <c r="F146" i="8"/>
  <c r="F82" i="3" s="1"/>
  <c r="F145" i="8"/>
  <c r="F81" i="3" s="1"/>
  <c r="F144" i="8"/>
  <c r="F80" i="3" s="1"/>
  <c r="F143" i="8"/>
  <c r="F79" i="3" s="1"/>
  <c r="E139" i="8"/>
  <c r="F130" i="8"/>
  <c r="F41" i="3" s="1"/>
  <c r="F129" i="8"/>
  <c r="F40" i="3" s="1"/>
  <c r="F124" i="8"/>
  <c r="F123" i="8"/>
  <c r="F133" i="8"/>
  <c r="F46" i="3" s="1"/>
  <c r="F132" i="8"/>
  <c r="F43" i="3" s="1"/>
  <c r="F131" i="8"/>
  <c r="F42" i="3" s="1"/>
  <c r="F125" i="8"/>
  <c r="F70" i="3" s="1"/>
  <c r="F122" i="8"/>
  <c r="F121" i="8"/>
  <c r="F35" i="3" s="1"/>
  <c r="F60" i="3" s="1"/>
  <c r="F120" i="8"/>
  <c r="F119" i="8"/>
  <c r="F115" i="8"/>
  <c r="F34" i="3" s="1"/>
  <c r="F114" i="8"/>
  <c r="F33" i="3" s="1"/>
  <c r="E112" i="8"/>
  <c r="F111" i="8"/>
  <c r="F30" i="3" s="1"/>
  <c r="F110" i="8"/>
  <c r="F29" i="3" s="1"/>
  <c r="F109" i="8"/>
  <c r="F28" i="3" s="1"/>
  <c r="F108" i="8"/>
  <c r="F27" i="3" s="1"/>
  <c r="F104" i="8"/>
  <c r="F23" i="3" s="1"/>
  <c r="E106" i="8"/>
  <c r="D106" i="8"/>
  <c r="D100" i="8"/>
  <c r="E100" i="8"/>
  <c r="F98" i="8"/>
  <c r="F17" i="3" s="1"/>
  <c r="F97" i="8"/>
  <c r="F16" i="3" s="1"/>
  <c r="F94" i="8"/>
  <c r="F91" i="8"/>
  <c r="F90" i="8"/>
  <c r="F89" i="8"/>
  <c r="F88" i="8"/>
  <c r="D15" i="5" s="1"/>
  <c r="F87" i="8"/>
  <c r="F86" i="8"/>
  <c r="F85" i="8"/>
  <c r="D16" i="5" s="1"/>
  <c r="F82" i="8"/>
  <c r="F81" i="8"/>
  <c r="F80" i="8"/>
  <c r="F77" i="3" s="1"/>
  <c r="F79" i="8"/>
  <c r="F78" i="8"/>
  <c r="F46" i="8"/>
  <c r="F33" i="8"/>
  <c r="D24" i="55"/>
  <c r="E24" i="55"/>
  <c r="L20" i="49"/>
  <c r="L17" i="49"/>
  <c r="F18" i="39"/>
  <c r="F17" i="39"/>
  <c r="F15" i="39"/>
  <c r="F14" i="39"/>
  <c r="F13" i="39"/>
  <c r="C26" i="39"/>
  <c r="D26" i="39"/>
  <c r="E26" i="39"/>
  <c r="F25" i="39"/>
  <c r="F24" i="39"/>
  <c r="F23" i="39"/>
  <c r="I64" i="58"/>
  <c r="F64" i="58"/>
  <c r="F65" i="58" s="1"/>
  <c r="D65" i="58"/>
  <c r="E65" i="58"/>
  <c r="D61" i="58"/>
  <c r="E61" i="58"/>
  <c r="F40" i="58"/>
  <c r="F39" i="58"/>
  <c r="F38" i="58"/>
  <c r="F37" i="58"/>
  <c r="F36" i="58"/>
  <c r="F35" i="58"/>
  <c r="F34" i="58"/>
  <c r="F33" i="58"/>
  <c r="F32" i="58"/>
  <c r="G22" i="58"/>
  <c r="G21" i="58"/>
  <c r="G20" i="58"/>
  <c r="G19" i="58"/>
  <c r="G18" i="58"/>
  <c r="G17" i="58"/>
  <c r="G16" i="58"/>
  <c r="G15" i="58"/>
  <c r="D16" i="58"/>
  <c r="D15" i="58"/>
  <c r="D14" i="58"/>
  <c r="D48" i="41"/>
  <c r="E48" i="41" s="1"/>
  <c r="D47" i="41"/>
  <c r="D46" i="41"/>
  <c r="D43" i="41"/>
  <c r="E42" i="41"/>
  <c r="E41" i="41"/>
  <c r="M21" i="42"/>
  <c r="M20" i="42"/>
  <c r="M19" i="42"/>
  <c r="M18" i="42"/>
  <c r="M17" i="42"/>
  <c r="M14" i="42"/>
  <c r="K14" i="42"/>
  <c r="I14" i="42"/>
  <c r="F14" i="42"/>
  <c r="E29" i="42"/>
  <c r="I28" i="42"/>
  <c r="F35" i="42"/>
  <c r="F33" i="42"/>
  <c r="F31" i="42"/>
  <c r="I19" i="4"/>
  <c r="D24" i="57"/>
  <c r="F22" i="57"/>
  <c r="F21" i="57"/>
  <c r="F20" i="57"/>
  <c r="F24" i="57" s="1"/>
  <c r="D29" i="4" s="1"/>
  <c r="F29" i="4" s="1"/>
  <c r="D17" i="57"/>
  <c r="F15" i="57"/>
  <c r="F14" i="57"/>
  <c r="F13" i="57"/>
  <c r="I27" i="46"/>
  <c r="K25" i="46"/>
  <c r="K24" i="46"/>
  <c r="K23" i="46"/>
  <c r="K22" i="46"/>
  <c r="K21" i="46"/>
  <c r="K20" i="46"/>
  <c r="K19" i="46"/>
  <c r="K18" i="46"/>
  <c r="K17" i="46"/>
  <c r="K16" i="46"/>
  <c r="K15" i="46"/>
  <c r="K14" i="46"/>
  <c r="K13" i="46"/>
  <c r="D21" i="47"/>
  <c r="F21" i="47"/>
  <c r="G21" i="47"/>
  <c r="F20" i="48"/>
  <c r="G20" i="48"/>
  <c r="H19" i="48"/>
  <c r="M19" i="48" s="1"/>
  <c r="H18" i="48"/>
  <c r="M18" i="48" s="1"/>
  <c r="H17" i="48"/>
  <c r="M17" i="48" s="1"/>
  <c r="H16" i="48"/>
  <c r="M16" i="48" s="1"/>
  <c r="H15" i="48"/>
  <c r="M15" i="48" s="1"/>
  <c r="H14" i="48"/>
  <c r="M14" i="48" s="1"/>
  <c r="H13" i="48"/>
  <c r="M13" i="48" s="1"/>
  <c r="M18" i="53"/>
  <c r="L18" i="53"/>
  <c r="K18" i="53"/>
  <c r="J18" i="53"/>
  <c r="I18" i="53"/>
  <c r="H18" i="53"/>
  <c r="G18" i="53"/>
  <c r="F18" i="53"/>
  <c r="M19" i="54"/>
  <c r="L19" i="54"/>
  <c r="K19" i="54"/>
  <c r="J19" i="54"/>
  <c r="I19" i="54"/>
  <c r="H19" i="54"/>
  <c r="G19" i="54"/>
  <c r="F19" i="54"/>
  <c r="I46" i="3" l="1"/>
  <c r="D50" i="41"/>
  <c r="E20" i="2" s="1"/>
  <c r="F14" i="4"/>
  <c r="F22" i="4"/>
  <c r="D13" i="7"/>
  <c r="F15" i="4"/>
  <c r="F21" i="4"/>
  <c r="F26" i="39"/>
  <c r="F16" i="4"/>
  <c r="D14" i="5"/>
  <c r="D17" i="5" s="1"/>
  <c r="E16" i="5" s="1"/>
  <c r="H14" i="5" s="1"/>
  <c r="E116" i="8"/>
  <c r="E126" i="8" s="1"/>
  <c r="E30" i="4"/>
  <c r="F27" i="4"/>
  <c r="F18" i="4"/>
  <c r="D55" i="3"/>
  <c r="F17" i="57"/>
  <c r="D28" i="4" s="1"/>
  <c r="F28" i="4" s="1"/>
  <c r="F19" i="4"/>
  <c r="D19" i="3"/>
  <c r="D25" i="3"/>
  <c r="F149" i="8"/>
  <c r="F13" i="3"/>
  <c r="F85" i="3"/>
  <c r="H20" i="48"/>
  <c r="K27" i="46"/>
  <c r="F31" i="3"/>
  <c r="F44" i="3"/>
  <c r="E37" i="42"/>
  <c r="M20" i="48"/>
  <c r="I49" i="3" s="1"/>
  <c r="I61" i="3" s="1"/>
  <c r="F17" i="4"/>
  <c r="L14" i="42"/>
  <c r="F112" i="8"/>
  <c r="E22" i="58"/>
  <c r="D22" i="58"/>
  <c r="D21" i="58"/>
  <c r="E21" i="58"/>
  <c r="E20" i="58"/>
  <c r="D20" i="58"/>
  <c r="E19" i="58"/>
  <c r="D19" i="58"/>
  <c r="E17" i="58"/>
  <c r="D17" i="58"/>
  <c r="D51" i="41" l="1"/>
  <c r="F30" i="4"/>
  <c r="D30" i="4"/>
  <c r="D23" i="58"/>
  <c r="E15" i="5"/>
  <c r="E14" i="5"/>
  <c r="F15" i="58"/>
  <c r="H15" i="58" s="1"/>
  <c r="B7" i="54"/>
  <c r="A50" i="34"/>
  <c r="A51" i="34" s="1"/>
  <c r="A27" i="57"/>
  <c r="A28" i="57" s="1"/>
  <c r="A29" i="57" s="1"/>
  <c r="A30" i="57" s="1"/>
  <c r="A31" i="57" s="1"/>
  <c r="A32" i="57" s="1"/>
  <c r="A33" i="57" s="1"/>
  <c r="A34" i="57" s="1"/>
  <c r="A35" i="57" s="1"/>
  <c r="A36" i="57" s="1"/>
  <c r="A60" i="49"/>
  <c r="A61" i="49" s="1"/>
  <c r="A62" i="49" s="1"/>
  <c r="A65" i="49" s="1"/>
  <c r="A14" i="58"/>
  <c r="A26" i="55"/>
  <c r="A27" i="55" s="1"/>
  <c r="A28" i="55" s="1"/>
  <c r="A29" i="55" s="1"/>
  <c r="A30" i="55" s="1"/>
  <c r="A31" i="55" s="1"/>
  <c r="A32" i="55" s="1"/>
  <c r="A33" i="55" s="1"/>
  <c r="A34" i="55" s="1"/>
  <c r="A35" i="55" s="1"/>
  <c r="A36" i="55" s="1"/>
  <c r="A37" i="55" s="1"/>
  <c r="A38" i="55" s="1"/>
  <c r="A39" i="55" s="1"/>
  <c r="A40" i="55" s="1"/>
  <c r="A41" i="55" s="1"/>
  <c r="E17" i="5" l="1"/>
  <c r="A14" i="2"/>
  <c r="A16" i="2" s="1"/>
  <c r="A17" i="2" s="1"/>
  <c r="D25" i="2"/>
  <c r="D24" i="2"/>
  <c r="D23" i="2"/>
  <c r="B7" i="2"/>
  <c r="B6" i="54"/>
  <c r="B6" i="53"/>
  <c r="B7" i="46"/>
  <c r="B7" i="45"/>
  <c r="B6" i="57"/>
  <c r="B6" i="41"/>
  <c r="B6" i="58"/>
  <c r="B6" i="49"/>
  <c r="A11" i="59"/>
  <c r="A13" i="59" s="1"/>
  <c r="A14" i="59" s="1"/>
  <c r="A15" i="59" s="1"/>
  <c r="A16" i="59" s="1"/>
  <c r="A17" i="59" s="1"/>
  <c r="A18" i="59" s="1"/>
  <c r="A19" i="59" s="1"/>
  <c r="A20" i="59" s="1"/>
  <c r="A21" i="59" s="1"/>
  <c r="B5" i="59"/>
  <c r="B7" i="55"/>
  <c r="B6" i="55"/>
  <c r="B7" i="34"/>
  <c r="B7" i="8"/>
  <c r="B8" i="25"/>
  <c r="B7" i="25"/>
  <c r="B8" i="5"/>
  <c r="B7" i="5"/>
  <c r="B8" i="4"/>
  <c r="B7" i="4"/>
  <c r="B8" i="3"/>
  <c r="B7" i="3"/>
  <c r="A14" i="56"/>
  <c r="A16" i="56" s="1"/>
  <c r="A18" i="56" s="1"/>
  <c r="A19" i="56" s="1"/>
  <c r="B7" i="56"/>
  <c r="B6" i="56"/>
  <c r="B7" i="58" l="1"/>
  <c r="B7" i="57" l="1"/>
  <c r="B6" i="59"/>
  <c r="A10" i="1"/>
  <c r="A11" i="1" s="1"/>
  <c r="A12" i="1" s="1"/>
  <c r="A13" i="1" s="1"/>
  <c r="A14" i="1" s="1"/>
  <c r="A15" i="1" s="1"/>
  <c r="A16" i="1" s="1"/>
  <c r="A17" i="1" s="1"/>
  <c r="A18" i="1" s="1"/>
  <c r="A19" i="1" s="1"/>
  <c r="A20" i="1" s="1"/>
  <c r="A21" i="1" s="1"/>
  <c r="I60" i="58"/>
  <c r="I59" i="58"/>
  <c r="I58" i="58"/>
  <c r="I57" i="58"/>
  <c r="I56" i="58"/>
  <c r="I55" i="58"/>
  <c r="I54" i="58"/>
  <c r="I53" i="58"/>
  <c r="I52" i="58"/>
  <c r="I51" i="58"/>
  <c r="I50" i="58"/>
  <c r="I49" i="58"/>
  <c r="I48" i="58"/>
  <c r="I47" i="58"/>
  <c r="I46" i="58"/>
  <c r="I45" i="58"/>
  <c r="I44" i="58"/>
  <c r="I43" i="58"/>
  <c r="I42" i="58"/>
  <c r="I41" i="58"/>
  <c r="I40" i="58"/>
  <c r="I39" i="58"/>
  <c r="I38" i="58"/>
  <c r="I37" i="58"/>
  <c r="I36" i="58"/>
  <c r="I35" i="58"/>
  <c r="I34" i="58"/>
  <c r="I33" i="58"/>
  <c r="I32" i="58"/>
  <c r="A23" i="59"/>
  <c r="A24" i="59" s="1"/>
  <c r="D54" i="4"/>
  <c r="F60" i="58"/>
  <c r="F59" i="58"/>
  <c r="F58" i="58"/>
  <c r="F57" i="58"/>
  <c r="F56" i="58"/>
  <c r="F55" i="58"/>
  <c r="F54" i="58"/>
  <c r="F53" i="58"/>
  <c r="F52" i="58"/>
  <c r="F51" i="58"/>
  <c r="F50" i="58"/>
  <c r="F49" i="58"/>
  <c r="F48" i="58"/>
  <c r="F47" i="58"/>
  <c r="F46" i="58"/>
  <c r="F45" i="58"/>
  <c r="F44" i="58"/>
  <c r="F43" i="58"/>
  <c r="F42" i="58"/>
  <c r="F41" i="58"/>
  <c r="F22" i="58"/>
  <c r="F21" i="58"/>
  <c r="H21" i="58" s="1"/>
  <c r="F20" i="58"/>
  <c r="F19" i="58"/>
  <c r="F18" i="58"/>
  <c r="F17" i="58"/>
  <c r="F16" i="58"/>
  <c r="A15" i="58"/>
  <c r="A16" i="58" s="1"/>
  <c r="A17" i="58" s="1"/>
  <c r="A18" i="58" s="1"/>
  <c r="A19" i="58" s="1"/>
  <c r="A20" i="58" s="1"/>
  <c r="A21" i="58" s="1"/>
  <c r="A22" i="58" s="1"/>
  <c r="A23" i="58" s="1"/>
  <c r="C49" i="4" s="1"/>
  <c r="A20" i="56"/>
  <c r="A21" i="56" s="1"/>
  <c r="A22" i="56" s="1"/>
  <c r="F22" i="55"/>
  <c r="F21" i="55"/>
  <c r="F20" i="55"/>
  <c r="F19" i="55"/>
  <c r="F18" i="55"/>
  <c r="F17" i="55"/>
  <c r="F16" i="55"/>
  <c r="F15" i="55"/>
  <c r="F14" i="55"/>
  <c r="A22" i="1" l="1"/>
  <c r="A23" i="1" s="1"/>
  <c r="A24" i="1" s="1"/>
  <c r="A25" i="1" s="1"/>
  <c r="A26" i="1" s="1"/>
  <c r="A27" i="1" s="1"/>
  <c r="A28" i="1" s="1"/>
  <c r="A29" i="1" s="1"/>
  <c r="A30" i="1" s="1"/>
  <c r="A31" i="1" s="1"/>
  <c r="A32" i="1" s="1"/>
  <c r="A34" i="1" s="1"/>
  <c r="A35" i="1" s="1"/>
  <c r="F61" i="58"/>
  <c r="F24" i="55"/>
  <c r="A23" i="56"/>
  <c r="D23" i="56"/>
  <c r="A25" i="59"/>
  <c r="A27" i="59" s="1"/>
  <c r="A28" i="59" s="1"/>
  <c r="A30" i="59" s="1"/>
  <c r="A31" i="59" s="1"/>
  <c r="A32" i="59" s="1"/>
  <c r="A33" i="59" s="1"/>
  <c r="A34" i="59" s="1"/>
  <c r="A35" i="59" s="1"/>
  <c r="A36" i="59" s="1"/>
  <c r="A37" i="59" s="1"/>
  <c r="A38" i="59" s="1"/>
  <c r="A39" i="59" s="1"/>
  <c r="A40" i="59" s="1"/>
  <c r="A42" i="59" s="1"/>
  <c r="A43" i="59" s="1"/>
  <c r="A44" i="59" s="1"/>
  <c r="A45" i="59" s="1"/>
  <c r="A46" i="59" s="1"/>
  <c r="A47" i="59" s="1"/>
  <c r="A48" i="59" s="1"/>
  <c r="A49" i="59" s="1"/>
  <c r="A50" i="59" s="1"/>
  <c r="A51" i="59" s="1"/>
  <c r="A52" i="59" s="1"/>
  <c r="A53" i="59" s="1"/>
  <c r="A54" i="59" s="1"/>
  <c r="A55" i="59" s="1"/>
  <c r="A56" i="59" s="1"/>
  <c r="A57" i="59" s="1"/>
  <c r="A58" i="59" s="1"/>
  <c r="A59" i="59" s="1"/>
  <c r="A60" i="59" s="1"/>
  <c r="A62" i="59" s="1"/>
  <c r="A63" i="59" s="1"/>
  <c r="H17" i="58"/>
  <c r="H22" i="58"/>
  <c r="H20" i="58"/>
  <c r="G23" i="58"/>
  <c r="I21" i="55" s="1"/>
  <c r="H16" i="58"/>
  <c r="H19" i="58"/>
  <c r="H18" i="58"/>
  <c r="A25" i="56" l="1"/>
  <c r="A26" i="56" s="1"/>
  <c r="A31" i="58"/>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A53" i="58" s="1"/>
  <c r="A54" i="58" s="1"/>
  <c r="A55" i="58" s="1"/>
  <c r="A56" i="58" s="1"/>
  <c r="A57" i="58" s="1"/>
  <c r="A58" i="58" s="1"/>
  <c r="A59" i="58" s="1"/>
  <c r="A60" i="58" s="1"/>
  <c r="A61" i="58" s="1"/>
  <c r="C50" i="4" s="1"/>
  <c r="I14" i="55"/>
  <c r="I15" i="55"/>
  <c r="I19" i="55"/>
  <c r="I22" i="55"/>
  <c r="I20" i="55"/>
  <c r="I18" i="55"/>
  <c r="I17" i="55"/>
  <c r="I16" i="55"/>
  <c r="H23" i="58"/>
  <c r="I49" i="4" s="1"/>
  <c r="I24" i="55" l="1"/>
  <c r="A63" i="58"/>
  <c r="A64" i="58" s="1"/>
  <c r="A27" i="56"/>
  <c r="A28" i="56" s="1"/>
  <c r="A65" i="58" l="1"/>
  <c r="C51" i="4" s="1"/>
  <c r="A30" i="56"/>
  <c r="A32" i="56" s="1"/>
  <c r="D28" i="56"/>
  <c r="A13" i="53"/>
  <c r="A14" i="53" s="1"/>
  <c r="A15" i="53" s="1"/>
  <c r="A16" i="53" s="1"/>
  <c r="A17" i="53" s="1"/>
  <c r="A18" i="53" s="1"/>
  <c r="A19" i="53" s="1"/>
  <c r="A20" i="53" s="1"/>
  <c r="A21" i="53" s="1"/>
  <c r="A22" i="53" s="1"/>
  <c r="D32" i="56" l="1"/>
  <c r="A34" i="56"/>
  <c r="D34" i="56"/>
  <c r="A36" i="56" l="1"/>
  <c r="A38" i="56" s="1"/>
  <c r="A41" i="56" s="1"/>
  <c r="D38" i="56"/>
  <c r="A42" i="56" l="1"/>
  <c r="A44" i="56" s="1"/>
  <c r="D44" i="56" l="1"/>
  <c r="E19" i="2"/>
  <c r="B4" i="54" l="1"/>
  <c r="B7" i="53"/>
  <c r="B4" i="53"/>
  <c r="A13" i="54"/>
  <c r="A14" i="54" s="1"/>
  <c r="A15" i="54" s="1"/>
  <c r="A16" i="54" s="1"/>
  <c r="A17" i="54" s="1"/>
  <c r="A18" i="54" s="1"/>
  <c r="A19" i="54" s="1"/>
  <c r="A20" i="54" s="1"/>
  <c r="A21" i="54" s="1"/>
  <c r="A22" i="54" s="1"/>
  <c r="A23" i="54" s="1"/>
  <c r="E23" i="58"/>
  <c r="F14" i="58" l="1"/>
  <c r="F23" i="58" s="1"/>
  <c r="C32" i="55"/>
  <c r="G22" i="7" l="1"/>
  <c r="G25" i="7"/>
  <c r="A18" i="2" l="1"/>
  <c r="A19" i="2" s="1"/>
  <c r="A20" i="2" s="1"/>
  <c r="A21" i="2" s="1"/>
  <c r="B7" i="49"/>
  <c r="B4" i="49"/>
  <c r="D77" i="49"/>
  <c r="D78" i="49" s="1"/>
  <c r="D79" i="49" s="1"/>
  <c r="D69" i="49"/>
  <c r="D70" i="49" s="1"/>
  <c r="D71" i="49" s="1"/>
  <c r="A68" i="49"/>
  <c r="A69" i="49" s="1"/>
  <c r="A70" i="49" s="1"/>
  <c r="A71" i="49" s="1"/>
  <c r="A72" i="49" s="1"/>
  <c r="A73" i="49" s="1"/>
  <c r="A74" i="49" s="1"/>
  <c r="A75" i="49" s="1"/>
  <c r="A76" i="49" s="1"/>
  <c r="A77" i="49" s="1"/>
  <c r="A78" i="49" s="1"/>
  <c r="A79" i="49" s="1"/>
  <c r="A80" i="49" s="1"/>
  <c r="A82" i="49" s="1"/>
  <c r="A83" i="49" s="1"/>
  <c r="A85" i="49" s="1"/>
  <c r="A86" i="49" s="1"/>
  <c r="A87" i="49" s="1"/>
  <c r="A88" i="49" s="1"/>
  <c r="L54" i="49"/>
  <c r="L51" i="49"/>
  <c r="L48" i="49"/>
  <c r="L45" i="49"/>
  <c r="L42" i="49"/>
  <c r="L29" i="49"/>
  <c r="L26" i="49"/>
  <c r="L23" i="49"/>
  <c r="L57" i="49" l="1"/>
  <c r="H25" i="2" s="1"/>
  <c r="A23" i="2"/>
  <c r="A24" i="2" s="1"/>
  <c r="A25" i="2" s="1"/>
  <c r="A26" i="2" s="1"/>
  <c r="F68" i="49"/>
  <c r="H68" i="49" s="1"/>
  <c r="F69" i="49"/>
  <c r="F71" i="49"/>
  <c r="F70" i="49"/>
  <c r="D26" i="2" l="1"/>
  <c r="I68" i="49"/>
  <c r="E69" i="49" s="1"/>
  <c r="H69" i="49" l="1"/>
  <c r="I69" i="49" l="1"/>
  <c r="E70" i="49" s="1"/>
  <c r="H70" i="49"/>
  <c r="I70" i="49" s="1"/>
  <c r="E71" i="49" s="1"/>
  <c r="H71" i="49" l="1"/>
  <c r="I71" i="49" s="1"/>
  <c r="E72" i="49" s="1"/>
  <c r="H72" i="49" l="1"/>
  <c r="I72" i="49" s="1"/>
  <c r="E73" i="49" s="1"/>
  <c r="H73" i="49" l="1"/>
  <c r="I73" i="49" s="1"/>
  <c r="E74" i="49" s="1"/>
  <c r="H74" i="49" l="1"/>
  <c r="I74" i="49" s="1"/>
  <c r="E75" i="49" s="1"/>
  <c r="H75" i="49" l="1"/>
  <c r="I75" i="49" s="1"/>
  <c r="E76" i="49" l="1"/>
  <c r="F76" i="49"/>
  <c r="F77" i="49" s="1"/>
  <c r="F78" i="49" s="1"/>
  <c r="F79" i="49" s="1"/>
  <c r="H76" i="49" l="1"/>
  <c r="I76" i="49" s="1"/>
  <c r="E77" i="49" s="1"/>
  <c r="H77" i="49" l="1"/>
  <c r="I77" i="49" s="1"/>
  <c r="E78" i="49" s="1"/>
  <c r="H78" i="49" l="1"/>
  <c r="I78" i="49" s="1"/>
  <c r="E79" i="49" s="1"/>
  <c r="H79" i="49" l="1"/>
  <c r="L32" i="49" l="1"/>
  <c r="H24" i="2" s="1"/>
  <c r="H80" i="49"/>
  <c r="I79" i="49"/>
  <c r="E35" i="3" l="1"/>
  <c r="E60" i="3" s="1"/>
  <c r="D35" i="3"/>
  <c r="D60" i="3" s="1"/>
  <c r="L45" i="45" l="1"/>
  <c r="I35" i="3" s="1"/>
  <c r="I60" i="3" s="1"/>
  <c r="E43" i="41" l="1"/>
  <c r="E46" i="41"/>
  <c r="B8" i="39"/>
  <c r="B5" i="47"/>
  <c r="B8" i="47"/>
  <c r="B5" i="46"/>
  <c r="B8" i="46"/>
  <c r="B8" i="45"/>
  <c r="B5" i="45"/>
  <c r="B8" i="43"/>
  <c r="B5" i="43"/>
  <c r="B8" i="42"/>
  <c r="B5" i="42"/>
  <c r="B7" i="41"/>
  <c r="B4" i="41"/>
  <c r="B5" i="39"/>
  <c r="E51" i="41" l="1"/>
  <c r="H17" i="2"/>
  <c r="E69" i="3"/>
  <c r="D69" i="3"/>
  <c r="F69" i="3" s="1"/>
  <c r="E68" i="3"/>
  <c r="D68" i="3"/>
  <c r="F68" i="3" s="1"/>
  <c r="E67" i="3"/>
  <c r="D67" i="3"/>
  <c r="F67" i="3" s="1"/>
  <c r="E65" i="3"/>
  <c r="D65" i="3"/>
  <c r="F65" i="3" l="1"/>
  <c r="B5" i="48"/>
  <c r="B8" i="48"/>
  <c r="A13" i="48"/>
  <c r="A14" i="48" s="1"/>
  <c r="A15" i="48" s="1"/>
  <c r="A16" i="48" s="1"/>
  <c r="A17" i="48" s="1"/>
  <c r="A18" i="48" s="1"/>
  <c r="A19" i="48" s="1"/>
  <c r="A20" i="48" s="1"/>
  <c r="A21" i="48" s="1"/>
  <c r="A22" i="48" s="1"/>
  <c r="A23" i="48" s="1"/>
  <c r="I40" i="4"/>
  <c r="F39" i="4"/>
  <c r="F40" i="4"/>
  <c r="A13" i="47"/>
  <c r="A14" i="47" s="1"/>
  <c r="A15" i="47" s="1"/>
  <c r="A16" i="47" s="1"/>
  <c r="A17" i="47" s="1"/>
  <c r="A18" i="47" s="1"/>
  <c r="A19" i="47" s="1"/>
  <c r="A20" i="47" s="1"/>
  <c r="A21" i="47" s="1"/>
  <c r="L25" i="46"/>
  <c r="L24" i="46"/>
  <c r="L23" i="46"/>
  <c r="L22" i="46"/>
  <c r="L21" i="46"/>
  <c r="L20" i="46"/>
  <c r="L19" i="46"/>
  <c r="L18" i="46"/>
  <c r="L17" i="46"/>
  <c r="L16" i="46"/>
  <c r="L15" i="46"/>
  <c r="L14" i="46"/>
  <c r="L13" i="46"/>
  <c r="A13" i="46"/>
  <c r="A14" i="46" s="1"/>
  <c r="A15" i="46" s="1"/>
  <c r="A16" i="46" s="1"/>
  <c r="A17" i="46" s="1"/>
  <c r="A18" i="46" s="1"/>
  <c r="A19" i="46" s="1"/>
  <c r="A20" i="46" s="1"/>
  <c r="A21" i="46" s="1"/>
  <c r="A22" i="46" s="1"/>
  <c r="A23" i="46" s="1"/>
  <c r="A24" i="46" s="1"/>
  <c r="A25" i="46" s="1"/>
  <c r="A15" i="43"/>
  <c r="A16" i="43" s="1"/>
  <c r="A17" i="43" s="1"/>
  <c r="A18" i="43" s="1"/>
  <c r="A19" i="43" s="1"/>
  <c r="A20" i="43" s="1"/>
  <c r="A21" i="43" s="1"/>
  <c r="A22" i="43" s="1"/>
  <c r="A23" i="43" s="1"/>
  <c r="A24" i="43" s="1"/>
  <c r="A25" i="43" s="1"/>
  <c r="A29" i="43" s="1"/>
  <c r="A30" i="43" s="1"/>
  <c r="A31" i="43" s="1"/>
  <c r="A32" i="43" s="1"/>
  <c r="A33" i="43" s="1"/>
  <c r="A34" i="43" s="1"/>
  <c r="M35" i="42"/>
  <c r="K35" i="42"/>
  <c r="I35" i="42"/>
  <c r="L35" i="42" s="1"/>
  <c r="M33" i="42"/>
  <c r="K33" i="42"/>
  <c r="I33" i="42"/>
  <c r="L33" i="42"/>
  <c r="M31" i="42"/>
  <c r="K31" i="42"/>
  <c r="I31" i="42"/>
  <c r="J29" i="42"/>
  <c r="H29" i="42"/>
  <c r="G29" i="42"/>
  <c r="G37" i="42" s="1"/>
  <c r="M28" i="42"/>
  <c r="K28" i="42"/>
  <c r="F28" i="42"/>
  <c r="M27" i="42"/>
  <c r="K27" i="42"/>
  <c r="I27" i="42"/>
  <c r="F27" i="42"/>
  <c r="M26" i="42"/>
  <c r="K26" i="42"/>
  <c r="I26" i="42"/>
  <c r="F26" i="42"/>
  <c r="M25" i="42"/>
  <c r="K25" i="42"/>
  <c r="I25" i="42"/>
  <c r="F25" i="42"/>
  <c r="M24" i="42"/>
  <c r="K24" i="42"/>
  <c r="I24" i="42"/>
  <c r="F24" i="42"/>
  <c r="M23" i="42"/>
  <c r="K23" i="42"/>
  <c r="I23" i="42"/>
  <c r="F23" i="42"/>
  <c r="M22" i="42"/>
  <c r="K22" i="42"/>
  <c r="I22" i="42"/>
  <c r="F22" i="42"/>
  <c r="K21" i="42"/>
  <c r="I21" i="42"/>
  <c r="L20" i="42"/>
  <c r="K20" i="42"/>
  <c r="L19" i="42"/>
  <c r="K19" i="42"/>
  <c r="L18" i="42"/>
  <c r="K18" i="42"/>
  <c r="K17" i="42"/>
  <c r="I17" i="42"/>
  <c r="M16" i="42"/>
  <c r="K16" i="42"/>
  <c r="I16" i="42"/>
  <c r="F16" i="42"/>
  <c r="A14" i="42"/>
  <c r="E18" i="2"/>
  <c r="A13" i="4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D18" i="7"/>
  <c r="D17" i="7"/>
  <c r="G17" i="7" s="1"/>
  <c r="E19" i="39"/>
  <c r="D19" i="39"/>
  <c r="D15" i="7"/>
  <c r="G15" i="7" s="1"/>
  <c r="D12" i="7"/>
  <c r="A13" i="39"/>
  <c r="A14" i="39" s="1"/>
  <c r="A15" i="39" s="1"/>
  <c r="A24" i="47" l="1"/>
  <c r="A25" i="47" s="1"/>
  <c r="A22" i="47"/>
  <c r="A23" i="47" s="1"/>
  <c r="I29" i="42"/>
  <c r="I37" i="42" s="1"/>
  <c r="L23" i="42"/>
  <c r="E66" i="3"/>
  <c r="H37" i="42"/>
  <c r="K37" i="42" s="1"/>
  <c r="K29" i="42"/>
  <c r="L21" i="42"/>
  <c r="M29" i="42"/>
  <c r="J37" i="42"/>
  <c r="M37" i="42" s="1"/>
  <c r="C19" i="39"/>
  <c r="F16" i="39"/>
  <c r="F19" i="39" s="1"/>
  <c r="D20" i="39" s="1"/>
  <c r="L27" i="46"/>
  <c r="I70" i="3" s="1"/>
  <c r="G12" i="7"/>
  <c r="F29" i="42"/>
  <c r="L24" i="42"/>
  <c r="C40" i="4"/>
  <c r="C39" i="4"/>
  <c r="L17" i="42"/>
  <c r="L28" i="42"/>
  <c r="L16" i="42"/>
  <c r="D14" i="7"/>
  <c r="G14" i="7" s="1"/>
  <c r="A41" i="41"/>
  <c r="A42" i="41" s="1"/>
  <c r="A43" i="41" s="1"/>
  <c r="A45" i="41" s="1"/>
  <c r="A46" i="41" s="1"/>
  <c r="D17" i="2" s="1"/>
  <c r="E17" i="2"/>
  <c r="E21" i="2" s="1"/>
  <c r="L31" i="42"/>
  <c r="A15" i="42"/>
  <c r="A16" i="42" s="1"/>
  <c r="A17" i="42" s="1"/>
  <c r="A18" i="42" s="1"/>
  <c r="A19" i="42" s="1"/>
  <c r="A20" i="42" s="1"/>
  <c r="A21" i="42" s="1"/>
  <c r="A22" i="42" s="1"/>
  <c r="A23" i="42" s="1"/>
  <c r="A24" i="42" s="1"/>
  <c r="A25" i="42" s="1"/>
  <c r="A26" i="42" s="1"/>
  <c r="A27" i="42" s="1"/>
  <c r="A28" i="42" s="1"/>
  <c r="A29" i="42" s="1"/>
  <c r="L25" i="42"/>
  <c r="L27" i="42"/>
  <c r="F38" i="4"/>
  <c r="L22" i="42"/>
  <c r="A16" i="39"/>
  <c r="C15" i="7"/>
  <c r="L26" i="42"/>
  <c r="C12" i="7"/>
  <c r="D66" i="3"/>
  <c r="A27" i="46" l="1"/>
  <c r="A30" i="46" s="1"/>
  <c r="A31" i="46" s="1"/>
  <c r="A32" i="46" s="1"/>
  <c r="A33" i="46" s="1"/>
  <c r="A34" i="46" s="1"/>
  <c r="A35" i="46" s="1"/>
  <c r="A36" i="46" s="1"/>
  <c r="A37" i="46" s="1"/>
  <c r="F66" i="3"/>
  <c r="E20" i="39"/>
  <c r="E41" i="56"/>
  <c r="L29" i="42"/>
  <c r="F37" i="42"/>
  <c r="L37" i="42" s="1"/>
  <c r="C20" i="39"/>
  <c r="A47" i="41"/>
  <c r="D18" i="2" s="1"/>
  <c r="D16" i="7"/>
  <c r="D19" i="7" s="1"/>
  <c r="E42" i="56" s="1"/>
  <c r="H42" i="56" s="1"/>
  <c r="A17" i="39"/>
  <c r="C16" i="7"/>
  <c r="A30" i="42"/>
  <c r="A31" i="42" s="1"/>
  <c r="F20" i="39" l="1"/>
  <c r="A48" i="41"/>
  <c r="D19" i="2" s="1"/>
  <c r="A49" i="41"/>
  <c r="A50" i="41" s="1"/>
  <c r="A32" i="42"/>
  <c r="A33" i="42" s="1"/>
  <c r="A18" i="39"/>
  <c r="C17" i="7"/>
  <c r="D20" i="2" l="1"/>
  <c r="A51" i="41"/>
  <c r="A52" i="41" s="1"/>
  <c r="A53" i="41" s="1"/>
  <c r="A54" i="41" s="1"/>
  <c r="A55" i="41" s="1"/>
  <c r="A56" i="41" s="1"/>
  <c r="A19" i="39"/>
  <c r="A20" i="39" s="1"/>
  <c r="A22" i="39" s="1"/>
  <c r="A23" i="39" s="1"/>
  <c r="A24" i="39" s="1"/>
  <c r="A25" i="39" s="1"/>
  <c r="A26" i="39" s="1"/>
  <c r="C18" i="7"/>
  <c r="A34" i="42"/>
  <c r="A35" i="42" s="1"/>
  <c r="A36" i="42" l="1"/>
  <c r="A37" i="42" s="1"/>
  <c r="A39" i="42" s="1"/>
  <c r="A40" i="42" s="1"/>
  <c r="A41" i="42" s="1"/>
  <c r="A42" i="42" s="1"/>
  <c r="A28" i="39"/>
  <c r="A29" i="39" s="1"/>
  <c r="C14" i="7"/>
  <c r="C13" i="7"/>
  <c r="H39" i="4" l="1"/>
  <c r="I39" i="4" l="1"/>
  <c r="H1" i="39" l="1"/>
  <c r="P1" i="46" s="1"/>
  <c r="I1" i="47" s="1"/>
  <c r="P1" i="48" s="1"/>
  <c r="G20" i="2" l="1"/>
  <c r="H20" i="2" s="1"/>
  <c r="G19" i="2"/>
  <c r="H19" i="2" s="1"/>
  <c r="H34" i="4" l="1"/>
  <c r="H33" i="4"/>
  <c r="H81" i="3"/>
  <c r="I81" i="3" s="1"/>
  <c r="H80" i="3"/>
  <c r="I80" i="3" s="1"/>
  <c r="H79" i="3"/>
  <c r="I79" i="3" s="1"/>
  <c r="H47" i="3"/>
  <c r="H43" i="3"/>
  <c r="I43" i="3" s="1"/>
  <c r="H42" i="3"/>
  <c r="I42" i="3" s="1"/>
  <c r="H41" i="3"/>
  <c r="I41" i="3" s="1"/>
  <c r="H40" i="3"/>
  <c r="I40" i="3" s="1"/>
  <c r="H67" i="3"/>
  <c r="I67" i="3" s="1"/>
  <c r="H65" i="3"/>
  <c r="I65" i="3" s="1"/>
  <c r="H30" i="3"/>
  <c r="I30" i="3" s="1"/>
  <c r="H29" i="3"/>
  <c r="I29" i="3" s="1"/>
  <c r="H28" i="3"/>
  <c r="I28" i="3" s="1"/>
  <c r="H27" i="3"/>
  <c r="I27" i="3" s="1"/>
  <c r="H18" i="3"/>
  <c r="H17" i="3"/>
  <c r="I17" i="3" s="1"/>
  <c r="H16" i="3"/>
  <c r="I16" i="3" s="1"/>
  <c r="H15" i="3"/>
  <c r="I44" i="3" l="1"/>
  <c r="I31" i="3"/>
  <c r="C12" i="25"/>
  <c r="F12" i="25" s="1"/>
  <c r="C13" i="25"/>
  <c r="F13" i="25" s="1"/>
  <c r="C14" i="25"/>
  <c r="F14" i="25" s="1"/>
  <c r="C15" i="25"/>
  <c r="F15" i="25" s="1"/>
  <c r="C16" i="25"/>
  <c r="F16" i="25" s="1"/>
  <c r="C17" i="25"/>
  <c r="F17" i="25" s="1"/>
  <c r="C18" i="25"/>
  <c r="F18" i="25" s="1"/>
  <c r="C19" i="25"/>
  <c r="F19" i="25" s="1"/>
  <c r="C20" i="25"/>
  <c r="F20" i="25" s="1"/>
  <c r="C21" i="25"/>
  <c r="F21" i="25" s="1"/>
  <c r="C22" i="25"/>
  <c r="F22" i="25" s="1"/>
  <c r="C23" i="25"/>
  <c r="F23" i="25" s="1"/>
  <c r="F26" i="25" l="1"/>
  <c r="F24" i="25"/>
  <c r="B5" i="34"/>
  <c r="B8" i="34"/>
  <c r="F15" i="34"/>
  <c r="A16" i="34"/>
  <c r="D14" i="56" s="1"/>
  <c r="F16" i="34"/>
  <c r="E14" i="56" s="1"/>
  <c r="F17" i="34"/>
  <c r="F18" i="34"/>
  <c r="F19" i="34"/>
  <c r="F20" i="34"/>
  <c r="D21" i="34"/>
  <c r="D24" i="34" s="1"/>
  <c r="E21" i="34"/>
  <c r="E24" i="34" s="1"/>
  <c r="F22" i="34"/>
  <c r="F23" i="34"/>
  <c r="F26" i="34"/>
  <c r="F27" i="34"/>
  <c r="F28" i="34"/>
  <c r="F29" i="34"/>
  <c r="F30" i="34"/>
  <c r="F31" i="34"/>
  <c r="D32" i="34"/>
  <c r="E32" i="34"/>
  <c r="F34" i="34"/>
  <c r="F35" i="34"/>
  <c r="D36" i="34"/>
  <c r="E36" i="34"/>
  <c r="F37" i="34"/>
  <c r="F38" i="34"/>
  <c r="D39" i="34"/>
  <c r="E39" i="34"/>
  <c r="E47" i="34" s="1"/>
  <c r="F42" i="34"/>
  <c r="F43" i="34"/>
  <c r="F44" i="34"/>
  <c r="F45" i="34"/>
  <c r="F32" i="34" l="1"/>
  <c r="A17" i="34"/>
  <c r="A18" i="34" s="1"/>
  <c r="A19" i="34" s="1"/>
  <c r="A20" i="34" s="1"/>
  <c r="A21" i="34" s="1"/>
  <c r="A22" i="34" s="1"/>
  <c r="C19" i="4" s="1"/>
  <c r="F36" i="34"/>
  <c r="E33" i="34"/>
  <c r="E40" i="34" s="1"/>
  <c r="F39" i="34"/>
  <c r="F24" i="34"/>
  <c r="D33" i="34"/>
  <c r="D46" i="34" s="1"/>
  <c r="D47" i="34"/>
  <c r="F47" i="34" s="1"/>
  <c r="F21" i="34"/>
  <c r="A23" i="34" l="1"/>
  <c r="A24" i="34" s="1"/>
  <c r="A26" i="34" s="1"/>
  <c r="A27" i="34" s="1"/>
  <c r="A28" i="34" s="1"/>
  <c r="A29" i="34" s="1"/>
  <c r="A30" i="34" s="1"/>
  <c r="A31" i="34" s="1"/>
  <c r="A32" i="34" s="1"/>
  <c r="A33" i="34" s="1"/>
  <c r="A34" i="34" s="1"/>
  <c r="A35" i="34" s="1"/>
  <c r="A36" i="34" s="1"/>
  <c r="A37" i="34" s="1"/>
  <c r="A38" i="34" s="1"/>
  <c r="A39" i="34" s="1"/>
  <c r="A40" i="34" s="1"/>
  <c r="A42" i="34" s="1"/>
  <c r="A43" i="34" s="1"/>
  <c r="A44" i="34" s="1"/>
  <c r="A45" i="34" s="1"/>
  <c r="E46" i="34"/>
  <c r="E48" i="34" s="1"/>
  <c r="D40" i="34"/>
  <c r="F40" i="34" s="1"/>
  <c r="F33" i="34"/>
  <c r="D48" i="34"/>
  <c r="F48" i="34" l="1"/>
  <c r="F46" i="34"/>
  <c r="B8" i="2"/>
  <c r="F138" i="8" l="1"/>
  <c r="F137" i="8"/>
  <c r="F50" i="3" s="1"/>
  <c r="F55" i="3" s="1"/>
  <c r="F136" i="8"/>
  <c r="F49" i="3" s="1"/>
  <c r="F61" i="3" s="1"/>
  <c r="F135" i="8"/>
  <c r="F48" i="3" s="1"/>
  <c r="F59" i="3" s="1"/>
  <c r="F134" i="8"/>
  <c r="F118" i="8"/>
  <c r="F105" i="8"/>
  <c r="F24" i="3" s="1"/>
  <c r="F103" i="8"/>
  <c r="F22" i="3" s="1"/>
  <c r="F102" i="8"/>
  <c r="F99" i="8"/>
  <c r="F18" i="3" s="1"/>
  <c r="I18" i="3" s="1"/>
  <c r="F96" i="8"/>
  <c r="F47" i="3" l="1"/>
  <c r="F139" i="8"/>
  <c r="F100" i="8"/>
  <c r="F15" i="3"/>
  <c r="F21" i="3"/>
  <c r="F25" i="3" s="1"/>
  <c r="F57" i="3" s="1"/>
  <c r="F106" i="8"/>
  <c r="D22" i="7"/>
  <c r="D26" i="25"/>
  <c r="F19" i="3" l="1"/>
  <c r="I15" i="3"/>
  <c r="I19" i="3" s="1"/>
  <c r="I56" i="3" s="1"/>
  <c r="F116" i="8"/>
  <c r="F126" i="8" s="1"/>
  <c r="F52" i="3"/>
  <c r="F58" i="3"/>
  <c r="I47" i="3"/>
  <c r="I58" i="3" s="1"/>
  <c r="F18" i="7"/>
  <c r="G18" i="7" s="1"/>
  <c r="F56" i="3" l="1"/>
  <c r="F62" i="3" s="1"/>
  <c r="F36" i="3"/>
  <c r="F34" i="4"/>
  <c r="F33" i="4"/>
  <c r="F32" i="4"/>
  <c r="E19" i="56" s="1"/>
  <c r="C14" i="4"/>
  <c r="B54" i="4" l="1"/>
  <c r="D149" i="8" l="1"/>
  <c r="D139" i="8"/>
  <c r="D112" i="8"/>
  <c r="D116" i="8" s="1"/>
  <c r="F54" i="8"/>
  <c r="F64" i="8" s="1"/>
  <c r="F65" i="8" s="1"/>
  <c r="F74" i="8" s="1"/>
  <c r="B8" i="8"/>
  <c r="B5" i="8"/>
  <c r="A13" i="7"/>
  <c r="B8" i="7"/>
  <c r="B5" i="7"/>
  <c r="C24" i="25"/>
  <c r="C26" i="25" s="1"/>
  <c r="A13" i="25"/>
  <c r="A14" i="25" s="1"/>
  <c r="A15" i="25" s="1"/>
  <c r="A16" i="25" s="1"/>
  <c r="A17" i="25" s="1"/>
  <c r="A18" i="25" s="1"/>
  <c r="A19" i="25" s="1"/>
  <c r="A20" i="25" s="1"/>
  <c r="A21" i="25" s="1"/>
  <c r="A22" i="25" s="1"/>
  <c r="A23" i="25" s="1"/>
  <c r="A24" i="25" s="1"/>
  <c r="A26" i="25" s="1"/>
  <c r="B5" i="25"/>
  <c r="A14" i="5"/>
  <c r="A15" i="5" s="1"/>
  <c r="A16" i="5" s="1"/>
  <c r="A17" i="5" s="1"/>
  <c r="B5" i="5"/>
  <c r="F41" i="4"/>
  <c r="A14" i="4"/>
  <c r="A15" i="4" s="1"/>
  <c r="B5" i="4"/>
  <c r="E84" i="3"/>
  <c r="D84" i="3"/>
  <c r="B84" i="3"/>
  <c r="E83" i="3"/>
  <c r="D83" i="3"/>
  <c r="B83" i="3"/>
  <c r="E82" i="3"/>
  <c r="D82" i="3"/>
  <c r="B82" i="3"/>
  <c r="E81" i="3"/>
  <c r="D81" i="3"/>
  <c r="B81" i="3"/>
  <c r="E80" i="3"/>
  <c r="D80" i="3"/>
  <c r="B80" i="3"/>
  <c r="E79" i="3"/>
  <c r="D79" i="3"/>
  <c r="B79" i="3"/>
  <c r="E77" i="3"/>
  <c r="D77" i="3"/>
  <c r="E50" i="3"/>
  <c r="E49" i="3"/>
  <c r="E61" i="3" s="1"/>
  <c r="E48" i="3"/>
  <c r="E47" i="3"/>
  <c r="E46" i="3"/>
  <c r="E43" i="3"/>
  <c r="D43" i="3"/>
  <c r="E42" i="3"/>
  <c r="D42" i="3"/>
  <c r="E41" i="3"/>
  <c r="D41" i="3"/>
  <c r="E40" i="3"/>
  <c r="D40" i="3"/>
  <c r="E70" i="3"/>
  <c r="D70" i="3"/>
  <c r="E34" i="3"/>
  <c r="D34" i="3"/>
  <c r="D59" i="3" s="1"/>
  <c r="E33" i="3"/>
  <c r="D33" i="3"/>
  <c r="D57" i="3" s="1"/>
  <c r="B33" i="3"/>
  <c r="E30" i="3"/>
  <c r="D30" i="3"/>
  <c r="E29" i="3"/>
  <c r="D29" i="3"/>
  <c r="E28" i="3"/>
  <c r="D28" i="3"/>
  <c r="E27" i="3"/>
  <c r="D27" i="3"/>
  <c r="E24" i="3"/>
  <c r="E23" i="3"/>
  <c r="E22" i="3"/>
  <c r="E21" i="3"/>
  <c r="E18" i="3"/>
  <c r="E17" i="3"/>
  <c r="E16" i="3"/>
  <c r="E15" i="3"/>
  <c r="E13" i="3"/>
  <c r="A13" i="3"/>
  <c r="B5" i="3"/>
  <c r="B5" i="2"/>
  <c r="D44" i="3" l="1"/>
  <c r="A14" i="7"/>
  <c r="A19" i="5"/>
  <c r="A20" i="5" s="1"/>
  <c r="A22" i="5" s="1"/>
  <c r="A23" i="5" s="1"/>
  <c r="A24" i="5" s="1"/>
  <c r="A25" i="5" s="1"/>
  <c r="A26" i="5" s="1"/>
  <c r="A27" i="5" s="1"/>
  <c r="A28" i="5" s="1"/>
  <c r="A29" i="5" s="1"/>
  <c r="A30" i="5" s="1"/>
  <c r="A31" i="5" s="1"/>
  <c r="A32" i="5" s="1"/>
  <c r="A33" i="5" s="1"/>
  <c r="A34" i="5" s="1"/>
  <c r="D30" i="56"/>
  <c r="J14" i="5"/>
  <c r="E55" i="3"/>
  <c r="E26" i="56"/>
  <c r="A16" i="4"/>
  <c r="A17" i="4" s="1"/>
  <c r="A18" i="4" s="1"/>
  <c r="A19" i="4" s="1"/>
  <c r="A20" i="4" s="1"/>
  <c r="A21" i="4" s="1"/>
  <c r="A22" i="4" s="1"/>
  <c r="A23" i="4" s="1"/>
  <c r="A24" i="4" s="1"/>
  <c r="A25" i="4" s="1"/>
  <c r="A26" i="4" s="1"/>
  <c r="A27" i="4" s="1"/>
  <c r="A28" i="4" s="1"/>
  <c r="A29" i="4" s="1"/>
  <c r="A30" i="4" s="1"/>
  <c r="A15" i="3"/>
  <c r="A16" i="3" s="1"/>
  <c r="A17" i="3" s="1"/>
  <c r="A18" i="3" s="1"/>
  <c r="A19" i="3" s="1"/>
  <c r="A21" i="3" s="1"/>
  <c r="A22" i="3" s="1"/>
  <c r="A23" i="3" s="1"/>
  <c r="A24" i="3" s="1"/>
  <c r="A25" i="3" s="1"/>
  <c r="G28" i="7"/>
  <c r="C16" i="4"/>
  <c r="C15" i="4"/>
  <c r="F42" i="4"/>
  <c r="E20" i="56" s="1"/>
  <c r="D25" i="7"/>
  <c r="G26" i="7" s="1"/>
  <c r="C74" i="3"/>
  <c r="E44" i="3"/>
  <c r="E52" i="3" s="1"/>
  <c r="D126" i="8"/>
  <c r="D28" i="7"/>
  <c r="E19" i="3"/>
  <c r="E25" i="3"/>
  <c r="E57" i="3" s="1"/>
  <c r="F35" i="4"/>
  <c r="E31" i="3"/>
  <c r="E58" i="3" s="1"/>
  <c r="D85" i="3"/>
  <c r="I33" i="4"/>
  <c r="D31" i="3"/>
  <c r="D58" i="3" s="1"/>
  <c r="E59" i="3"/>
  <c r="E85" i="3"/>
  <c r="G23" i="7"/>
  <c r="E27" i="56"/>
  <c r="E26" i="25"/>
  <c r="C55" i="4" l="1"/>
  <c r="E28" i="56"/>
  <c r="H24" i="4"/>
  <c r="I24" i="4" s="1"/>
  <c r="H23" i="4"/>
  <c r="I23" i="4" s="1"/>
  <c r="H16" i="4"/>
  <c r="I16" i="4" s="1"/>
  <c r="H21" i="4"/>
  <c r="I21" i="4" s="1"/>
  <c r="E23" i="56"/>
  <c r="H17" i="4"/>
  <c r="I17" i="4" s="1"/>
  <c r="H18" i="4"/>
  <c r="I18" i="4" s="1"/>
  <c r="H26" i="4"/>
  <c r="I26" i="4" s="1"/>
  <c r="H25" i="4"/>
  <c r="I25" i="4" s="1"/>
  <c r="A15" i="7"/>
  <c r="A16" i="7" s="1"/>
  <c r="A17" i="7" s="1"/>
  <c r="A18" i="7" s="1"/>
  <c r="A19" i="7" s="1"/>
  <c r="A20" i="7" s="1"/>
  <c r="A22" i="7" s="1"/>
  <c r="D41" i="56"/>
  <c r="D52" i="3"/>
  <c r="D56" i="3"/>
  <c r="D62" i="3" s="1"/>
  <c r="I15" i="5"/>
  <c r="I17" i="5" s="1"/>
  <c r="D36" i="3"/>
  <c r="D31" i="7"/>
  <c r="E36" i="3"/>
  <c r="C20" i="5"/>
  <c r="A32" i="4"/>
  <c r="H23" i="3"/>
  <c r="I23" i="3" s="1"/>
  <c r="H21" i="3"/>
  <c r="I21" i="3" s="1"/>
  <c r="H82" i="3"/>
  <c r="I82" i="3" s="1"/>
  <c r="H22" i="3"/>
  <c r="I22" i="3" s="1"/>
  <c r="H24" i="3"/>
  <c r="I24" i="3" s="1"/>
  <c r="H83" i="3"/>
  <c r="I83" i="3" s="1"/>
  <c r="A27" i="3"/>
  <c r="A28" i="3" s="1"/>
  <c r="A29" i="3" s="1"/>
  <c r="A30" i="3" s="1"/>
  <c r="A31" i="3" s="1"/>
  <c r="C17" i="4"/>
  <c r="I28" i="4"/>
  <c r="E56" i="3"/>
  <c r="E62" i="3" s="1"/>
  <c r="F44" i="4"/>
  <c r="F73" i="3" s="1"/>
  <c r="F75" i="3" s="1"/>
  <c r="F87" i="3" s="1"/>
  <c r="F88" i="3" s="1"/>
  <c r="I34" i="4"/>
  <c r="G29" i="7"/>
  <c r="G41" i="56" s="1"/>
  <c r="H41" i="56" s="1"/>
  <c r="H44" i="56" s="1"/>
  <c r="I29" i="4"/>
  <c r="A16" i="8" l="1"/>
  <c r="A17" i="8" s="1"/>
  <c r="A18" i="8" s="1"/>
  <c r="A19" i="8" s="1"/>
  <c r="A20" i="8" s="1"/>
  <c r="A21" i="8" s="1"/>
  <c r="A22" i="8" s="1"/>
  <c r="A23" i="8" s="1"/>
  <c r="A24" i="8" s="1"/>
  <c r="A25" i="8" s="1"/>
  <c r="A26" i="8" s="1"/>
  <c r="A27" i="8" s="1"/>
  <c r="A29" i="8" s="1"/>
  <c r="J15" i="5"/>
  <c r="A23" i="7"/>
  <c r="A25" i="7" s="1"/>
  <c r="A26" i="7" s="1"/>
  <c r="A28" i="7" s="1"/>
  <c r="A29" i="7" s="1"/>
  <c r="A31" i="7" s="1"/>
  <c r="D42" i="56"/>
  <c r="I25" i="3"/>
  <c r="H22" i="4"/>
  <c r="F16" i="7"/>
  <c r="G16" i="7" s="1"/>
  <c r="H20" i="4"/>
  <c r="H14" i="4"/>
  <c r="H27" i="4"/>
  <c r="I27" i="4" s="1"/>
  <c r="F13" i="7"/>
  <c r="G13" i="7" s="1"/>
  <c r="A33" i="4"/>
  <c r="A34" i="4" s="1"/>
  <c r="A35" i="4" s="1"/>
  <c r="A37" i="4" s="1"/>
  <c r="A38" i="4" s="1"/>
  <c r="A39" i="4" s="1"/>
  <c r="A40" i="4" s="1"/>
  <c r="D19" i="56"/>
  <c r="H15" i="5"/>
  <c r="G14" i="56"/>
  <c r="H14" i="56" s="1"/>
  <c r="A33" i="3"/>
  <c r="A34" i="3" s="1"/>
  <c r="A35" i="3" s="1"/>
  <c r="A41" i="4"/>
  <c r="A42" i="4" s="1"/>
  <c r="G18" i="2"/>
  <c r="H18" i="2" s="1"/>
  <c r="H21" i="2" s="1"/>
  <c r="H33" i="3"/>
  <c r="I33" i="3" s="1"/>
  <c r="C18" i="4"/>
  <c r="C20" i="4"/>
  <c r="C28" i="7" l="1"/>
  <c r="K15" i="5"/>
  <c r="I57" i="3"/>
  <c r="G19" i="7"/>
  <c r="G20" i="7" s="1"/>
  <c r="G64" i="58" s="1"/>
  <c r="H64" i="58" s="1"/>
  <c r="G21" i="56"/>
  <c r="H21" i="56" s="1"/>
  <c r="G27" i="56"/>
  <c r="H27" i="56" s="1"/>
  <c r="G20" i="56"/>
  <c r="H20" i="56" s="1"/>
  <c r="G26" i="56"/>
  <c r="H26" i="56" s="1"/>
  <c r="G19" i="56"/>
  <c r="H19" i="56" s="1"/>
  <c r="G22" i="56"/>
  <c r="H22" i="56" s="1"/>
  <c r="K14" i="5"/>
  <c r="A44" i="4"/>
  <c r="C73" i="3" s="1"/>
  <c r="D20" i="56"/>
  <c r="H16" i="5"/>
  <c r="K16" i="5" s="1"/>
  <c r="C35" i="55"/>
  <c r="A36" i="3"/>
  <c r="C60" i="3"/>
  <c r="I22" i="4"/>
  <c r="I20" i="4"/>
  <c r="C34" i="55"/>
  <c r="I15" i="4"/>
  <c r="D34" i="7"/>
  <c r="H17" i="5" l="1"/>
  <c r="K17" i="5"/>
  <c r="J22" i="55" s="1"/>
  <c r="H28" i="56"/>
  <c r="H23" i="56"/>
  <c r="H65" i="58"/>
  <c r="J64" i="58"/>
  <c r="J65" i="58" s="1"/>
  <c r="A39" i="3"/>
  <c r="C31" i="7"/>
  <c r="A48" i="4"/>
  <c r="G59" i="58"/>
  <c r="H59" i="58" s="1"/>
  <c r="J59" i="58" s="1"/>
  <c r="G51" i="58"/>
  <c r="H51" i="58" s="1"/>
  <c r="J51" i="58" s="1"/>
  <c r="G43" i="58"/>
  <c r="H43" i="58" s="1"/>
  <c r="J43" i="58" s="1"/>
  <c r="G35" i="58"/>
  <c r="H35" i="58" s="1"/>
  <c r="J35" i="58" s="1"/>
  <c r="G40" i="58"/>
  <c r="H40" i="58" s="1"/>
  <c r="J40" i="58" s="1"/>
  <c r="G55" i="58"/>
  <c r="H55" i="58" s="1"/>
  <c r="J55" i="58" s="1"/>
  <c r="G54" i="58"/>
  <c r="H54" i="58" s="1"/>
  <c r="J54" i="58" s="1"/>
  <c r="G52" i="58"/>
  <c r="H52" i="58" s="1"/>
  <c r="J52" i="58" s="1"/>
  <c r="G58" i="58"/>
  <c r="H58" i="58" s="1"/>
  <c r="J58" i="58" s="1"/>
  <c r="G50" i="58"/>
  <c r="H50" i="58" s="1"/>
  <c r="J50" i="58" s="1"/>
  <c r="G42" i="58"/>
  <c r="H42" i="58" s="1"/>
  <c r="J42" i="58" s="1"/>
  <c r="G34" i="58"/>
  <c r="H34" i="58" s="1"/>
  <c r="J34" i="58" s="1"/>
  <c r="G56" i="58"/>
  <c r="H56" i="58" s="1"/>
  <c r="J56" i="58" s="1"/>
  <c r="G47" i="58"/>
  <c r="H47" i="58" s="1"/>
  <c r="J47" i="58" s="1"/>
  <c r="G38" i="58"/>
  <c r="H38" i="58" s="1"/>
  <c r="J38" i="58" s="1"/>
  <c r="G53" i="58"/>
  <c r="H53" i="58" s="1"/>
  <c r="J53" i="58" s="1"/>
  <c r="G45" i="58"/>
  <c r="H45" i="58" s="1"/>
  <c r="J45" i="58" s="1"/>
  <c r="G44" i="58"/>
  <c r="H44" i="58" s="1"/>
  <c r="J44" i="58" s="1"/>
  <c r="G57" i="58"/>
  <c r="H57" i="58" s="1"/>
  <c r="J57" i="58" s="1"/>
  <c r="G49" i="58"/>
  <c r="H49" i="58" s="1"/>
  <c r="J49" i="58" s="1"/>
  <c r="G41" i="58"/>
  <c r="H41" i="58" s="1"/>
  <c r="J41" i="58" s="1"/>
  <c r="G33" i="58"/>
  <c r="H33" i="58" s="1"/>
  <c r="J33" i="58" s="1"/>
  <c r="G48" i="58"/>
  <c r="H48" i="58" s="1"/>
  <c r="J48" i="58" s="1"/>
  <c r="G32" i="58"/>
  <c r="H32" i="58" s="1"/>
  <c r="G39" i="58"/>
  <c r="H39" i="58" s="1"/>
  <c r="J39" i="58" s="1"/>
  <c r="G46" i="58"/>
  <c r="H46" i="58" s="1"/>
  <c r="J46" i="58" s="1"/>
  <c r="G37" i="58"/>
  <c r="H37" i="58" s="1"/>
  <c r="J37" i="58" s="1"/>
  <c r="G60" i="58"/>
  <c r="H60" i="58" s="1"/>
  <c r="J60" i="58" s="1"/>
  <c r="G36" i="58"/>
  <c r="H36" i="58" s="1"/>
  <c r="J36" i="58" s="1"/>
  <c r="H32" i="4"/>
  <c r="I32" i="4" s="1"/>
  <c r="I35" i="4" s="1"/>
  <c r="H38" i="4"/>
  <c r="H41" i="4"/>
  <c r="I41" i="4" s="1"/>
  <c r="H50" i="3"/>
  <c r="I50" i="3" s="1"/>
  <c r="H69" i="3"/>
  <c r="I69" i="3" s="1"/>
  <c r="H48" i="3"/>
  <c r="I48" i="3" s="1"/>
  <c r="H68" i="3"/>
  <c r="I68" i="3" s="1"/>
  <c r="H34" i="3"/>
  <c r="I34" i="3" s="1"/>
  <c r="H13" i="3"/>
  <c r="I13" i="3" s="1"/>
  <c r="C21" i="4"/>
  <c r="H30" i="56" l="1"/>
  <c r="H32" i="56" s="1"/>
  <c r="H34" i="56" s="1"/>
  <c r="H38" i="56" s="1"/>
  <c r="C33" i="55"/>
  <c r="J14" i="55"/>
  <c r="J20" i="55"/>
  <c r="J15" i="55"/>
  <c r="J19" i="55"/>
  <c r="J18" i="55"/>
  <c r="J17" i="55"/>
  <c r="J16" i="55"/>
  <c r="J21" i="55"/>
  <c r="I59" i="3"/>
  <c r="I52" i="3"/>
  <c r="I55" i="3"/>
  <c r="I36" i="3"/>
  <c r="A49" i="4"/>
  <c r="A50" i="4" s="1"/>
  <c r="A51" i="4" s="1"/>
  <c r="A52" i="4" s="1"/>
  <c r="A54" i="4" s="1"/>
  <c r="A55" i="4" s="1"/>
  <c r="A57" i="4" s="1"/>
  <c r="D14" i="2" s="1"/>
  <c r="I51" i="4"/>
  <c r="J32" i="58"/>
  <c r="H61" i="58"/>
  <c r="I38" i="4"/>
  <c r="I42" i="4" s="1"/>
  <c r="C22" i="4"/>
  <c r="I62" i="3" l="1"/>
  <c r="J24" i="55"/>
  <c r="J61" i="58"/>
  <c r="I50" i="4" s="1"/>
  <c r="I52" i="4" s="1"/>
  <c r="G31" i="7"/>
  <c r="G32" i="7" s="1"/>
  <c r="H84" i="3" s="1"/>
  <c r="I84" i="3" s="1"/>
  <c r="I85" i="3" s="1"/>
  <c r="C23" i="4"/>
  <c r="A30" i="8" l="1"/>
  <c r="A31" i="8" s="1"/>
  <c r="A32" i="8" s="1"/>
  <c r="A33" i="8" s="1"/>
  <c r="A35" i="8" s="1"/>
  <c r="A36" i="8" s="1"/>
  <c r="A37" i="8" s="1"/>
  <c r="A38" i="8" s="1"/>
  <c r="A39" i="8" s="1"/>
  <c r="A40" i="8" s="1"/>
  <c r="A41" i="8" s="1"/>
  <c r="A42" i="8" s="1"/>
  <c r="A43" i="8" s="1"/>
  <c r="A44" i="8" s="1"/>
  <c r="A45" i="8" s="1"/>
  <c r="A46" i="8" s="1"/>
  <c r="H77" i="3"/>
  <c r="I77" i="3" s="1"/>
  <c r="A40" i="3"/>
  <c r="A41" i="3" s="1"/>
  <c r="A42" i="3" s="1"/>
  <c r="A43" i="3" s="1"/>
  <c r="C24" i="4"/>
  <c r="I14" i="4"/>
  <c r="I30" i="4" l="1"/>
  <c r="A44" i="3"/>
  <c r="C25" i="4"/>
  <c r="I44" i="4" l="1"/>
  <c r="I73" i="3" s="1"/>
  <c r="I75" i="3" s="1"/>
  <c r="I87" i="3" s="1"/>
  <c r="I88" i="3" s="1"/>
  <c r="K19" i="5" s="1"/>
  <c r="K20" i="5" s="1"/>
  <c r="A46" i="3"/>
  <c r="C56" i="3"/>
  <c r="C26" i="4"/>
  <c r="C57" i="3" l="1"/>
  <c r="A47" i="3"/>
  <c r="C58" i="3" s="1"/>
  <c r="C27" i="4"/>
  <c r="A48" i="3" l="1"/>
  <c r="A49" i="3" l="1"/>
  <c r="C61" i="3" s="1"/>
  <c r="C59" i="3"/>
  <c r="A50" i="3" l="1"/>
  <c r="C55" i="3" s="1"/>
  <c r="A52" i="3" l="1"/>
  <c r="A54" i="3" s="1"/>
  <c r="A55" i="3" s="1"/>
  <c r="D26" i="56" s="1"/>
  <c r="A56" i="3" l="1"/>
  <c r="A57" i="3" s="1"/>
  <c r="A58" i="3" s="1"/>
  <c r="A59" i="3" s="1"/>
  <c r="D27" i="56" s="1"/>
  <c r="A60" i="3" l="1"/>
  <c r="A61" i="3" s="1"/>
  <c r="A62" i="3" s="1"/>
  <c r="C34" i="7" s="1"/>
  <c r="A64" i="3" l="1"/>
  <c r="A32" i="7"/>
  <c r="A34" i="7" s="1"/>
  <c r="A65" i="3" l="1"/>
  <c r="A66" i="3" s="1"/>
  <c r="A67" i="3" s="1"/>
  <c r="A68" i="3" s="1"/>
  <c r="A69" i="3" s="1"/>
  <c r="A70" i="3" s="1"/>
  <c r="A72" i="3" s="1"/>
  <c r="A73" i="3" s="1"/>
  <c r="A35" i="7"/>
  <c r="A37" i="7" s="1"/>
  <c r="A74" i="3" l="1"/>
  <c r="A75" i="3" s="1"/>
  <c r="A77" i="3" s="1"/>
  <c r="A79" i="3" s="1"/>
  <c r="A80" i="3" s="1"/>
  <c r="A81" i="3" s="1"/>
  <c r="A82" i="3" s="1"/>
  <c r="A83" i="3" s="1"/>
  <c r="A84" i="3" s="1"/>
  <c r="A85" i="3" s="1"/>
  <c r="A38" i="7"/>
  <c r="C75" i="3" l="1"/>
  <c r="A87" i="3"/>
  <c r="A88" i="3" s="1"/>
  <c r="C19" i="5" s="1"/>
  <c r="C32" i="4"/>
  <c r="C33" i="4" l="1"/>
  <c r="C38" i="4" l="1"/>
  <c r="C34" i="4"/>
  <c r="A48" i="8" l="1"/>
  <c r="A49" i="8" s="1"/>
  <c r="A50" i="8" s="1"/>
  <c r="A51" i="8" s="1"/>
  <c r="A52" i="8" l="1"/>
  <c r="A53" i="8" s="1"/>
  <c r="A54" i="8" l="1"/>
  <c r="A56" i="8" s="1"/>
  <c r="A57" i="8" s="1"/>
  <c r="A58" i="8" s="1"/>
  <c r="C41" i="4"/>
  <c r="C54" i="4" l="1"/>
  <c r="A59" i="8"/>
  <c r="A60" i="8" s="1"/>
  <c r="A61" i="8" s="1"/>
  <c r="A62" i="8" s="1"/>
  <c r="A63" i="8" s="1"/>
  <c r="A64" i="8" s="1"/>
  <c r="A65" i="8" s="1"/>
  <c r="A67" i="8" s="1"/>
  <c r="A68" i="8" s="1"/>
  <c r="A69" i="8" s="1"/>
  <c r="A70" i="8" s="1"/>
  <c r="A71" i="8" s="1"/>
  <c r="A72" i="8" s="1"/>
  <c r="A73" i="8" s="1"/>
  <c r="A74" i="8" s="1"/>
  <c r="A76" i="8" s="1"/>
  <c r="A77" i="8" s="1"/>
  <c r="A78" i="8" s="1"/>
  <c r="A79" i="8" s="1"/>
  <c r="A80" i="8" s="1"/>
  <c r="C77" i="3" s="1"/>
  <c r="A81" i="8" l="1"/>
  <c r="A82" i="8" s="1"/>
  <c r="A84" i="8" s="1"/>
  <c r="A85" i="8" s="1"/>
  <c r="C16" i="5" s="1"/>
  <c r="A86" i="8" l="1"/>
  <c r="A87" i="8" l="1"/>
  <c r="A88" i="8" s="1"/>
  <c r="A89" i="8" l="1"/>
  <c r="C14" i="5" s="1"/>
  <c r="A90" i="8" l="1"/>
  <c r="A91" i="8" s="1"/>
  <c r="A94" i="8" s="1"/>
  <c r="C13" i="3" s="1"/>
  <c r="A96" i="8" l="1"/>
  <c r="C15" i="3" s="1"/>
  <c r="A97" i="8" l="1"/>
  <c r="C16" i="3" s="1"/>
  <c r="A98" i="8" l="1"/>
  <c r="C17" i="3" s="1"/>
  <c r="A99" i="8" l="1"/>
  <c r="C18" i="3" s="1"/>
  <c r="A100" i="8" l="1"/>
  <c r="A102" i="8" s="1"/>
  <c r="C21" i="3" l="1"/>
  <c r="A103" i="8"/>
  <c r="C22" i="3" s="1"/>
  <c r="A104" i="8" l="1"/>
  <c r="C22" i="7" s="1"/>
  <c r="C23" i="3" l="1"/>
  <c r="A105" i="8"/>
  <c r="C25" i="7" s="1"/>
  <c r="C24" i="3" l="1"/>
  <c r="A106" i="8"/>
  <c r="A108" i="8" s="1"/>
  <c r="C27" i="3" s="1"/>
  <c r="A109" i="8" l="1"/>
  <c r="C28" i="3" s="1"/>
  <c r="A110" i="8" l="1"/>
  <c r="C29" i="3" s="1"/>
  <c r="A111" i="8" l="1"/>
  <c r="C30" i="3" s="1"/>
  <c r="A112" i="8" l="1"/>
  <c r="A114" i="8" s="1"/>
  <c r="C33" i="3" s="1"/>
  <c r="A115" i="8" l="1"/>
  <c r="C34" i="3" s="1"/>
  <c r="A116" i="8" l="1"/>
  <c r="A118" i="8" s="1"/>
  <c r="A119" i="8" s="1"/>
  <c r="A120" i="8" s="1"/>
  <c r="A121" i="8" s="1"/>
  <c r="A122" i="8" l="1"/>
  <c r="A123" i="8" l="1"/>
  <c r="A124" i="8" s="1"/>
  <c r="A125" i="8" s="1"/>
  <c r="A126" i="8" l="1"/>
  <c r="A128" i="8" s="1"/>
  <c r="A129" i="8" s="1"/>
  <c r="C40" i="3" l="1"/>
  <c r="A130" i="8"/>
  <c r="A131" i="8" l="1"/>
  <c r="C41" i="3"/>
  <c r="A132" i="8" l="1"/>
  <c r="C42" i="3"/>
  <c r="C43" i="3" l="1"/>
  <c r="A133" i="8"/>
  <c r="A134" i="8" l="1"/>
  <c r="A135" i="8" l="1"/>
  <c r="C47" i="3"/>
  <c r="C48" i="3" l="1"/>
  <c r="A136" i="8"/>
  <c r="I55" i="4" l="1"/>
  <c r="A137" i="8"/>
  <c r="G34" i="7"/>
  <c r="G35" i="7" s="1"/>
  <c r="H54" i="4" s="1"/>
  <c r="I54" i="4" s="1"/>
  <c r="C50" i="3" l="1"/>
  <c r="A138" i="8"/>
  <c r="I57" i="4"/>
  <c r="H14" i="2" s="1"/>
  <c r="C31" i="55" l="1"/>
  <c r="C36" i="55" s="1"/>
  <c r="A139" i="8"/>
  <c r="A142" i="8" s="1"/>
  <c r="A143" i="8" s="1"/>
  <c r="G17" i="55" l="1"/>
  <c r="H17" i="55" s="1"/>
  <c r="G21" i="55"/>
  <c r="G16" i="55"/>
  <c r="H16" i="55" s="1"/>
  <c r="G15" i="55"/>
  <c r="H15" i="55" s="1"/>
  <c r="G20" i="55"/>
  <c r="H20" i="55" s="1"/>
  <c r="G18" i="55"/>
  <c r="H18" i="55" s="1"/>
  <c r="G14" i="55"/>
  <c r="H14" i="55" s="1"/>
  <c r="G19" i="55"/>
  <c r="H19" i="55" s="1"/>
  <c r="C79" i="3"/>
  <c r="A144" i="8"/>
  <c r="H21" i="55" l="1"/>
  <c r="G22" i="55"/>
  <c r="H22" i="55" s="1"/>
  <c r="C80" i="3"/>
  <c r="A145" i="8"/>
  <c r="H24" i="55" l="1"/>
  <c r="C81" i="3"/>
  <c r="A146" i="8"/>
  <c r="A147" i="8" l="1"/>
  <c r="C82" i="3"/>
  <c r="A148" i="8" l="1"/>
  <c r="C83" i="3"/>
  <c r="A149" i="8" l="1"/>
  <c r="A151" i="8" s="1"/>
  <c r="A152" i="8" s="1"/>
  <c r="A153" i="8" s="1"/>
  <c r="A154" i="8" s="1"/>
  <c r="A155" i="8" s="1"/>
  <c r="A156" i="8" s="1"/>
  <c r="A157" i="8" s="1"/>
  <c r="A158" i="8" s="1"/>
  <c r="A159" i="8" s="1"/>
  <c r="A160" i="8" s="1"/>
  <c r="A161" i="8" s="1"/>
  <c r="A162" i="8" s="1"/>
  <c r="A163" i="8" s="1"/>
  <c r="A164" i="8" s="1"/>
  <c r="A165" i="8" s="1"/>
  <c r="A166" i="8" s="1"/>
  <c r="C84" i="3"/>
  <c r="A167" i="8" l="1"/>
  <c r="A168" i="8" s="1"/>
  <c r="A169" i="8" s="1"/>
  <c r="A170" i="8" s="1"/>
  <c r="A171" i="8" s="1"/>
  <c r="A172" i="8" s="1"/>
  <c r="A173" i="8" s="1"/>
  <c r="A174" i="8" s="1"/>
  <c r="A175" i="8" s="1"/>
  <c r="A176" i="8" s="1"/>
  <c r="D21" i="56"/>
  <c r="K22" i="55"/>
  <c r="K15" i="55"/>
  <c r="K16" i="55"/>
  <c r="K17" i="55"/>
  <c r="K20" i="55"/>
  <c r="K21" i="55"/>
  <c r="K19" i="55"/>
  <c r="K18" i="55"/>
  <c r="D22" i="56" l="1"/>
  <c r="A180" i="8"/>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K14" i="55"/>
  <c r="K24" i="55" l="1"/>
  <c r="H23" i="2" s="1"/>
  <c r="H26" i="2" s="1"/>
</calcChain>
</file>

<file path=xl/sharedStrings.xml><?xml version="1.0" encoding="utf-8"?>
<sst xmlns="http://schemas.openxmlformats.org/spreadsheetml/2006/main" count="1815" uniqueCount="1008">
  <si>
    <t>Description</t>
  </si>
  <si>
    <t>Reference</t>
  </si>
  <si>
    <t>Total</t>
  </si>
  <si>
    <t>Transmission Operation &amp; Maintenance Expenses</t>
  </si>
  <si>
    <t>Total Company</t>
  </si>
  <si>
    <t>Allocation Factor</t>
  </si>
  <si>
    <t>Worksheet A</t>
  </si>
  <si>
    <t>Transmission O&amp;M</t>
  </si>
  <si>
    <t>Transmission</t>
  </si>
  <si>
    <t>Plant in Service</t>
  </si>
  <si>
    <t>T-Wages</t>
  </si>
  <si>
    <t>Accumulated Depreciation</t>
  </si>
  <si>
    <t>Worksheet B</t>
  </si>
  <si>
    <t>Worksheet C</t>
  </si>
  <si>
    <t>Worksheet E</t>
  </si>
  <si>
    <t>Worksheet F</t>
  </si>
  <si>
    <t>Subtotal</t>
  </si>
  <si>
    <t xml:space="preserve"> </t>
  </si>
  <si>
    <t>A</t>
  </si>
  <si>
    <t>B</t>
  </si>
  <si>
    <t>C</t>
  </si>
  <si>
    <t>D</t>
  </si>
  <si>
    <t>E</t>
  </si>
  <si>
    <t>F</t>
  </si>
  <si>
    <t>G</t>
  </si>
  <si>
    <t>H</t>
  </si>
  <si>
    <t>Allocation %</t>
  </si>
  <si>
    <t xml:space="preserve">Allocation % </t>
  </si>
  <si>
    <t>Interest on Long Term Debt</t>
  </si>
  <si>
    <t>Administrative &amp; General Expense</t>
  </si>
  <si>
    <t>INDEX</t>
  </si>
  <si>
    <t>May</t>
  </si>
  <si>
    <t>Total Distribution Plant</t>
  </si>
  <si>
    <t>Total Net Plant in Service</t>
  </si>
  <si>
    <t>Total Long Term Debt</t>
  </si>
  <si>
    <t>Total Margins and Equities</t>
  </si>
  <si>
    <t>Total Capitalization</t>
  </si>
  <si>
    <t>Rate Base</t>
  </si>
  <si>
    <t>Return Based on Defined ROE</t>
  </si>
  <si>
    <t>Billing Lag in days</t>
  </si>
  <si>
    <t>Return</t>
  </si>
  <si>
    <t>Billing Lag in Days</t>
  </si>
  <si>
    <t>Working Capital</t>
  </si>
  <si>
    <t>Prepayments</t>
  </si>
  <si>
    <t>Other</t>
  </si>
  <si>
    <t>Notes Payable</t>
  </si>
  <si>
    <t>Materials and Supplies</t>
  </si>
  <si>
    <t>Average</t>
  </si>
  <si>
    <t>End of Year</t>
  </si>
  <si>
    <t>Lines</t>
  </si>
  <si>
    <t>Stations</t>
  </si>
  <si>
    <t>Beginning of Year</t>
  </si>
  <si>
    <t>301-303 Total Intangible Plant</t>
  </si>
  <si>
    <t>Total Production Plant</t>
  </si>
  <si>
    <t>350 Land and Land Rights</t>
  </si>
  <si>
    <t>352 Structures and Improvements</t>
  </si>
  <si>
    <t>353 Station Equipment</t>
  </si>
  <si>
    <t>354 thru 359.1 Other Transmission Plant</t>
  </si>
  <si>
    <t xml:space="preserve">389 thru 399.1 Total General Plant </t>
  </si>
  <si>
    <t>105 Electric Plant Held For Future Use</t>
  </si>
  <si>
    <t>106 Completed Construction Not Classified</t>
  </si>
  <si>
    <t>107 Construction Work in Progress</t>
  </si>
  <si>
    <t>108.5 Depreciation of Transmission Plant</t>
  </si>
  <si>
    <t>108.6 Depreciation of Distribution Plant</t>
  </si>
  <si>
    <t>108.7 Depreciation of General Plant</t>
  </si>
  <si>
    <t>108.8 Retirement Work in Progress</t>
  </si>
  <si>
    <t>111 Amort of Electric Plant in Service</t>
  </si>
  <si>
    <t>Admin and General Expense</t>
  </si>
  <si>
    <t>Maintenance Expense General Plant</t>
  </si>
  <si>
    <t>Total Accumulated Depreciation</t>
  </si>
  <si>
    <t>301-303 Net Total Intangible Plant</t>
  </si>
  <si>
    <t>Net Production Plant</t>
  </si>
  <si>
    <t>Net Transmission Plant</t>
  </si>
  <si>
    <t>Net Distribution Plant</t>
  </si>
  <si>
    <t>Net General Plant</t>
  </si>
  <si>
    <t>Construction Work in Progress</t>
  </si>
  <si>
    <t>Transmission Plant</t>
  </si>
  <si>
    <t>Station Equipment</t>
  </si>
  <si>
    <t>Allocated</t>
  </si>
  <si>
    <t>Transmission Qualifying Plant</t>
  </si>
  <si>
    <t>T-Tran Plant</t>
  </si>
  <si>
    <t>Supervision and Engineering</t>
  </si>
  <si>
    <t>Load Dispatching</t>
  </si>
  <si>
    <t>Station Expenses</t>
  </si>
  <si>
    <t>Overhead Line Expenses</t>
  </si>
  <si>
    <t>Underground Line Expenses</t>
  </si>
  <si>
    <t>Miscellaneous Expenses</t>
  </si>
  <si>
    <t>Subtotal (1 thru 6)</t>
  </si>
  <si>
    <t>Rents</t>
  </si>
  <si>
    <t>Total Transmission Operations (7 thru 9)</t>
  </si>
  <si>
    <t>Transmission Maintenance</t>
  </si>
  <si>
    <t>Structures</t>
  </si>
  <si>
    <t>Overhead Lines</t>
  </si>
  <si>
    <t>Underground Lines</t>
  </si>
  <si>
    <t>Miscellaneous Transmission Plant</t>
  </si>
  <si>
    <t>Total Transmission Maintenance (11 thru 16)</t>
  </si>
  <si>
    <t>Total Transmission Expense (10+17)</t>
  </si>
  <si>
    <t>RTO/ISO Expense - Operation</t>
  </si>
  <si>
    <t>575.1-575.8</t>
  </si>
  <si>
    <t>576.1-576.5</t>
  </si>
  <si>
    <t>Total RTO/ISO Expense (19+20)</t>
  </si>
  <si>
    <t>Distribution Expense - Operation</t>
  </si>
  <si>
    <t>580-589</t>
  </si>
  <si>
    <t>Distribution Expense - Maintenance</t>
  </si>
  <si>
    <t>590-598</t>
  </si>
  <si>
    <t>Total Distribution Expense (22+23)</t>
  </si>
  <si>
    <t>Total Operation and Maintenance (18+21+24)</t>
  </si>
  <si>
    <t>Fixed Costs</t>
  </si>
  <si>
    <t xml:space="preserve">Depreciation - Transmission </t>
  </si>
  <si>
    <t>Depreciation - Distribution</t>
  </si>
  <si>
    <t xml:space="preserve">Interest - Transmission </t>
  </si>
  <si>
    <t>Interest - Distribution</t>
  </si>
  <si>
    <t>Total Transmission (18+26+28)</t>
  </si>
  <si>
    <t>Total Distribution (24+27+29)</t>
  </si>
  <si>
    <t>Total Lines and Stations (21+30+31)</t>
  </si>
  <si>
    <t>T-Wage Allocation</t>
  </si>
  <si>
    <t>T-Tran Stations</t>
  </si>
  <si>
    <t>EoY</t>
  </si>
  <si>
    <t>BoY</t>
  </si>
  <si>
    <t>Depreciation Expense-General</t>
  </si>
  <si>
    <t>Total Depreciation &amp; Amortization</t>
  </si>
  <si>
    <t>Other Interest Expense</t>
  </si>
  <si>
    <t>Adjustment</t>
  </si>
  <si>
    <t>Adjusted Total</t>
  </si>
  <si>
    <t>Interest Expense</t>
  </si>
  <si>
    <t>T-Net Allocation</t>
  </si>
  <si>
    <t>M&amp;S Coal</t>
  </si>
  <si>
    <t>M&amp;S Other Fuel</t>
  </si>
  <si>
    <t>M&amp;S Production Plant Parts</t>
  </si>
  <si>
    <t>M&amp;S Station Transformers &amp; Equipment</t>
  </si>
  <si>
    <t>M&amp;S Line Materials &amp; Supplies</t>
  </si>
  <si>
    <t>M&amp;S Other</t>
  </si>
  <si>
    <t>T-Plant Allocation</t>
  </si>
  <si>
    <t>Subtotal O&amp;M</t>
  </si>
  <si>
    <t>I</t>
  </si>
  <si>
    <t>J</t>
  </si>
  <si>
    <t>Total Transmission O&amp;M Costs</t>
  </si>
  <si>
    <t>Revenue Credits-Operating</t>
  </si>
  <si>
    <t>Depreciation and Amortization Reserves</t>
  </si>
  <si>
    <t>Transmission Costs</t>
  </si>
  <si>
    <t>A. Gross Revenue Requirement for Network Service</t>
  </si>
  <si>
    <t>Gross Electric Plant in Service</t>
  </si>
  <si>
    <t>Adjustments to Rate Base</t>
  </si>
  <si>
    <t xml:space="preserve">Subtotal </t>
  </si>
  <si>
    <t xml:space="preserve">Sum </t>
  </si>
  <si>
    <t>Total A&amp;G Expenses</t>
  </si>
  <si>
    <t>Electric Energy Revenues</t>
  </si>
  <si>
    <t>Other Operating Revenue &amp; Income</t>
  </si>
  <si>
    <t>Interest Income</t>
  </si>
  <si>
    <t>Other Deductions</t>
  </si>
  <si>
    <t>O&amp;M, Depreciation, and Return Expenses</t>
  </si>
  <si>
    <t xml:space="preserve">O&amp;M </t>
  </si>
  <si>
    <t>Wages</t>
  </si>
  <si>
    <t>Depreciation Expense</t>
  </si>
  <si>
    <t>Net Plant in Service</t>
  </si>
  <si>
    <t>380-386 RTO/ISO Plant</t>
  </si>
  <si>
    <t>Sum</t>
  </si>
  <si>
    <t>Tri-State Generation and Transmission Association, Inc.</t>
  </si>
  <si>
    <t>East</t>
  </si>
  <si>
    <t>Total Operating Revenues &amp; Patronage Capital</t>
  </si>
  <si>
    <t>Operating Expense</t>
  </si>
  <si>
    <t>Maintenance Expense</t>
  </si>
  <si>
    <t>Interest, Taxes and Other Deductions</t>
  </si>
  <si>
    <t>Depreciation &amp; Amortization Expense</t>
  </si>
  <si>
    <t>Taxes</t>
  </si>
  <si>
    <t>Interest Charged to Construction - Credit</t>
  </si>
  <si>
    <t>Asset Retirement Obligations</t>
  </si>
  <si>
    <t>Total Cost of Electric Service</t>
  </si>
  <si>
    <t>Operating Margins</t>
  </si>
  <si>
    <t>Allowance For Funds Used During Construction</t>
  </si>
  <si>
    <t>Income (Loss) from Equity Investments</t>
  </si>
  <si>
    <t>Other Non-operating Income (Net)</t>
  </si>
  <si>
    <t>Generations &amp; Transmission Capital Credits</t>
  </si>
  <si>
    <t>Other Capital Credits and Patronage Dividends</t>
  </si>
  <si>
    <t>Extraordinary Items</t>
  </si>
  <si>
    <t>Section B.  Balance Sheet</t>
  </si>
  <si>
    <t>Assets</t>
  </si>
  <si>
    <t>Notes Receivable (Net)</t>
  </si>
  <si>
    <t>Other Current and Accrued Assets</t>
  </si>
  <si>
    <t>Liabilities</t>
  </si>
  <si>
    <t>Total Margins &amp; Equities</t>
  </si>
  <si>
    <t>Obligations Under Capital Leases - Non Current</t>
  </si>
  <si>
    <t>Current Maturities Long Term Debt</t>
  </si>
  <si>
    <t>Current Maturities Long Term Debt - Rural Dev.</t>
  </si>
  <si>
    <t>Expenses and Costs</t>
  </si>
  <si>
    <t>Item</t>
  </si>
  <si>
    <t>Account Name</t>
  </si>
  <si>
    <t>Stations (b)</t>
  </si>
  <si>
    <t>Transmissions Operations</t>
  </si>
  <si>
    <t>Transmission of Electricity by others</t>
  </si>
  <si>
    <t xml:space="preserve">RTO/ISO Expense - Maintenance </t>
  </si>
  <si>
    <t>Transmission Lines</t>
  </si>
  <si>
    <t xml:space="preserve">Income From Leased Property </t>
  </si>
  <si>
    <t>Customer Accounting</t>
  </si>
  <si>
    <t>Customer Service</t>
  </si>
  <si>
    <t>Customer Sales</t>
  </si>
  <si>
    <t>114 Acquisition Adjustment</t>
  </si>
  <si>
    <t>Amort of Intangible Plant</t>
  </si>
  <si>
    <t>Transmission ATRR East</t>
  </si>
  <si>
    <t>Allocation</t>
  </si>
  <si>
    <t>T-Tran Lines</t>
  </si>
  <si>
    <t>105 Electric Plant Held For Future Use - Production</t>
  </si>
  <si>
    <t>105 Electric Plant Held For Future Use - Transmission</t>
  </si>
  <si>
    <t>105 Electric Plant Held For Future Use - Distribution</t>
  </si>
  <si>
    <t>Plant Held for Future Use</t>
  </si>
  <si>
    <t>Production Wages &amp; Salaries</t>
  </si>
  <si>
    <t>Worksheet G</t>
  </si>
  <si>
    <t xml:space="preserve">Customer Accounting </t>
  </si>
  <si>
    <t>350-353 Transmission Stations</t>
  </si>
  <si>
    <t>Worksheet D</t>
  </si>
  <si>
    <t>Load</t>
  </si>
  <si>
    <t>Network Demand (KW)</t>
  </si>
  <si>
    <t>January</t>
  </si>
  <si>
    <t>February</t>
  </si>
  <si>
    <t>March</t>
  </si>
  <si>
    <t>April</t>
  </si>
  <si>
    <t>June</t>
  </si>
  <si>
    <t>July</t>
  </si>
  <si>
    <t>August</t>
  </si>
  <si>
    <t>September</t>
  </si>
  <si>
    <t>October</t>
  </si>
  <si>
    <t>November</t>
  </si>
  <si>
    <t>December</t>
  </si>
  <si>
    <t>Total (kW-Mo)</t>
  </si>
  <si>
    <t>Average (kW-Mo)</t>
  </si>
  <si>
    <t>Total Operation Expense</t>
  </si>
  <si>
    <t>Total Maintenance Expense</t>
  </si>
  <si>
    <t>Calculated</t>
  </si>
  <si>
    <t>Net Patronage Capital or Margins</t>
  </si>
  <si>
    <t>310 Steam Production Plant</t>
  </si>
  <si>
    <t>320 Nuclear Production Plant</t>
  </si>
  <si>
    <t>330 Hydro Production Plant</t>
  </si>
  <si>
    <t>340 Other Production Plant</t>
  </si>
  <si>
    <t>Total Transmission Plant</t>
  </si>
  <si>
    <t>360 Land and Land Rights</t>
  </si>
  <si>
    <t>361 Structures and Improvements</t>
  </si>
  <si>
    <t>362 Station Equipment</t>
  </si>
  <si>
    <t>Electric Plant In Service</t>
  </si>
  <si>
    <t>102 Electric Plant Purchased or Sold</t>
  </si>
  <si>
    <t>104 Electric Plant Leased to Others</t>
  </si>
  <si>
    <t>118 Other Utility Plant</t>
  </si>
  <si>
    <t>120 Nuclear Fuel Assemblies</t>
  </si>
  <si>
    <t>Total Utility Plant</t>
  </si>
  <si>
    <t>Other Wheeling</t>
  </si>
  <si>
    <t>Rental Income</t>
  </si>
  <si>
    <t>Transmission Wages &amp; Salaries</t>
  </si>
  <si>
    <t>Net Completed Construction Not Classified</t>
  </si>
  <si>
    <t>310 Steam Plant</t>
  </si>
  <si>
    <t>320 Nuclear Plant</t>
  </si>
  <si>
    <t>330 Hydro Plant</t>
  </si>
  <si>
    <t>340 Other Prod Plant</t>
  </si>
  <si>
    <t>350 Land &amp; Land Rights</t>
  </si>
  <si>
    <t>Customer Services &amp; Information</t>
  </si>
  <si>
    <t>Sales</t>
  </si>
  <si>
    <t>Customer Related Expense</t>
  </si>
  <si>
    <t>Direct Zero</t>
  </si>
  <si>
    <t>Direct 100</t>
  </si>
  <si>
    <t>Other Revenue</t>
  </si>
  <si>
    <t>Allocation Factors</t>
  </si>
  <si>
    <t>Page 6</t>
  </si>
  <si>
    <t>Page 4</t>
  </si>
  <si>
    <t>Page 5</t>
  </si>
  <si>
    <t>Page 2</t>
  </si>
  <si>
    <t>Page 3</t>
  </si>
  <si>
    <t>Page 1</t>
  </si>
  <si>
    <t>Total Production Reserve</t>
  </si>
  <si>
    <t>Wheeling SPP P2P</t>
  </si>
  <si>
    <t>Average/EoY</t>
  </si>
  <si>
    <t>Revenue Requirement before revenue credits</t>
  </si>
  <si>
    <t>RUSFOR, Part A, Sect A, L01b</t>
  </si>
  <si>
    <t>RUSFOR, Part A, Sect A, L02b</t>
  </si>
  <si>
    <t>RUSFOR, Part A, Sect A, L03b</t>
  </si>
  <si>
    <t>RUSFOR, Part A, Sect A, L05b</t>
  </si>
  <si>
    <t>RUSFOR, Part A, Sect A, L06b</t>
  </si>
  <si>
    <t>RUSFOR, Part A, Sect A, L07b</t>
  </si>
  <si>
    <t>RUSFOR, Part A, Sect A, L08b</t>
  </si>
  <si>
    <t>RUSFOR, Part A, Sect A, L09b</t>
  </si>
  <si>
    <t>RUSFOR, Part A, Sect A, L10b</t>
  </si>
  <si>
    <t>RUSFOR, Part A, Sect A, L11b</t>
  </si>
  <si>
    <t>RUSFOR, Part A, Sect A, L13b</t>
  </si>
  <si>
    <t>RUSFOR, Part A, Sect A, L14b</t>
  </si>
  <si>
    <t>RUSFOR, Part A, Sect A, L16b</t>
  </si>
  <si>
    <t>RUSFOR, Part A, Sect A, L17b</t>
  </si>
  <si>
    <t>RUSFOR, Part A, Sect A, L18b</t>
  </si>
  <si>
    <t>RUSFOR, Part A, Sect A, L19b</t>
  </si>
  <si>
    <t>RUSFOR, Part A, Sect A, L20b</t>
  </si>
  <si>
    <t>RUSFOR, Part A, Sect A, L22b</t>
  </si>
  <si>
    <t>RUSFOR, Part A, Sect A, L23b</t>
  </si>
  <si>
    <t>RUSFOR, Part A, Sect A, L24b</t>
  </si>
  <si>
    <t>RUSFOR, Part A, Sect A, L25b</t>
  </si>
  <si>
    <t>RUSFOR, Part A, Sect A, L26b</t>
  </si>
  <si>
    <t>RUSFOR, Part A, Sect A, L27b</t>
  </si>
  <si>
    <t>RUSFOR, Part A, Sect A, L28b</t>
  </si>
  <si>
    <t>RUSFOR, Part A, Sect A, L31b</t>
  </si>
  <si>
    <t>RUSFOR, Part A, Sect A, L32b</t>
  </si>
  <si>
    <t>RUSFOR, Part A, Sect A, L33b</t>
  </si>
  <si>
    <t>RUSFOR, Part A, Sect A, L34b</t>
  </si>
  <si>
    <t>RUSFOR, Part A, Sect A, L35b</t>
  </si>
  <si>
    <t>RUSFOR, Part A, Sect A, L36b</t>
  </si>
  <si>
    <t>RUSFOR, Part A, Sect A, L37b</t>
  </si>
  <si>
    <t>RUSFOR, Part A, Section B, L19</t>
  </si>
  <si>
    <t>Past Year &amp; Current RUSFOR, Part A, Section B, Line 25</t>
  </si>
  <si>
    <t>RUSFOR, Part A, Sect B, L39</t>
  </si>
  <si>
    <t>RUSFOR, Part A, Sect B, L46</t>
  </si>
  <si>
    <t>RUSFOR, Part A, Sect B, L47</t>
  </si>
  <si>
    <t>RUSFOR, Part A, Sect B, L50</t>
  </si>
  <si>
    <t>RUSFOR, Part A, Sect B, L52</t>
  </si>
  <si>
    <t>RUSFOR, Part A, Sect B, L53</t>
  </si>
  <si>
    <t>RUSFOR, Part A, Sect B, L60</t>
  </si>
  <si>
    <t>RUSFOR, Suppl, Part H, Sect A, Line 1</t>
  </si>
  <si>
    <t>RUSFOR, Suppl, Part H, Sect A, Line 2</t>
  </si>
  <si>
    <t>RUSFOR, Suppl, Part H, Sect A, Line 3</t>
  </si>
  <si>
    <t>RUSFOR, Suppl, Part H, Sect A, Line 4</t>
  </si>
  <si>
    <t>RUSFOR, Suppl, Part H, Sect A, Line 5</t>
  </si>
  <si>
    <t>RUSFOR, Suppl, Part H, Sect A, Line 7</t>
  </si>
  <si>
    <t>RUSFOR, Suppl, Part H, Sect A, Line 8</t>
  </si>
  <si>
    <t>RUSFOR, Suppl, Part H, Sect A, Line 9</t>
  </si>
  <si>
    <t>RUSFOR, Suppl, Part H, Sect A, Line 10</t>
  </si>
  <si>
    <t>RUSFOR, Suppl, Part H, Sect A, Line 12</t>
  </si>
  <si>
    <t>RUSFOR, Suppl, Part H, Sect A, Line 13</t>
  </si>
  <si>
    <t>RUSFOR, Suppl, Part H, Sect A, Line 14</t>
  </si>
  <si>
    <t>RUSFOR, Suppl, Part H, Sect A, Line 15</t>
  </si>
  <si>
    <t>RUSFOR, Suppl, Part H, Sect A, Line 17</t>
  </si>
  <si>
    <t>RUSFOR, Suppl, Part H, Sect A, Line 18</t>
  </si>
  <si>
    <t>RUSFOR, Suppl, Part H, Sect A, Line 20</t>
  </si>
  <si>
    <t>RUSFOR, Suppl, Part H, Sect A, Line 21</t>
  </si>
  <si>
    <t>RUSFOR, Suppl, Part H, Sect A, Line 22</t>
  </si>
  <si>
    <t>RUSFOR, Suppl, Part H, Sect A, Line 23</t>
  </si>
  <si>
    <t>RUSFOR, Suppl, Part H, Sect A, Line 24</t>
  </si>
  <si>
    <t>RUSFOR, Suppl, Part H, Sect A, Line 25</t>
  </si>
  <si>
    <t>RUSFOR, Suppl, Part H, Sect A, Line 26</t>
  </si>
  <si>
    <t>RUSFOR, Suppl, Part H, Sect A, Line 28</t>
  </si>
  <si>
    <t>RUSFOR, Suppl, Part H, Sect B, Line 1</t>
  </si>
  <si>
    <t>RUSFOR, Suppl, Part H, Sect B, Line 2</t>
  </si>
  <si>
    <t>RUSFOR, Suppl, Part H, Sect B, Line 3</t>
  </si>
  <si>
    <t>RUSFOR, Suppl, Part H, Sect B, Line 4</t>
  </si>
  <si>
    <t>RUSFOR, Suppl, Part H, Sect B, Line 5</t>
  </si>
  <si>
    <t>RUSFOR, Suppl, Part H, Sect B, Line 6</t>
  </si>
  <si>
    <t>RUSFOR, Suppl, Part H, Sect B, Line 7</t>
  </si>
  <si>
    <t>RUSFOR, Suppl, Part H, Sect B, Line 8</t>
  </si>
  <si>
    <t>RUSFOR, Suppl, Part H, Sect B, Line 12</t>
  </si>
  <si>
    <t>RUSFOR, Suppl, Part H, Sect B, Line 15</t>
  </si>
  <si>
    <t>RUSFOR, Part H, Section G, Line 1</t>
  </si>
  <si>
    <t>RUSFOR, Part H, Section G, Line 2</t>
  </si>
  <si>
    <t>RUSFOR, Part H, Section G, Line 3</t>
  </si>
  <si>
    <t>RUSFOR, Part H, Section G, Line 4</t>
  </si>
  <si>
    <t>RUSFOR, Part H, Section G, Line 5</t>
  </si>
  <si>
    <t>RUSFOR, Part H, Section G, Line 6</t>
  </si>
  <si>
    <t>Less Adjustments</t>
  </si>
  <si>
    <t>561 Load Dispatch Salaries</t>
  </si>
  <si>
    <t>RUSFOR Input</t>
  </si>
  <si>
    <t>Monthly Load (East KW)</t>
  </si>
  <si>
    <t>Jan</t>
  </si>
  <si>
    <t>Feb</t>
  </si>
  <si>
    <t>Mar</t>
  </si>
  <si>
    <t>Apr</t>
  </si>
  <si>
    <t>Jun</t>
  </si>
  <si>
    <t>Jul</t>
  </si>
  <si>
    <t>Aug</t>
  </si>
  <si>
    <t>Sep</t>
  </si>
  <si>
    <t>Oct</t>
  </si>
  <si>
    <t>Nov</t>
  </si>
  <si>
    <t>Dec</t>
  </si>
  <si>
    <r>
      <t xml:space="preserve">Prepayments </t>
    </r>
    <r>
      <rPr>
        <i/>
        <sz val="12"/>
        <rFont val="Arial"/>
        <family val="2"/>
      </rPr>
      <t>(Acct 165)</t>
    </r>
  </si>
  <si>
    <r>
      <t xml:space="preserve">Accumulated Deferred Income Taxes </t>
    </r>
    <r>
      <rPr>
        <i/>
        <sz val="12"/>
        <rFont val="Arial"/>
        <family val="2"/>
      </rPr>
      <t>(Acct 190)</t>
    </r>
  </si>
  <si>
    <r>
      <t xml:space="preserve">Accumulated Deferred Income Taxes </t>
    </r>
    <r>
      <rPr>
        <i/>
        <sz val="12"/>
        <rFont val="Arial"/>
        <family val="2"/>
      </rPr>
      <t>(Acct 283)</t>
    </r>
  </si>
  <si>
    <t>N</t>
  </si>
  <si>
    <t>M</t>
  </si>
  <si>
    <t>L</t>
  </si>
  <si>
    <t>K</t>
  </si>
  <si>
    <t>Company Records</t>
  </si>
  <si>
    <t>Industry Standard</t>
  </si>
  <si>
    <t>Op Exp.-Production excluding fuel</t>
  </si>
  <si>
    <t>Op Exp.-Production fuel</t>
  </si>
  <si>
    <t>Op Exp.-Other Power Supply</t>
  </si>
  <si>
    <t>Op Exp.-Transmission</t>
  </si>
  <si>
    <t>Op Exp.-RTO/ISO</t>
  </si>
  <si>
    <t>Op Exp.-Distribution</t>
  </si>
  <si>
    <t>Op Exp.-Consumer Accounts</t>
  </si>
  <si>
    <t>Op Exp.-Customer Service</t>
  </si>
  <si>
    <t>Op Exp.-Sales</t>
  </si>
  <si>
    <t>Op Exp.-Admin and General</t>
  </si>
  <si>
    <t>Maint. Exp.-Production</t>
  </si>
  <si>
    <t>Maint. Exp.-Transmission</t>
  </si>
  <si>
    <t>Maint. Exp.-RTO/ISO</t>
  </si>
  <si>
    <t>Maint. Exp.-Distribution</t>
  </si>
  <si>
    <t>Maint. Exp.-General Plant</t>
  </si>
  <si>
    <t xml:space="preserve">108.1 Depr Rsv. of Steam Plant </t>
  </si>
  <si>
    <t>108.2 Depr Rsv. of Nuclear Plant</t>
  </si>
  <si>
    <t>108.3 Depr Rsv. of Hydraulic Plant</t>
  </si>
  <si>
    <t>108.4 Depr Rsv. of Other Prod Plant</t>
  </si>
  <si>
    <t>111 Amort. of Electric Plant in Service</t>
  </si>
  <si>
    <t>115 Amort. of Acquisition Adj.</t>
  </si>
  <si>
    <t>Distribution Wages &amp; Salaries</t>
  </si>
  <si>
    <t>Other Elect Revenue-Admin Fee Trans Interconnect Study</t>
  </si>
  <si>
    <t>Direct</t>
  </si>
  <si>
    <t>560 Supervision and Engineering</t>
  </si>
  <si>
    <t>561 Load Dispatching</t>
  </si>
  <si>
    <t>562 Station Expenses</t>
  </si>
  <si>
    <t>563 Overhead Line Expenses</t>
  </si>
  <si>
    <t>564 Underground Line Expenses</t>
  </si>
  <si>
    <t>566 Miscellaneous Expenses</t>
  </si>
  <si>
    <t>565 Transmission of Electricity by others</t>
  </si>
  <si>
    <t>567 Rents</t>
  </si>
  <si>
    <t>568 Supervision and Engineering</t>
  </si>
  <si>
    <t>569 Structures</t>
  </si>
  <si>
    <t>570 Station Equipment</t>
  </si>
  <si>
    <t>571 Overhead Lines</t>
  </si>
  <si>
    <t>572 Underground Lines</t>
  </si>
  <si>
    <t>573 Miscellaneous Transmission Plant</t>
  </si>
  <si>
    <t>575.1-575.8 RTO/ISO Expense - Operation</t>
  </si>
  <si>
    <t xml:space="preserve">576.1-576.5 RTO/ISO Expense - Maintenance </t>
  </si>
  <si>
    <t>SPP Upgrades</t>
  </si>
  <si>
    <t>Return on Rate Base</t>
  </si>
  <si>
    <t>General Plant</t>
  </si>
  <si>
    <t>Line</t>
  </si>
  <si>
    <t>Project</t>
  </si>
  <si>
    <t>Depreciation</t>
  </si>
  <si>
    <t>Factor</t>
  </si>
  <si>
    <t>Charge</t>
  </si>
  <si>
    <t>1a</t>
  </si>
  <si>
    <t>1b</t>
  </si>
  <si>
    <t>1c</t>
  </si>
  <si>
    <t>1d</t>
  </si>
  <si>
    <t>1e</t>
  </si>
  <si>
    <t>1f</t>
  </si>
  <si>
    <t>1g</t>
  </si>
  <si>
    <t>…</t>
  </si>
  <si>
    <t>Depreciation Rates</t>
  </si>
  <si>
    <t>Reconciliation Items, Refunds and Surcharges</t>
  </si>
  <si>
    <t>ERROR IDENTIFICATION</t>
  </si>
  <si>
    <t>Formula Reference</t>
  </si>
  <si>
    <t>Incorrect Amount</t>
  </si>
  <si>
    <t>Correct Amount</t>
  </si>
  <si>
    <t>Difference (Cred)/ Chg</t>
  </si>
  <si>
    <t>Impact on ATRR (Cred)/Chg</t>
  </si>
  <si>
    <t>Total Adjustment to ATRR</t>
  </si>
  <si>
    <t>Total Adjustment to Gross ATRR:</t>
  </si>
  <si>
    <t>Total Adjustment to SPP Regional Projects' ATRR:</t>
  </si>
  <si>
    <t>Notes:</t>
  </si>
  <si>
    <t>Structures &amp; Improvements</t>
  </si>
  <si>
    <t>Poles &amp; Fixtures</t>
  </si>
  <si>
    <t>Underground Conduit</t>
  </si>
  <si>
    <t>Distribution Plant Structures</t>
  </si>
  <si>
    <t>Distribution Plant Station Equipment</t>
  </si>
  <si>
    <t>Stores Equipment</t>
  </si>
  <si>
    <t>Tools, Shop and Garage Equipment</t>
  </si>
  <si>
    <t>Power Operated Equipment</t>
  </si>
  <si>
    <t>Communications Equipment</t>
  </si>
  <si>
    <t>Miscellaneous</t>
  </si>
  <si>
    <t>363-374 Other Distribution Plant</t>
  </si>
  <si>
    <t>Regulatory and Commission Expenses</t>
  </si>
  <si>
    <t>Page 10</t>
  </si>
  <si>
    <t>Account 928 Expenses - SPP</t>
  </si>
  <si>
    <t>Account 928 Expenses - Non-SPP</t>
  </si>
  <si>
    <t>Worksheet H</t>
  </si>
  <si>
    <t>Worksheet I</t>
  </si>
  <si>
    <t>Worksheet J</t>
  </si>
  <si>
    <t>Summary</t>
  </si>
  <si>
    <t>Account</t>
  </si>
  <si>
    <t>Worksheet K</t>
  </si>
  <si>
    <t>Function</t>
  </si>
  <si>
    <t>Direct Labor</t>
  </si>
  <si>
    <t>Sick, Vacation, Option, Holiday</t>
  </si>
  <si>
    <t>Benefits</t>
  </si>
  <si>
    <t>Total Labor Expense</t>
  </si>
  <si>
    <t xml:space="preserve">Expenses </t>
  </si>
  <si>
    <t>Production</t>
  </si>
  <si>
    <t>Distribution</t>
  </si>
  <si>
    <t>Transmission O&amp;M - Acct 561 - Load Dispatch</t>
  </si>
  <si>
    <t>561.00 Operations</t>
  </si>
  <si>
    <t>561.20 Transmission</t>
  </si>
  <si>
    <t>561.25 South Trans</t>
  </si>
  <si>
    <t>Totals</t>
  </si>
  <si>
    <t>Notes</t>
  </si>
  <si>
    <t>45400</t>
  </si>
  <si>
    <t>Rent from Electric Property</t>
  </si>
  <si>
    <t>45400_RCL</t>
  </si>
  <si>
    <t>45410</t>
  </si>
  <si>
    <t>Rent - Leasing Contract - Basin Electric</t>
  </si>
  <si>
    <t>45415</t>
  </si>
  <si>
    <t>Rent from Southern Electric Property</t>
  </si>
  <si>
    <t>45600</t>
  </si>
  <si>
    <t>Other Electric Revenues</t>
  </si>
  <si>
    <t>45601</t>
  </si>
  <si>
    <t>Other Electric Revenues - TSP Wheeling</t>
  </si>
  <si>
    <t>45610</t>
  </si>
  <si>
    <t>Other Electric Revenues - Advanced Revenue Amortization - WAPA Transmission (Dolores Project)</t>
  </si>
  <si>
    <t>45611</t>
  </si>
  <si>
    <t>Other Electric Revenues - Advanced Revenue Amortization - Ptarmigan Wheeling</t>
  </si>
  <si>
    <t>45612</t>
  </si>
  <si>
    <t>Other Electric Revenue - Navopache Buyout</t>
  </si>
  <si>
    <t>45620</t>
  </si>
  <si>
    <t>Other Electric Revenues - Aggregate NTWK SVC - North</t>
  </si>
  <si>
    <t>45621</t>
  </si>
  <si>
    <t>Other Electric Revenues - Aggregate NTWK SVCS - South</t>
  </si>
  <si>
    <t>45622</t>
  </si>
  <si>
    <t>Other Electric Revenue - Aggregate NTWK SVC - North OFFSET</t>
  </si>
  <si>
    <t>45623</t>
  </si>
  <si>
    <t>Other Electric Revenue- Aggregate NTWK SVC - South OFFSET</t>
  </si>
  <si>
    <t>45690</t>
  </si>
  <si>
    <t>Other Electric Revenues - Wheeling</t>
  </si>
  <si>
    <t>45691</t>
  </si>
  <si>
    <t>Other Electric Revenue - Wapa Transmission (Dolores Project)</t>
  </si>
  <si>
    <t>45692</t>
  </si>
  <si>
    <t>Other Electric Revenue - Ptarmigan Wheeling</t>
  </si>
  <si>
    <t>45693</t>
  </si>
  <si>
    <t>Southern Wheeling Revenues</t>
  </si>
  <si>
    <t>45695</t>
  </si>
  <si>
    <t>Other Electric Revenue-OATT Northern</t>
  </si>
  <si>
    <t>45696</t>
  </si>
  <si>
    <t>Other Electric Revenue - OATT Southern</t>
  </si>
  <si>
    <t>45697</t>
  </si>
  <si>
    <t>Other Electric Revenue - TS Mktg North OATT offset</t>
  </si>
  <si>
    <t>45698</t>
  </si>
  <si>
    <t>Other Electric Revenue - TS Mktg South OATT offset</t>
  </si>
  <si>
    <t>45630</t>
  </si>
  <si>
    <t>Other Electric Revenue - Gain/Loss on Sale of Nat'l Gas</t>
  </si>
  <si>
    <t>45420</t>
  </si>
  <si>
    <t>Rent from Electric Property excel</t>
  </si>
  <si>
    <t>45425</t>
  </si>
  <si>
    <t>Rent from Electric Property shell</t>
  </si>
  <si>
    <t>45660</t>
  </si>
  <si>
    <t>Other Electric Revenue - Administrative Fee - TSR</t>
  </si>
  <si>
    <t>45900</t>
  </si>
  <si>
    <t>Revenue - Sale of Non-Member RECs</t>
  </si>
  <si>
    <t>45910</t>
  </si>
  <si>
    <t>Revenue - Sale of Member REC - BP #117</t>
  </si>
  <si>
    <t>45616</t>
  </si>
  <si>
    <t>Revenues from Transmission of Electricity of Others-ST Firm&amp;Non-Firm</t>
  </si>
  <si>
    <t>45615</t>
  </si>
  <si>
    <t>Revenues from Transmission of Electricity of Others-LT Firm</t>
  </si>
  <si>
    <t>Total Other Operating Revenue and Income</t>
  </si>
  <si>
    <t>Summary:</t>
  </si>
  <si>
    <t>Rent from Property</t>
  </si>
  <si>
    <t>Other Elect Rev</t>
  </si>
  <si>
    <t>Other Revenues</t>
  </si>
  <si>
    <t>Worksheet N</t>
  </si>
  <si>
    <t>Beginning of Year Investment</t>
  </si>
  <si>
    <t>Year End Investment</t>
  </si>
  <si>
    <t>Facility No.</t>
  </si>
  <si>
    <t>Asset No.</t>
  </si>
  <si>
    <t>Production Future Use Assets</t>
  </si>
  <si>
    <t>0051</t>
  </si>
  <si>
    <t>Lot 6 Pole Creek Preserve 35.20 Acres</t>
  </si>
  <si>
    <t>Lot 7 Pole Creek Preserve 35.20 Acres</t>
  </si>
  <si>
    <t>Bradshaw Farm (50% of cost)</t>
  </si>
  <si>
    <t>125 Mile Road Farm</t>
  </si>
  <si>
    <t>Willaim Monks Farm</t>
  </si>
  <si>
    <t>San Luis Valley 230/115 kV Tran Sub</t>
  </si>
  <si>
    <t>North Fork 345/115 kV Tran Sub</t>
  </si>
  <si>
    <t>Calumet Substation Site</t>
  </si>
  <si>
    <t>Ute Substation on Ute Reservation</t>
  </si>
  <si>
    <t>Norwood Substation Site</t>
  </si>
  <si>
    <t>Rifle Substation and RSJ Line Easement</t>
  </si>
  <si>
    <t>Raniey Property</t>
  </si>
  <si>
    <t>Easement for 115kV Line on Ute Reservation</t>
  </si>
  <si>
    <t>Subtotal Transmission Future Use Assets</t>
  </si>
  <si>
    <t>Distribution Future Use Assets</t>
  </si>
  <si>
    <t>General Plant Future Use Assets</t>
  </si>
  <si>
    <t>Intangible Plant Future Use Assets</t>
  </si>
  <si>
    <t>Total Plant Held for Future Use</t>
  </si>
  <si>
    <t>Worksheet O</t>
  </si>
  <si>
    <t>Acct 565 - Transmission of Electricity by Others</t>
  </si>
  <si>
    <t>Account Description</t>
  </si>
  <si>
    <t>Transmission of Electricity by Others</t>
  </si>
  <si>
    <t>Wheeling - Member Loads</t>
  </si>
  <si>
    <t>South System Transmission</t>
  </si>
  <si>
    <t>Wheeling - Nonmember Loads</t>
  </si>
  <si>
    <t>Transmission of Electricity Northern Off System OATT</t>
  </si>
  <si>
    <t>Transmission of Electricity Southern Off system OATT</t>
  </si>
  <si>
    <t>Transmission of Electricity by Others - Aggregate NTWK SVC - North</t>
  </si>
  <si>
    <t>Transmission of Electricity by Other - Aggregate NTWK SVC - South</t>
  </si>
  <si>
    <t>Transmission of Electricity by Others - Aggregate NTWK SVC - North OFFSET</t>
  </si>
  <si>
    <t>Transmission of Electricity by Others - Aggregate NTWK SVC - South OFFSET- EXPENSE</t>
  </si>
  <si>
    <t>Total Account 565</t>
  </si>
  <si>
    <t>Worksheet P</t>
  </si>
  <si>
    <t>Worksheet Q</t>
  </si>
  <si>
    <t>Fac ID</t>
  </si>
  <si>
    <t>Work order</t>
  </si>
  <si>
    <t xml:space="preserve">Facility </t>
  </si>
  <si>
    <t>SPP Eligible:</t>
  </si>
  <si>
    <t>Yes</t>
  </si>
  <si>
    <t>No</t>
  </si>
  <si>
    <t xml:space="preserve">Amount </t>
  </si>
  <si>
    <t>Comments</t>
  </si>
  <si>
    <t>INSTRUMENT TRANSFORMERS 2013-2016</t>
  </si>
  <si>
    <t>RELAY REPLACEMENTS 2013-2016</t>
  </si>
  <si>
    <t>BREAKER REPLACEMENTS 2013-2016</t>
  </si>
  <si>
    <t>SUBSTATION YARD IMPROVE 2013-2016</t>
  </si>
  <si>
    <t>106 SPP Completed Not Classified Total</t>
  </si>
  <si>
    <t>Worksheet R</t>
  </si>
  <si>
    <t>Project Description</t>
  </si>
  <si>
    <t>Approval Docket</t>
  </si>
  <si>
    <t>Recovery Approved (Note A)</t>
  </si>
  <si>
    <t>Pricing Zone (Note B)</t>
  </si>
  <si>
    <t>Project ID</t>
  </si>
  <si>
    <t>Construction Start Date</t>
  </si>
  <si>
    <t>In-Service Date (Estimated)</t>
  </si>
  <si>
    <t>BOY Balance</t>
  </si>
  <si>
    <t>EOY Balance</t>
  </si>
  <si>
    <t>Zone 17</t>
  </si>
  <si>
    <t>Circuit Switcher &amp; Discs 2013-2016</t>
  </si>
  <si>
    <t>STRUCTURE REPLACEMENTS 2013-2016</t>
  </si>
  <si>
    <t xml:space="preserve">Accounting procedures must be provided during the annual update to ensure that there is no duplicate recovery of </t>
  </si>
  <si>
    <t>CWIP and corresponding AFUDC capitalized.</t>
  </si>
  <si>
    <t>Worksheet S</t>
  </si>
  <si>
    <t>Account 928</t>
  </si>
  <si>
    <t>Non-SPP Expenses</t>
  </si>
  <si>
    <t>SPP Expenses</t>
  </si>
  <si>
    <t>Worksheet T</t>
  </si>
  <si>
    <t>Retirement Work in Progress</t>
  </si>
  <si>
    <t>Page 12</t>
  </si>
  <si>
    <t>Page 13</t>
  </si>
  <si>
    <t>Page 14</t>
  </si>
  <si>
    <t>Page 15</t>
  </si>
  <si>
    <t>Annual Depreciation Expense</t>
  </si>
  <si>
    <t>West</t>
  </si>
  <si>
    <t xml:space="preserve">West </t>
  </si>
  <si>
    <t>Total Depr Reserves for Electric Plant</t>
  </si>
  <si>
    <t>Facility</t>
  </si>
  <si>
    <t>Workorder</t>
  </si>
  <si>
    <t>Amount</t>
  </si>
  <si>
    <t>X</t>
  </si>
  <si>
    <t>100% SPP</t>
  </si>
  <si>
    <t>0% SPP</t>
  </si>
  <si>
    <t>SPP Portion if Less than 100%</t>
  </si>
  <si>
    <t>Partial (%)</t>
  </si>
  <si>
    <t>Lines (a)</t>
  </si>
  <si>
    <t>Includable in Rate Base 
(Note C) 
(Col D * Col K)</t>
  </si>
  <si>
    <t>Total CP Load - East</t>
  </si>
  <si>
    <t>Worksheet U</t>
  </si>
  <si>
    <t>Worksheet V</t>
  </si>
  <si>
    <t>SPP Qualified Transmission Substations</t>
  </si>
  <si>
    <t>SPP Qualified Transmission Lines</t>
  </si>
  <si>
    <t>SPP 106 BoY</t>
  </si>
  <si>
    <t>SPP 106 EoY</t>
  </si>
  <si>
    <t>BoY Balance</t>
  </si>
  <si>
    <t>EoY Balance</t>
  </si>
  <si>
    <t>Rate Year 
(A)</t>
  </si>
  <si>
    <t>Calculated Interest 
(B)</t>
  </si>
  <si>
    <t>12</t>
  </si>
  <si>
    <t>B.) Each ATRR adjustment shall include interest based on Section 35.19a of the Commission Regulations.</t>
  </si>
  <si>
    <t>Period Start</t>
  </si>
  <si>
    <t>Period Ending</t>
  </si>
  <si>
    <t>Year description</t>
  </si>
  <si>
    <t>Beginning Balance</t>
  </si>
  <si>
    <t>Accumulation or Payback</t>
  </si>
  <si>
    <t>FERC Annual Interest Rate</t>
  </si>
  <si>
    <t>Quarterly Interest Amount</t>
  </si>
  <si>
    <t>Ending Balance</t>
  </si>
  <si>
    <t>Interest calculation for Item #1</t>
  </si>
  <si>
    <t>Rate Year</t>
  </si>
  <si>
    <t>True-Up Year</t>
  </si>
  <si>
    <t>Interest calculation for Item #2…</t>
  </si>
  <si>
    <t>(Repeat interest calculation for other items as necessary.)</t>
  </si>
  <si>
    <t>Schedule 1</t>
  </si>
  <si>
    <t>Adjustments To SPP Regional Projects' ATRR Due To Corrections</t>
  </si>
  <si>
    <t>Adjustments To ATRR Due To Error Corrections</t>
  </si>
  <si>
    <t>105 Electric Plant Held for Future Use - General</t>
  </si>
  <si>
    <t>105 Electric Plant Held for Future Use - Intangible</t>
  </si>
  <si>
    <t>Total Company Amount</t>
  </si>
  <si>
    <t>Description of Asset</t>
  </si>
  <si>
    <t>Type of Asset</t>
  </si>
  <si>
    <t>% of asset included in Tri-State's Zone 17 ATRR</t>
  </si>
  <si>
    <t>Transmission Substation</t>
  </si>
  <si>
    <t>Transmission Line</t>
  </si>
  <si>
    <t>Amount included in Tri-State's ATRR</t>
  </si>
  <si>
    <t>East ATRR</t>
  </si>
  <si>
    <t>Total Company EOY</t>
  </si>
  <si>
    <t>N/A</t>
  </si>
  <si>
    <t xml:space="preserve">H </t>
  </si>
  <si>
    <t xml:space="preserve">the capital structure listed in Column (f). In the case where Tri-State's actual Margins and Equities percentage is above 68.86 percent, Column (h) should be populated with the </t>
  </si>
  <si>
    <t xml:space="preserve">capital structure listed in Column (g). </t>
  </si>
  <si>
    <t xml:space="preserve">Debt and Notes Payable is calculated by dividing the interest expense in Column (i) by the total amount in Column (d). The ROE listed in Column (j) reflects the addition of 50 basis </t>
  </si>
  <si>
    <t>points for RTO participation per Docket No. ER16-204-000.</t>
  </si>
  <si>
    <t>Actual Cap Structure Weight (Note A)</t>
  </si>
  <si>
    <t>Low Hypothetical Equity (Note A)</t>
  </si>
  <si>
    <t>High Hypothetical Equity (Note A)</t>
  </si>
  <si>
    <t>Applied Cap Structure (Note B)</t>
  </si>
  <si>
    <t>Cost of Capital (Note C)</t>
  </si>
  <si>
    <t>Weighted Rate of Return (Note D)</t>
  </si>
  <si>
    <t>Notes Payable (Note E)</t>
  </si>
  <si>
    <t>SPP P2P Wheeling</t>
  </si>
  <si>
    <t>SPP P2P Schedule 1</t>
  </si>
  <si>
    <t>Key</t>
  </si>
  <si>
    <t>Account Number</t>
  </si>
  <si>
    <t>Land and Land Rights</t>
  </si>
  <si>
    <t>Tower and Fixtures</t>
  </si>
  <si>
    <t>Poles and Fixtures</t>
  </si>
  <si>
    <t>Roads and Trails</t>
  </si>
  <si>
    <t>Overhead Conductors and Devices</t>
  </si>
  <si>
    <t>Structures and Improvements</t>
  </si>
  <si>
    <t>Underground Conductor and Devices</t>
  </si>
  <si>
    <t>Total  Company Amount</t>
  </si>
  <si>
    <t>Completed Construction Not Classified</t>
  </si>
  <si>
    <t>Project Accumulated</t>
  </si>
  <si>
    <t>Project Net</t>
  </si>
  <si>
    <t>Fixed Charge</t>
  </si>
  <si>
    <t>Project Carrying</t>
  </si>
  <si>
    <t>Project Revenue</t>
  </si>
  <si>
    <t xml:space="preserve">Project Name and No. </t>
  </si>
  <si>
    <t>Type (Line or Sub)</t>
  </si>
  <si>
    <t>Gross Plant</t>
  </si>
  <si>
    <t>Plant</t>
  </si>
  <si>
    <t>Rate</t>
  </si>
  <si>
    <t>Requirement</t>
  </si>
  <si>
    <t>(Note A)</t>
  </si>
  <si>
    <t>(Note B)</t>
  </si>
  <si>
    <t>(Note C)</t>
  </si>
  <si>
    <t>(Note D)</t>
  </si>
  <si>
    <t>(Note E)</t>
  </si>
  <si>
    <t>Total SPP Upgrade Revenue Requirements (sum lines 1a-1xx)</t>
  </si>
  <si>
    <r>
      <rPr>
        <u/>
        <sz val="10"/>
        <color theme="1"/>
        <rFont val="Arial"/>
        <family val="2"/>
      </rPr>
      <t>Notes</t>
    </r>
    <r>
      <rPr>
        <sz val="10"/>
        <color theme="1"/>
        <rFont val="Arial"/>
        <family val="2"/>
      </rPr>
      <t>:</t>
    </r>
  </si>
  <si>
    <t>DIRECT EXPENSE AMOUNTS</t>
  </si>
  <si>
    <t>ASSOCIATED LOAD DISPATCHING COSTS</t>
  </si>
  <si>
    <t>Expenses</t>
  </si>
  <si>
    <t>Total Company Customer Accounting Expense</t>
  </si>
  <si>
    <t>T-Wage2</t>
  </si>
  <si>
    <t>Total Company Administrative &amp; General Expenses</t>
  </si>
  <si>
    <t>Total Company General Plant Depreciation Expense</t>
  </si>
  <si>
    <t>Total Company Intangible Plant Amortization Expense</t>
  </si>
  <si>
    <t>Total Expenses</t>
  </si>
  <si>
    <t>Return on General &amp; Intangible Plant</t>
  </si>
  <si>
    <t>Total Company Net Intangible Plant in Service</t>
  </si>
  <si>
    <t>Total Company Net General Plant in Service</t>
  </si>
  <si>
    <t>Total General &amp; Intangible Plant</t>
  </si>
  <si>
    <t>Weighted Rate of Return</t>
  </si>
  <si>
    <t>SCHEDULE 1 REVENUE REQUIREMENT</t>
  </si>
  <si>
    <t>Net Schedule 1 Revenue Requirement for Zone</t>
  </si>
  <si>
    <t>Load Dispatching Wages and Salaries</t>
  </si>
  <si>
    <t>Total Wages and Salaries</t>
  </si>
  <si>
    <t>Direct100</t>
  </si>
  <si>
    <t>Schedule 1 Wages &amp; Salaries Allocator</t>
  </si>
  <si>
    <t>T-Wage2 =</t>
  </si>
  <si>
    <t>Account No.</t>
  </si>
  <si>
    <t>Annual Expense Amount</t>
  </si>
  <si>
    <t>% Included in SPP</t>
  </si>
  <si>
    <t>Total 575.1-575.8 RTO/ISO Expense - Operation (sum lines 1a-1xx) (Note A)</t>
  </si>
  <si>
    <t>576.1-576.5 RTO/ISO Expense - Maintenance</t>
  </si>
  <si>
    <t>3a</t>
  </si>
  <si>
    <t>3b</t>
  </si>
  <si>
    <t>576.1-576.5 RTO/ISO Expense - Maintenance (sum lines 3a-3xx) (Note B)</t>
  </si>
  <si>
    <t>accounting procedures to the RUS Form 12 or Uniform System of Accounts, which would classify amounts in these accounts</t>
  </si>
  <si>
    <t>SPP BOY</t>
  </si>
  <si>
    <t>SPP EOY</t>
  </si>
  <si>
    <t>SPP Transmission</t>
  </si>
  <si>
    <t>Amount (Avg)</t>
  </si>
  <si>
    <t>Expense</t>
  </si>
  <si>
    <t>Towers and Fixtures</t>
  </si>
  <si>
    <t>O/H Conductor &amp; Devices</t>
  </si>
  <si>
    <t>Underground Cables</t>
  </si>
  <si>
    <t>Total Transmission Depreciation Expense</t>
  </si>
  <si>
    <t>SPP Zone 17</t>
  </si>
  <si>
    <t>BOY Amount</t>
  </si>
  <si>
    <t>EOY Amount</t>
  </si>
  <si>
    <t>Personal Computers</t>
  </si>
  <si>
    <t>Furniture</t>
  </si>
  <si>
    <t>Office Equipment</t>
  </si>
  <si>
    <t>Computer Hardware</t>
  </si>
  <si>
    <t>LRS Office Equipment</t>
  </si>
  <si>
    <t>EMS Office Equipment</t>
  </si>
  <si>
    <t xml:space="preserve">EMS Computer Equipment </t>
  </si>
  <si>
    <t>CO41 OWNED AT JMS</t>
  </si>
  <si>
    <t>SOFTWARE</t>
  </si>
  <si>
    <t>Plains Furniture and Equipment</t>
  </si>
  <si>
    <t xml:space="preserve">Transportation Equipment </t>
  </si>
  <si>
    <t>Airplane</t>
  </si>
  <si>
    <t>Snow Cats/Trailers</t>
  </si>
  <si>
    <t>LRSVehicles</t>
  </si>
  <si>
    <t>Plains Transportation Equipment</t>
  </si>
  <si>
    <t>Diesel Trucks</t>
  </si>
  <si>
    <t>Craig- Fuel Vehicles</t>
  </si>
  <si>
    <t>Craig- Maintenance Vehicles</t>
  </si>
  <si>
    <t>Craig- Operating Vehicles</t>
  </si>
  <si>
    <t>Pickups</t>
  </si>
  <si>
    <t>Autos</t>
  </si>
  <si>
    <t>Lab &amp; Testing Equipment</t>
  </si>
  <si>
    <t>Total General Depreciation Expense</t>
  </si>
  <si>
    <t>Intangible Plant</t>
  </si>
  <si>
    <t>Total Intangible Amortization Expense</t>
  </si>
  <si>
    <t xml:space="preserve">Depreciation Expense-Trans </t>
  </si>
  <si>
    <t>Total Working Capital and Adjustments</t>
  </si>
  <si>
    <t>Reconciliation Adjustments - Gross ATRR</t>
  </si>
  <si>
    <t>Reconciliation Adjustments - SPP Upgrades</t>
  </si>
  <si>
    <t>Net Annual Transmission Revenue Requirement</t>
  </si>
  <si>
    <t>Distribution Plant</t>
  </si>
  <si>
    <t>OFFICE FURNITURE EQUIPMENT</t>
  </si>
  <si>
    <t xml:space="preserve">TRANSPORTATION EQUIPMENT </t>
  </si>
  <si>
    <t>Account 575/576 Expenses</t>
  </si>
  <si>
    <t>Summary of Total ATRR Revenue Requirement</t>
  </si>
  <si>
    <t>Schedule 1 Revenue Requirements</t>
  </si>
  <si>
    <t>Inputs</t>
  </si>
  <si>
    <t>Page 11</t>
  </si>
  <si>
    <t>Page 23</t>
  </si>
  <si>
    <t>Page 24</t>
  </si>
  <si>
    <t>Total Schedule 1</t>
  </si>
  <si>
    <t>Total Associated Load Dispatching Costs</t>
  </si>
  <si>
    <r>
      <rPr>
        <u/>
        <sz val="11"/>
        <color theme="1"/>
        <rFont val="Arial"/>
        <family val="2"/>
      </rPr>
      <t>Notes</t>
    </r>
    <r>
      <rPr>
        <sz val="11"/>
        <color theme="1"/>
        <rFont val="Arial"/>
        <family val="2"/>
      </rPr>
      <t>:</t>
    </r>
  </si>
  <si>
    <t>Col D - Col E</t>
  </si>
  <si>
    <t>Col D * Col G</t>
  </si>
  <si>
    <t>H + I + J</t>
  </si>
  <si>
    <t>Fixed Charge Rate = (A - B - C - D) / E</t>
  </si>
  <si>
    <t>Depreciation/Amortization Rate (Note A)</t>
  </si>
  <si>
    <t xml:space="preserve">Plains Furniture and Equipment </t>
  </si>
  <si>
    <t>Heavy Duty Trucks</t>
  </si>
  <si>
    <t>Gross Revenue Requirement (A):</t>
  </si>
  <si>
    <t>Transmission Plant Depreciation Expense (B):</t>
  </si>
  <si>
    <t>Return on Transmission Plant in Service (C):</t>
  </si>
  <si>
    <t>Revenue Credits (D):</t>
  </si>
  <si>
    <t>Gross Transmission Plant (E):</t>
  </si>
  <si>
    <t>Average Balance 
(Col I through J) / 2</t>
  </si>
  <si>
    <t>Miscellaneous Intangible</t>
  </si>
  <si>
    <t>Account (A)</t>
  </si>
  <si>
    <t>MBPP - NETS (B)</t>
  </si>
  <si>
    <t>NPPD - NETS (C)</t>
  </si>
  <si>
    <t>A.) Source: Company Records</t>
  </si>
  <si>
    <t>B.) MBPP - NETS:  NPPD Transmission payments under 496 GFA</t>
  </si>
  <si>
    <t>C.) NPPD - NETS:  NPPD Equalization payment under 494 GFA</t>
  </si>
  <si>
    <t xml:space="preserve">A.) Transmission-related projects only. </t>
  </si>
  <si>
    <t>B.) Must reflect an average of BOY and EOY balances.</t>
  </si>
  <si>
    <t>E.) Project return must reflect the weighted cost of capital listed on Worksheet C, line 5, column K.</t>
  </si>
  <si>
    <t>Worksheet M</t>
  </si>
  <si>
    <t xml:space="preserve">A.) The capital structure listed in Column (e) is calculated based on total capitalization amounts listed in Column (d). The capital structures listed in Columns (f) and (g) are fixed and cannot </t>
  </si>
  <si>
    <t xml:space="preserve">D.) Column (k) values for lines 2-4 equal Column (h) values multiplied by Column (j) values. </t>
  </si>
  <si>
    <t>E.) Only populate if the balance is greater than zero.</t>
  </si>
  <si>
    <t>F.) RUSFOR, Part A, Sect A, L24b for long term debt and RUSFOR, Part A, Sect A, L26b for notes payable.</t>
  </si>
  <si>
    <t>C.) Fixed Charge Rate equals gross revenue requirement (Summary Page, line 2) less transmission depreciation expense (Worksheet B, line 31), less revenue credits (Summary page 1, line 8)</t>
  </si>
  <si>
    <t>divided by gross transmission plant (Worksheet A, line 12, column J):</t>
  </si>
  <si>
    <t>Page 7</t>
  </si>
  <si>
    <t>Page 8</t>
  </si>
  <si>
    <t>Page 9</t>
  </si>
  <si>
    <t>Page 16</t>
  </si>
  <si>
    <t>Page 17</t>
  </si>
  <si>
    <t>Page 18</t>
  </si>
  <si>
    <t>Page 19</t>
  </si>
  <si>
    <t>Page 20</t>
  </si>
  <si>
    <t>Page 21</t>
  </si>
  <si>
    <t>Page 22</t>
  </si>
  <si>
    <t xml:space="preserve">Tri-State Generation &amp; Transmission Association, Inc. </t>
  </si>
  <si>
    <t>= Shaded cell, denoting manual input</t>
  </si>
  <si>
    <t xml:space="preserve">Summary </t>
  </si>
  <si>
    <t>Average Balance</t>
  </si>
  <si>
    <t>A.) Source: RUSFOR, Part I.</t>
  </si>
  <si>
    <t>C.) Interest Note:  The example interest calculation may need to be modified to recognize the implementation partial year.</t>
  </si>
  <si>
    <t>A.) Rate Year in which the error occurred and affected the ATRR and rates paid by customers.</t>
  </si>
  <si>
    <t>C.) Amounts listed on lines 1a-1xx and 3a-3xx are only eligible for inclusion in SPP Zone 17 ATRR following a change in</t>
  </si>
  <si>
    <t>A.) Source: Acct 106 xx.xlsx spreadsheet.</t>
  </si>
  <si>
    <t>A.) Percentage recovery cannot be added or changed absent approval from FERC.</t>
  </si>
  <si>
    <t>B.) CWIP amounts should be directly assigned to pricing zones in Column E.</t>
  </si>
  <si>
    <t>C.) AFUDC ceases when CWIP is recovered in rate base.  No CWIP will be included in rate base absent FERC authorization.</t>
  </si>
  <si>
    <t>Past Year &amp; Current RUSFOR, Part A, Section B, Line 26</t>
  </si>
  <si>
    <t>Past Year &amp; Current RUSFOR, Part A, Section B, Line 31</t>
  </si>
  <si>
    <t>Worksheet F, Line 70, Col F; Worksheet F Line 46 Col F If Balance is &gt;0</t>
  </si>
  <si>
    <t>RUSFOR, Part A, Sect A, L12b</t>
  </si>
  <si>
    <t>Worksheet F Line 107 Cols D -F and (Worksheet U Line 7 Cols K and M, Worksheet V Line 8 Cols K and M)/2</t>
  </si>
  <si>
    <t>Worksheet F Line 110 Cols D -F and Worksheet T Line 9 Col M</t>
  </si>
  <si>
    <t>Worksheet N Line 1</t>
  </si>
  <si>
    <t>Worksheet N Line 16</t>
  </si>
  <si>
    <t>Worksheet N Line 18</t>
  </si>
  <si>
    <t>Worksheet N Line 20</t>
  </si>
  <si>
    <t>Worksheet N Line 22</t>
  </si>
  <si>
    <t>SPP Amount</t>
  </si>
  <si>
    <t>40360 Depreciation Expense - General Plant</t>
  </si>
  <si>
    <t>40361 Depreciation Expense - EMS Equipment (Depreciation Accounts for 390 391 393 - 399)</t>
  </si>
  <si>
    <t>40369 Depreciation Expense - General Plant Southern</t>
  </si>
  <si>
    <t>40370 Depreciation Expense - Sedans, Compact Utility Vehicles, Compact Pick-ups</t>
  </si>
  <si>
    <t>40371 Depreciation Expense - Vans and Wagons</t>
  </si>
  <si>
    <t>40372 Depreciation Expense - Full-Size Pickups, Vans, Utility Vehicles</t>
  </si>
  <si>
    <t>40373 Depreciation Expense - Bucket Trucks, Diggers</t>
  </si>
  <si>
    <t>40374 Depreciation Expense - Company Aircraft</t>
  </si>
  <si>
    <t>40375 Depreciation Expense - Small Heavy Trucks</t>
  </si>
  <si>
    <t>40377 Depreciation Expense - Snowcats</t>
  </si>
  <si>
    <t>40378 Depreciation Expense - Equipment (Dozers, Backhoes, etc.)</t>
  </si>
  <si>
    <t>40388 Depreciation Expense - AROs</t>
  </si>
  <si>
    <t>40398 Depreciation Expense - AROs</t>
  </si>
  <si>
    <t xml:space="preserve"> General Plant Depreciation Expense</t>
  </si>
  <si>
    <t>40400 Amortization - Franchises and Consents (Amortization Account for 302)</t>
  </si>
  <si>
    <t>40409 Amortization of Lmtd Term Electric Plant Southern Franchises</t>
  </si>
  <si>
    <t>40500 Amortization of Other Electric Plant (Amortization Account for Deferred Debit Accounts)</t>
  </si>
  <si>
    <t>40509 Amortization of Other Electric Plant Southern</t>
  </si>
  <si>
    <t>40510 Amortization Miscellaneous Intangible Generation</t>
  </si>
  <si>
    <t>40530 Amortization-Miscellaneous Intangible Lines</t>
  </si>
  <si>
    <t>40540 Amortization-Miscellaneous Intangible Substations</t>
  </si>
  <si>
    <t>40600 Amortization of Electric Plant Acquisition Adjustments (Amortization Account for 114 301)</t>
  </si>
  <si>
    <t>40609 Amortization of Electric Plant Acquisition Adjust. Southern</t>
  </si>
  <si>
    <t>40700 Amortization of Property Losses Rollup</t>
  </si>
  <si>
    <t>Trial Balance</t>
  </si>
  <si>
    <t>Amortization of Property</t>
  </si>
  <si>
    <t>Worksheet L</t>
  </si>
  <si>
    <t>390 - Structures and Improvements</t>
  </si>
  <si>
    <t>391.1 - Personal Computers</t>
  </si>
  <si>
    <t>391.11 - Furniture</t>
  </si>
  <si>
    <t>391.12 - Office Equipment</t>
  </si>
  <si>
    <t>391.13 - Computer Hardware</t>
  </si>
  <si>
    <t>391.14 - LRS Office Equipment</t>
  </si>
  <si>
    <t>391.15 - EMS Office Equipment</t>
  </si>
  <si>
    <t xml:space="preserve">391.16 - EMS Computer Equipment </t>
  </si>
  <si>
    <t>391.17 - CO41 OWNED AT JMS</t>
  </si>
  <si>
    <t>391.18 - SOFTWARE</t>
  </si>
  <si>
    <t>391.19 - Plains Furniture and Equipment</t>
  </si>
  <si>
    <t xml:space="preserve">392.1 - Transportation Equipment </t>
  </si>
  <si>
    <t>392.11 - Airplane</t>
  </si>
  <si>
    <t>392.12 - Snow Cats/Trailers</t>
  </si>
  <si>
    <t>392.13 - LRSVehicles</t>
  </si>
  <si>
    <t>392.14 - Plains Transportation Equipment</t>
  </si>
  <si>
    <t>392.15 - Diesel Trucks</t>
  </si>
  <si>
    <t>392.16 - Craig- Fuel Vehicles</t>
  </si>
  <si>
    <t>392.17 - Craig- Maintenance Vehicles</t>
  </si>
  <si>
    <t>392.18 - Craig- Operating Vehicles</t>
  </si>
  <si>
    <t>392.19 - Pickups</t>
  </si>
  <si>
    <t>392.2 - Autos</t>
  </si>
  <si>
    <t>392.21 - Heavy Duty Trucks</t>
  </si>
  <si>
    <t>393 - Stores Equipment</t>
  </si>
  <si>
    <t>394 - Tools, Shop and Garage Equipment</t>
  </si>
  <si>
    <t>395 - Lab &amp; Testing Equipment</t>
  </si>
  <si>
    <t>396 - Power Operated Equipment</t>
  </si>
  <si>
    <t>397 - Communications Equipment</t>
  </si>
  <si>
    <t>398 - Miscellaneous</t>
  </si>
  <si>
    <t>303 - Miscellaneous Intangible</t>
  </si>
  <si>
    <t>Act section 205 or 206 filing. The addition or removal of columns and formulas contained with those columns cannot be changed absent a Federal Power Act section 205 or 206 filing.</t>
  </si>
  <si>
    <t>Worksheet P, Line 2 Col F</t>
  </si>
  <si>
    <t>Worksheet P, Line 4 Col F</t>
  </si>
  <si>
    <t>D.) Project depreciation expense must reflect the composite transmission depreciation rate on Worksheet L.</t>
  </si>
  <si>
    <t>BOY  Accumulated Depreciation</t>
  </si>
  <si>
    <t>EOY
Gross Plant Cost</t>
  </si>
  <si>
    <t xml:space="preserve">EOY
Accumulated Depreciation </t>
  </si>
  <si>
    <t>BOY
Gross Plant Cost</t>
  </si>
  <si>
    <t>BOY 
Accumulated Depreciation</t>
  </si>
  <si>
    <t>EOY
Accumulated Depreciation</t>
  </si>
  <si>
    <t xml:space="preserve">require a Federal Power Act section 205 or 206 filing. The addition or removal of columns and formulas contained with those columns cannot be changed absent a </t>
  </si>
  <si>
    <t>Federal Power Act section 205 or 206 filing.</t>
  </si>
  <si>
    <t>BOY
 Gross Plant Cost</t>
  </si>
  <si>
    <t>Worksheet F, Line 96 Col F and Worksheet Q Line 12 Col L</t>
  </si>
  <si>
    <t>Worksheet F Line 100 Cols D thru F and Worksheet R Line 15 Cols L</t>
  </si>
  <si>
    <t>filing.</t>
  </si>
  <si>
    <t>Power Act section 205 or 206 filing. The addition or removal of columns and formulas contained with those columns cannot be changed absent a Federal Power Act section 205 or 206</t>
  </si>
  <si>
    <t xml:space="preserve">B.) The addition of new lines and the removal of outdated lines necessary to populate or remove data in the work paper with the changes in future years does not require a Federal Power </t>
  </si>
  <si>
    <t xml:space="preserve">D.) The addition of new lines and the removal of outdated lines necessary to populate or remove data in the work paper with the changes in future years does not require a Federal Power </t>
  </si>
  <si>
    <t>A.) The addition of new lines and the removal of outdated lines necessary to populate or remove data in the work paper with the changes in future years does not</t>
  </si>
  <si>
    <t xml:space="preserve">A.) The addition of new lines and the removal of outdated lines necessary to populate or remove data in the work paper with the changes in future years does not require a Federal Power </t>
  </si>
  <si>
    <t xml:space="preserve">D.) The addition of new lines and the removal of outdated lines necessary to populate or remove data in the work paper with the changes in future years does not require a Federal </t>
  </si>
  <si>
    <t xml:space="preserve">B.) In the case where Tri-State's actual capital structure (Column (e)) contains a Total Margins and Equities percentage between 35.24 percent and 68.86 percent, Column (h) should be </t>
  </si>
  <si>
    <t xml:space="preserve">populated with the actual capital structure. In the case where Tri-State's actual Margins and Equities percentage is below 35.24 percent, Column (h) should be populated with the </t>
  </si>
  <si>
    <t>be modified or deleted absent authorization from FERC via a Section 205 or 206 filing.</t>
  </si>
  <si>
    <t>C.) The Cost of Capital for Total Margins and Equities (ROE) is fixed and cannot be modified or deleted absent authorization from FERC via a Section 205 or 206 filing. The Cost of Capital for Long Term</t>
  </si>
  <si>
    <t>A.) These rates are fixed and cannot be changed absent authorization from FERC via a Section 205 or 206 filing.</t>
  </si>
  <si>
    <t xml:space="preserve">as eligible for transmission rate recovery. To the extent that this occurs, Tri-State may file a single-issue Section 205 filing with the </t>
  </si>
  <si>
    <t>F.) The addition of new lines and the removal of outdated lines necessary to populate or remove data in the work paper with the changes in future years does not</t>
  </si>
  <si>
    <t>D.) The addition of new lines and the removal of outdated lines necessary to populate or remove data in the work paper with the changes in future years does not</t>
  </si>
  <si>
    <t>40376 Depreciation Expense - Medium Trucks, Flatbeds, Knuckle Booms, Etc.</t>
  </si>
  <si>
    <t>General and Intangible Plant Inputs</t>
  </si>
  <si>
    <t xml:space="preserve">Commission to seek recovery of these amounts in Zone 17 rates. Tri-State may not include any costs absent authorization from FERC via a Section 205 or 206 filing. </t>
  </si>
  <si>
    <t>A.) The total on line 2, column D must reconcile to the amounts shown on RUSFOR.</t>
  </si>
  <si>
    <t>B.) The total on line 4, column D must reconcile to the amounts shown on RUSFOR.</t>
  </si>
  <si>
    <t>UNPLANNED METERING SYSTEM PROJECTS</t>
  </si>
  <si>
    <t>Structure Replacements 2015 (3491 R&amp;E 2013-16)</t>
  </si>
  <si>
    <t>Relay Replacements 2015-( 3489 R&amp;E 2013-16)</t>
  </si>
  <si>
    <t>Substation Yard Improve 2015 (3492-R&amp;E 2013-2016)</t>
  </si>
  <si>
    <t>1622-3548</t>
  </si>
  <si>
    <t>1623-5639</t>
  </si>
  <si>
    <t>Capacitor RPL:Grant Capacitors Replacement</t>
  </si>
  <si>
    <t>Sidney costs are split 50/50 SPP and west</t>
  </si>
  <si>
    <t>Year Ending December 31, 2016</t>
  </si>
  <si>
    <t>FIELD FACILITY BANDWIDTH UPGRADES</t>
  </si>
  <si>
    <t>COMM SITE BATTERY &amp; GENERATOR REPLACE</t>
  </si>
  <si>
    <t>Instrument Transformers 2016 (3488 R&amp;E)</t>
  </si>
  <si>
    <t>RTU REPLACEMENTS &amp; UPGRADES</t>
  </si>
  <si>
    <t>PAXTON DISTRIBUTI0N SUB</t>
  </si>
  <si>
    <t>OGALLALA 115 KV SWITCHING STA</t>
  </si>
  <si>
    <t>SIDNEY 230 SUB (TRI-ST COSTS)</t>
  </si>
  <si>
    <t>Lamar (NE) 115kV Sub (Caps)</t>
  </si>
  <si>
    <t>SNAKE CREEK 115KV SWITCHING STA</t>
  </si>
  <si>
    <t>GRANT 115 KV SWITCHING STATION</t>
  </si>
  <si>
    <t>BLUE CREEK 115 KV SUBSTATION</t>
  </si>
  <si>
    <t>ENDERS 115 KV SUBSTATION</t>
  </si>
  <si>
    <t>LYNN 115 KV SUBSTATION</t>
  </si>
  <si>
    <t>WILDHORSE 115 KV SUBSTATION</t>
  </si>
  <si>
    <t>BOX BUTTE SUBSTATION</t>
  </si>
  <si>
    <t>ELSIE TAP</t>
  </si>
  <si>
    <t>OGALLALA (TS) TO ROSCOE 115 KV</t>
  </si>
  <si>
    <t>OGALLALA (TS) TO MCCONAUGHY 115</t>
  </si>
  <si>
    <t>BIG SPRINGS-BLUE CREEK 115 LN</t>
  </si>
  <si>
    <t>BOX BUTTE TO HEMINGFORD 115 KV</t>
  </si>
  <si>
    <t>CRETE TO ATHEY 115 KV LINE</t>
  </si>
  <si>
    <t>COVALT TO WILDHORSE 115 KV LN</t>
  </si>
  <si>
    <t>ELSIE TO PAXTON 115 KV LINE</t>
  </si>
  <si>
    <t>GRANT 1 TO SPRING CREEK 115 KV</t>
  </si>
  <si>
    <t>SPRING CREEK-LAMAR 115 KV LINE</t>
  </si>
  <si>
    <t>LAMAR TO CRETE SWITCH 115 KV LN</t>
  </si>
  <si>
    <t>LYNN TO COVALT 115 KV LINE</t>
  </si>
  <si>
    <t>Battery Replacements 2016 (3481 R&amp;E)</t>
  </si>
  <si>
    <t>Relay Replacements 2016 (3489 R&amp;E)</t>
  </si>
  <si>
    <t>Structure Replacements 2016 (3491 R&amp;E 2013-16)</t>
  </si>
  <si>
    <t>1627-6661</t>
  </si>
  <si>
    <t>1637-3546</t>
  </si>
  <si>
    <t>1666-3546</t>
  </si>
  <si>
    <t>2051-6669</t>
  </si>
  <si>
    <t>3731-6671</t>
  </si>
  <si>
    <t>3732-6671</t>
  </si>
  <si>
    <t>Outside Consultants</t>
  </si>
  <si>
    <t>Labor</t>
  </si>
  <si>
    <t>Travel</t>
  </si>
  <si>
    <t>unknown</t>
  </si>
  <si>
    <t>not yet started</t>
  </si>
  <si>
    <t>3Q2017</t>
  </si>
  <si>
    <t>RUSFOR, Suppl, Part H, Section A, Line 2</t>
  </si>
  <si>
    <t>SPP Attachment Z2 Assessments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</si>
</sst>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_);_(&quot;$&quot;* \(#,##0\);_(&quot;$&quot;* &quot;0&quot;;_(@_)"/>
    <numFmt numFmtId="168" formatCode="0.0"/>
    <numFmt numFmtId="169" formatCode="0.000%"/>
    <numFmt numFmtId="170" formatCode="&quot;$&quot;#,##0.00"/>
    <numFmt numFmtId="171" formatCode="0.0000%"/>
    <numFmt numFmtId="172" formatCode="_(* #,##0.000_);_(* \(#,##0.000\);_(* &quot;-&quot;??_);_(@_)"/>
    <numFmt numFmtId="173" formatCode="0_);\(0\)"/>
    <numFmt numFmtId="174" formatCode="&quot;$&quot;#,##0"/>
    <numFmt numFmtId="175" formatCode="mmm\-yyyy"/>
    <numFmt numFmtId="176" formatCode="#,##0_);[Red]\(#,##0\);&quot;-  &quot;"/>
    <numFmt numFmtId="177" formatCode="#,##0_)\ \ ;[Red]\(#,##0\)\ \ "/>
    <numFmt numFmtId="178" formatCode="_(#,##0.0_)_W;[Red]\(#,##0.0\)_W;\-_)_W;@_)_W"/>
    <numFmt numFmtId="179" formatCode="0.000000"/>
  </numFmts>
  <fonts count="117">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10"/>
      <name val="Arial"/>
      <family val="2"/>
    </font>
    <font>
      <b/>
      <sz val="11"/>
      <color theme="1"/>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70C0"/>
      <name val="Arial"/>
      <family val="2"/>
    </font>
    <font>
      <b/>
      <sz val="11"/>
      <name val="Arial"/>
      <family val="2"/>
    </font>
    <font>
      <u/>
      <sz val="11"/>
      <color theme="1"/>
      <name val="Arial"/>
      <family val="2"/>
    </font>
    <font>
      <sz val="11"/>
      <name val="Arial"/>
      <family val="2"/>
    </font>
    <font>
      <b/>
      <sz val="11"/>
      <color rgb="FF000000"/>
      <name val="Arial"/>
      <family val="2"/>
    </font>
    <font>
      <sz val="11"/>
      <color rgb="FFFF0000"/>
      <name val="Arial"/>
      <family val="2"/>
    </font>
    <font>
      <b/>
      <sz val="11"/>
      <color rgb="FFFF0000"/>
      <name val="Arial"/>
      <family val="2"/>
    </font>
    <font>
      <sz val="12"/>
      <name val="Arial MT"/>
    </font>
    <font>
      <b/>
      <sz val="18"/>
      <color indexed="62"/>
      <name val="Cambria"/>
      <family val="2"/>
    </font>
    <font>
      <b/>
      <sz val="12"/>
      <color theme="1"/>
      <name val="Arial"/>
      <family val="2"/>
    </font>
    <font>
      <sz val="11"/>
      <color rgb="FF0070C0"/>
      <name val="Arial"/>
      <family val="2"/>
    </font>
    <font>
      <b/>
      <sz val="12"/>
      <color rgb="FF0070C0"/>
      <name val="Arial"/>
      <family val="2"/>
    </font>
    <font>
      <b/>
      <sz val="16"/>
      <color theme="3"/>
      <name val="Calibri"/>
      <family val="2"/>
      <scheme val="minor"/>
    </font>
    <font>
      <b/>
      <sz val="12"/>
      <color theme="3"/>
      <name val="Calibri"/>
      <family val="2"/>
      <scheme val="minor"/>
    </font>
    <font>
      <sz val="12"/>
      <name val="Arial"/>
      <family val="2"/>
    </font>
    <font>
      <sz val="12"/>
      <color theme="1"/>
      <name val="Arial"/>
      <family val="2"/>
    </font>
    <font>
      <b/>
      <u/>
      <sz val="12"/>
      <name val="Arial"/>
      <family val="2"/>
    </font>
    <font>
      <u/>
      <sz val="12"/>
      <color theme="1"/>
      <name val="Arial"/>
      <family val="2"/>
    </font>
    <font>
      <b/>
      <sz val="12"/>
      <name val="Arial"/>
      <family val="2"/>
    </font>
    <font>
      <b/>
      <sz val="12"/>
      <color rgb="FFFF0000"/>
      <name val="Arial"/>
      <family val="2"/>
    </font>
    <font>
      <i/>
      <sz val="12"/>
      <name val="Arial"/>
      <family val="2"/>
    </font>
    <font>
      <u/>
      <sz val="11"/>
      <name val="Arial"/>
      <family val="2"/>
    </font>
    <font>
      <b/>
      <sz val="10"/>
      <color theme="1"/>
      <name val="Arial"/>
      <family val="2"/>
    </font>
    <font>
      <b/>
      <sz val="10"/>
      <name val="Arial"/>
      <family val="2"/>
    </font>
    <font>
      <b/>
      <sz val="16"/>
      <name val="Arial"/>
      <family val="2"/>
    </font>
    <font>
      <sz val="16"/>
      <name val="Arial"/>
      <family val="2"/>
    </font>
    <font>
      <sz val="13"/>
      <name val="Times New Roman"/>
      <family val="1"/>
    </font>
    <font>
      <b/>
      <u/>
      <sz val="11"/>
      <name val="Arial"/>
      <family val="2"/>
    </font>
    <font>
      <b/>
      <sz val="16"/>
      <name val="Calibri"/>
      <family val="2"/>
      <scheme val="minor"/>
    </font>
    <font>
      <u/>
      <sz val="12"/>
      <name val="Arial"/>
      <family val="2"/>
    </font>
    <font>
      <sz val="10"/>
      <name val="MS Sans Serif"/>
      <family val="2"/>
    </font>
    <font>
      <b/>
      <sz val="11"/>
      <color theme="3"/>
      <name val="Arial"/>
      <family val="2"/>
    </font>
    <font>
      <sz val="11"/>
      <color rgb="FF000000"/>
      <name val="Arial"/>
      <family val="2"/>
    </font>
    <font>
      <sz val="11"/>
      <name val="Times New Roman"/>
      <family val="1"/>
    </font>
    <font>
      <b/>
      <sz val="11"/>
      <name val="Times New Roman"/>
      <family val="1"/>
    </font>
    <font>
      <sz val="11"/>
      <color rgb="FF3F3F76"/>
      <name val="Arial"/>
      <family val="2"/>
    </font>
    <font>
      <b/>
      <sz val="14"/>
      <name val="Arial"/>
      <family val="2"/>
    </font>
    <font>
      <b/>
      <sz val="12"/>
      <name val="Arial MT"/>
    </font>
    <font>
      <b/>
      <u/>
      <sz val="11"/>
      <color theme="1"/>
      <name val="Arial"/>
      <family val="2"/>
    </font>
    <font>
      <sz val="18"/>
      <color theme="3"/>
      <name val="Cambria"/>
      <family val="2"/>
      <scheme val="major"/>
    </font>
    <font>
      <sz val="10"/>
      <color theme="1"/>
      <name val="Times New Roman"/>
      <family val="2"/>
    </font>
    <font>
      <u/>
      <sz val="10"/>
      <color theme="1"/>
      <name val="Arial"/>
      <family val="2"/>
    </font>
    <font>
      <b/>
      <sz val="10"/>
      <color rgb="FFFF0000"/>
      <name val="Arial"/>
      <family val="2"/>
    </font>
    <font>
      <b/>
      <sz val="16"/>
      <color theme="1"/>
      <name val="Arial"/>
      <family val="2"/>
    </font>
    <font>
      <sz val="16"/>
      <color theme="1"/>
      <name val="Arial"/>
      <family val="2"/>
    </font>
    <font>
      <sz val="11"/>
      <color indexed="12"/>
      <name val="Arial"/>
      <family val="2"/>
    </font>
    <font>
      <i/>
      <sz val="11"/>
      <name val="Arial"/>
      <family val="2"/>
    </font>
    <font>
      <u/>
      <sz val="11"/>
      <color rgb="FF000000"/>
      <name val="Arial"/>
      <family val="2"/>
    </font>
    <font>
      <b/>
      <sz val="11"/>
      <color theme="1"/>
      <name val="Calibri"/>
      <family val="2"/>
      <scheme val="minor"/>
    </font>
    <font>
      <sz val="11"/>
      <color indexed="8"/>
      <name val="Arial Narrow"/>
      <family val="2"/>
    </font>
    <font>
      <sz val="11"/>
      <color indexed="9"/>
      <name val="Arial Narrow"/>
      <family val="2"/>
    </font>
    <font>
      <sz val="10"/>
      <name val="Times New Roman"/>
      <family val="1"/>
    </font>
    <font>
      <sz val="11"/>
      <color indexed="20"/>
      <name val="Arial Narrow"/>
      <family val="2"/>
    </font>
    <font>
      <sz val="12"/>
      <name val="Times New Roman"/>
      <family val="1"/>
    </font>
    <font>
      <b/>
      <sz val="11"/>
      <color indexed="10"/>
      <name val="Arial Narrow"/>
      <family val="2"/>
    </font>
    <font>
      <b/>
      <sz val="11"/>
      <color indexed="9"/>
      <name val="Arial Narrow"/>
      <family val="2"/>
    </font>
    <font>
      <sz val="12"/>
      <color theme="1"/>
      <name val="Calibri"/>
      <family val="2"/>
      <scheme val="minor"/>
    </font>
    <font>
      <sz val="11"/>
      <color indexed="8"/>
      <name val="Calibri"/>
      <family val="2"/>
    </font>
    <font>
      <sz val="9"/>
      <name val="Times New Roman"/>
      <family val="1"/>
    </font>
    <font>
      <sz val="8"/>
      <name val="Times New Roman"/>
      <family val="1"/>
    </font>
    <font>
      <i/>
      <sz val="11"/>
      <color indexed="23"/>
      <name val="Arial Narrow"/>
      <family val="2"/>
    </font>
    <font>
      <sz val="11"/>
      <color indexed="17"/>
      <name val="Arial Narrow"/>
      <family val="2"/>
    </font>
    <font>
      <b/>
      <sz val="15"/>
      <color theme="3"/>
      <name val="Arial"/>
      <family val="2"/>
    </font>
    <font>
      <b/>
      <sz val="15"/>
      <color indexed="62"/>
      <name val="Arial Narrow"/>
      <family val="2"/>
    </font>
    <font>
      <b/>
      <sz val="15"/>
      <color theme="3"/>
      <name val="Calibri"/>
      <family val="2"/>
      <scheme val="minor"/>
    </font>
    <font>
      <b/>
      <sz val="13"/>
      <color theme="3"/>
      <name val="Arial"/>
      <family val="2"/>
    </font>
    <font>
      <b/>
      <sz val="13"/>
      <color indexed="62"/>
      <name val="Arial Narrow"/>
      <family val="2"/>
    </font>
    <font>
      <b/>
      <sz val="13"/>
      <color theme="3"/>
      <name val="Calibri"/>
      <family val="2"/>
      <scheme val="minor"/>
    </font>
    <font>
      <b/>
      <sz val="11"/>
      <color indexed="62"/>
      <name val="Arial Narrow"/>
      <family val="2"/>
    </font>
    <font>
      <u/>
      <sz val="11"/>
      <color theme="10"/>
      <name val="Calibri"/>
      <family val="2"/>
      <scheme val="minor"/>
    </font>
    <font>
      <u/>
      <sz val="10"/>
      <color theme="10"/>
      <name val="Arial"/>
      <family val="2"/>
    </font>
    <font>
      <u/>
      <sz val="12"/>
      <color theme="10"/>
      <name val="Calibri"/>
      <family val="2"/>
      <scheme val="minor"/>
    </font>
    <font>
      <u/>
      <sz val="9"/>
      <color indexed="12"/>
      <name val="SWISS"/>
    </font>
    <font>
      <sz val="8"/>
      <name val="Arial"/>
      <family val="2"/>
    </font>
    <font>
      <sz val="11"/>
      <color indexed="62"/>
      <name val="Arial Narrow"/>
      <family val="2"/>
    </font>
    <font>
      <sz val="11"/>
      <color rgb="FF0070C0"/>
      <name val="Calibri"/>
      <family val="2"/>
      <scheme val="minor"/>
    </font>
    <font>
      <sz val="11"/>
      <color indexed="10"/>
      <name val="Arial Narrow"/>
      <family val="2"/>
    </font>
    <font>
      <sz val="11"/>
      <color indexed="19"/>
      <name val="Arial Narrow"/>
      <family val="2"/>
    </font>
    <font>
      <sz val="11"/>
      <name val="Calibri"/>
      <family val="2"/>
    </font>
    <font>
      <sz val="12"/>
      <name val="SWISS"/>
    </font>
    <font>
      <b/>
      <sz val="11"/>
      <color indexed="63"/>
      <name val="Arial Narrow"/>
      <family val="2"/>
    </font>
    <font>
      <b/>
      <sz val="10"/>
      <name val="MS Sans Serif"/>
      <family val="2"/>
    </font>
    <font>
      <u/>
      <sz val="10"/>
      <name val="Arial"/>
      <family val="2"/>
    </font>
    <font>
      <i/>
      <sz val="10"/>
      <name val="Arial"/>
      <family val="2"/>
    </font>
    <font>
      <b/>
      <sz val="11"/>
      <color indexed="8"/>
      <name val="Arial Narrow"/>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9"/>
      </patternFill>
    </fill>
    <fill>
      <patternFill patternType="solid">
        <fgColor indexed="44"/>
        <bgColor indexed="64"/>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FFC000"/>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indexed="64"/>
      </top>
      <bottom/>
      <diagonal/>
    </border>
    <border>
      <left/>
      <right/>
      <top style="thin">
        <color theme="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uble">
        <color auto="1"/>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indexed="56"/>
      </bottom>
      <diagonal/>
    </border>
    <border>
      <left/>
      <right/>
      <top/>
      <bottom style="thick">
        <color theme="4" tint="0.499984740745262"/>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s>
  <cellStyleXfs count="1309">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6" fillId="0" borderId="0" applyNumberFormat="0" applyBorder="0" applyAlignment="0"/>
    <xf numFmtId="0" fontId="14" fillId="0" borderId="0"/>
    <xf numFmtId="39" fontId="17" fillId="0" borderId="0"/>
    <xf numFmtId="43" fontId="14" fillId="0" borderId="0" applyFont="0" applyFill="0" applyBorder="0" applyAlignment="0" applyProtection="0"/>
    <xf numFmtId="0" fontId="17" fillId="0" borderId="0"/>
    <xf numFmtId="44" fontId="17" fillId="0" borderId="0" applyFont="0" applyFill="0" applyBorder="0" applyAlignment="0" applyProtection="0"/>
    <xf numFmtId="0" fontId="19" fillId="0" borderId="0" applyNumberFormat="0" applyFill="0" applyBorder="0" applyAlignment="0" applyProtection="0"/>
    <xf numFmtId="0" fontId="44" fillId="0" borderId="0" applyNumberFormat="0" applyFill="0" applyAlignment="0" applyProtection="0"/>
    <xf numFmtId="0" fontId="45" fillId="0" borderId="0"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3" fontId="24" fillId="5" borderId="4" applyProtection="0">
      <alignment horizontal="right"/>
    </xf>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1" fillId="0" borderId="9"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13" fillId="0" borderId="0"/>
    <xf numFmtId="0" fontId="13" fillId="8" borderId="8" applyNumberFormat="0" applyFont="0" applyAlignment="0" applyProtection="0"/>
    <xf numFmtId="0" fontId="12" fillId="0" borderId="0"/>
    <xf numFmtId="0" fontId="11" fillId="0" borderId="0"/>
    <xf numFmtId="41" fontId="15" fillId="0" borderId="0" applyFill="0" applyBorder="0" applyProtection="0">
      <alignment horizontal="right"/>
    </xf>
    <xf numFmtId="42" fontId="32" fillId="0" borderId="0" applyFill="0" applyBorder="0" applyProtection="0">
      <alignment horizontal="right"/>
    </xf>
    <xf numFmtId="3" fontId="42" fillId="5" borderId="4" applyFill="0" applyBorder="0" applyProtection="0">
      <alignment horizontal="right"/>
    </xf>
    <xf numFmtId="1" fontId="39" fillId="0" borderId="0" applyFill="0" applyBorder="0" applyProtection="0"/>
    <xf numFmtId="43" fontId="17"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9" fontId="17" fillId="0" borderId="0" applyFont="0" applyFill="0" applyBorder="0" applyAlignment="0" applyProtection="0"/>
    <xf numFmtId="3" fontId="10" fillId="0" borderId="18" applyFill="0" applyProtection="0"/>
    <xf numFmtId="0" fontId="16" fillId="0" borderId="0">
      <alignment vertical="top"/>
    </xf>
    <xf numFmtId="0" fontId="41" fillId="0" borderId="9" applyNumberFormat="0" applyFill="0" applyAlignment="0" applyProtection="0"/>
    <xf numFmtId="0" fontId="45" fillId="0" borderId="0" applyNumberFormat="0" applyFill="0" applyAlignment="0" applyProtection="0"/>
    <xf numFmtId="44" fontId="15" fillId="0" borderId="0" applyFont="0" applyFill="0" applyBorder="0" applyAlignment="0" applyProtection="0"/>
    <xf numFmtId="0" fontId="44" fillId="0" borderId="0" applyNumberFormat="0" applyFill="0" applyAlignment="0" applyProtection="0"/>
    <xf numFmtId="0" fontId="11" fillId="0" borderId="0"/>
    <xf numFmtId="43" fontId="11" fillId="0" borderId="0" applyFont="0" applyFill="0" applyBorder="0" applyAlignment="0" applyProtection="0"/>
    <xf numFmtId="0" fontId="9" fillId="0" borderId="0"/>
    <xf numFmtId="9" fontId="11" fillId="0" borderId="0" applyFont="0" applyFill="0" applyBorder="0" applyAlignment="0" applyProtection="0"/>
    <xf numFmtId="170" fontId="39" fillId="0" borderId="0" applyProtection="0"/>
    <xf numFmtId="9" fontId="9" fillId="0" borderId="0" applyFont="0" applyFill="0" applyBorder="0" applyAlignment="0" applyProtection="0"/>
    <xf numFmtId="9" fontId="17" fillId="0" borderId="0" applyFont="0" applyFill="0" applyBorder="0" applyAlignment="0" applyProtection="0"/>
    <xf numFmtId="0" fontId="10" fillId="0" borderId="0"/>
    <xf numFmtId="0" fontId="62" fillId="0" borderId="0"/>
    <xf numFmtId="0" fontId="19"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7" fillId="0" borderId="0"/>
    <xf numFmtId="43" fontId="10" fillId="0" borderId="0" applyFont="0" applyFill="0" applyBorder="0" applyAlignment="0" applyProtection="0"/>
    <xf numFmtId="3" fontId="8" fillId="0" borderId="0" applyBorder="0" applyProtection="0">
      <alignment horizontal="left"/>
    </xf>
    <xf numFmtId="9"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3" fontId="67" fillId="5" borderId="4" applyProtection="0">
      <alignment horizontal="right"/>
    </xf>
    <xf numFmtId="43"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41" fontId="8" fillId="0" borderId="0" applyFill="0" applyBorder="0" applyProtection="0">
      <alignment horizontal="right"/>
    </xf>
    <xf numFmtId="43" fontId="8" fillId="0" borderId="0" applyFont="0" applyFill="0" applyBorder="0" applyAlignment="0" applyProtection="0"/>
    <xf numFmtId="44" fontId="8" fillId="0" borderId="0" applyFont="0" applyFill="0" applyBorder="0" applyAlignment="0" applyProtection="0"/>
    <xf numFmtId="0" fontId="17" fillId="0" borderId="0"/>
    <xf numFmtId="44" fontId="17"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0" fontId="71" fillId="0" borderId="0" applyNumberFormat="0" applyFill="0" applyBorder="0" applyAlignment="0" applyProtection="0"/>
    <xf numFmtId="0" fontId="72" fillId="0" borderId="0"/>
    <xf numFmtId="9" fontId="72"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8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1" fillId="3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8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3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8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1" fillId="3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8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1" fillId="3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1"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3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8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1" fillId="3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81"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3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8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3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8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1" fillId="3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8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1" fillId="4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8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1" fillId="38"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1"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1" fillId="36" borderId="0" applyNumberFormat="0" applyBorder="0" applyAlignment="0" applyProtection="0"/>
    <xf numFmtId="0" fontId="1" fillId="31"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1" fillId="12"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1" fillId="16"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1" fillId="20" borderId="0" applyNumberFormat="0" applyBorder="0" applyAlignment="0" applyProtection="0"/>
    <xf numFmtId="0" fontId="82" fillId="42"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31" fillId="24" borderId="0" applyNumberFormat="0" applyBorder="0" applyAlignment="0" applyProtection="0"/>
    <xf numFmtId="0" fontId="82" fillId="40"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1" fillId="28" borderId="0" applyNumberFormat="0" applyBorder="0" applyAlignment="0" applyProtection="0"/>
    <xf numFmtId="0" fontId="82" fillId="38"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1" fillId="32" borderId="0" applyNumberFormat="0" applyBorder="0" applyAlignment="0" applyProtection="0"/>
    <xf numFmtId="0" fontId="82" fillId="35"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31" fillId="9" borderId="0" applyNumberFormat="0" applyBorder="0" applyAlignment="0" applyProtection="0"/>
    <xf numFmtId="0" fontId="82" fillId="43"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1" fillId="13"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1" fillId="17" borderId="0" applyNumberFormat="0" applyBorder="0" applyAlignment="0" applyProtection="0"/>
    <xf numFmtId="0" fontId="82" fillId="42"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31" fillId="21"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31" fillId="2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1" fillId="29" borderId="0" applyNumberFormat="0" applyBorder="0" applyAlignment="0" applyProtection="0"/>
    <xf numFmtId="0" fontId="82" fillId="46" borderId="0" applyNumberFormat="0" applyBorder="0" applyAlignment="0" applyProtection="0"/>
    <xf numFmtId="176" fontId="83" fillId="0" borderId="0"/>
    <xf numFmtId="0" fontId="84" fillId="47" borderId="0" applyNumberFormat="0" applyBorder="0" applyAlignment="0" applyProtection="0"/>
    <xf numFmtId="0" fontId="84" fillId="47" borderId="0" applyNumberFormat="0" applyBorder="0" applyAlignment="0" applyProtection="0"/>
    <xf numFmtId="0" fontId="22" fillId="3" borderId="0" applyNumberFormat="0" applyBorder="0" applyAlignment="0" applyProtection="0"/>
    <xf numFmtId="0" fontId="84" fillId="47" borderId="0" applyNumberFormat="0" applyBorder="0" applyAlignment="0" applyProtection="0"/>
    <xf numFmtId="177" fontId="85" fillId="0" borderId="0"/>
    <xf numFmtId="0" fontId="86" fillId="48" borderId="38" applyNumberFormat="0" applyAlignment="0" applyProtection="0"/>
    <xf numFmtId="0" fontId="86" fillId="48" borderId="38" applyNumberFormat="0" applyAlignment="0" applyProtection="0"/>
    <xf numFmtId="0" fontId="26" fillId="6" borderId="4" applyNumberFormat="0" applyAlignment="0" applyProtection="0"/>
    <xf numFmtId="0" fontId="86" fillId="48" borderId="38" applyNumberFormat="0" applyAlignment="0" applyProtection="0"/>
    <xf numFmtId="0" fontId="87" fillId="49" borderId="39" applyNumberFormat="0" applyAlignment="0" applyProtection="0"/>
    <xf numFmtId="0" fontId="87" fillId="49" borderId="39" applyNumberFormat="0" applyAlignment="0" applyProtection="0"/>
    <xf numFmtId="0" fontId="28" fillId="7" borderId="7" applyNumberFormat="0" applyAlignment="0" applyProtection="0"/>
    <xf numFmtId="0" fontId="87" fillId="49" borderId="39"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9" fillId="0" borderId="0" applyFont="0" applyFill="0" applyBorder="0" applyAlignment="0" applyProtection="0"/>
    <xf numFmtId="43" fontId="17" fillId="0" borderId="0" applyFont="0" applyFill="0" applyBorder="0" applyAlignment="0" applyProtection="0"/>
    <xf numFmtId="43" fontId="9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50" borderId="0" applyFont="0" applyFill="0" applyBorder="0" applyAlignment="0" applyProtection="0"/>
    <xf numFmtId="0" fontId="91" fillId="0" borderId="0">
      <alignment horizontal="left"/>
    </xf>
    <xf numFmtId="42" fontId="32" fillId="0" borderId="0" applyFill="0" applyBorder="0" applyProtection="0">
      <alignment horizontal="right"/>
    </xf>
    <xf numFmtId="44" fontId="9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17" fillId="50" borderId="0" applyFont="0" applyFill="0" applyBorder="0" applyAlignment="0" applyProtection="0"/>
    <xf numFmtId="0" fontId="17" fillId="5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0" fillId="0" borderId="0" applyNumberFormat="0" applyFill="0" applyBorder="0" applyAlignment="0" applyProtection="0"/>
    <xf numFmtId="0" fontId="92" fillId="0" borderId="0" applyNumberFormat="0" applyFill="0" applyBorder="0" applyAlignment="0" applyProtection="0"/>
    <xf numFmtId="2" fontId="17" fillId="50" borderId="0" applyFont="0" applyFill="0" applyBorder="0" applyAlignment="0" applyProtection="0"/>
    <xf numFmtId="0" fontId="93" fillId="38" borderId="0" applyNumberFormat="0" applyBorder="0" applyAlignment="0" applyProtection="0"/>
    <xf numFmtId="0" fontId="93" fillId="38" borderId="0" applyNumberFormat="0" applyBorder="0" applyAlignment="0" applyProtection="0"/>
    <xf numFmtId="0" fontId="21" fillId="2" borderId="0" applyNumberFormat="0" applyBorder="0" applyAlignment="0" applyProtection="0"/>
    <xf numFmtId="0" fontId="93" fillId="38" borderId="0" applyNumberFormat="0" applyBorder="0" applyAlignment="0" applyProtection="0"/>
    <xf numFmtId="0" fontId="55" fillId="0" borderId="0"/>
    <xf numFmtId="0" fontId="94" fillId="0" borderId="40" applyNumberFormat="0" applyFill="0" applyAlignment="0" applyProtection="0"/>
    <xf numFmtId="0" fontId="44" fillId="0" borderId="0" applyNumberFormat="0" applyFill="0" applyAlignment="0" applyProtection="0"/>
    <xf numFmtId="0" fontId="95" fillId="0" borderId="41" applyNumberFormat="0" applyFill="0" applyAlignment="0" applyProtection="0"/>
    <xf numFmtId="0" fontId="94" fillId="0" borderId="40" applyNumberFormat="0" applyFill="0" applyAlignment="0" applyProtection="0"/>
    <xf numFmtId="0" fontId="96" fillId="0" borderId="40" applyNumberFormat="0" applyFill="0" applyAlignment="0" applyProtection="0"/>
    <xf numFmtId="0" fontId="95" fillId="0" borderId="41" applyNumberFormat="0" applyFill="0" applyAlignment="0" applyProtection="0"/>
    <xf numFmtId="0" fontId="44" fillId="0" borderId="0" applyNumberFormat="0" applyFill="0" applyAlignment="0" applyProtection="0"/>
    <xf numFmtId="0" fontId="97" fillId="0" borderId="42" applyNumberFormat="0" applyFill="0" applyAlignment="0" applyProtection="0"/>
    <xf numFmtId="0" fontId="45" fillId="0" borderId="0" applyNumberFormat="0" applyFill="0" applyAlignment="0" applyProtection="0"/>
    <xf numFmtId="0" fontId="98" fillId="0" borderId="43" applyNumberFormat="0" applyFill="0" applyAlignment="0" applyProtection="0"/>
    <xf numFmtId="0" fontId="97" fillId="0" borderId="42" applyNumberFormat="0" applyFill="0" applyAlignment="0" applyProtection="0"/>
    <xf numFmtId="0" fontId="99" fillId="0" borderId="42" applyNumberFormat="0" applyFill="0" applyAlignment="0" applyProtection="0"/>
    <xf numFmtId="0" fontId="98" fillId="0" borderId="43" applyNumberFormat="0" applyFill="0" applyAlignment="0" applyProtection="0"/>
    <xf numFmtId="0" fontId="45" fillId="0" borderId="0"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20" fillId="0" borderId="3" applyNumberFormat="0" applyFill="0" applyAlignment="0" applyProtection="0"/>
    <xf numFmtId="0" fontId="100" fillId="0" borderId="44"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4" fillId="0" borderId="0" applyNumberFormat="0" applyFill="0" applyBorder="0" applyAlignment="0" applyProtection="0">
      <alignment vertical="top"/>
      <protection locked="0"/>
    </xf>
    <xf numFmtId="178" fontId="105" fillId="51" borderId="0" applyBorder="0" applyProtection="0">
      <alignment horizontal="right"/>
    </xf>
    <xf numFmtId="0" fontId="106" fillId="39" borderId="38" applyNumberFormat="0" applyAlignment="0" applyProtection="0"/>
    <xf numFmtId="0" fontId="106" fillId="39" borderId="38" applyNumberFormat="0" applyAlignment="0" applyProtection="0"/>
    <xf numFmtId="0" fontId="106" fillId="39" borderId="38" applyNumberFormat="0" applyAlignment="0" applyProtection="0"/>
    <xf numFmtId="3" fontId="24" fillId="5" borderId="4" applyProtection="0">
      <alignment horizontal="right"/>
    </xf>
    <xf numFmtId="3" fontId="107" fillId="0" borderId="0" applyFill="0" applyBorder="0" applyProtection="0">
      <alignment horizontal="right"/>
    </xf>
    <xf numFmtId="0" fontId="108" fillId="0" borderId="45" applyNumberFormat="0" applyFill="0" applyAlignment="0" applyProtection="0"/>
    <xf numFmtId="0" fontId="108" fillId="0" borderId="45" applyNumberFormat="0" applyFill="0" applyAlignment="0" applyProtection="0"/>
    <xf numFmtId="0" fontId="27" fillId="0" borderId="6" applyNumberFormat="0" applyFill="0" applyAlignment="0" applyProtection="0"/>
    <xf numFmtId="0" fontId="108" fillId="0" borderId="45" applyNumberFormat="0" applyFill="0" applyAlignment="0" applyProtection="0"/>
    <xf numFmtId="0" fontId="109" fillId="39" borderId="0" applyNumberFormat="0" applyBorder="0" applyAlignment="0" applyProtection="0"/>
    <xf numFmtId="0" fontId="109" fillId="39" borderId="0" applyNumberFormat="0" applyBorder="0" applyAlignment="0" applyProtection="0"/>
    <xf numFmtId="0" fontId="23" fillId="4" borderId="0" applyNumberFormat="0" applyBorder="0" applyAlignment="0" applyProtection="0"/>
    <xf numFmtId="0" fontId="109"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9" fillId="0" borderId="0" applyProtection="0"/>
    <xf numFmtId="0" fontId="17" fillId="0" borderId="0"/>
    <xf numFmtId="0" fontId="8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9" fillId="0" borderId="0" applyProtection="0"/>
    <xf numFmtId="0" fontId="17"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170" fontId="39" fillId="0" borderId="0" applyProtection="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11" fillId="0" borderId="0"/>
    <xf numFmtId="0" fontId="17" fillId="0" borderId="0"/>
    <xf numFmtId="0" fontId="1" fillId="0" borderId="0"/>
    <xf numFmtId="170" fontId="39" fillId="0" borderId="0" applyProtection="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6" fillId="0" borderId="0">
      <alignment vertical="top"/>
    </xf>
    <xf numFmtId="0" fontId="17" fillId="0" borderId="0"/>
    <xf numFmtId="0" fontId="17" fillId="0" borderId="0"/>
    <xf numFmtId="0" fontId="1" fillId="0" borderId="0"/>
    <xf numFmtId="0" fontId="1" fillId="8" borderId="8" applyNumberFormat="0" applyFont="0" applyAlignment="0" applyProtection="0"/>
    <xf numFmtId="0" fontId="39" fillId="3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36" borderId="46" applyNumberFormat="0" applyFont="0" applyAlignment="0" applyProtection="0"/>
    <xf numFmtId="0" fontId="112" fillId="48" borderId="47" applyNumberFormat="0" applyAlignment="0" applyProtection="0"/>
    <xf numFmtId="0" fontId="112" fillId="48" borderId="47" applyNumberFormat="0" applyAlignment="0" applyProtection="0"/>
    <xf numFmtId="0" fontId="25" fillId="6" borderId="5" applyNumberFormat="0" applyAlignment="0" applyProtection="0"/>
    <xf numFmtId="0" fontId="112" fillId="48" borderId="47" applyNumberFormat="0" applyAlignment="0" applyProtection="0"/>
    <xf numFmtId="0" fontId="62" fillId="0" borderId="0" applyNumberFormat="0" applyFont="0" applyFill="0" applyBorder="0" applyAlignment="0" applyProtection="0">
      <alignment horizontal="left"/>
    </xf>
    <xf numFmtId="15" fontId="62" fillId="0" borderId="0" applyFont="0" applyFill="0" applyBorder="0" applyAlignment="0" applyProtection="0"/>
    <xf numFmtId="0" fontId="113" fillId="0" borderId="37">
      <alignment horizontal="center"/>
    </xf>
    <xf numFmtId="0" fontId="113" fillId="0" borderId="37">
      <alignment horizontal="center"/>
    </xf>
    <xf numFmtId="40" fontId="1" fillId="52" borderId="48"/>
    <xf numFmtId="40" fontId="1" fillId="50" borderId="48"/>
    <xf numFmtId="49" fontId="114" fillId="53" borderId="49">
      <alignment horizontal="center"/>
    </xf>
    <xf numFmtId="49" fontId="114" fillId="53" borderId="49">
      <alignment horizontal="center"/>
    </xf>
    <xf numFmtId="49" fontId="114" fillId="53" borderId="49">
      <alignment horizontal="center"/>
    </xf>
    <xf numFmtId="49" fontId="114" fillId="53" borderId="49">
      <alignment horizontal="center"/>
    </xf>
    <xf numFmtId="49" fontId="114"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7" fillId="53" borderId="49">
      <alignment horizontal="center"/>
    </xf>
    <xf numFmtId="49" fontId="115" fillId="0" borderId="0"/>
    <xf numFmtId="0" fontId="1" fillId="54" borderId="48"/>
    <xf numFmtId="0" fontId="1" fillId="52" borderId="48"/>
    <xf numFmtId="40" fontId="1" fillId="52" borderId="48"/>
    <xf numFmtId="40" fontId="1" fillId="52" borderId="48"/>
    <xf numFmtId="40" fontId="1" fillId="50" borderId="48"/>
    <xf numFmtId="49" fontId="114" fillId="53" borderId="49">
      <alignment vertical="center"/>
    </xf>
    <xf numFmtId="49" fontId="114" fillId="53" borderId="49">
      <alignment vertical="center"/>
    </xf>
    <xf numFmtId="49" fontId="114" fillId="53" borderId="49">
      <alignment vertical="center"/>
    </xf>
    <xf numFmtId="49" fontId="114" fillId="53" borderId="49">
      <alignment vertical="center"/>
    </xf>
    <xf numFmtId="49" fontId="114"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53" borderId="49">
      <alignment vertical="center"/>
    </xf>
    <xf numFmtId="49" fontId="17" fillId="0" borderId="0">
      <alignment horizontal="right"/>
    </xf>
    <xf numFmtId="40" fontId="1" fillId="55" borderId="48"/>
    <xf numFmtId="40" fontId="1" fillId="56" borderId="48"/>
    <xf numFmtId="179" fontId="17" fillId="0" borderId="0">
      <alignment horizontal="left" wrapText="1"/>
    </xf>
    <xf numFmtId="179" fontId="17" fillId="0" borderId="0">
      <alignment horizontal="left" wrapText="1"/>
    </xf>
    <xf numFmtId="179" fontId="17" fillId="0" borderId="0">
      <alignment horizontal="left" wrapText="1"/>
    </xf>
    <xf numFmtId="179" fontId="17" fillId="0" borderId="0">
      <alignment horizontal="left" wrapText="1"/>
    </xf>
    <xf numFmtId="179" fontId="17" fillId="0" borderId="0">
      <alignment horizontal="left" wrapText="1"/>
    </xf>
    <xf numFmtId="0" fontId="71"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116" fillId="0" borderId="50" applyNumberFormat="0" applyFill="0" applyAlignment="0" applyProtection="0"/>
    <xf numFmtId="0" fontId="80" fillId="0" borderId="9" applyNumberFormat="0" applyFill="0" applyAlignment="0" applyProtection="0"/>
    <xf numFmtId="0" fontId="116" fillId="0" borderId="50" applyNumberFormat="0" applyFill="0" applyAlignment="0" applyProtection="0"/>
    <xf numFmtId="0" fontId="41" fillId="0" borderId="9"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cellStyleXfs>
  <cellXfs count="839">
    <xf numFmtId="0" fontId="0" fillId="0" borderId="0" xfId="0"/>
    <xf numFmtId="0" fontId="10" fillId="0" borderId="0" xfId="0" applyFont="1" applyFill="1"/>
    <xf numFmtId="0" fontId="10" fillId="0" borderId="0" xfId="0" applyFont="1" applyFill="1" applyAlignment="1">
      <alignment horizontal="center"/>
    </xf>
    <xf numFmtId="0" fontId="10" fillId="0" borderId="0" xfId="0" applyFont="1" applyFill="1" applyAlignment="1">
      <alignment horizontal="right"/>
    </xf>
    <xf numFmtId="0" fontId="18" fillId="0" borderId="0" xfId="0" applyFont="1" applyFill="1" applyAlignment="1">
      <alignment horizontal="center"/>
    </xf>
    <xf numFmtId="0" fontId="33" fillId="0" borderId="0" xfId="0" applyFont="1" applyFill="1"/>
    <xf numFmtId="0" fontId="34" fillId="0" borderId="0" xfId="0" applyFont="1" applyFill="1" applyAlignment="1">
      <alignment horizontal="center"/>
    </xf>
    <xf numFmtId="0" fontId="35" fillId="0" borderId="0" xfId="0" applyFont="1" applyFill="1"/>
    <xf numFmtId="0" fontId="10" fillId="0" borderId="0" xfId="0" applyFont="1" applyFill="1" applyBorder="1"/>
    <xf numFmtId="0" fontId="0" fillId="0" borderId="0" xfId="0" applyFont="1" applyFill="1"/>
    <xf numFmtId="0" fontId="0" fillId="0" borderId="0" xfId="0" applyFont="1" applyFill="1" applyBorder="1"/>
    <xf numFmtId="44" fontId="10" fillId="0" borderId="0" xfId="2" applyNumberFormat="1" applyFont="1" applyFill="1"/>
    <xf numFmtId="44" fontId="10" fillId="0" borderId="0" xfId="2" applyFont="1" applyFill="1"/>
    <xf numFmtId="0" fontId="10" fillId="0" borderId="0" xfId="0" applyFont="1" applyFill="1" applyBorder="1" applyAlignment="1"/>
    <xf numFmtId="44" fontId="10" fillId="0" borderId="0" xfId="2" applyFont="1" applyFill="1" applyBorder="1"/>
    <xf numFmtId="0" fontId="10" fillId="0" borderId="0" xfId="0" applyFont="1" applyFill="1" applyBorder="1" applyAlignment="1">
      <alignment horizontal="center"/>
    </xf>
    <xf numFmtId="4" fontId="10" fillId="0" borderId="0" xfId="0" applyNumberFormat="1" applyFont="1" applyFill="1"/>
    <xf numFmtId="44" fontId="10" fillId="0" borderId="0" xfId="2" applyNumberFormat="1" applyFont="1" applyFill="1" applyAlignment="1">
      <alignment horizontal="center"/>
    </xf>
    <xf numFmtId="4" fontId="10" fillId="0" borderId="0" xfId="0" applyNumberFormat="1" applyFont="1" applyFill="1" applyAlignment="1">
      <alignment horizontal="center"/>
    </xf>
    <xf numFmtId="44" fontId="10" fillId="0" borderId="0" xfId="2" applyFont="1" applyFill="1" applyAlignment="1">
      <alignment horizontal="center"/>
    </xf>
    <xf numFmtId="168" fontId="10" fillId="0" borderId="0" xfId="0" applyNumberFormat="1" applyFont="1" applyFill="1" applyBorder="1"/>
    <xf numFmtId="0" fontId="10" fillId="0" borderId="0" xfId="0" applyFont="1" applyFill="1" applyBorder="1" applyAlignment="1">
      <alignment horizontal="left"/>
    </xf>
    <xf numFmtId="1" fontId="10" fillId="0" borderId="0" xfId="0" applyNumberFormat="1" applyFont="1" applyFill="1" applyBorder="1"/>
    <xf numFmtId="2" fontId="10" fillId="0" borderId="0" xfId="0" applyNumberFormat="1" applyFont="1" applyFill="1"/>
    <xf numFmtId="4" fontId="10" fillId="0" borderId="0" xfId="2" applyNumberFormat="1" applyFont="1" applyFill="1"/>
    <xf numFmtId="2" fontId="10" fillId="0" borderId="0" xfId="0" applyNumberFormat="1" applyFont="1" applyFill="1" applyBorder="1"/>
    <xf numFmtId="0" fontId="10" fillId="0" borderId="0" xfId="0" applyNumberFormat="1" applyFont="1" applyFill="1" applyAlignment="1">
      <alignment horizontal="left" vertical="top"/>
    </xf>
    <xf numFmtId="166" fontId="10" fillId="0" borderId="0" xfId="2" applyNumberFormat="1" applyFont="1" applyFill="1"/>
    <xf numFmtId="0" fontId="35" fillId="0" borderId="0" xfId="0" applyFont="1" applyFill="1" applyBorder="1"/>
    <xf numFmtId="4" fontId="37" fillId="0" borderId="0" xfId="2" applyNumberFormat="1" applyFont="1" applyFill="1"/>
    <xf numFmtId="4" fontId="10" fillId="0" borderId="0" xfId="0" applyNumberFormat="1" applyFont="1" applyFill="1" applyBorder="1"/>
    <xf numFmtId="0" fontId="37" fillId="0" borderId="0" xfId="0" applyFont="1" applyFill="1" applyBorder="1"/>
    <xf numFmtId="44" fontId="37" fillId="0" borderId="0" xfId="2" applyNumberFormat="1" applyFont="1" applyFill="1" applyBorder="1"/>
    <xf numFmtId="44" fontId="37" fillId="0" borderId="0" xfId="2" applyFont="1" applyFill="1" applyBorder="1"/>
    <xf numFmtId="44" fontId="10" fillId="0" borderId="0" xfId="2" applyNumberFormat="1" applyFont="1" applyFill="1" applyBorder="1" applyAlignment="1">
      <alignment horizontal="right"/>
    </xf>
    <xf numFmtId="2" fontId="35" fillId="0" borderId="0" xfId="0" applyNumberFormat="1" applyFont="1" applyFill="1" applyBorder="1"/>
    <xf numFmtId="4" fontId="35" fillId="0" borderId="0" xfId="2" applyNumberFormat="1" applyFont="1" applyFill="1" applyBorder="1"/>
    <xf numFmtId="4" fontId="10" fillId="0" borderId="0" xfId="2" applyNumberFormat="1" applyFont="1" applyFill="1" applyBorder="1"/>
    <xf numFmtId="4" fontId="35" fillId="0" borderId="0" xfId="2" applyNumberFormat="1" applyFont="1" applyFill="1"/>
    <xf numFmtId="168" fontId="35" fillId="0" borderId="0" xfId="0" applyNumberFormat="1" applyFont="1" applyFill="1" applyBorder="1"/>
    <xf numFmtId="1" fontId="35" fillId="0" borderId="0" xfId="0" applyNumberFormat="1" applyFont="1" applyFill="1" applyBorder="1"/>
    <xf numFmtId="168" fontId="10" fillId="0" borderId="0" xfId="0" applyNumberFormat="1" applyFont="1" applyFill="1"/>
    <xf numFmtId="2" fontId="35" fillId="0" borderId="0" xfId="0" applyNumberFormat="1" applyFont="1" applyFill="1"/>
    <xf numFmtId="0" fontId="18" fillId="0" borderId="0" xfId="0" applyNumberFormat="1" applyFont="1" applyFill="1" applyAlignment="1">
      <alignment horizontal="center" vertical="center"/>
    </xf>
    <xf numFmtId="0" fontId="33" fillId="0" borderId="0" xfId="0" applyFont="1" applyFill="1" applyAlignment="1">
      <alignment horizontal="center"/>
    </xf>
    <xf numFmtId="0" fontId="18" fillId="0" borderId="1" xfId="0" applyFont="1" applyFill="1" applyBorder="1" applyAlignment="1">
      <alignment horizontal="center" vertical="center" wrapText="1"/>
    </xf>
    <xf numFmtId="166" fontId="10" fillId="0" borderId="0" xfId="0" applyNumberFormat="1" applyFont="1" applyFill="1"/>
    <xf numFmtId="37" fontId="17" fillId="0" borderId="0" xfId="57" applyNumberFormat="1" applyFont="1" applyFill="1" applyAlignment="1"/>
    <xf numFmtId="0" fontId="38" fillId="0" borderId="0" xfId="0" applyFont="1" applyFill="1"/>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164" fontId="0" fillId="0" borderId="10" xfId="58" applyNumberFormat="1" applyFont="1" applyFill="1" applyBorder="1" applyAlignment="1">
      <alignment horizontal="center"/>
    </xf>
    <xf numFmtId="1" fontId="0" fillId="0" borderId="10" xfId="57" applyFont="1" applyFill="1" applyBorder="1"/>
    <xf numFmtId="1" fontId="0" fillId="0" borderId="10" xfId="57" applyFont="1" applyFill="1" applyBorder="1" applyAlignment="1">
      <alignment horizontal="center"/>
    </xf>
    <xf numFmtId="164" fontId="36" fillId="0" borderId="10" xfId="58" applyNumberFormat="1" applyFont="1" applyFill="1" applyBorder="1" applyAlignment="1">
      <alignment horizontal="center"/>
    </xf>
    <xf numFmtId="1" fontId="36" fillId="0" borderId="10" xfId="57" applyFont="1" applyFill="1" applyBorder="1" applyAlignment="1">
      <alignment horizontal="left" indent="1"/>
    </xf>
    <xf numFmtId="0" fontId="0" fillId="0" borderId="0" xfId="0" applyNumberFormat="1" applyFont="1" applyFill="1" applyAlignment="1">
      <alignment horizontal="center" vertical="center"/>
    </xf>
    <xf numFmtId="0" fontId="0" fillId="0" borderId="0" xfId="0" applyFont="1" applyFill="1" applyBorder="1" applyAlignment="1">
      <alignment horizontal="center" vertical="center" wrapText="1"/>
    </xf>
    <xf numFmtId="43" fontId="0" fillId="0" borderId="0" xfId="1" applyFont="1" applyFill="1"/>
    <xf numFmtId="164" fontId="0" fillId="0" borderId="16" xfId="58" applyNumberFormat="1" applyFont="1" applyFill="1" applyBorder="1" applyAlignment="1">
      <alignment horizontal="center"/>
    </xf>
    <xf numFmtId="14" fontId="0" fillId="0" borderId="17" xfId="57" applyNumberFormat="1" applyFont="1" applyFill="1" applyBorder="1" applyAlignment="1">
      <alignment horizontal="left"/>
    </xf>
    <xf numFmtId="1" fontId="0" fillId="0" borderId="17" xfId="57" applyFont="1" applyFill="1" applyBorder="1"/>
    <xf numFmtId="3" fontId="43" fillId="0" borderId="0" xfId="56" applyFont="1" applyFill="1" applyBorder="1" applyAlignment="1">
      <alignment horizontal="left"/>
    </xf>
    <xf numFmtId="0" fontId="47" fillId="0" borderId="0" xfId="0" quotePrefix="1" applyFont="1" applyFill="1" applyBorder="1"/>
    <xf numFmtId="0" fontId="47" fillId="0" borderId="0" xfId="0" applyFont="1" applyFill="1"/>
    <xf numFmtId="0" fontId="47" fillId="0" borderId="0" xfId="0" applyFont="1" applyFill="1" applyBorder="1" applyAlignment="1">
      <alignment horizontal="right"/>
    </xf>
    <xf numFmtId="0" fontId="47" fillId="0" borderId="0" xfId="0" applyNumberFormat="1" applyFont="1" applyFill="1" applyBorder="1"/>
    <xf numFmtId="0" fontId="47" fillId="0" borderId="0" xfId="2" applyNumberFormat="1" applyFont="1" applyFill="1" applyBorder="1" applyAlignment="1">
      <alignment horizontal="left" vertical="top"/>
    </xf>
    <xf numFmtId="166" fontId="48" fillId="0" borderId="0" xfId="2" applyNumberFormat="1" applyFont="1" applyFill="1" applyBorder="1" applyAlignment="1">
      <alignment horizontal="center"/>
    </xf>
    <xf numFmtId="166" fontId="47" fillId="0" borderId="0" xfId="0" applyNumberFormat="1" applyFont="1" applyFill="1" applyBorder="1"/>
    <xf numFmtId="0" fontId="47" fillId="0" borderId="0" xfId="0" applyFont="1" applyFill="1" applyAlignment="1">
      <alignment horizontal="center"/>
    </xf>
    <xf numFmtId="0" fontId="47" fillId="0" borderId="0" xfId="0" applyFont="1" applyFill="1" applyBorder="1"/>
    <xf numFmtId="168" fontId="47" fillId="0" borderId="0" xfId="0" applyNumberFormat="1" applyFont="1" applyFill="1" applyBorder="1"/>
    <xf numFmtId="0" fontId="47" fillId="0" borderId="0" xfId="0" applyFont="1" applyFill="1" applyBorder="1" applyAlignment="1">
      <alignment horizontal="left"/>
    </xf>
    <xf numFmtId="0" fontId="47" fillId="0" borderId="0" xfId="0" quotePrefix="1" applyFont="1" applyFill="1" applyAlignment="1">
      <alignment horizontal="left"/>
    </xf>
    <xf numFmtId="1" fontId="47" fillId="0" borderId="0" xfId="0" applyNumberFormat="1" applyFont="1" applyFill="1" applyBorder="1"/>
    <xf numFmtId="168" fontId="41" fillId="0" borderId="0" xfId="0" applyNumberFormat="1" applyFont="1" applyFill="1" applyBorder="1"/>
    <xf numFmtId="2" fontId="47" fillId="0" borderId="0" xfId="0" applyNumberFormat="1" applyFont="1" applyFill="1"/>
    <xf numFmtId="0" fontId="46" fillId="0" borderId="0" xfId="2" applyNumberFormat="1" applyFont="1" applyFill="1" applyBorder="1" applyAlignment="1">
      <alignment horizontal="left" vertical="top"/>
    </xf>
    <xf numFmtId="0" fontId="51" fillId="0" borderId="0" xfId="0" applyFont="1" applyFill="1" applyAlignment="1">
      <alignment horizontal="left"/>
    </xf>
    <xf numFmtId="0" fontId="47" fillId="0" borderId="0" xfId="0" applyNumberFormat="1" applyFont="1" applyFill="1" applyBorder="1" applyAlignment="1">
      <alignment horizontal="left"/>
    </xf>
    <xf numFmtId="37" fontId="46" fillId="0" borderId="0" xfId="57" applyNumberFormat="1" applyFont="1" applyFill="1" applyAlignment="1"/>
    <xf numFmtId="0" fontId="47" fillId="0" borderId="0" xfId="0" applyFont="1" applyFill="1" applyBorder="1" applyAlignment="1">
      <alignment horizontal="left" wrapText="1"/>
    </xf>
    <xf numFmtId="0" fontId="47" fillId="0" borderId="0" xfId="0" applyNumberFormat="1" applyFont="1" applyFill="1" applyBorder="1" applyAlignment="1">
      <alignment horizontal="left" wrapText="1"/>
    </xf>
    <xf numFmtId="2" fontId="47" fillId="0" borderId="0" xfId="0" applyNumberFormat="1" applyFont="1" applyFill="1" applyBorder="1"/>
    <xf numFmtId="37" fontId="50" fillId="0" borderId="0" xfId="57" applyNumberFormat="1" applyFont="1" applyFill="1" applyAlignment="1"/>
    <xf numFmtId="0" fontId="41" fillId="0" borderId="0" xfId="0" applyNumberFormat="1" applyFont="1" applyFill="1" applyBorder="1"/>
    <xf numFmtId="0" fontId="51" fillId="0" borderId="0" xfId="0" applyFont="1" applyFill="1" applyAlignment="1">
      <alignment horizontal="center"/>
    </xf>
    <xf numFmtId="166" fontId="46" fillId="0" borderId="0" xfId="2" applyNumberFormat="1" applyFont="1" applyFill="1" applyBorder="1"/>
    <xf numFmtId="0" fontId="49" fillId="0" borderId="0" xfId="0" applyNumberFormat="1" applyFont="1" applyFill="1" applyBorder="1"/>
    <xf numFmtId="166" fontId="48" fillId="0" borderId="0" xfId="2" applyNumberFormat="1" applyFont="1" applyFill="1" applyBorder="1" applyAlignment="1">
      <alignment horizontal="right"/>
    </xf>
    <xf numFmtId="0" fontId="49" fillId="0" borderId="0" xfId="0" applyFont="1" applyFill="1"/>
    <xf numFmtId="0" fontId="47" fillId="0" borderId="0" xfId="0" applyFont="1" applyFill="1" applyBorder="1" applyAlignment="1">
      <alignment horizontal="center"/>
    </xf>
    <xf numFmtId="166" fontId="47" fillId="0" borderId="0" xfId="2" applyNumberFormat="1" applyFont="1" applyFill="1"/>
    <xf numFmtId="164" fontId="47" fillId="0" borderId="0" xfId="1" applyNumberFormat="1" applyFont="1" applyFill="1" applyBorder="1"/>
    <xf numFmtId="0" fontId="41" fillId="0" borderId="0" xfId="0" applyFont="1" applyFill="1" applyAlignment="1">
      <alignment horizontal="center"/>
    </xf>
    <xf numFmtId="0" fontId="41" fillId="0" borderId="0" xfId="0" applyFont="1" applyFill="1"/>
    <xf numFmtId="0" fontId="47" fillId="0" borderId="0" xfId="0" applyFont="1" applyFill="1" applyBorder="1" applyAlignment="1"/>
    <xf numFmtId="166" fontId="47" fillId="0" borderId="0" xfId="0" applyNumberFormat="1" applyFont="1" applyFill="1"/>
    <xf numFmtId="0" fontId="47" fillId="0" borderId="0" xfId="0" applyFont="1" applyFill="1" applyAlignment="1">
      <alignment horizontal="right"/>
    </xf>
    <xf numFmtId="0" fontId="47" fillId="0" borderId="0" xfId="0" applyFont="1" applyFill="1" applyAlignment="1"/>
    <xf numFmtId="0" fontId="47" fillId="0" borderId="0" xfId="0" applyNumberFormat="1" applyFont="1" applyFill="1" applyBorder="1" applyAlignment="1">
      <alignment horizontal="right" vertical="center"/>
    </xf>
    <xf numFmtId="169" fontId="47" fillId="0" borderId="0" xfId="3" applyNumberFormat="1" applyFont="1" applyFill="1" applyBorder="1" applyAlignment="1">
      <alignment horizontal="right"/>
    </xf>
    <xf numFmtId="0" fontId="41" fillId="0" borderId="14" xfId="0" applyFont="1" applyFill="1" applyBorder="1" applyAlignment="1">
      <alignment horizontal="center" vertical="center" wrapText="1"/>
    </xf>
    <xf numFmtId="0" fontId="0" fillId="0" borderId="14" xfId="0" applyFont="1" applyFill="1" applyBorder="1" applyAlignment="1">
      <alignment horizontal="center"/>
    </xf>
    <xf numFmtId="0" fontId="0" fillId="0" borderId="14" xfId="0" applyFont="1" applyFill="1" applyBorder="1"/>
    <xf numFmtId="0" fontId="18" fillId="0" borderId="0" xfId="0" applyFont="1" applyFill="1" applyBorder="1" applyAlignment="1">
      <alignment horizontal="center"/>
    </xf>
    <xf numFmtId="0" fontId="41" fillId="0" borderId="14" xfId="0" applyFont="1" applyFill="1" applyBorder="1" applyAlignment="1">
      <alignment horizontal="center"/>
    </xf>
    <xf numFmtId="0" fontId="35" fillId="0" borderId="0" xfId="0" applyFont="1" applyFill="1" applyBorder="1" applyAlignment="1"/>
    <xf numFmtId="0" fontId="33" fillId="0" borderId="0" xfId="0" applyFont="1" applyFill="1" applyBorder="1"/>
    <xf numFmtId="3" fontId="56" fillId="0" borderId="0" xfId="56" applyFont="1" applyFill="1" applyBorder="1" applyAlignment="1">
      <alignment horizontal="left"/>
    </xf>
    <xf numFmtId="0" fontId="46" fillId="0" borderId="0" xfId="0" applyFont="1" applyFill="1" applyAlignment="1">
      <alignment horizontal="right"/>
    </xf>
    <xf numFmtId="166" fontId="46" fillId="0" borderId="0" xfId="66" applyNumberFormat="1" applyFont="1" applyFill="1" applyBorder="1" applyAlignment="1">
      <alignment horizontal="right"/>
    </xf>
    <xf numFmtId="166" fontId="35" fillId="0" borderId="0" xfId="66" applyNumberFormat="1" applyFont="1" applyFill="1" applyBorder="1" applyAlignment="1">
      <alignment horizontal="right"/>
    </xf>
    <xf numFmtId="1" fontId="35" fillId="0" borderId="17" xfId="57" applyFont="1" applyFill="1" applyBorder="1"/>
    <xf numFmtId="1" fontId="33" fillId="0" borderId="10" xfId="57" applyFont="1" applyFill="1" applyBorder="1" applyAlignment="1">
      <alignment horizontal="center"/>
    </xf>
    <xf numFmtId="166" fontId="46" fillId="0" borderId="0" xfId="2" applyNumberFormat="1" applyFont="1" applyFill="1" applyBorder="1" applyAlignment="1">
      <alignment horizontal="right"/>
    </xf>
    <xf numFmtId="166" fontId="35" fillId="0" borderId="0" xfId="2" applyNumberFormat="1" applyFont="1" applyFill="1" applyBorder="1" applyAlignment="1">
      <alignment horizontal="right"/>
    </xf>
    <xf numFmtId="166" fontId="35" fillId="0" borderId="0" xfId="2" applyNumberFormat="1" applyFont="1" applyFill="1" applyBorder="1"/>
    <xf numFmtId="0" fontId="33" fillId="0" borderId="0" xfId="0" applyFont="1" applyFill="1" applyBorder="1" applyAlignment="1">
      <alignment horizontal="center"/>
    </xf>
    <xf numFmtId="0" fontId="46" fillId="0" borderId="0" xfId="0" applyFont="1" applyFill="1" applyBorder="1"/>
    <xf numFmtId="166" fontId="46" fillId="0" borderId="0" xfId="0" applyNumberFormat="1" applyFont="1" applyFill="1" applyBorder="1"/>
    <xf numFmtId="0" fontId="61" fillId="0" borderId="0" xfId="0" applyFont="1" applyFill="1" applyBorder="1" applyAlignment="1">
      <alignment horizontal="center"/>
    </xf>
    <xf numFmtId="0" fontId="46" fillId="0" borderId="0" xfId="0" applyNumberFormat="1" applyFont="1" applyFill="1" applyBorder="1" applyAlignment="1">
      <alignment horizontal="left"/>
    </xf>
    <xf numFmtId="166" fontId="46" fillId="0" borderId="0" xfId="2" applyNumberFormat="1" applyFont="1" applyFill="1" applyBorder="1" applyAlignment="1">
      <alignment horizontal="left" vertical="top"/>
    </xf>
    <xf numFmtId="166" fontId="46" fillId="0" borderId="0" xfId="2" applyNumberFormat="1" applyFont="1" applyFill="1" applyBorder="1" applyAlignment="1">
      <alignment vertical="top"/>
    </xf>
    <xf numFmtId="3" fontId="46" fillId="0" borderId="0" xfId="2" applyNumberFormat="1" applyFont="1" applyFill="1" applyBorder="1" applyAlignment="1">
      <alignment vertical="top"/>
    </xf>
    <xf numFmtId="166" fontId="46" fillId="0" borderId="0" xfId="2" applyNumberFormat="1" applyFont="1" applyFill="1" applyBorder="1" applyAlignment="1">
      <alignment horizontal="right" vertical="top"/>
    </xf>
    <xf numFmtId="3" fontId="46" fillId="0" borderId="0" xfId="2" applyNumberFormat="1" applyFont="1" applyFill="1" applyBorder="1" applyAlignment="1">
      <alignment horizontal="right" vertical="top"/>
    </xf>
    <xf numFmtId="166" fontId="48" fillId="0" borderId="0" xfId="2" applyNumberFormat="1" applyFont="1" applyFill="1" applyBorder="1" applyAlignment="1">
      <alignment horizontal="right" vertical="top"/>
    </xf>
    <xf numFmtId="0" fontId="35" fillId="0" borderId="0" xfId="0" applyFont="1" applyFill="1" applyBorder="1" applyAlignment="1">
      <alignment horizontal="center"/>
    </xf>
    <xf numFmtId="0" fontId="46" fillId="0" borderId="0" xfId="0" applyFont="1" applyFill="1" applyBorder="1" applyAlignment="1">
      <alignment horizontal="right"/>
    </xf>
    <xf numFmtId="164" fontId="46" fillId="0" borderId="0" xfId="1" applyNumberFormat="1" applyFont="1" applyFill="1" applyBorder="1" applyAlignment="1">
      <alignment horizontal="right"/>
    </xf>
    <xf numFmtId="166" fontId="46" fillId="0" borderId="0" xfId="2" applyNumberFormat="1" applyFont="1" applyFill="1" applyBorder="1" applyAlignment="1"/>
    <xf numFmtId="166" fontId="46" fillId="0" borderId="0" xfId="2" applyNumberFormat="1" applyFont="1" applyFill="1" applyBorder="1" applyAlignment="1">
      <alignment horizontal="center"/>
    </xf>
    <xf numFmtId="0" fontId="46" fillId="0" borderId="0" xfId="0" applyFont="1" applyFill="1" applyBorder="1" applyAlignment="1">
      <alignment horizontal="center"/>
    </xf>
    <xf numFmtId="0" fontId="61" fillId="0" borderId="0" xfId="0" applyFont="1" applyFill="1" applyBorder="1" applyAlignment="1">
      <alignment horizontal="right"/>
    </xf>
    <xf numFmtId="3" fontId="46" fillId="0" borderId="0" xfId="0" applyNumberFormat="1" applyFont="1" applyFill="1" applyBorder="1"/>
    <xf numFmtId="41" fontId="46" fillId="0" borderId="0" xfId="54" applyFont="1" applyFill="1" applyBorder="1">
      <alignment horizontal="right"/>
    </xf>
    <xf numFmtId="0" fontId="35" fillId="0" borderId="0" xfId="0" applyNumberFormat="1" applyFont="1" applyFill="1" applyBorder="1" applyAlignment="1">
      <alignment horizontal="left" vertical="top"/>
    </xf>
    <xf numFmtId="0" fontId="63" fillId="0" borderId="0" xfId="77" applyFont="1" applyFill="1"/>
    <xf numFmtId="39" fontId="35" fillId="0" borderId="0" xfId="58" applyNumberFormat="1" applyFont="1" applyFill="1" applyAlignment="1">
      <alignment horizontal="centerContinuous"/>
    </xf>
    <xf numFmtId="0" fontId="18" fillId="0" borderId="14" xfId="0" applyFont="1" applyFill="1" applyBorder="1" applyAlignment="1">
      <alignment horizontal="center" vertical="center" wrapText="1"/>
    </xf>
    <xf numFmtId="171" fontId="35" fillId="0" borderId="0" xfId="61" quotePrefix="1" applyNumberFormat="1" applyFont="1" applyFill="1" applyBorder="1"/>
    <xf numFmtId="1" fontId="33" fillId="0" borderId="0" xfId="80" applyNumberFormat="1" applyFont="1" applyFill="1" applyAlignment="1" applyProtection="1">
      <protection locked="0"/>
    </xf>
    <xf numFmtId="0" fontId="33" fillId="0" borderId="14" xfId="0" applyFont="1" applyFill="1" applyBorder="1" applyAlignment="1">
      <alignment horizontal="center" vertical="center" wrapText="1"/>
    </xf>
    <xf numFmtId="37" fontId="35" fillId="0" borderId="0" xfId="57" applyNumberFormat="1" applyFont="1" applyFill="1" applyAlignment="1">
      <alignment horizontal="center"/>
    </xf>
    <xf numFmtId="37" fontId="35" fillId="0" borderId="0" xfId="57" applyNumberFormat="1" applyFont="1" applyFill="1"/>
    <xf numFmtId="37" fontId="53" fillId="0" borderId="0" xfId="57" applyNumberFormat="1" applyFont="1" applyFill="1"/>
    <xf numFmtId="37" fontId="17" fillId="0" borderId="0" xfId="57" applyNumberFormat="1" applyFont="1" applyFill="1"/>
    <xf numFmtId="37" fontId="33" fillId="0" borderId="14" xfId="57" applyNumberFormat="1" applyFont="1" applyFill="1" applyBorder="1" applyAlignment="1">
      <alignment horizontal="center" wrapText="1"/>
    </xf>
    <xf numFmtId="1" fontId="35" fillId="0" borderId="0" xfId="57" applyFont="1" applyFill="1" applyBorder="1"/>
    <xf numFmtId="1" fontId="35" fillId="0" borderId="0" xfId="57" applyNumberFormat="1" applyFont="1" applyFill="1" applyAlignment="1">
      <alignment horizontal="center"/>
    </xf>
    <xf numFmtId="1" fontId="35" fillId="0" borderId="0" xfId="57" applyNumberFormat="1" applyFont="1" applyFill="1" applyBorder="1" applyAlignment="1">
      <alignment horizontal="center"/>
    </xf>
    <xf numFmtId="37" fontId="35" fillId="0" borderId="0" xfId="57" applyNumberFormat="1" applyFont="1" applyFill="1" applyAlignment="1">
      <alignment horizontal="right"/>
    </xf>
    <xf numFmtId="37" fontId="39" fillId="0" borderId="0" xfId="57" applyNumberFormat="1" applyFont="1" applyFill="1"/>
    <xf numFmtId="37" fontId="39" fillId="0" borderId="0" xfId="57" applyNumberFormat="1" applyFill="1"/>
    <xf numFmtId="0" fontId="60" fillId="0" borderId="0" xfId="67" applyFont="1" applyFill="1" applyBorder="1"/>
    <xf numFmtId="37" fontId="10" fillId="0" borderId="0" xfId="0" applyNumberFormat="1" applyFont="1" applyFill="1"/>
    <xf numFmtId="3" fontId="10" fillId="0" borderId="0" xfId="0" applyNumberFormat="1" applyFont="1" applyFill="1"/>
    <xf numFmtId="166" fontId="35" fillId="0" borderId="0" xfId="2" quotePrefix="1" applyNumberFormat="1" applyFont="1" applyFill="1" applyBorder="1"/>
    <xf numFmtId="166" fontId="35" fillId="0" borderId="0" xfId="2" applyNumberFormat="1" applyFont="1" applyFill="1"/>
    <xf numFmtId="166" fontId="35" fillId="0" borderId="17" xfId="2" applyNumberFormat="1" applyFont="1" applyFill="1" applyBorder="1"/>
    <xf numFmtId="0" fontId="0" fillId="0" borderId="0" xfId="68" applyFont="1" applyFill="1"/>
    <xf numFmtId="3" fontId="35" fillId="0" borderId="0" xfId="82" applyFont="1" applyFill="1">
      <alignment horizontal="left"/>
    </xf>
    <xf numFmtId="3" fontId="65" fillId="0" borderId="0" xfId="82" applyFont="1" applyFill="1">
      <alignment horizontal="left"/>
    </xf>
    <xf numFmtId="166" fontId="35" fillId="0" borderId="0" xfId="85" applyNumberFormat="1" applyFont="1" applyFill="1" applyBorder="1" applyAlignment="1">
      <alignment horizontal="right"/>
    </xf>
    <xf numFmtId="0" fontId="0" fillId="0" borderId="0" xfId="0" applyFill="1" applyAlignment="1">
      <alignment horizontal="right"/>
    </xf>
    <xf numFmtId="0" fontId="35" fillId="0" borderId="0" xfId="82" applyNumberFormat="1" applyFont="1" applyFill="1" applyBorder="1" applyAlignment="1" applyProtection="1"/>
    <xf numFmtId="0" fontId="35" fillId="0" borderId="0" xfId="82" applyNumberFormat="1" applyFont="1" applyFill="1" applyBorder="1" applyAlignment="1" applyProtection="1">
      <alignment vertical="top"/>
    </xf>
    <xf numFmtId="3" fontId="35" fillId="0" borderId="0" xfId="82" applyFont="1" applyFill="1" applyBorder="1" applyAlignment="1">
      <alignment vertical="top"/>
    </xf>
    <xf numFmtId="3" fontId="33" fillId="0" borderId="0" xfId="82" applyFont="1" applyFill="1" applyBorder="1" applyAlignment="1">
      <alignment horizontal="center" vertical="top"/>
    </xf>
    <xf numFmtId="3" fontId="66" fillId="0" borderId="0" xfId="82" applyFont="1" applyFill="1">
      <alignment horizontal="left"/>
    </xf>
    <xf numFmtId="3" fontId="33" fillId="0" borderId="14" xfId="82" applyFont="1" applyFill="1" applyBorder="1" applyAlignment="1">
      <alignment horizontal="center" vertical="center" wrapText="1"/>
    </xf>
    <xf numFmtId="3" fontId="33" fillId="0" borderId="14" xfId="82" applyFont="1" applyFill="1" applyBorder="1" applyAlignment="1">
      <alignment horizontal="center" vertical="center"/>
    </xf>
    <xf numFmtId="3" fontId="33" fillId="0" borderId="0" xfId="82" applyFont="1" applyFill="1" applyBorder="1" applyAlignment="1">
      <alignment horizontal="center" vertical="center" wrapText="1"/>
    </xf>
    <xf numFmtId="3" fontId="33" fillId="0" borderId="0" xfId="82" applyFont="1" applyFill="1" applyBorder="1" applyAlignment="1">
      <alignment horizontal="center" vertical="center"/>
    </xf>
    <xf numFmtId="3" fontId="35" fillId="0" borderId="0" xfId="82" applyFont="1" applyFill="1" applyAlignment="1">
      <alignment horizontal="center"/>
    </xf>
    <xf numFmtId="42" fontId="35" fillId="0" borderId="0" xfId="82" applyNumberFormat="1" applyFont="1" applyFill="1" applyBorder="1">
      <alignment horizontal="left"/>
    </xf>
    <xf numFmtId="42" fontId="35" fillId="0" borderId="0" xfId="82" applyNumberFormat="1" applyFont="1" applyFill="1" applyBorder="1" applyAlignment="1" applyProtection="1">
      <alignment vertical="top"/>
    </xf>
    <xf numFmtId="42" fontId="35" fillId="0" borderId="0" xfId="85" applyNumberFormat="1" applyFont="1" applyFill="1" applyBorder="1" applyAlignment="1" applyProtection="1">
      <alignment vertical="top"/>
    </xf>
    <xf numFmtId="3" fontId="35" fillId="0" borderId="0" xfId="82" applyFont="1" applyFill="1" applyBorder="1">
      <alignment horizontal="left"/>
    </xf>
    <xf numFmtId="3" fontId="35" fillId="0" borderId="0" xfId="82" applyFont="1" applyFill="1" applyBorder="1" applyAlignment="1"/>
    <xf numFmtId="49" fontId="35" fillId="0" borderId="0" xfId="82" applyNumberFormat="1" applyFont="1" applyFill="1" applyBorder="1" applyAlignment="1"/>
    <xf numFmtId="168" fontId="35" fillId="0" borderId="0" xfId="82" applyNumberFormat="1" applyFont="1" applyFill="1" applyBorder="1">
      <alignment horizontal="left"/>
    </xf>
    <xf numFmtId="4" fontId="35" fillId="0" borderId="0" xfId="82" applyNumberFormat="1" applyFont="1" applyFill="1" applyBorder="1">
      <alignment horizontal="left"/>
    </xf>
    <xf numFmtId="2" fontId="35" fillId="0" borderId="0" xfId="82" applyNumberFormat="1" applyFont="1" applyFill="1" applyBorder="1">
      <alignment horizontal="left"/>
    </xf>
    <xf numFmtId="172" fontId="35" fillId="0" borderId="0" xfId="87" applyNumberFormat="1" applyFont="1" applyFill="1" applyBorder="1" applyAlignment="1" applyProtection="1">
      <alignment horizontal="right" vertical="top"/>
    </xf>
    <xf numFmtId="0" fontId="35" fillId="0" borderId="0" xfId="82" applyNumberFormat="1" applyFont="1" applyFill="1" applyBorder="1" applyAlignment="1" applyProtection="1">
      <alignment horizontal="left" vertical="top"/>
    </xf>
    <xf numFmtId="42" fontId="35" fillId="0" borderId="17" xfId="85" applyNumberFormat="1" applyFont="1" applyFill="1" applyBorder="1" applyAlignment="1" applyProtection="1">
      <alignment vertical="top"/>
    </xf>
    <xf numFmtId="166" fontId="35" fillId="0" borderId="0" xfId="85" applyNumberFormat="1" applyFont="1" applyFill="1" applyBorder="1" applyAlignment="1" applyProtection="1">
      <alignment vertical="top"/>
    </xf>
    <xf numFmtId="4" fontId="35" fillId="0" borderId="0" xfId="82" applyNumberFormat="1" applyFont="1" applyFill="1" applyBorder="1" applyAlignment="1" applyProtection="1">
      <alignment vertical="top"/>
    </xf>
    <xf numFmtId="166" fontId="35" fillId="0" borderId="0" xfId="85" applyNumberFormat="1" applyFont="1" applyFill="1"/>
    <xf numFmtId="0" fontId="0" fillId="0" borderId="0" xfId="0" applyFill="1"/>
    <xf numFmtId="0" fontId="0" fillId="0" borderId="0" xfId="0" applyFill="1" applyBorder="1"/>
    <xf numFmtId="0" fontId="0" fillId="0" borderId="0" xfId="0" applyFont="1" applyFill="1" applyBorder="1" applyAlignment="1">
      <alignment horizontal="right"/>
    </xf>
    <xf numFmtId="0" fontId="0" fillId="0" borderId="0" xfId="0" applyFill="1" applyBorder="1" applyAlignment="1">
      <alignment horizontal="right"/>
    </xf>
    <xf numFmtId="0" fontId="18" fillId="0" borderId="14" xfId="0" applyFont="1" applyFill="1" applyBorder="1"/>
    <xf numFmtId="0" fontId="18" fillId="0" borderId="14" xfId="0" applyFont="1" applyFill="1" applyBorder="1" applyAlignment="1">
      <alignment wrapText="1"/>
    </xf>
    <xf numFmtId="174" fontId="18" fillId="0" borderId="14" xfId="0" applyNumberFormat="1" applyFont="1" applyFill="1" applyBorder="1" applyAlignment="1">
      <alignment horizontal="center" wrapText="1"/>
    </xf>
    <xf numFmtId="174" fontId="18" fillId="0" borderId="0" xfId="0" applyNumberFormat="1" applyFont="1" applyFill="1" applyBorder="1"/>
    <xf numFmtId="0" fontId="18" fillId="0" borderId="0" xfId="0" applyFont="1" applyFill="1" applyBorder="1"/>
    <xf numFmtId="9" fontId="0" fillId="0" borderId="0" xfId="83" applyFont="1" applyFill="1"/>
    <xf numFmtId="166" fontId="0" fillId="0" borderId="0" xfId="84" applyNumberFormat="1" applyFont="1" applyFill="1"/>
    <xf numFmtId="1" fontId="0" fillId="0" borderId="0" xfId="0" applyNumberFormat="1" applyFill="1" applyBorder="1" applyAlignment="1">
      <alignment horizontal="center"/>
    </xf>
    <xf numFmtId="174" fontId="0" fillId="0" borderId="0" xfId="0" applyNumberFormat="1" applyFill="1" applyBorder="1"/>
    <xf numFmtId="174" fontId="0" fillId="0" borderId="0" xfId="0" applyNumberFormat="1" applyFill="1" applyBorder="1" applyAlignment="1">
      <alignment horizontal="right"/>
    </xf>
    <xf numFmtId="1" fontId="0" fillId="0" borderId="0" xfId="0" applyNumberFormat="1" applyFill="1" applyBorder="1"/>
    <xf numFmtId="0" fontId="34" fillId="0" borderId="0" xfId="68" applyFont="1" applyFill="1"/>
    <xf numFmtId="0" fontId="54" fillId="0" borderId="0" xfId="0" applyFont="1" applyFill="1"/>
    <xf numFmtId="0" fontId="18" fillId="0" borderId="14" xfId="0" applyFont="1" applyFill="1" applyBorder="1" applyAlignment="1"/>
    <xf numFmtId="0" fontId="18" fillId="0" borderId="14" xfId="0" applyFont="1" applyFill="1" applyBorder="1" applyAlignment="1">
      <alignment horizontal="center"/>
    </xf>
    <xf numFmtId="0" fontId="18" fillId="0" borderId="14" xfId="0" applyFont="1" applyFill="1" applyBorder="1" applyAlignment="1">
      <alignment horizontal="left"/>
    </xf>
    <xf numFmtId="174" fontId="18" fillId="0" borderId="14" xfId="0" applyNumberFormat="1" applyFont="1" applyFill="1" applyBorder="1" applyAlignment="1">
      <alignment horizontal="center"/>
    </xf>
    <xf numFmtId="166" fontId="0" fillId="0" borderId="0" xfId="2" applyNumberFormat="1" applyFont="1" applyFill="1"/>
    <xf numFmtId="0" fontId="34" fillId="0" borderId="0" xfId="0" applyFont="1" applyFill="1"/>
    <xf numFmtId="15" fontId="0" fillId="0" borderId="0" xfId="0" applyNumberFormat="1" applyFill="1"/>
    <xf numFmtId="37" fontId="33" fillId="0" borderId="0" xfId="57" applyNumberFormat="1" applyFont="1" applyFill="1"/>
    <xf numFmtId="37" fontId="33" fillId="0" borderId="0" xfId="57" applyNumberFormat="1" applyFont="1" applyFill="1" applyBorder="1" applyAlignment="1">
      <alignment horizontal="center"/>
    </xf>
    <xf numFmtId="37" fontId="33" fillId="0" borderId="0" xfId="57" applyNumberFormat="1" applyFont="1" applyFill="1" applyAlignment="1"/>
    <xf numFmtId="37" fontId="33" fillId="0" borderId="14" xfId="57" applyNumberFormat="1" applyFont="1" applyFill="1" applyBorder="1" applyAlignment="1">
      <alignment horizontal="center"/>
    </xf>
    <xf numFmtId="37" fontId="33" fillId="0" borderId="0" xfId="57" applyNumberFormat="1" applyFont="1" applyFill="1" applyAlignment="1">
      <alignment horizontal="center"/>
    </xf>
    <xf numFmtId="166" fontId="33" fillId="0" borderId="17" xfId="2" applyNumberFormat="1" applyFont="1" applyFill="1" applyBorder="1"/>
    <xf numFmtId="1" fontId="35" fillId="0" borderId="0" xfId="57" applyNumberFormat="1" applyFont="1" applyFill="1"/>
    <xf numFmtId="37" fontId="35" fillId="0" borderId="14" xfId="57" applyNumberFormat="1" applyFont="1" applyFill="1" applyBorder="1" applyAlignment="1"/>
    <xf numFmtId="37" fontId="35" fillId="0" borderId="14" xfId="57" applyNumberFormat="1" applyFont="1" applyFill="1" applyBorder="1" applyAlignment="1">
      <alignment horizontal="center"/>
    </xf>
    <xf numFmtId="1" fontId="33" fillId="0" borderId="0" xfId="57" applyNumberFormat="1" applyFont="1" applyFill="1" applyAlignment="1">
      <alignment horizontal="center"/>
    </xf>
    <xf numFmtId="37" fontId="33" fillId="0" borderId="14" xfId="57" applyNumberFormat="1" applyFont="1" applyFill="1" applyBorder="1" applyAlignment="1">
      <alignment wrapText="1"/>
    </xf>
    <xf numFmtId="166" fontId="35" fillId="0" borderId="27" xfId="2" applyNumberFormat="1" applyFont="1" applyFill="1" applyBorder="1"/>
    <xf numFmtId="173" fontId="33" fillId="0" borderId="0" xfId="80" applyNumberFormat="1" applyFont="1" applyFill="1" applyAlignment="1"/>
    <xf numFmtId="37" fontId="59" fillId="0" borderId="0" xfId="57" applyNumberFormat="1" applyFont="1" applyFill="1" applyAlignment="1"/>
    <xf numFmtId="0" fontId="18" fillId="0" borderId="0" xfId="0" applyFont="1" applyFill="1"/>
    <xf numFmtId="37" fontId="35" fillId="0" borderId="17" xfId="57" applyNumberFormat="1" applyFont="1" applyFill="1" applyBorder="1"/>
    <xf numFmtId="37" fontId="35" fillId="0" borderId="0" xfId="57" applyNumberFormat="1" applyFont="1" applyFill="1" applyBorder="1"/>
    <xf numFmtId="37" fontId="35" fillId="0" borderId="21" xfId="57" applyNumberFormat="1" applyFont="1" applyFill="1" applyBorder="1"/>
    <xf numFmtId="37" fontId="35" fillId="0" borderId="14" xfId="57" applyNumberFormat="1" applyFont="1" applyFill="1" applyBorder="1"/>
    <xf numFmtId="166" fontId="35" fillId="0" borderId="14" xfId="2" applyNumberFormat="1" applyFont="1" applyFill="1" applyBorder="1"/>
    <xf numFmtId="37" fontId="35" fillId="0" borderId="0" xfId="76" applyNumberFormat="1" applyFont="1" applyFill="1"/>
    <xf numFmtId="37" fontId="35" fillId="0" borderId="0" xfId="76" applyNumberFormat="1" applyFont="1" applyFill="1" applyAlignment="1"/>
    <xf numFmtId="39" fontId="35" fillId="0" borderId="0" xfId="58" applyNumberFormat="1" applyFont="1" applyFill="1"/>
    <xf numFmtId="37" fontId="17" fillId="0" borderId="0" xfId="76" applyNumberFormat="1" applyFont="1" applyFill="1"/>
    <xf numFmtId="37" fontId="63" fillId="0" borderId="0" xfId="67" applyNumberFormat="1" applyFont="1" applyFill="1" applyBorder="1"/>
    <xf numFmtId="1" fontId="33" fillId="0" borderId="0" xfId="76" applyNumberFormat="1" applyFont="1" applyFill="1" applyAlignment="1">
      <alignment horizontal="center"/>
    </xf>
    <xf numFmtId="37" fontId="59" fillId="0" borderId="0" xfId="76" applyNumberFormat="1" applyFont="1" applyFill="1" applyAlignment="1"/>
    <xf numFmtId="37" fontId="35" fillId="0" borderId="0" xfId="58" quotePrefix="1" applyNumberFormat="1" applyFont="1" applyFill="1" applyAlignment="1">
      <alignment horizontal="center"/>
    </xf>
    <xf numFmtId="37" fontId="35" fillId="0" borderId="0" xfId="58" applyNumberFormat="1" applyFont="1" applyFill="1" applyAlignment="1">
      <alignment horizontal="center"/>
    </xf>
    <xf numFmtId="37" fontId="35" fillId="0" borderId="0" xfId="76" applyNumberFormat="1" applyFont="1" applyFill="1" applyAlignment="1">
      <alignment horizontal="center"/>
    </xf>
    <xf numFmtId="37" fontId="35" fillId="0" borderId="0" xfId="76" applyNumberFormat="1" applyFont="1" applyFill="1" applyBorder="1" applyAlignment="1"/>
    <xf numFmtId="37" fontId="35" fillId="0" borderId="14" xfId="76" applyNumberFormat="1" applyFont="1" applyFill="1" applyBorder="1" applyAlignment="1"/>
    <xf numFmtId="37" fontId="35" fillId="0" borderId="17" xfId="76" applyNumberFormat="1" applyFont="1" applyFill="1" applyBorder="1" applyAlignment="1"/>
    <xf numFmtId="166" fontId="35" fillId="0" borderId="17" xfId="2" quotePrefix="1" applyNumberFormat="1" applyFont="1" applyFill="1" applyBorder="1"/>
    <xf numFmtId="171" fontId="35" fillId="0" borderId="0" xfId="61" applyNumberFormat="1" applyFont="1" applyFill="1"/>
    <xf numFmtId="37" fontId="35" fillId="0" borderId="0" xfId="58" applyNumberFormat="1" applyFont="1" applyFill="1"/>
    <xf numFmtId="39" fontId="17" fillId="0" borderId="0" xfId="58" applyNumberFormat="1" applyFont="1" applyFill="1"/>
    <xf numFmtId="37" fontId="17" fillId="0" borderId="0" xfId="76" applyNumberFormat="1" applyFont="1" applyFill="1" applyAlignment="1"/>
    <xf numFmtId="164" fontId="18" fillId="0" borderId="14" xfId="58" applyNumberFormat="1" applyFont="1" applyFill="1" applyBorder="1" applyAlignment="1">
      <alignment horizontal="center" vertical="center"/>
    </xf>
    <xf numFmtId="1" fontId="18" fillId="0" borderId="14" xfId="57" applyFont="1" applyFill="1" applyBorder="1" applyAlignment="1">
      <alignment horizontal="center" vertical="center"/>
    </xf>
    <xf numFmtId="1" fontId="33" fillId="0" borderId="14" xfId="57" applyFont="1" applyFill="1" applyBorder="1" applyAlignment="1">
      <alignment horizontal="center" vertical="center"/>
    </xf>
    <xf numFmtId="0" fontId="35" fillId="0" borderId="13" xfId="0" applyFont="1" applyFill="1" applyBorder="1"/>
    <xf numFmtId="0" fontId="35" fillId="0" borderId="15" xfId="0" applyFont="1" applyFill="1" applyBorder="1"/>
    <xf numFmtId="0" fontId="59" fillId="0" borderId="15" xfId="0" applyFont="1" applyFill="1" applyBorder="1" applyAlignment="1">
      <alignment horizontal="center"/>
    </xf>
    <xf numFmtId="3" fontId="48" fillId="0" borderId="0" xfId="57" applyNumberFormat="1" applyFont="1" applyFill="1" applyAlignment="1"/>
    <xf numFmtId="0" fontId="47" fillId="0" borderId="0" xfId="2" applyNumberFormat="1" applyFont="1" applyFill="1" applyBorder="1" applyAlignment="1">
      <alignment horizontal="left" vertical="top" wrapText="1"/>
    </xf>
    <xf numFmtId="0" fontId="18" fillId="0" borderId="0" xfId="0" applyFont="1" applyFill="1" applyBorder="1" applyAlignment="1">
      <alignment horizontal="center" vertical="center"/>
    </xf>
    <xf numFmtId="0" fontId="0" fillId="0" borderId="0" xfId="0" applyFont="1" applyFill="1" applyAlignment="1">
      <alignment horizontal="center" wrapText="1"/>
    </xf>
    <xf numFmtId="166" fontId="0" fillId="0" borderId="0" xfId="0" applyNumberFormat="1" applyFont="1" applyFill="1"/>
    <xf numFmtId="1" fontId="36" fillId="0" borderId="10" xfId="57" applyFont="1" applyFill="1" applyBorder="1" applyAlignment="1">
      <alignment horizontal="center"/>
    </xf>
    <xf numFmtId="166" fontId="50" fillId="0" borderId="14" xfId="2" applyNumberFormat="1" applyFont="1" applyFill="1" applyBorder="1" applyAlignment="1">
      <alignment horizontal="center"/>
    </xf>
    <xf numFmtId="0" fontId="18" fillId="0" borderId="14" xfId="0" applyFont="1" applyFill="1" applyBorder="1" applyAlignment="1">
      <alignment horizontal="center" wrapText="1"/>
    </xf>
    <xf numFmtId="3" fontId="33" fillId="0" borderId="14" xfId="82" applyFont="1" applyFill="1" applyBorder="1" applyAlignment="1">
      <alignment horizontal="center" wrapText="1"/>
    </xf>
    <xf numFmtId="3" fontId="33" fillId="0" borderId="14" xfId="82" applyFont="1" applyFill="1" applyBorder="1" applyAlignment="1">
      <alignment horizontal="center"/>
    </xf>
    <xf numFmtId="0" fontId="35" fillId="0" borderId="0" xfId="82" applyNumberFormat="1" applyFont="1" applyFill="1" applyBorder="1" applyAlignment="1" applyProtection="1">
      <alignment horizontal="right" vertical="top"/>
    </xf>
    <xf numFmtId="9" fontId="35" fillId="0" borderId="0" xfId="3" applyFont="1" applyFill="1" applyBorder="1" applyAlignment="1" applyProtection="1">
      <alignment vertical="top"/>
    </xf>
    <xf numFmtId="166" fontId="35" fillId="0" borderId="10" xfId="2" applyNumberFormat="1" applyFont="1" applyFill="1" applyBorder="1" applyAlignment="1"/>
    <xf numFmtId="41" fontId="35" fillId="0" borderId="12" xfId="57" applyNumberFormat="1" applyFont="1" applyFill="1" applyBorder="1" applyAlignment="1"/>
    <xf numFmtId="3" fontId="35" fillId="0" borderId="10" xfId="56" applyFont="1" applyFill="1" applyBorder="1" applyAlignment="1"/>
    <xf numFmtId="166" fontId="33" fillId="0" borderId="10" xfId="2" applyNumberFormat="1" applyFont="1" applyFill="1" applyBorder="1" applyAlignment="1"/>
    <xf numFmtId="3" fontId="35" fillId="0" borderId="10" xfId="0" applyNumberFormat="1" applyFont="1" applyFill="1" applyBorder="1" applyAlignment="1"/>
    <xf numFmtId="41" fontId="33" fillId="0" borderId="10" xfId="57" applyNumberFormat="1" applyFont="1" applyFill="1" applyBorder="1" applyAlignment="1"/>
    <xf numFmtId="168" fontId="0" fillId="0" borderId="10" xfId="57" applyNumberFormat="1" applyFont="1" applyFill="1" applyBorder="1" applyAlignment="1">
      <alignment horizontal="center"/>
    </xf>
    <xf numFmtId="0" fontId="10" fillId="0" borderId="0" xfId="0" applyFont="1" applyFill="1" applyAlignment="1"/>
    <xf numFmtId="0" fontId="50" fillId="0" borderId="14" xfId="2" applyNumberFormat="1" applyFont="1" applyFill="1" applyBorder="1" applyAlignment="1">
      <alignment horizontal="center" vertical="top"/>
    </xf>
    <xf numFmtId="0" fontId="47" fillId="0" borderId="0" xfId="0" applyFont="1" applyFill="1"/>
    <xf numFmtId="0" fontId="17" fillId="0" borderId="0" xfId="110" applyFont="1" applyFill="1"/>
    <xf numFmtId="0" fontId="55" fillId="0" borderId="0" xfId="110" applyFont="1" applyFill="1" applyAlignment="1">
      <alignment horizontal="right"/>
    </xf>
    <xf numFmtId="3" fontId="33" fillId="0" borderId="0" xfId="0" applyNumberFormat="1" applyFont="1" applyFill="1"/>
    <xf numFmtId="0" fontId="56" fillId="0" borderId="0" xfId="110" applyFont="1" applyFill="1" applyAlignment="1">
      <alignment horizontal="centerContinuous"/>
    </xf>
    <xf numFmtId="0" fontId="57" fillId="0" borderId="0" xfId="110" applyFont="1" applyFill="1" applyAlignment="1">
      <alignment horizontal="centerContinuous"/>
    </xf>
    <xf numFmtId="0" fontId="56" fillId="0" borderId="0" xfId="110" applyFont="1" applyFill="1" applyAlignment="1">
      <alignment horizontal="center"/>
    </xf>
    <xf numFmtId="0" fontId="58" fillId="0" borderId="0" xfId="110" applyFont="1" applyFill="1" applyAlignment="1"/>
    <xf numFmtId="0" fontId="33" fillId="0" borderId="0" xfId="110" applyFont="1" applyFill="1" applyAlignment="1">
      <alignment horizontal="center"/>
    </xf>
    <xf numFmtId="0" fontId="33" fillId="0" borderId="0" xfId="110" applyFont="1" applyFill="1" applyAlignment="1"/>
    <xf numFmtId="0" fontId="35" fillId="0" borderId="0" xfId="110" applyFont="1" applyFill="1"/>
    <xf numFmtId="0" fontId="35" fillId="0" borderId="0" xfId="110" applyFont="1" applyFill="1" applyBorder="1" applyAlignment="1">
      <alignment horizontal="center" vertical="center" wrapText="1"/>
    </xf>
    <xf numFmtId="0" fontId="33" fillId="0" borderId="0" xfId="110" applyFont="1" applyFill="1" applyBorder="1" applyAlignment="1">
      <alignment horizontal="center" vertical="center"/>
    </xf>
    <xf numFmtId="0" fontId="35" fillId="0" borderId="0" xfId="110" applyFont="1" applyFill="1" applyBorder="1" applyAlignment="1">
      <alignment horizontal="center" vertical="top" wrapText="1"/>
    </xf>
    <xf numFmtId="0" fontId="33" fillId="0" borderId="0" xfId="110" applyFont="1" applyFill="1" applyBorder="1" applyAlignment="1">
      <alignment horizontal="center"/>
    </xf>
    <xf numFmtId="0" fontId="35" fillId="0" borderId="0" xfId="110" applyFont="1" applyFill="1" applyBorder="1" applyAlignment="1">
      <alignment vertical="center" wrapText="1"/>
    </xf>
    <xf numFmtId="0" fontId="35" fillId="0" borderId="0" xfId="110" applyFont="1" applyFill="1" applyBorder="1" applyAlignment="1">
      <alignment vertical="top"/>
    </xf>
    <xf numFmtId="0" fontId="35" fillId="0" borderId="0" xfId="110" applyFont="1" applyFill="1" applyBorder="1"/>
    <xf numFmtId="166" fontId="35" fillId="0" borderId="10" xfId="84" applyNumberFormat="1" applyFont="1" applyFill="1" applyBorder="1"/>
    <xf numFmtId="44" fontId="35" fillId="0" borderId="0" xfId="109" applyFont="1" applyFill="1"/>
    <xf numFmtId="44" fontId="35" fillId="0" borderId="0" xfId="109" applyFont="1" applyFill="1" applyBorder="1"/>
    <xf numFmtId="44" fontId="35" fillId="0" borderId="10" xfId="109" applyFont="1" applyFill="1" applyBorder="1"/>
    <xf numFmtId="0" fontId="35" fillId="0" borderId="0" xfId="110" applyFont="1" applyFill="1" applyBorder="1" applyAlignment="1">
      <alignment vertical="top" wrapText="1"/>
    </xf>
    <xf numFmtId="0" fontId="35" fillId="0" borderId="0" xfId="110" applyFont="1" applyFill="1" applyBorder="1" applyAlignment="1">
      <alignment vertical="center"/>
    </xf>
    <xf numFmtId="166" fontId="35" fillId="0" borderId="0" xfId="111" applyNumberFormat="1" applyFont="1" applyFill="1" applyBorder="1"/>
    <xf numFmtId="166" fontId="35" fillId="0" borderId="0" xfId="110" applyNumberFormat="1" applyFont="1" applyFill="1" applyBorder="1"/>
    <xf numFmtId="166" fontId="35" fillId="0" borderId="26" xfId="109" applyNumberFormat="1" applyFont="1" applyFill="1" applyBorder="1"/>
    <xf numFmtId="0" fontId="35" fillId="0" borderId="17" xfId="110" applyFont="1" applyFill="1" applyBorder="1" applyAlignment="1">
      <alignment wrapText="1"/>
    </xf>
    <xf numFmtId="0" fontId="35" fillId="0" borderId="10" xfId="110" quotePrefix="1" applyFont="1" applyFill="1" applyBorder="1" applyAlignment="1">
      <alignment horizontal="center"/>
    </xf>
    <xf numFmtId="44" fontId="35" fillId="0" borderId="26" xfId="109" applyFont="1" applyFill="1" applyBorder="1"/>
    <xf numFmtId="0" fontId="53" fillId="0" borderId="0" xfId="110" applyFont="1" applyFill="1"/>
    <xf numFmtId="0" fontId="18" fillId="0" borderId="0" xfId="0" applyFont="1" applyAlignment="1">
      <alignment horizontal="center"/>
    </xf>
    <xf numFmtId="0" fontId="34" fillId="0" borderId="0" xfId="0" applyFont="1" applyAlignment="1">
      <alignment horizontal="center" wrapText="1"/>
    </xf>
    <xf numFmtId="0" fontId="18" fillId="0" borderId="0" xfId="0" applyFont="1" applyAlignment="1">
      <alignment horizontal="left"/>
    </xf>
    <xf numFmtId="37" fontId="35" fillId="0" borderId="16" xfId="57" applyNumberFormat="1" applyFont="1" applyFill="1" applyBorder="1" applyAlignment="1">
      <alignment horizontal="left"/>
    </xf>
    <xf numFmtId="37" fontId="35" fillId="0" borderId="20" xfId="57" applyNumberFormat="1" applyFont="1" applyFill="1" applyBorder="1" applyAlignment="1">
      <alignment horizontal="left"/>
    </xf>
    <xf numFmtId="39" fontId="0" fillId="0" borderId="0" xfId="0" applyNumberFormat="1" applyFont="1" applyFill="1" applyAlignment="1">
      <alignment horizontal="right"/>
    </xf>
    <xf numFmtId="39" fontId="35" fillId="0" borderId="0" xfId="0" applyNumberFormat="1" applyFont="1" applyFill="1" applyAlignment="1">
      <alignment horizontal="right"/>
    </xf>
    <xf numFmtId="39" fontId="0" fillId="0" borderId="0" xfId="0" applyNumberFormat="1" applyFill="1"/>
    <xf numFmtId="0" fontId="17" fillId="0" borderId="0" xfId="112" applyFont="1"/>
    <xf numFmtId="9" fontId="17" fillId="0" borderId="0" xfId="113" applyFont="1"/>
    <xf numFmtId="44" fontId="17" fillId="0" borderId="0" xfId="114" applyFont="1"/>
    <xf numFmtId="0" fontId="17" fillId="0" borderId="0" xfId="112" applyFont="1" applyFill="1" applyAlignment="1">
      <alignment horizontal="right"/>
    </xf>
    <xf numFmtId="0" fontId="55" fillId="0" borderId="0" xfId="112" applyFont="1" applyFill="1"/>
    <xf numFmtId="0" fontId="17" fillId="0" borderId="0" xfId="112" applyFont="1" applyFill="1"/>
    <xf numFmtId="44" fontId="55" fillId="0" borderId="0" xfId="114" applyFont="1"/>
    <xf numFmtId="44" fontId="17" fillId="0" borderId="0" xfId="113" applyNumberFormat="1" applyFont="1"/>
    <xf numFmtId="166" fontId="17" fillId="0" borderId="0" xfId="112" applyNumberFormat="1" applyFont="1" applyFill="1"/>
    <xf numFmtId="0" fontId="17" fillId="0" borderId="0" xfId="112" applyFont="1" applyFill="1" applyAlignment="1">
      <alignment horizontal="left"/>
    </xf>
    <xf numFmtId="166" fontId="17" fillId="0" borderId="0" xfId="114" applyNumberFormat="1" applyFont="1" applyFill="1"/>
    <xf numFmtId="44" fontId="17" fillId="0" borderId="0" xfId="114" applyFont="1" applyFill="1"/>
    <xf numFmtId="0" fontId="55" fillId="0" borderId="0" xfId="115" applyFont="1" applyFill="1" applyBorder="1" applyAlignment="1">
      <alignment vertical="top"/>
    </xf>
    <xf numFmtId="0" fontId="17" fillId="0" borderId="0" xfId="115" applyFont="1" applyFill="1" applyBorder="1" applyAlignment="1">
      <alignment vertical="top"/>
    </xf>
    <xf numFmtId="3" fontId="56" fillId="0" borderId="0" xfId="115" applyNumberFormat="1" applyFont="1" applyFill="1" applyBorder="1" applyAlignment="1">
      <alignment vertical="top"/>
    </xf>
    <xf numFmtId="0" fontId="55" fillId="0" borderId="0" xfId="112" applyFont="1" applyFill="1" applyAlignment="1">
      <alignment horizontal="center"/>
    </xf>
    <xf numFmtId="164" fontId="46" fillId="33" borderId="0" xfId="1" applyNumberFormat="1" applyFont="1" applyFill="1" applyBorder="1" applyAlignment="1">
      <alignment horizontal="right"/>
    </xf>
    <xf numFmtId="0" fontId="70" fillId="0" borderId="0" xfId="0" applyFont="1" applyFill="1" applyAlignment="1">
      <alignment vertical="center"/>
    </xf>
    <xf numFmtId="166" fontId="35" fillId="33" borderId="12" xfId="84" applyNumberFormat="1" applyFont="1" applyFill="1" applyBorder="1" applyAlignment="1">
      <alignment vertical="top"/>
    </xf>
    <xf numFmtId="166" fontId="35" fillId="33" borderId="10" xfId="84" applyNumberFormat="1" applyFont="1" applyFill="1" applyBorder="1"/>
    <xf numFmtId="0" fontId="35" fillId="33" borderId="12" xfId="110" applyFont="1" applyFill="1" applyBorder="1" applyAlignment="1">
      <alignment vertical="top"/>
    </xf>
    <xf numFmtId="0" fontId="35" fillId="33" borderId="12" xfId="110" applyFont="1" applyFill="1" applyBorder="1" applyAlignment="1">
      <alignment vertical="center"/>
    </xf>
    <xf numFmtId="0" fontId="35" fillId="33" borderId="10" xfId="110" applyFont="1" applyFill="1" applyBorder="1"/>
    <xf numFmtId="166" fontId="35" fillId="33" borderId="10" xfId="111" applyNumberFormat="1" applyFont="1" applyFill="1" applyBorder="1"/>
    <xf numFmtId="166" fontId="35" fillId="33" borderId="10" xfId="110" applyNumberFormat="1" applyFont="1" applyFill="1" applyBorder="1"/>
    <xf numFmtId="37" fontId="69" fillId="0" borderId="0" xfId="57" applyNumberFormat="1" applyFont="1" applyFill="1" applyBorder="1" applyAlignment="1">
      <alignment horizontal="center" wrapText="1"/>
    </xf>
    <xf numFmtId="37" fontId="39" fillId="0" borderId="0" xfId="57" applyNumberFormat="1" applyFill="1" applyBorder="1"/>
    <xf numFmtId="42" fontId="35" fillId="33" borderId="0" xfId="82" applyNumberFormat="1" applyFont="1" applyFill="1" applyBorder="1" applyAlignment="1" applyProtection="1">
      <alignment vertical="top"/>
    </xf>
    <xf numFmtId="42" fontId="35" fillId="33" borderId="0" xfId="85" applyNumberFormat="1" applyFont="1" applyFill="1" applyBorder="1" applyAlignment="1" applyProtection="1">
      <alignment vertical="top"/>
    </xf>
    <xf numFmtId="10" fontId="35" fillId="0" borderId="0" xfId="3" applyNumberFormat="1" applyFont="1" applyFill="1" applyBorder="1"/>
    <xf numFmtId="0" fontId="18" fillId="0" borderId="0" xfId="2" applyNumberFormat="1" applyFont="1" applyFill="1"/>
    <xf numFmtId="0" fontId="0" fillId="0" borderId="0" xfId="0" applyFont="1" applyFill="1" applyBorder="1" applyAlignment="1"/>
    <xf numFmtId="0" fontId="18" fillId="0" borderId="0" xfId="0" applyFont="1" applyFill="1" applyBorder="1" applyAlignment="1"/>
    <xf numFmtId="0" fontId="18" fillId="0" borderId="1" xfId="0" applyFont="1" applyFill="1" applyBorder="1" applyAlignment="1">
      <alignment wrapText="1"/>
    </xf>
    <xf numFmtId="10" fontId="46" fillId="0" borderId="0" xfId="3" applyNumberFormat="1" applyFont="1" applyFill="1" applyBorder="1"/>
    <xf numFmtId="166" fontId="35" fillId="0" borderId="13" xfId="2" applyNumberFormat="1" applyFont="1" applyFill="1" applyBorder="1"/>
    <xf numFmtId="37" fontId="35" fillId="0" borderId="15" xfId="57" applyNumberFormat="1" applyFont="1" applyFill="1" applyBorder="1"/>
    <xf numFmtId="166" fontId="35" fillId="0" borderId="23" xfId="2" applyNumberFormat="1" applyFont="1" applyFill="1" applyBorder="1"/>
    <xf numFmtId="166" fontId="17" fillId="0" borderId="0" xfId="2" applyNumberFormat="1" applyFont="1" applyFill="1"/>
    <xf numFmtId="0" fontId="8" fillId="0" borderId="0" xfId="116" applyFont="1" applyAlignment="1">
      <alignment horizontal="center"/>
    </xf>
    <xf numFmtId="0" fontId="8" fillId="0" borderId="0" xfId="116" applyFont="1"/>
    <xf numFmtId="0" fontId="8" fillId="0" borderId="0" xfId="116" applyFont="1" applyAlignment="1">
      <alignment horizontal="right"/>
    </xf>
    <xf numFmtId="0" fontId="54" fillId="0" borderId="0" xfId="116" applyFont="1" applyAlignment="1">
      <alignment horizontal="center"/>
    </xf>
    <xf numFmtId="0" fontId="54" fillId="0" borderId="0" xfId="116" applyFont="1" applyBorder="1" applyAlignment="1">
      <alignment horizontal="center"/>
    </xf>
    <xf numFmtId="0" fontId="8" fillId="0" borderId="0" xfId="116" applyFont="1" applyBorder="1"/>
    <xf numFmtId="0" fontId="54" fillId="0" borderId="14" xfId="116" applyFont="1" applyBorder="1" applyAlignment="1">
      <alignment horizontal="center"/>
    </xf>
    <xf numFmtId="0" fontId="54" fillId="0" borderId="0" xfId="116" applyFont="1"/>
    <xf numFmtId="5" fontId="8" fillId="0" borderId="0" xfId="116" applyNumberFormat="1" applyFont="1"/>
    <xf numFmtId="10" fontId="8" fillId="0" borderId="0" xfId="116" applyNumberFormat="1" applyFont="1"/>
    <xf numFmtId="5" fontId="8" fillId="0" borderId="14" xfId="116" applyNumberFormat="1" applyFont="1" applyBorder="1"/>
    <xf numFmtId="10" fontId="8" fillId="0" borderId="0" xfId="116" applyNumberFormat="1" applyFont="1" applyAlignment="1">
      <alignment horizontal="center"/>
    </xf>
    <xf numFmtId="0" fontId="54" fillId="0" borderId="0" xfId="116" applyFont="1" applyAlignment="1">
      <alignment horizontal="right"/>
    </xf>
    <xf numFmtId="164" fontId="0" fillId="0" borderId="0" xfId="1" applyNumberFormat="1" applyFont="1" applyFill="1"/>
    <xf numFmtId="42" fontId="0" fillId="0" borderId="0" xfId="0" applyNumberFormat="1" applyFont="1" applyFill="1" applyBorder="1"/>
    <xf numFmtId="0" fontId="54" fillId="0" borderId="0" xfId="116" applyFont="1" applyAlignment="1"/>
    <xf numFmtId="0" fontId="8" fillId="0" borderId="0" xfId="116" applyFont="1" applyAlignment="1"/>
    <xf numFmtId="0" fontId="8" fillId="0" borderId="0" xfId="116" applyFont="1" applyFill="1" applyAlignment="1"/>
    <xf numFmtId="0" fontId="8" fillId="0" borderId="0" xfId="116" applyFont="1" applyFill="1" applyBorder="1"/>
    <xf numFmtId="3" fontId="0" fillId="0" borderId="0" xfId="0" applyNumberFormat="1" applyFont="1" applyFill="1"/>
    <xf numFmtId="37" fontId="0" fillId="0" borderId="0" xfId="0" applyNumberFormat="1" applyFont="1" applyFill="1"/>
    <xf numFmtId="7" fontId="8" fillId="0" borderId="0" xfId="116" applyNumberFormat="1" applyFont="1"/>
    <xf numFmtId="10" fontId="8" fillId="0" borderId="0" xfId="117" applyNumberFormat="1" applyFont="1" applyAlignment="1">
      <alignment horizontal="center"/>
    </xf>
    <xf numFmtId="170" fontId="8" fillId="0" borderId="14" xfId="116" applyNumberFormat="1" applyFont="1" applyBorder="1"/>
    <xf numFmtId="5" fontId="8" fillId="0" borderId="0" xfId="116" applyNumberFormat="1" applyFont="1" applyAlignment="1">
      <alignment horizontal="right"/>
    </xf>
    <xf numFmtId="0" fontId="8" fillId="0" borderId="0" xfId="116" applyFont="1" applyAlignment="1">
      <alignment horizontal="left" indent="1"/>
    </xf>
    <xf numFmtId="0" fontId="8" fillId="0" borderId="0" xfId="116" applyFont="1" applyFill="1"/>
    <xf numFmtId="0" fontId="8" fillId="0" borderId="0" xfId="116" applyFont="1" applyFill="1" applyAlignment="1">
      <alignment horizontal="center"/>
    </xf>
    <xf numFmtId="0" fontId="74" fillId="0" borderId="0" xfId="116" applyFont="1"/>
    <xf numFmtId="10" fontId="74" fillId="0" borderId="0" xfId="117" applyNumberFormat="1" applyFont="1" applyAlignment="1">
      <alignment horizontal="center"/>
    </xf>
    <xf numFmtId="10" fontId="8" fillId="0" borderId="0" xfId="117" applyNumberFormat="1" applyFont="1"/>
    <xf numFmtId="0" fontId="0" fillId="0" borderId="0" xfId="0" quotePrefix="1" applyFont="1" applyFill="1"/>
    <xf numFmtId="2" fontId="0" fillId="33" borderId="0" xfId="0" applyNumberFormat="1" applyFont="1" applyFill="1" applyBorder="1"/>
    <xf numFmtId="3" fontId="50" fillId="33" borderId="0" xfId="56" applyFont="1" applyFill="1" applyBorder="1" applyAlignment="1">
      <alignment horizontal="left"/>
    </xf>
    <xf numFmtId="0" fontId="35" fillId="33" borderId="0" xfId="0" applyFont="1" applyFill="1"/>
    <xf numFmtId="0" fontId="0" fillId="0" borderId="0" xfId="0" applyFont="1" applyFill="1" applyBorder="1" applyAlignment="1">
      <alignment horizontal="center"/>
    </xf>
    <xf numFmtId="0" fontId="0" fillId="0" borderId="0" xfId="0" quotePrefix="1" applyFont="1" applyFill="1" applyBorder="1" applyAlignment="1">
      <alignment horizontal="center"/>
    </xf>
    <xf numFmtId="10" fontId="8" fillId="0" borderId="0" xfId="117" applyNumberFormat="1" applyFont="1" applyFill="1" applyAlignment="1">
      <alignment horizontal="center"/>
    </xf>
    <xf numFmtId="0" fontId="54" fillId="0" borderId="0" xfId="116" applyFont="1" applyAlignment="1">
      <alignment horizontal="center"/>
    </xf>
    <xf numFmtId="0" fontId="8" fillId="0" borderId="0" xfId="116" applyFont="1" applyAlignment="1">
      <alignment horizontal="center"/>
    </xf>
    <xf numFmtId="0" fontId="35" fillId="0" borderId="10" xfId="110" quotePrefix="1" applyFont="1" applyFill="1" applyBorder="1" applyAlignment="1">
      <alignment horizontal="center" vertical="center" wrapText="1"/>
    </xf>
    <xf numFmtId="0" fontId="56" fillId="0" borderId="0" xfId="11" applyFont="1" applyFill="1"/>
    <xf numFmtId="0" fontId="50" fillId="0" borderId="0" xfId="12" applyFont="1" applyFill="1"/>
    <xf numFmtId="0" fontId="33" fillId="0" borderId="0" xfId="12" applyFont="1" applyFill="1"/>
    <xf numFmtId="3" fontId="33" fillId="0" borderId="0" xfId="12" applyNumberFormat="1" applyFont="1" applyFill="1"/>
    <xf numFmtId="0" fontId="70" fillId="0" borderId="0" xfId="0" applyFont="1" applyFill="1"/>
    <xf numFmtId="166" fontId="0" fillId="0" borderId="0" xfId="2" applyNumberFormat="1" applyFont="1" applyFill="1" applyBorder="1"/>
    <xf numFmtId="169" fontId="0" fillId="0" borderId="0" xfId="3" applyNumberFormat="1" applyFont="1" applyFill="1" applyAlignment="1">
      <alignment horizontal="left"/>
    </xf>
    <xf numFmtId="0" fontId="0" fillId="0" borderId="0" xfId="1" applyNumberFormat="1" applyFont="1" applyFill="1" applyAlignment="1">
      <alignment horizontal="center"/>
    </xf>
    <xf numFmtId="37" fontId="0" fillId="0" borderId="0" xfId="0" applyNumberFormat="1" applyFont="1" applyFill="1" applyAlignment="1">
      <alignment horizontal="left" indent="1"/>
    </xf>
    <xf numFmtId="169" fontId="0" fillId="0" borderId="0" xfId="3" applyNumberFormat="1" applyFont="1" applyFill="1"/>
    <xf numFmtId="0" fontId="0" fillId="0" borderId="0" xfId="0" applyFont="1" applyFill="1" applyAlignment="1">
      <alignment horizontal="left" indent="1"/>
    </xf>
    <xf numFmtId="0" fontId="0" fillId="0" borderId="0" xfId="0" applyFont="1" applyFill="1" applyAlignment="1">
      <alignment horizontal="center" vertical="center"/>
    </xf>
    <xf numFmtId="166" fontId="0" fillId="0" borderId="0" xfId="2" applyNumberFormat="1" applyFont="1" applyFill="1" applyAlignment="1">
      <alignment horizontal="left"/>
    </xf>
    <xf numFmtId="0" fontId="0" fillId="0" borderId="0" xfId="0" applyFont="1"/>
    <xf numFmtId="0" fontId="35" fillId="0" borderId="0" xfId="0" applyFont="1" applyFill="1" applyAlignment="1">
      <alignment horizontal="center"/>
    </xf>
    <xf numFmtId="5" fontId="0" fillId="0" borderId="0" xfId="0" applyNumberFormat="1" applyFont="1"/>
    <xf numFmtId="166" fontId="0" fillId="0" borderId="34" xfId="0" applyNumberFormat="1" applyFont="1" applyBorder="1"/>
    <xf numFmtId="0" fontId="75" fillId="0" borderId="0" xfId="116" applyFont="1" applyAlignment="1"/>
    <xf numFmtId="0" fontId="18" fillId="0" borderId="0" xfId="116" applyFont="1" applyAlignment="1"/>
    <xf numFmtId="3" fontId="18" fillId="0" borderId="0" xfId="116" applyNumberFormat="1" applyFont="1" applyFill="1" applyAlignment="1"/>
    <xf numFmtId="0" fontId="57" fillId="0" borderId="0" xfId="0" applyFont="1" applyFill="1"/>
    <xf numFmtId="164" fontId="35" fillId="0" borderId="0" xfId="1" applyNumberFormat="1" applyFont="1" applyFill="1"/>
    <xf numFmtId="0" fontId="34" fillId="0" borderId="0" xfId="0" applyFont="1" applyFill="1" applyBorder="1" applyAlignment="1"/>
    <xf numFmtId="0" fontId="0" fillId="0" borderId="0" xfId="0" applyNumberFormat="1" applyFont="1" applyFill="1" applyBorder="1"/>
    <xf numFmtId="0" fontId="0" fillId="0" borderId="0" xfId="0" applyNumberFormat="1" applyFont="1" applyFill="1" applyAlignment="1">
      <alignment horizontal="left"/>
    </xf>
    <xf numFmtId="42" fontId="0" fillId="0" borderId="0" xfId="2" applyNumberFormat="1" applyFont="1" applyFill="1" applyBorder="1" applyAlignment="1">
      <alignment horizontal="left" vertical="top"/>
    </xf>
    <xf numFmtId="37" fontId="35" fillId="0" borderId="0" xfId="57" applyNumberFormat="1" applyFont="1" applyFill="1" applyAlignment="1"/>
    <xf numFmtId="0" fontId="0" fillId="0" borderId="0" xfId="2" applyNumberFormat="1" applyFont="1" applyFill="1" applyBorder="1" applyAlignment="1">
      <alignment horizontal="left" vertical="top"/>
    </xf>
    <xf numFmtId="42" fontId="0" fillId="0" borderId="0" xfId="0" applyNumberFormat="1" applyFont="1" applyFill="1"/>
    <xf numFmtId="0" fontId="0" fillId="0" borderId="0" xfId="0" applyNumberFormat="1" applyFont="1" applyFill="1" applyAlignment="1">
      <alignment horizontal="left" wrapText="1"/>
    </xf>
    <xf numFmtId="169" fontId="0" fillId="0" borderId="0" xfId="0" applyNumberFormat="1" applyFont="1" applyFill="1"/>
    <xf numFmtId="0" fontId="34" fillId="0" borderId="0" xfId="0" applyFont="1" applyFill="1" applyBorder="1" applyAlignment="1">
      <alignment horizontal="left"/>
    </xf>
    <xf numFmtId="166" fontId="0" fillId="0" borderId="0" xfId="2"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35" fillId="0" borderId="0" xfId="0" applyFont="1" applyFill="1" applyAlignment="1">
      <alignment horizontal="left" indent="1"/>
    </xf>
    <xf numFmtId="42" fontId="0" fillId="0" borderId="0" xfId="2" applyNumberFormat="1" applyFont="1" applyFill="1" applyBorder="1" applyAlignment="1">
      <alignment horizontal="left"/>
    </xf>
    <xf numFmtId="0" fontId="35" fillId="0" borderId="0" xfId="0" applyFont="1" applyFill="1" applyAlignment="1">
      <alignment horizontal="left"/>
    </xf>
    <xf numFmtId="42" fontId="35" fillId="0" borderId="0" xfId="0" applyNumberFormat="1" applyFont="1" applyFill="1" applyAlignment="1">
      <alignment horizontal="left"/>
    </xf>
    <xf numFmtId="167" fontId="0" fillId="0" borderId="0" xfId="2" applyNumberFormat="1" applyFont="1" applyFill="1"/>
    <xf numFmtId="42" fontId="0" fillId="0" borderId="0" xfId="0" applyNumberFormat="1" applyFont="1" applyFill="1" applyAlignment="1">
      <alignment horizontal="left"/>
    </xf>
    <xf numFmtId="42" fontId="0" fillId="0" borderId="0" xfId="2" applyNumberFormat="1" applyFont="1" applyFill="1" applyBorder="1" applyAlignment="1">
      <alignment horizontal="center" vertical="center"/>
    </xf>
    <xf numFmtId="43" fontId="35" fillId="0" borderId="0" xfId="1" applyFont="1" applyFill="1" applyAlignment="1">
      <alignment horizontal="right"/>
    </xf>
    <xf numFmtId="1" fontId="35" fillId="0" borderId="0" xfId="2" applyNumberFormat="1" applyFont="1" applyFill="1" applyBorder="1"/>
    <xf numFmtId="1" fontId="0" fillId="0" borderId="0" xfId="0" applyNumberFormat="1" applyFont="1" applyFill="1"/>
    <xf numFmtId="2" fontId="0" fillId="0" borderId="0" xfId="0" applyNumberFormat="1" applyFont="1" applyFill="1" applyAlignment="1">
      <alignment horizontal="left" indent="1"/>
    </xf>
    <xf numFmtId="166" fontId="35" fillId="0" borderId="0" xfId="2" applyNumberFormat="1" applyFont="1" applyFill="1" applyAlignment="1">
      <alignment horizontal="left"/>
    </xf>
    <xf numFmtId="41" fontId="0" fillId="0" borderId="0" xfId="54" applyFont="1" applyFill="1">
      <alignment horizontal="right"/>
    </xf>
    <xf numFmtId="165" fontId="0" fillId="0" borderId="0" xfId="3" applyNumberFormat="1" applyFont="1" applyFill="1"/>
    <xf numFmtId="164" fontId="0" fillId="0" borderId="0" xfId="1" applyNumberFormat="1" applyFont="1" applyFill="1" applyBorder="1" applyAlignment="1">
      <alignment horizontal="right"/>
    </xf>
    <xf numFmtId="3" fontId="35" fillId="33" borderId="0" xfId="56" applyFont="1" applyFill="1" applyBorder="1">
      <alignment horizontal="right"/>
    </xf>
    <xf numFmtId="164" fontId="35" fillId="0" borderId="0" xfId="1" applyNumberFormat="1" applyFont="1" applyFill="1" applyBorder="1"/>
    <xf numFmtId="164" fontId="0" fillId="0" borderId="14" xfId="1" applyNumberFormat="1" applyFont="1" applyFill="1" applyBorder="1" applyAlignment="1">
      <alignment horizontal="right"/>
    </xf>
    <xf numFmtId="3" fontId="35" fillId="33" borderId="14" xfId="56" applyFont="1" applyFill="1" applyBorder="1">
      <alignment horizontal="right"/>
    </xf>
    <xf numFmtId="164" fontId="35" fillId="0" borderId="14" xfId="1" applyNumberFormat="1" applyFont="1" applyFill="1" applyBorder="1"/>
    <xf numFmtId="37" fontId="0" fillId="0" borderId="0" xfId="0" applyNumberFormat="1" applyFont="1" applyFill="1" applyBorder="1"/>
    <xf numFmtId="43" fontId="35" fillId="0" borderId="0" xfId="1" applyFont="1" applyFill="1" applyBorder="1"/>
    <xf numFmtId="10" fontId="10" fillId="0" borderId="0" xfId="3" applyNumberFormat="1" applyFont="1" applyFill="1"/>
    <xf numFmtId="10" fontId="10" fillId="0" borderId="0" xfId="2" applyNumberFormat="1" applyFont="1" applyFill="1"/>
    <xf numFmtId="10" fontId="10" fillId="0" borderId="0" xfId="3" applyNumberFormat="1" applyFont="1" applyFill="1" applyAlignment="1">
      <alignment horizontal="center"/>
    </xf>
    <xf numFmtId="166" fontId="10" fillId="0" borderId="0" xfId="2" applyNumberFormat="1" applyFont="1" applyFill="1" applyBorder="1"/>
    <xf numFmtId="10" fontId="10" fillId="0" borderId="0" xfId="3" quotePrefix="1" applyNumberFormat="1" applyFont="1" applyFill="1" applyAlignment="1">
      <alignment horizontal="center"/>
    </xf>
    <xf numFmtId="0" fontId="10" fillId="0" borderId="0" xfId="0" applyNumberFormat="1" applyFont="1" applyFill="1" applyAlignment="1">
      <alignment horizontal="left"/>
    </xf>
    <xf numFmtId="165" fontId="10" fillId="0" borderId="0" xfId="3" applyNumberFormat="1" applyFont="1" applyFill="1" applyAlignment="1">
      <alignment horizontal="center"/>
    </xf>
    <xf numFmtId="165" fontId="10" fillId="0" borderId="0" xfId="3" quotePrefix="1" applyNumberFormat="1" applyFont="1" applyFill="1" applyAlignment="1">
      <alignment horizontal="center"/>
    </xf>
    <xf numFmtId="10" fontId="10" fillId="0" borderId="0" xfId="0" applyNumberFormat="1" applyFont="1" applyFill="1" applyBorder="1"/>
    <xf numFmtId="9" fontId="10" fillId="0" borderId="0" xfId="0" applyNumberFormat="1" applyFont="1" applyFill="1"/>
    <xf numFmtId="42" fontId="10" fillId="0" borderId="0" xfId="0" applyNumberFormat="1" applyFont="1" applyFill="1" applyBorder="1"/>
    <xf numFmtId="0" fontId="35" fillId="0" borderId="0" xfId="1" applyNumberFormat="1" applyFont="1" applyFill="1" applyAlignment="1">
      <alignment horizontal="right"/>
    </xf>
    <xf numFmtId="169" fontId="0" fillId="0" borderId="0" xfId="3" applyNumberFormat="1" applyFont="1" applyFill="1" applyAlignment="1">
      <alignment horizontal="center"/>
    </xf>
    <xf numFmtId="166" fontId="0" fillId="0" borderId="0" xfId="1" applyNumberFormat="1" applyFont="1" applyFill="1"/>
    <xf numFmtId="0" fontId="0" fillId="0" borderId="0" xfId="0" applyFont="1" applyFill="1" applyAlignment="1">
      <alignment wrapText="1"/>
    </xf>
    <xf numFmtId="166" fontId="0" fillId="0" borderId="2" xfId="2" applyNumberFormat="1" applyFont="1" applyFill="1" applyBorder="1"/>
    <xf numFmtId="0" fontId="33" fillId="0" borderId="0" xfId="0" applyFont="1" applyFill="1" applyAlignment="1">
      <alignment horizontal="left" indent="1"/>
    </xf>
    <xf numFmtId="0" fontId="18" fillId="0" borderId="0" xfId="0" applyFont="1" applyFill="1" applyAlignment="1">
      <alignment horizontal="left" indent="1"/>
    </xf>
    <xf numFmtId="10" fontId="18" fillId="0" borderId="0" xfId="3" applyNumberFormat="1" applyFont="1" applyFill="1"/>
    <xf numFmtId="0" fontId="35" fillId="0" borderId="0" xfId="0" applyFont="1" applyFill="1" applyAlignment="1">
      <alignment wrapText="1"/>
    </xf>
    <xf numFmtId="166" fontId="37" fillId="0" borderId="0" xfId="2" applyNumberFormat="1" applyFont="1" applyFill="1"/>
    <xf numFmtId="0" fontId="37" fillId="0" borderId="0" xfId="0" applyFont="1" applyFill="1"/>
    <xf numFmtId="0" fontId="35" fillId="0" borderId="0" xfId="0" applyFont="1" applyFill="1" applyAlignment="1">
      <alignment horizontal="left" wrapText="1"/>
    </xf>
    <xf numFmtId="0" fontId="38" fillId="0" borderId="0" xfId="0" applyFont="1" applyFill="1" applyAlignment="1">
      <alignment horizontal="left" indent="1"/>
    </xf>
    <xf numFmtId="0" fontId="37" fillId="0" borderId="0" xfId="0" applyFont="1" applyFill="1" applyAlignment="1">
      <alignment horizontal="left"/>
    </xf>
    <xf numFmtId="0" fontId="0" fillId="0" borderId="0" xfId="0" applyNumberFormat="1" applyFont="1" applyFill="1" applyAlignment="1">
      <alignment horizontal="right"/>
    </xf>
    <xf numFmtId="0" fontId="0" fillId="0" borderId="0" xfId="0" applyNumberFormat="1" applyFont="1" applyFill="1" applyAlignment="1"/>
    <xf numFmtId="0" fontId="0" fillId="0" borderId="0" xfId="0" applyNumberFormat="1" applyFont="1" applyFill="1" applyBorder="1" applyAlignment="1">
      <alignment horizontal="right" vertical="center"/>
    </xf>
    <xf numFmtId="169" fontId="0" fillId="0" borderId="0" xfId="3" applyNumberFormat="1" applyFont="1" applyFill="1" applyBorder="1" applyAlignment="1">
      <alignment horizontal="right"/>
    </xf>
    <xf numFmtId="0" fontId="56" fillId="0" borderId="0" xfId="11" applyFont="1" applyFill="1" applyAlignment="1"/>
    <xf numFmtId="0" fontId="50" fillId="0" borderId="0" xfId="12" applyFont="1" applyFill="1" applyAlignment="1"/>
    <xf numFmtId="0" fontId="56" fillId="0" borderId="0" xfId="67" applyFont="1" applyFill="1"/>
    <xf numFmtId="0" fontId="50" fillId="0" borderId="0" xfId="65" applyFont="1" applyFill="1"/>
    <xf numFmtId="3" fontId="8" fillId="0" borderId="0" xfId="116" applyNumberFormat="1" applyFont="1" applyFill="1" applyAlignment="1"/>
    <xf numFmtId="3" fontId="10" fillId="0" borderId="0" xfId="116" applyNumberFormat="1" applyFont="1" applyFill="1" applyAlignment="1"/>
    <xf numFmtId="0" fontId="18" fillId="0" borderId="20" xfId="116" applyFont="1" applyBorder="1" applyAlignment="1">
      <alignment horizontal="center"/>
    </xf>
    <xf numFmtId="0" fontId="18" fillId="0" borderId="0" xfId="116" applyFont="1" applyBorder="1" applyAlignment="1">
      <alignment horizontal="center"/>
    </xf>
    <xf numFmtId="0" fontId="18" fillId="0" borderId="15" xfId="116" applyFont="1" applyBorder="1" applyAlignment="1">
      <alignment horizontal="center"/>
    </xf>
    <xf numFmtId="0" fontId="10" fillId="0" borderId="21" xfId="116" applyFont="1" applyBorder="1" applyAlignment="1">
      <alignment horizontal="center"/>
    </xf>
    <xf numFmtId="0" fontId="10" fillId="0" borderId="14" xfId="116" applyFont="1" applyBorder="1" applyAlignment="1">
      <alignment horizontal="center"/>
    </xf>
    <xf numFmtId="0" fontId="10" fillId="0" borderId="20" xfId="116" applyFont="1" applyBorder="1" applyAlignment="1">
      <alignment horizontal="center"/>
    </xf>
    <xf numFmtId="0" fontId="10" fillId="0" borderId="0" xfId="116" applyFont="1" applyBorder="1"/>
    <xf numFmtId="0" fontId="10" fillId="0" borderId="0" xfId="116" applyFont="1" applyBorder="1" applyAlignment="1">
      <alignment horizontal="center"/>
    </xf>
    <xf numFmtId="0" fontId="10" fillId="0" borderId="15" xfId="116" applyFont="1" applyBorder="1"/>
    <xf numFmtId="0" fontId="10" fillId="33" borderId="24" xfId="116" applyFont="1" applyFill="1" applyBorder="1" applyAlignment="1">
      <alignment horizontal="center"/>
    </xf>
    <xf numFmtId="0" fontId="10" fillId="33" borderId="25" xfId="116" applyFont="1" applyFill="1" applyBorder="1"/>
    <xf numFmtId="0" fontId="10" fillId="33" borderId="25" xfId="116" applyFont="1" applyFill="1" applyBorder="1" applyAlignment="1">
      <alignment horizontal="center"/>
    </xf>
    <xf numFmtId="5" fontId="10" fillId="33" borderId="25" xfId="116" applyNumberFormat="1" applyFont="1" applyFill="1" applyBorder="1"/>
    <xf numFmtId="5" fontId="10" fillId="0" borderId="25" xfId="116" applyNumberFormat="1" applyFont="1" applyFill="1" applyBorder="1"/>
    <xf numFmtId="10" fontId="10" fillId="0" borderId="25" xfId="117" applyNumberFormat="1" applyFont="1" applyFill="1" applyBorder="1" applyAlignment="1">
      <alignment horizontal="center"/>
    </xf>
    <xf numFmtId="5" fontId="10" fillId="0" borderId="28" xfId="116" applyNumberFormat="1" applyFont="1" applyFill="1" applyBorder="1"/>
    <xf numFmtId="0" fontId="10" fillId="33" borderId="29" xfId="116" applyFont="1" applyFill="1" applyBorder="1" applyAlignment="1">
      <alignment horizontal="center"/>
    </xf>
    <xf numFmtId="0" fontId="10" fillId="33" borderId="30" xfId="116" applyFont="1" applyFill="1" applyBorder="1"/>
    <xf numFmtId="0" fontId="10" fillId="33" borderId="30" xfId="116" applyFont="1" applyFill="1" applyBorder="1" applyAlignment="1">
      <alignment horizontal="center"/>
    </xf>
    <xf numFmtId="5" fontId="10" fillId="33" borderId="30" xfId="116" applyNumberFormat="1" applyFont="1" applyFill="1" applyBorder="1"/>
    <xf numFmtId="0" fontId="10" fillId="33" borderId="31" xfId="116" applyFont="1" applyFill="1" applyBorder="1" applyAlignment="1">
      <alignment horizontal="center"/>
    </xf>
    <xf numFmtId="0" fontId="10" fillId="33" borderId="32" xfId="116" applyFont="1" applyFill="1" applyBorder="1"/>
    <xf numFmtId="0" fontId="10" fillId="33" borderId="32" xfId="116" applyFont="1" applyFill="1" applyBorder="1" applyAlignment="1">
      <alignment horizontal="center"/>
    </xf>
    <xf numFmtId="5" fontId="10" fillId="33" borderId="32" xfId="116" applyNumberFormat="1" applyFont="1" applyFill="1" applyBorder="1"/>
    <xf numFmtId="5" fontId="10" fillId="0" borderId="32" xfId="116" applyNumberFormat="1" applyFont="1" applyFill="1" applyBorder="1"/>
    <xf numFmtId="10" fontId="10" fillId="0" borderId="32" xfId="117" applyNumberFormat="1" applyFont="1" applyFill="1" applyBorder="1" applyAlignment="1">
      <alignment horizontal="center"/>
    </xf>
    <xf numFmtId="5" fontId="10" fillId="0" borderId="33" xfId="116" applyNumberFormat="1" applyFont="1" applyFill="1" applyBorder="1"/>
    <xf numFmtId="0" fontId="10" fillId="0" borderId="0" xfId="116" applyFont="1" applyAlignment="1">
      <alignment horizontal="center"/>
    </xf>
    <xf numFmtId="0" fontId="10" fillId="0" borderId="0" xfId="116" applyFont="1"/>
    <xf numFmtId="5" fontId="10" fillId="0" borderId="34" xfId="116" applyNumberFormat="1" applyFont="1" applyBorder="1"/>
    <xf numFmtId="5" fontId="10" fillId="0" borderId="35" xfId="116" applyNumberFormat="1" applyFont="1" applyBorder="1" applyAlignment="1">
      <alignment horizontal="center"/>
    </xf>
    <xf numFmtId="5" fontId="10" fillId="0" borderId="36" xfId="116" applyNumberFormat="1" applyFont="1" applyBorder="1" applyAlignment="1">
      <alignment horizontal="center"/>
    </xf>
    <xf numFmtId="10" fontId="10" fillId="0" borderId="36" xfId="117" applyNumberFormat="1" applyFont="1" applyBorder="1" applyAlignment="1">
      <alignment horizontal="center"/>
    </xf>
    <xf numFmtId="0" fontId="37" fillId="0" borderId="0" xfId="116" applyFont="1"/>
    <xf numFmtId="0" fontId="37" fillId="0" borderId="0" xfId="116" applyFont="1" applyAlignment="1">
      <alignment horizontal="left"/>
    </xf>
    <xf numFmtId="0" fontId="0" fillId="0" borderId="14" xfId="116" applyFont="1" applyBorder="1" applyAlignment="1">
      <alignment horizontal="center"/>
    </xf>
    <xf numFmtId="0" fontId="0" fillId="0" borderId="23" xfId="116" applyFont="1" applyBorder="1" applyAlignment="1">
      <alignment horizontal="center"/>
    </xf>
    <xf numFmtId="0" fontId="76" fillId="0" borderId="0" xfId="116" applyFont="1" applyAlignment="1"/>
    <xf numFmtId="0" fontId="54" fillId="0" borderId="14" xfId="116" applyFont="1" applyBorder="1" applyAlignment="1">
      <alignment horizontal="center" wrapText="1"/>
    </xf>
    <xf numFmtId="3" fontId="68" fillId="0" borderId="0" xfId="0" applyNumberFormat="1" applyFont="1" applyFill="1"/>
    <xf numFmtId="3" fontId="18" fillId="0" borderId="0" xfId="116" applyNumberFormat="1" applyFont="1" applyAlignment="1"/>
    <xf numFmtId="0" fontId="5" fillId="0" borderId="0" xfId="116" applyFont="1"/>
    <xf numFmtId="0" fontId="5" fillId="0" borderId="0" xfId="116" applyFont="1" applyAlignment="1">
      <alignment horizontal="left" indent="1"/>
    </xf>
    <xf numFmtId="3" fontId="56" fillId="0" borderId="0" xfId="67" applyNumberFormat="1" applyFont="1" applyFill="1" applyAlignment="1">
      <alignment vertical="center"/>
    </xf>
    <xf numFmtId="0" fontId="33" fillId="0" borderId="0" xfId="65" applyFont="1" applyFill="1"/>
    <xf numFmtId="3" fontId="33" fillId="0" borderId="0" xfId="65" applyNumberFormat="1" applyFont="1" applyFill="1"/>
    <xf numFmtId="37" fontId="46" fillId="0" borderId="0" xfId="57" applyNumberFormat="1" applyFont="1" applyFill="1"/>
    <xf numFmtId="37" fontId="0" fillId="0" borderId="0" xfId="76" applyNumberFormat="1" applyFont="1" applyFill="1" applyAlignment="1">
      <alignment horizontal="center"/>
    </xf>
    <xf numFmtId="0" fontId="10" fillId="0" borderId="14" xfId="0" applyFont="1" applyBorder="1" applyAlignment="1">
      <alignment horizontal="center"/>
    </xf>
    <xf numFmtId="0" fontId="10" fillId="0" borderId="14" xfId="0" applyFont="1" applyBorder="1" applyAlignment="1">
      <alignment horizontal="center" vertical="center" wrapText="1"/>
    </xf>
    <xf numFmtId="0" fontId="10" fillId="0" borderId="0" xfId="0" applyFont="1" applyAlignment="1">
      <alignment horizontal="center"/>
    </xf>
    <xf numFmtId="0" fontId="10" fillId="0" borderId="0" xfId="0" applyFont="1"/>
    <xf numFmtId="49" fontId="10" fillId="33" borderId="0" xfId="0" applyNumberFormat="1" applyFont="1" applyFill="1" applyAlignment="1">
      <alignment horizontal="center"/>
    </xf>
    <xf numFmtId="49" fontId="10" fillId="33" borderId="0" xfId="0" quotePrefix="1" applyNumberFormat="1" applyFont="1" applyFill="1" applyAlignment="1">
      <alignment horizontal="center"/>
    </xf>
    <xf numFmtId="166" fontId="10" fillId="0" borderId="0" xfId="0" applyNumberFormat="1" applyFont="1" applyFill="1" applyAlignment="1">
      <alignment horizontal="center"/>
    </xf>
    <xf numFmtId="166" fontId="10" fillId="0" borderId="0" xfId="84" applyNumberFormat="1" applyFont="1" applyFill="1"/>
    <xf numFmtId="10" fontId="10" fillId="33" borderId="0" xfId="0" applyNumberFormat="1" applyFont="1" applyFill="1"/>
    <xf numFmtId="166" fontId="10" fillId="0" borderId="0" xfId="84" applyNumberFormat="1" applyFont="1" applyFill="1" applyAlignment="1">
      <alignment horizontal="center" wrapText="1"/>
    </xf>
    <xf numFmtId="17" fontId="10" fillId="33" borderId="0" xfId="0" quotePrefix="1" applyNumberFormat="1" applyFont="1" applyFill="1" applyAlignment="1">
      <alignment horizontal="center"/>
    </xf>
    <xf numFmtId="17" fontId="10" fillId="33" borderId="0" xfId="0" applyNumberFormat="1" applyFont="1" applyFill="1" applyAlignment="1">
      <alignment horizontal="center"/>
    </xf>
    <xf numFmtId="166" fontId="10" fillId="0" borderId="0" xfId="0" applyNumberFormat="1" applyFont="1" applyFill="1" applyBorder="1"/>
    <xf numFmtId="0" fontId="10" fillId="33" borderId="0" xfId="0" applyFont="1" applyFill="1" applyAlignment="1">
      <alignment horizontal="center"/>
    </xf>
    <xf numFmtId="175" fontId="10" fillId="33" borderId="0" xfId="0" applyNumberFormat="1" applyFont="1" applyFill="1" applyAlignment="1">
      <alignment horizontal="center"/>
    </xf>
    <xf numFmtId="10" fontId="10" fillId="0" borderId="0" xfId="0" applyNumberFormat="1" applyFont="1" applyFill="1"/>
    <xf numFmtId="0" fontId="35" fillId="0" borderId="0" xfId="110" applyFont="1" applyFill="1" applyAlignment="1">
      <alignment horizontal="left"/>
    </xf>
    <xf numFmtId="0" fontId="35" fillId="0" borderId="0" xfId="110" applyFont="1" applyFill="1" applyAlignment="1">
      <alignment horizontal="center"/>
    </xf>
    <xf numFmtId="3" fontId="56" fillId="0" borderId="0" xfId="67" applyNumberFormat="1" applyFont="1" applyFill="1"/>
    <xf numFmtId="1" fontId="46" fillId="0" borderId="0" xfId="57" applyNumberFormat="1" applyFont="1" applyFill="1"/>
    <xf numFmtId="37" fontId="46" fillId="0" borderId="0" xfId="57" applyNumberFormat="1" applyFont="1" applyFill="1" applyAlignment="1">
      <alignment horizontal="right"/>
    </xf>
    <xf numFmtId="37" fontId="46" fillId="0" borderId="0" xfId="57" applyNumberFormat="1" applyFont="1" applyFill="1" applyAlignment="1">
      <alignment wrapText="1"/>
    </xf>
    <xf numFmtId="1" fontId="46" fillId="0" borderId="0" xfId="57" applyNumberFormat="1" applyFont="1" applyFill="1" applyAlignment="1"/>
    <xf numFmtId="1" fontId="77" fillId="0" borderId="0" xfId="57" applyNumberFormat="1" applyFont="1" applyFill="1" applyBorder="1" applyAlignment="1">
      <alignment horizontal="center"/>
    </xf>
    <xf numFmtId="37" fontId="78" fillId="0" borderId="0" xfId="57" applyNumberFormat="1" applyFont="1" applyFill="1"/>
    <xf numFmtId="37" fontId="46" fillId="0" borderId="0" xfId="57" applyNumberFormat="1" applyFont="1" applyFill="1" applyBorder="1" applyAlignment="1"/>
    <xf numFmtId="164" fontId="8" fillId="0" borderId="0" xfId="118" applyNumberFormat="1" applyFont="1" applyFill="1" applyBorder="1"/>
    <xf numFmtId="164" fontId="8" fillId="0" borderId="0" xfId="118" applyNumberFormat="1" applyFont="1" applyBorder="1"/>
    <xf numFmtId="174" fontId="0" fillId="0" borderId="0" xfId="0" applyNumberFormat="1" applyFont="1" applyFill="1"/>
    <xf numFmtId="174" fontId="0" fillId="0" borderId="10" xfId="0" applyNumberFormat="1" applyFont="1" applyFill="1" applyBorder="1"/>
    <xf numFmtId="1" fontId="0" fillId="0" borderId="0" xfId="0" applyNumberFormat="1" applyFont="1" applyFill="1" applyBorder="1" applyAlignment="1">
      <alignment horizontal="center"/>
    </xf>
    <xf numFmtId="1" fontId="0" fillId="0" borderId="0" xfId="0" applyNumberFormat="1" applyFont="1" applyFill="1" applyBorder="1"/>
    <xf numFmtId="174" fontId="0" fillId="0" borderId="11" xfId="0" applyNumberFormat="1" applyFont="1" applyFill="1" applyBorder="1"/>
    <xf numFmtId="0" fontId="35" fillId="0" borderId="0" xfId="112" applyFont="1"/>
    <xf numFmtId="3" fontId="33" fillId="0" borderId="0" xfId="115" applyNumberFormat="1" applyFont="1" applyFill="1" applyBorder="1" applyAlignment="1">
      <alignment vertical="top"/>
    </xf>
    <xf numFmtId="3" fontId="35" fillId="0" borderId="0" xfId="115" applyNumberFormat="1" applyFont="1" applyFill="1" applyBorder="1" applyAlignment="1">
      <alignment vertical="top"/>
    </xf>
    <xf numFmtId="0" fontId="35" fillId="0" borderId="0" xfId="112" applyFont="1" applyFill="1"/>
    <xf numFmtId="3" fontId="35" fillId="0" borderId="0" xfId="115" applyNumberFormat="1" applyFont="1" applyFill="1"/>
    <xf numFmtId="0" fontId="33" fillId="0" borderId="0" xfId="112" applyFont="1" applyFill="1"/>
    <xf numFmtId="3" fontId="35" fillId="0" borderId="0" xfId="115" applyNumberFormat="1" applyFont="1" applyFill="1" applyBorder="1"/>
    <xf numFmtId="0" fontId="35" fillId="0" borderId="0" xfId="112" applyFont="1" applyFill="1" applyBorder="1"/>
    <xf numFmtId="0" fontId="33" fillId="0" borderId="0" xfId="112" applyFont="1" applyFill="1" applyBorder="1"/>
    <xf numFmtId="0" fontId="33" fillId="0" borderId="20" xfId="112" applyFont="1" applyFill="1" applyBorder="1" applyAlignment="1">
      <alignment horizontal="center"/>
    </xf>
    <xf numFmtId="0" fontId="33" fillId="0" borderId="0" xfId="112" applyFont="1" applyFill="1" applyBorder="1" applyAlignment="1">
      <alignment horizontal="center"/>
    </xf>
    <xf numFmtId="0" fontId="33" fillId="0" borderId="14" xfId="112" applyFont="1" applyFill="1" applyBorder="1" applyAlignment="1">
      <alignment horizontal="center" wrapText="1"/>
    </xf>
    <xf numFmtId="0" fontId="35" fillId="33" borderId="10" xfId="112" applyFont="1" applyFill="1" applyBorder="1" applyAlignment="1">
      <alignment horizontal="center" vertical="center"/>
    </xf>
    <xf numFmtId="0" fontId="35" fillId="33" borderId="10" xfId="112" applyFont="1" applyFill="1" applyBorder="1" applyAlignment="1">
      <alignment horizontal="left"/>
    </xf>
    <xf numFmtId="0" fontId="35" fillId="33" borderId="10" xfId="112" applyFont="1" applyFill="1" applyBorder="1"/>
    <xf numFmtId="166" fontId="35" fillId="33" borderId="10" xfId="114" applyNumberFormat="1" applyFont="1" applyFill="1" applyBorder="1"/>
    <xf numFmtId="44" fontId="33" fillId="33" borderId="22" xfId="114" applyFont="1" applyFill="1" applyBorder="1"/>
    <xf numFmtId="44" fontId="33" fillId="33" borderId="10" xfId="114" applyFont="1" applyFill="1" applyBorder="1"/>
    <xf numFmtId="166" fontId="35" fillId="33" borderId="10" xfId="2" applyNumberFormat="1" applyFont="1" applyFill="1" applyBorder="1"/>
    <xf numFmtId="0" fontId="33" fillId="0" borderId="10" xfId="112" applyFont="1" applyFill="1" applyBorder="1"/>
    <xf numFmtId="0" fontId="35" fillId="0" borderId="10" xfId="112" applyFont="1" applyFill="1" applyBorder="1"/>
    <xf numFmtId="166" fontId="33" fillId="0" borderId="10" xfId="113" applyNumberFormat="1" applyFont="1" applyFill="1" applyBorder="1"/>
    <xf numFmtId="44" fontId="33" fillId="0" borderId="10" xfId="113" applyNumberFormat="1" applyFont="1" applyFill="1" applyBorder="1"/>
    <xf numFmtId="0" fontId="33" fillId="0" borderId="23" xfId="112" applyFont="1" applyFill="1" applyBorder="1" applyAlignment="1">
      <alignment horizontal="center" wrapText="1"/>
    </xf>
    <xf numFmtId="0" fontId="33" fillId="0" borderId="21" xfId="112" applyFont="1" applyFill="1" applyBorder="1" applyAlignment="1">
      <alignment horizontal="center" wrapText="1"/>
    </xf>
    <xf numFmtId="3" fontId="35" fillId="0" borderId="0" xfId="115" applyNumberFormat="1" applyFont="1" applyFill="1" applyBorder="1" applyAlignment="1">
      <alignment horizontal="center" vertical="top"/>
    </xf>
    <xf numFmtId="0" fontId="35" fillId="0" borderId="0" xfId="112" applyFont="1" applyFill="1" applyBorder="1" applyAlignment="1"/>
    <xf numFmtId="0" fontId="35" fillId="0" borderId="0" xfId="112" applyFont="1" applyFill="1" applyBorder="1" applyAlignment="1">
      <alignment horizontal="left"/>
    </xf>
    <xf numFmtId="0" fontId="33" fillId="0" borderId="14" xfId="112" applyFont="1" applyFill="1" applyBorder="1" applyAlignment="1">
      <alignment horizontal="left" wrapText="1"/>
    </xf>
    <xf numFmtId="0" fontId="35" fillId="33" borderId="22" xfId="112" applyFont="1" applyFill="1" applyBorder="1" applyAlignment="1">
      <alignment horizontal="center"/>
    </xf>
    <xf numFmtId="0" fontId="35" fillId="33" borderId="22" xfId="112" applyFont="1" applyFill="1" applyBorder="1" applyAlignment="1">
      <alignment horizontal="left"/>
    </xf>
    <xf numFmtId="0" fontId="35" fillId="33" borderId="10" xfId="112" applyFont="1" applyFill="1" applyBorder="1" applyAlignment="1">
      <alignment horizontal="center"/>
    </xf>
    <xf numFmtId="9" fontId="35" fillId="0" borderId="10" xfId="113" applyFont="1" applyFill="1" applyBorder="1" applyAlignment="1">
      <alignment horizontal="center" vertical="top"/>
    </xf>
    <xf numFmtId="0" fontId="33" fillId="0" borderId="10" xfId="112" applyFont="1" applyFill="1" applyBorder="1" applyAlignment="1">
      <alignment horizontal="center"/>
    </xf>
    <xf numFmtId="0" fontId="35" fillId="0" borderId="10" xfId="112" applyFont="1" applyFill="1" applyBorder="1" applyAlignment="1">
      <alignment horizontal="left"/>
    </xf>
    <xf numFmtId="0" fontId="35" fillId="0" borderId="10" xfId="112" applyFont="1" applyFill="1" applyBorder="1" applyAlignment="1">
      <alignment horizontal="center"/>
    </xf>
    <xf numFmtId="166" fontId="33" fillId="0" borderId="10" xfId="2" applyNumberFormat="1" applyFont="1" applyFill="1" applyBorder="1" applyAlignment="1">
      <alignment horizontal="right" vertical="top"/>
    </xf>
    <xf numFmtId="44" fontId="33" fillId="0" borderId="10" xfId="114" applyFont="1" applyFill="1" applyBorder="1"/>
    <xf numFmtId="0" fontId="0" fillId="0" borderId="0" xfId="116" applyFont="1"/>
    <xf numFmtId="0" fontId="18" fillId="0" borderId="14" xfId="116" applyFont="1" applyFill="1" applyBorder="1" applyAlignment="1">
      <alignment horizontal="center" wrapText="1"/>
    </xf>
    <xf numFmtId="0" fontId="18" fillId="0" borderId="14" xfId="116" applyFont="1" applyFill="1" applyBorder="1" applyAlignment="1">
      <alignment horizontal="center"/>
    </xf>
    <xf numFmtId="0" fontId="18" fillId="0" borderId="14" xfId="116" applyFont="1" applyFill="1" applyBorder="1" applyAlignment="1"/>
    <xf numFmtId="0" fontId="10" fillId="0" borderId="0" xfId="116" applyFont="1" applyFill="1" applyAlignment="1">
      <alignment horizontal="center"/>
    </xf>
    <xf numFmtId="0" fontId="10" fillId="0" borderId="0" xfId="116" applyFont="1" applyFill="1"/>
    <xf numFmtId="0" fontId="18" fillId="0" borderId="0" xfId="116" applyFont="1" applyFill="1"/>
    <xf numFmtId="5" fontId="10" fillId="0" borderId="0" xfId="116" applyNumberFormat="1" applyFont="1" applyFill="1"/>
    <xf numFmtId="10" fontId="10" fillId="0" borderId="0" xfId="116" applyNumberFormat="1" applyFont="1" applyFill="1" applyAlignment="1">
      <alignment horizontal="center"/>
    </xf>
    <xf numFmtId="5" fontId="10" fillId="0" borderId="0" xfId="116" applyNumberFormat="1" applyFont="1"/>
    <xf numFmtId="0" fontId="18" fillId="0" borderId="0" xfId="116" applyFont="1"/>
    <xf numFmtId="10" fontId="10" fillId="0" borderId="0" xfId="116" applyNumberFormat="1" applyFont="1"/>
    <xf numFmtId="5" fontId="10" fillId="0" borderId="14" xfId="116" applyNumberFormat="1" applyFont="1" applyFill="1" applyBorder="1"/>
    <xf numFmtId="5" fontId="10" fillId="0" borderId="14" xfId="116" applyNumberFormat="1" applyFont="1" applyBorder="1"/>
    <xf numFmtId="5" fontId="18" fillId="0" borderId="0" xfId="116" applyNumberFormat="1" applyFont="1"/>
    <xf numFmtId="10" fontId="10" fillId="0" borderId="0" xfId="116" applyNumberFormat="1" applyFont="1" applyAlignment="1">
      <alignment horizontal="center"/>
    </xf>
    <xf numFmtId="0" fontId="18" fillId="0" borderId="0" xfId="116" applyFont="1" applyAlignment="1">
      <alignment horizontal="right"/>
    </xf>
    <xf numFmtId="10" fontId="18" fillId="0" borderId="0" xfId="117" applyNumberFormat="1" applyFont="1"/>
    <xf numFmtId="3" fontId="18" fillId="0" borderId="14" xfId="82" applyFont="1" applyFill="1" applyBorder="1" applyAlignment="1">
      <alignment horizontal="center" wrapText="1"/>
    </xf>
    <xf numFmtId="168" fontId="8" fillId="0" borderId="0" xfId="116" applyNumberFormat="1" applyFont="1" applyFill="1" applyAlignment="1">
      <alignment horizontal="center"/>
    </xf>
    <xf numFmtId="0" fontId="4" fillId="0" borderId="0" xfId="116" applyFont="1" applyFill="1"/>
    <xf numFmtId="10" fontId="4" fillId="0" borderId="0" xfId="117" applyNumberFormat="1" applyFont="1" applyAlignment="1">
      <alignment horizontal="center"/>
    </xf>
    <xf numFmtId="5" fontId="8" fillId="0" borderId="0" xfId="116" applyNumberFormat="1" applyFont="1" applyFill="1"/>
    <xf numFmtId="10" fontId="8" fillId="0" borderId="14" xfId="116" applyNumberFormat="1" applyFont="1" applyBorder="1" applyAlignment="1">
      <alignment horizontal="center"/>
    </xf>
    <xf numFmtId="10" fontId="54" fillId="0" borderId="0" xfId="117" applyNumberFormat="1" applyFont="1" applyFill="1" applyAlignment="1">
      <alignment horizontal="center"/>
    </xf>
    <xf numFmtId="0" fontId="0" fillId="0" borderId="0" xfId="116" applyFont="1" applyFill="1"/>
    <xf numFmtId="0" fontId="10" fillId="0" borderId="0" xfId="116" applyFont="1" applyAlignment="1">
      <alignment horizontal="left"/>
    </xf>
    <xf numFmtId="0" fontId="8" fillId="0" borderId="0" xfId="116" applyFont="1" applyAlignment="1">
      <alignment horizontal="left"/>
    </xf>
    <xf numFmtId="0" fontId="17" fillId="0" borderId="0" xfId="110" applyFont="1" applyFill="1" applyAlignment="1">
      <alignment horizontal="center"/>
    </xf>
    <xf numFmtId="37" fontId="53" fillId="0" borderId="0" xfId="76" applyNumberFormat="1" applyFont="1" applyFill="1" applyAlignment="1"/>
    <xf numFmtId="0" fontId="18" fillId="0" borderId="0" xfId="116" applyFont="1" applyBorder="1"/>
    <xf numFmtId="0" fontId="10" fillId="0" borderId="0" xfId="116" applyFont="1" applyFill="1" applyBorder="1" applyAlignment="1">
      <alignment horizontal="center"/>
    </xf>
    <xf numFmtId="0" fontId="10" fillId="33" borderId="0" xfId="116" applyFont="1" applyFill="1" applyBorder="1"/>
    <xf numFmtId="0" fontId="10" fillId="33" borderId="0" xfId="116" applyFont="1" applyFill="1" applyBorder="1" applyAlignment="1">
      <alignment horizontal="center"/>
    </xf>
    <xf numFmtId="0" fontId="10" fillId="0" borderId="0" xfId="116" applyFont="1" applyFill="1" applyBorder="1"/>
    <xf numFmtId="0" fontId="18" fillId="0" borderId="0" xfId="116" applyFont="1" applyFill="1" applyBorder="1"/>
    <xf numFmtId="164" fontId="10" fillId="0" borderId="0" xfId="118" applyNumberFormat="1" applyFont="1" applyFill="1" applyBorder="1"/>
    <xf numFmtId="164" fontId="10" fillId="0" borderId="0" xfId="118" applyNumberFormat="1" applyFont="1" applyBorder="1"/>
    <xf numFmtId="0" fontId="34" fillId="0" borderId="0" xfId="116" applyFont="1" applyAlignment="1">
      <alignment horizontal="left"/>
    </xf>
    <xf numFmtId="164" fontId="0" fillId="0" borderId="0" xfId="0" applyNumberFormat="1" applyFont="1" applyFill="1" applyAlignment="1">
      <alignment horizontal="center"/>
    </xf>
    <xf numFmtId="164" fontId="10" fillId="0" borderId="0" xfId="1" applyNumberFormat="1" applyFont="1" applyFill="1" applyAlignment="1">
      <alignment horizontal="center"/>
    </xf>
    <xf numFmtId="164" fontId="0" fillId="0" borderId="0" xfId="1" applyNumberFormat="1" applyFont="1" applyFill="1" applyAlignment="1">
      <alignment horizontal="center"/>
    </xf>
    <xf numFmtId="0" fontId="18" fillId="0" borderId="0" xfId="116" applyFont="1" applyFill="1" applyAlignment="1">
      <alignment horizontal="center"/>
    </xf>
    <xf numFmtId="1" fontId="79" fillId="0" borderId="0" xfId="57" applyFont="1" applyFill="1" applyBorder="1" applyAlignment="1"/>
    <xf numFmtId="164" fontId="0" fillId="0" borderId="0" xfId="0" applyNumberFormat="1" applyFont="1" applyFill="1"/>
    <xf numFmtId="0" fontId="0" fillId="0" borderId="35" xfId="116" applyFont="1" applyBorder="1" applyAlignment="1">
      <alignment horizontal="left" indent="1"/>
    </xf>
    <xf numFmtId="0" fontId="0" fillId="0" borderId="36" xfId="116" applyFont="1" applyBorder="1" applyAlignment="1">
      <alignment horizontal="left" indent="1"/>
    </xf>
    <xf numFmtId="164" fontId="35" fillId="0" borderId="0" xfId="1" applyNumberFormat="1" applyFont="1" applyFill="1" applyAlignment="1">
      <alignment horizontal="center"/>
    </xf>
    <xf numFmtId="164" fontId="0" fillId="0" borderId="0" xfId="1" applyNumberFormat="1" applyFont="1" applyFill="1" applyAlignment="1">
      <alignment horizontal="left" vertical="center"/>
    </xf>
    <xf numFmtId="0" fontId="56" fillId="0" borderId="0" xfId="11" applyFont="1" applyFill="1" applyAlignment="1">
      <alignment horizontal="left"/>
    </xf>
    <xf numFmtId="0" fontId="33" fillId="0" borderId="13" xfId="112" applyFont="1" applyFill="1" applyBorder="1" applyAlignment="1">
      <alignment horizontal="center"/>
    </xf>
    <xf numFmtId="0" fontId="33" fillId="0" borderId="16" xfId="112" applyFont="1" applyFill="1" applyBorder="1" applyAlignment="1">
      <alignment horizontal="center"/>
    </xf>
    <xf numFmtId="0" fontId="33" fillId="0" borderId="15" xfId="112" applyFont="1" applyFill="1" applyBorder="1" applyAlignment="1">
      <alignment horizontal="center"/>
    </xf>
    <xf numFmtId="0" fontId="35" fillId="0" borderId="0" xfId="112" applyFont="1" applyFill="1" applyBorder="1" applyAlignment="1">
      <alignment horizontal="center"/>
    </xf>
    <xf numFmtId="3" fontId="35" fillId="0" borderId="0" xfId="82"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Alignment="1">
      <alignment horizontal="right"/>
    </xf>
    <xf numFmtId="0" fontId="4" fillId="0" borderId="0" xfId="116" applyFont="1" applyAlignment="1">
      <alignment horizontal="right"/>
    </xf>
    <xf numFmtId="166" fontId="35" fillId="0" borderId="15" xfId="2" applyNumberFormat="1" applyFont="1" applyFill="1" applyBorder="1"/>
    <xf numFmtId="0" fontId="0" fillId="0" borderId="20" xfId="0" quotePrefix="1" applyFont="1" applyFill="1" applyBorder="1" applyAlignment="1">
      <alignment horizontal="left"/>
    </xf>
    <xf numFmtId="5" fontId="8" fillId="0" borderId="0" xfId="116" applyNumberFormat="1" applyFont="1" applyFill="1" applyAlignment="1">
      <alignment horizontal="right"/>
    </xf>
    <xf numFmtId="5" fontId="8" fillId="0" borderId="14" xfId="116" applyNumberFormat="1" applyFont="1" applyFill="1" applyBorder="1"/>
    <xf numFmtId="5" fontId="8" fillId="0" borderId="14" xfId="116" applyNumberFormat="1" applyFont="1" applyFill="1" applyBorder="1" applyAlignment="1">
      <alignment horizontal="right"/>
    </xf>
    <xf numFmtId="10" fontId="8" fillId="0" borderId="0" xfId="117" applyNumberFormat="1" applyFont="1" applyFill="1" applyBorder="1" applyAlignment="1">
      <alignment horizontal="center"/>
    </xf>
    <xf numFmtId="10" fontId="8" fillId="0" borderId="0" xfId="117" applyNumberFormat="1" applyFont="1" applyBorder="1" applyAlignment="1">
      <alignment horizontal="center"/>
    </xf>
    <xf numFmtId="3" fontId="35" fillId="0" borderId="0" xfId="82" applyFont="1" applyFill="1" applyAlignment="1">
      <alignment horizontal="right"/>
    </xf>
    <xf numFmtId="166" fontId="35" fillId="33" borderId="22" xfId="2" applyNumberFormat="1" applyFont="1" applyFill="1" applyBorder="1" applyAlignment="1">
      <alignment horizontal="right" vertical="top"/>
    </xf>
    <xf numFmtId="166" fontId="35" fillId="33" borderId="10" xfId="2" applyNumberFormat="1" applyFont="1" applyFill="1" applyBorder="1" applyAlignment="1">
      <alignment horizontal="right" vertical="top"/>
    </xf>
    <xf numFmtId="166" fontId="17" fillId="0" borderId="0" xfId="113" applyNumberFormat="1" applyFont="1"/>
    <xf numFmtId="9" fontId="35" fillId="33" borderId="10" xfId="113" applyFont="1" applyFill="1" applyBorder="1" applyAlignment="1">
      <alignment horizontal="center"/>
    </xf>
    <xf numFmtId="9" fontId="35" fillId="0" borderId="10" xfId="113" applyFont="1" applyFill="1" applyBorder="1" applyAlignment="1">
      <alignment horizontal="center"/>
    </xf>
    <xf numFmtId="166" fontId="35" fillId="33" borderId="22" xfId="2" applyNumberFormat="1" applyFont="1" applyFill="1" applyBorder="1"/>
    <xf numFmtId="44" fontId="0" fillId="0" borderId="0" xfId="0" applyNumberFormat="1" applyFont="1" applyFill="1"/>
    <xf numFmtId="42" fontId="10" fillId="0" borderId="0" xfId="0" applyNumberFormat="1" applyFont="1" applyFill="1"/>
    <xf numFmtId="166" fontId="0" fillId="0" borderId="14" xfId="2" applyNumberFormat="1" applyFont="1" applyFill="1" applyBorder="1"/>
    <xf numFmtId="0" fontId="10" fillId="0" borderId="0" xfId="0" applyNumberFormat="1" applyFont="1" applyFill="1" applyAlignment="1">
      <alignment horizontal="left" wrapText="1"/>
    </xf>
    <xf numFmtId="0" fontId="54" fillId="0" borderId="14" xfId="116" applyFont="1" applyFill="1" applyBorder="1" applyAlignment="1">
      <alignment horizontal="center"/>
    </xf>
    <xf numFmtId="0" fontId="0" fillId="0" borderId="0" xfId="75" applyFont="1"/>
    <xf numFmtId="0" fontId="35" fillId="0" borderId="0" xfId="110" applyFont="1" applyFill="1" applyAlignment="1"/>
    <xf numFmtId="0" fontId="49" fillId="0" borderId="0" xfId="2" applyNumberFormat="1" applyFont="1" applyFill="1"/>
    <xf numFmtId="0" fontId="47" fillId="0" borderId="0" xfId="0" applyNumberFormat="1" applyFont="1" applyFill="1" applyAlignment="1">
      <alignment horizontal="left" vertical="top"/>
    </xf>
    <xf numFmtId="0" fontId="46" fillId="0" borderId="0" xfId="0" applyNumberFormat="1" applyFont="1" applyFill="1" applyBorder="1" applyAlignment="1">
      <alignment horizontal="left" vertical="top"/>
    </xf>
    <xf numFmtId="0" fontId="35" fillId="0" borderId="0" xfId="112" applyFont="1" applyFill="1" applyAlignment="1">
      <alignment horizontal="right"/>
    </xf>
    <xf numFmtId="0" fontId="10" fillId="0" borderId="0" xfId="116" applyFont="1" applyAlignment="1">
      <alignment horizontal="right"/>
    </xf>
    <xf numFmtId="0" fontId="35" fillId="0" borderId="0" xfId="110" applyFont="1" applyFill="1" applyAlignment="1">
      <alignment horizontal="right"/>
    </xf>
    <xf numFmtId="0" fontId="0" fillId="0" borderId="0" xfId="0" applyFont="1" applyFill="1" applyBorder="1" applyAlignment="1">
      <alignment horizontal="left"/>
    </xf>
    <xf numFmtId="0" fontId="0" fillId="0" borderId="0" xfId="0" applyFont="1" applyAlignment="1">
      <alignment vertical="center"/>
    </xf>
    <xf numFmtId="0" fontId="17" fillId="0" borderId="0" xfId="110" applyFont="1" applyFill="1" applyAlignment="1"/>
    <xf numFmtId="7" fontId="8" fillId="0" borderId="14" xfId="116" applyNumberFormat="1" applyFont="1" applyFill="1" applyBorder="1"/>
    <xf numFmtId="10" fontId="8" fillId="0" borderId="14" xfId="116" applyNumberFormat="1" applyFont="1" applyFill="1" applyBorder="1" applyAlignment="1">
      <alignment horizontal="center"/>
    </xf>
    <xf numFmtId="10" fontId="8" fillId="0" borderId="14" xfId="117" applyNumberFormat="1" applyFont="1" applyFill="1" applyBorder="1" applyAlignment="1">
      <alignment horizontal="center"/>
    </xf>
    <xf numFmtId="164" fontId="35" fillId="0" borderId="0" xfId="1" applyNumberFormat="1" applyFont="1" applyFill="1" applyAlignment="1"/>
    <xf numFmtId="0" fontId="34" fillId="0" borderId="0" xfId="0" applyFont="1" applyFill="1" applyBorder="1" applyAlignment="1">
      <alignment horizontal="center"/>
    </xf>
    <xf numFmtId="0" fontId="18" fillId="0" borderId="0" xfId="0" applyFont="1" applyFill="1" applyBorder="1" applyAlignment="1">
      <alignment horizontal="center" vertical="center" wrapText="1"/>
    </xf>
    <xf numFmtId="166" fontId="0" fillId="0" borderId="0" xfId="2" applyNumberFormat="1" applyFont="1" applyFill="1" applyBorder="1" applyAlignment="1"/>
    <xf numFmtId="166" fontId="0" fillId="0" borderId="0" xfId="2" applyNumberFormat="1" applyFont="1" applyFill="1" applyBorder="1" applyAlignment="1">
      <alignment vertical="center" wrapText="1"/>
    </xf>
    <xf numFmtId="166" fontId="0" fillId="0" borderId="0" xfId="2" applyNumberFormat="1" applyFont="1" applyFill="1" applyBorder="1" applyAlignment="1">
      <alignment wrapText="1"/>
    </xf>
    <xf numFmtId="169" fontId="37" fillId="0" borderId="0" xfId="3" applyNumberFormat="1" applyFont="1" applyFill="1" applyAlignment="1"/>
    <xf numFmtId="166" fontId="0" fillId="0" borderId="0" xfId="2" applyNumberFormat="1" applyFont="1" applyFill="1" applyAlignment="1"/>
    <xf numFmtId="166" fontId="0" fillId="0" borderId="14" xfId="2" applyNumberFormat="1" applyFont="1" applyFill="1" applyBorder="1" applyAlignment="1">
      <alignment vertical="center" wrapText="1"/>
    </xf>
    <xf numFmtId="166" fontId="0" fillId="0" borderId="0" xfId="0" applyNumberFormat="1" applyFont="1" applyFill="1" applyAlignment="1">
      <alignment horizontal="center"/>
    </xf>
    <xf numFmtId="3" fontId="0" fillId="0" borderId="0" xfId="62" applyFont="1" applyFill="1" applyBorder="1" applyAlignment="1"/>
    <xf numFmtId="3" fontId="0" fillId="0" borderId="0" xfId="0" applyNumberFormat="1" applyFont="1" applyFill="1" applyAlignment="1">
      <alignment horizontal="right"/>
    </xf>
    <xf numFmtId="166" fontId="0" fillId="0" borderId="14" xfId="2" applyNumberFormat="1" applyFont="1" applyFill="1" applyBorder="1" applyAlignment="1"/>
    <xf numFmtId="164" fontId="0" fillId="0" borderId="0" xfId="1" applyNumberFormat="1" applyFont="1" applyFill="1" applyAlignment="1"/>
    <xf numFmtId="0" fontId="34" fillId="0" borderId="1" xfId="0" applyFont="1" applyFill="1" applyBorder="1" applyAlignment="1">
      <alignment horizontal="center" vertical="center" wrapText="1"/>
    </xf>
    <xf numFmtId="166" fontId="18" fillId="0" borderId="0" xfId="25" applyNumberFormat="1" applyFont="1" applyFill="1" applyBorder="1"/>
    <xf numFmtId="42" fontId="0" fillId="0" borderId="0" xfId="2" applyNumberFormat="1" applyFont="1" applyFill="1"/>
    <xf numFmtId="0" fontId="0" fillId="0" borderId="0" xfId="0" applyFont="1" applyFill="1" applyAlignment="1"/>
    <xf numFmtId="164" fontId="0" fillId="0" borderId="0" xfId="0" applyNumberFormat="1" applyFont="1" applyFill="1" applyAlignment="1"/>
    <xf numFmtId="166" fontId="0" fillId="0" borderId="0" xfId="0" applyNumberFormat="1" applyFont="1" applyFill="1" applyBorder="1" applyAlignment="1"/>
    <xf numFmtId="0" fontId="3" fillId="0" borderId="0" xfId="116" applyFont="1"/>
    <xf numFmtId="41" fontId="35" fillId="0" borderId="10" xfId="57" applyNumberFormat="1" applyFont="1" applyFill="1" applyBorder="1" applyAlignment="1"/>
    <xf numFmtId="44" fontId="17" fillId="0" borderId="0" xfId="2" applyNumberFormat="1" applyFont="1"/>
    <xf numFmtId="44" fontId="17" fillId="0" borderId="0" xfId="2" applyFont="1"/>
    <xf numFmtId="0" fontId="35" fillId="33" borderId="10" xfId="113" applyNumberFormat="1" applyFont="1" applyFill="1" applyBorder="1" applyAlignment="1">
      <alignment horizontal="center" vertical="top"/>
    </xf>
    <xf numFmtId="10" fontId="35" fillId="33" borderId="10" xfId="113" applyNumberFormat="1" applyFont="1" applyFill="1" applyBorder="1" applyAlignment="1">
      <alignment horizontal="center" vertical="top"/>
    </xf>
    <xf numFmtId="9" fontId="35" fillId="33" borderId="10" xfId="113" applyNumberFormat="1" applyFont="1" applyFill="1" applyBorder="1" applyAlignment="1">
      <alignment horizontal="center" vertical="top"/>
    </xf>
    <xf numFmtId="164" fontId="46" fillId="0" borderId="0" xfId="0" applyNumberFormat="1" applyFont="1" applyFill="1" applyBorder="1"/>
    <xf numFmtId="166" fontId="35" fillId="33" borderId="0" xfId="2" applyNumberFormat="1" applyFont="1" applyFill="1" applyProtection="1">
      <protection locked="0"/>
    </xf>
    <xf numFmtId="166" fontId="35" fillId="33" borderId="0" xfId="2" applyNumberFormat="1" applyFont="1" applyFill="1"/>
    <xf numFmtId="0" fontId="10" fillId="33" borderId="0" xfId="0" quotePrefix="1" applyNumberFormat="1" applyFont="1" applyFill="1" applyAlignment="1">
      <alignment horizontal="right"/>
    </xf>
    <xf numFmtId="0" fontId="10" fillId="33" borderId="0" xfId="0" applyFont="1" applyFill="1"/>
    <xf numFmtId="1" fontId="35" fillId="33" borderId="0" xfId="57" applyFont="1" applyFill="1" applyAlignment="1">
      <alignment horizontal="left" indent="1"/>
    </xf>
    <xf numFmtId="166" fontId="35" fillId="33" borderId="0" xfId="2" quotePrefix="1" applyNumberFormat="1" applyFont="1" applyFill="1" applyBorder="1" applyProtection="1">
      <protection locked="0"/>
    </xf>
    <xf numFmtId="0" fontId="10" fillId="33" borderId="0" xfId="0" quotePrefix="1" applyFont="1" applyFill="1"/>
    <xf numFmtId="0" fontId="0" fillId="33" borderId="0" xfId="0" applyFont="1" applyFill="1"/>
    <xf numFmtId="0" fontId="10" fillId="33" borderId="0" xfId="0" quotePrefix="1" applyFont="1" applyFill="1" applyAlignment="1">
      <alignment horizontal="left"/>
    </xf>
    <xf numFmtId="37" fontId="35" fillId="33" borderId="0" xfId="57" applyNumberFormat="1" applyFont="1" applyFill="1" applyBorder="1"/>
    <xf numFmtId="1" fontId="35" fillId="33" borderId="0" xfId="57" applyNumberFormat="1" applyFont="1" applyFill="1" applyBorder="1" applyAlignment="1">
      <alignment horizontal="center"/>
    </xf>
    <xf numFmtId="37" fontId="35" fillId="33" borderId="0" xfId="57" applyNumberFormat="1" applyFont="1" applyFill="1"/>
    <xf numFmtId="1" fontId="35" fillId="33" borderId="0" xfId="57" applyFont="1" applyFill="1" applyBorder="1"/>
    <xf numFmtId="166" fontId="35" fillId="33" borderId="0" xfId="2" applyNumberFormat="1" applyFont="1" applyFill="1" applyBorder="1"/>
    <xf numFmtId="1" fontId="35" fillId="33" borderId="0" xfId="57" quotePrefix="1" applyNumberFormat="1" applyFont="1" applyFill="1" applyAlignment="1">
      <alignment horizontal="center"/>
    </xf>
    <xf numFmtId="1" fontId="35" fillId="33" borderId="0" xfId="57" applyNumberFormat="1" applyFont="1" applyFill="1" applyAlignment="1">
      <alignment horizontal="center"/>
    </xf>
    <xf numFmtId="166" fontId="35" fillId="33" borderId="0" xfId="2" applyNumberFormat="1" applyFont="1" applyFill="1" applyBorder="1" applyProtection="1">
      <protection locked="0"/>
    </xf>
    <xf numFmtId="166" fontId="47" fillId="33" borderId="0" xfId="2" applyNumberFormat="1" applyFont="1" applyFill="1"/>
    <xf numFmtId="166" fontId="0" fillId="33" borderId="0" xfId="2" applyNumberFormat="1" applyFont="1" applyFill="1"/>
    <xf numFmtId="0" fontId="0" fillId="33" borderId="0" xfId="0" applyFont="1" applyFill="1" applyBorder="1"/>
    <xf numFmtId="0" fontId="0" fillId="33" borderId="0" xfId="0" applyFont="1" applyFill="1" applyBorder="1" applyAlignment="1">
      <alignment horizontal="left"/>
    </xf>
    <xf numFmtId="0" fontId="0" fillId="33" borderId="0" xfId="0" applyFont="1" applyFill="1" applyAlignment="1">
      <alignment horizontal="center"/>
    </xf>
    <xf numFmtId="10" fontId="0" fillId="33" borderId="0" xfId="3" applyNumberFormat="1" applyFont="1" applyFill="1" applyAlignment="1">
      <alignment horizontal="center"/>
    </xf>
    <xf numFmtId="9" fontId="0" fillId="33" borderId="0" xfId="3" applyFont="1" applyFill="1" applyAlignment="1">
      <alignment horizontal="center"/>
    </xf>
    <xf numFmtId="0" fontId="64" fillId="33" borderId="0" xfId="0" applyFont="1" applyFill="1"/>
    <xf numFmtId="166" fontId="0" fillId="33" borderId="0" xfId="84" applyNumberFormat="1" applyFont="1" applyFill="1"/>
    <xf numFmtId="1" fontId="10" fillId="33" borderId="0" xfId="0" applyNumberFormat="1" applyFont="1" applyFill="1"/>
    <xf numFmtId="44" fontId="10" fillId="33" borderId="0" xfId="2" applyFont="1" applyFill="1"/>
    <xf numFmtId="166" fontId="10" fillId="33" borderId="0" xfId="2" applyNumberFormat="1" applyFont="1" applyFill="1"/>
    <xf numFmtId="1" fontId="35" fillId="33" borderId="0" xfId="82" applyNumberFormat="1" applyFont="1" applyFill="1" applyBorder="1" applyAlignment="1">
      <alignment horizontal="center"/>
    </xf>
    <xf numFmtId="49" fontId="35" fillId="33" borderId="0" xfId="82" applyNumberFormat="1" applyFont="1" applyFill="1" applyBorder="1" applyAlignment="1"/>
    <xf numFmtId="0" fontId="35" fillId="33" borderId="0" xfId="86" applyNumberFormat="1" applyFont="1" applyFill="1" applyBorder="1">
      <alignment horizontal="right"/>
    </xf>
    <xf numFmtId="42" fontId="35" fillId="33" borderId="0" xfId="82" applyNumberFormat="1" applyFont="1" applyFill="1" applyBorder="1">
      <alignment horizontal="left"/>
    </xf>
    <xf numFmtId="1" fontId="35" fillId="33" borderId="14" xfId="82" applyNumberFormat="1" applyFont="1" applyFill="1" applyBorder="1" applyAlignment="1">
      <alignment horizontal="center"/>
    </xf>
    <xf numFmtId="49" fontId="35" fillId="33" borderId="14" xfId="82" applyNumberFormat="1" applyFont="1" applyFill="1" applyBorder="1" applyAlignment="1"/>
    <xf numFmtId="0" fontId="35" fillId="33" borderId="14" xfId="86" applyNumberFormat="1" applyFont="1" applyFill="1" applyBorder="1">
      <alignment horizontal="right"/>
    </xf>
    <xf numFmtId="42" fontId="35" fillId="33" borderId="0" xfId="82" applyNumberFormat="1" applyFont="1" applyFill="1" applyBorder="1" applyAlignment="1" applyProtection="1">
      <alignment horizontal="center" vertical="top"/>
    </xf>
    <xf numFmtId="9" fontId="35" fillId="33" borderId="0" xfId="3" applyFont="1" applyFill="1" applyBorder="1" applyAlignment="1" applyProtection="1">
      <alignment horizontal="center" vertical="top"/>
    </xf>
    <xf numFmtId="42" fontId="35" fillId="33" borderId="0" xfId="82" applyNumberFormat="1" applyFont="1" applyFill="1" applyBorder="1" applyAlignment="1">
      <alignment horizontal="center"/>
    </xf>
    <xf numFmtId="42" fontId="35" fillId="33" borderId="0" xfId="85" applyNumberFormat="1" applyFont="1" applyFill="1" applyBorder="1" applyAlignment="1" applyProtection="1">
      <alignment horizontal="center" vertical="top"/>
    </xf>
    <xf numFmtId="42" fontId="35" fillId="33" borderId="14" xfId="85" applyNumberFormat="1" applyFont="1" applyFill="1" applyBorder="1" applyAlignment="1" applyProtection="1">
      <alignment horizontal="center" vertical="top"/>
    </xf>
    <xf numFmtId="9" fontId="35" fillId="33" borderId="14" xfId="3" applyFont="1" applyFill="1" applyBorder="1" applyAlignment="1" applyProtection="1">
      <alignment horizontal="center" vertical="top"/>
    </xf>
    <xf numFmtId="2" fontId="35" fillId="33" borderId="17" xfId="82" applyNumberFormat="1" applyFont="1" applyFill="1" applyBorder="1" applyAlignment="1">
      <alignment horizontal="center"/>
    </xf>
    <xf numFmtId="3" fontId="67" fillId="33" borderId="0" xfId="86" applyFont="1" applyFill="1" applyBorder="1">
      <alignment horizontal="right"/>
    </xf>
    <xf numFmtId="2" fontId="35" fillId="33" borderId="0" xfId="82" applyNumberFormat="1" applyFont="1" applyFill="1" applyBorder="1" applyAlignment="1">
      <alignment horizontal="center"/>
    </xf>
    <xf numFmtId="2" fontId="35" fillId="33" borderId="14" xfId="82" applyNumberFormat="1" applyFont="1" applyFill="1" applyBorder="1" applyAlignment="1">
      <alignment horizontal="center"/>
    </xf>
    <xf numFmtId="3" fontId="67" fillId="33" borderId="14" xfId="86" applyFont="1" applyFill="1" applyBorder="1">
      <alignment horizontal="right"/>
    </xf>
    <xf numFmtId="166" fontId="46" fillId="33" borderId="0" xfId="2" applyNumberFormat="1" applyFont="1" applyFill="1" applyBorder="1" applyAlignment="1">
      <alignment horizontal="right" vertical="top"/>
    </xf>
    <xf numFmtId="166" fontId="46" fillId="33" borderId="0" xfId="2" applyNumberFormat="1" applyFont="1" applyFill="1" applyBorder="1" applyAlignment="1">
      <alignment horizontal="right"/>
    </xf>
    <xf numFmtId="166" fontId="46" fillId="33" borderId="0" xfId="2" applyNumberFormat="1" applyFont="1" applyFill="1" applyBorder="1" applyAlignment="1" applyProtection="1">
      <alignment horizontal="right"/>
    </xf>
    <xf numFmtId="0" fontId="10" fillId="0" borderId="0" xfId="0" applyNumberFormat="1" applyFont="1" applyFill="1" applyBorder="1"/>
    <xf numFmtId="0" fontId="64" fillId="0" borderId="0" xfId="0" applyFont="1" applyAlignment="1">
      <alignment vertical="top"/>
    </xf>
    <xf numFmtId="4" fontId="64" fillId="0" borderId="0" xfId="0" applyNumberFormat="1" applyFont="1" applyAlignment="1">
      <alignment vertical="top"/>
    </xf>
    <xf numFmtId="44" fontId="10" fillId="0" borderId="0" xfId="0" applyNumberFormat="1" applyFont="1" applyFill="1"/>
    <xf numFmtId="14" fontId="0" fillId="33" borderId="0" xfId="0" applyNumberFormat="1" applyFont="1" applyFill="1"/>
    <xf numFmtId="166" fontId="46" fillId="33" borderId="0" xfId="2" applyNumberFormat="1" applyFont="1" applyFill="1" applyBorder="1" applyAlignment="1"/>
    <xf numFmtId="166" fontId="35" fillId="33" borderId="10" xfId="2" applyNumberFormat="1" applyFont="1" applyFill="1" applyBorder="1" applyAlignment="1"/>
    <xf numFmtId="3" fontId="35" fillId="33" borderId="10" xfId="56" applyFont="1" applyFill="1" applyBorder="1" applyAlignment="1"/>
    <xf numFmtId="166" fontId="35" fillId="57" borderId="0" xfId="2" applyNumberFormat="1" applyFont="1" applyFill="1"/>
    <xf numFmtId="37" fontId="35" fillId="57" borderId="0" xfId="57" applyNumberFormat="1" applyFont="1" applyFill="1" applyAlignment="1">
      <alignment horizontal="right"/>
    </xf>
    <xf numFmtId="0" fontId="10" fillId="57" borderId="0" xfId="0" quotePrefix="1" applyNumberFormat="1" applyFont="1" applyFill="1" applyAlignment="1">
      <alignment horizontal="right"/>
    </xf>
    <xf numFmtId="0" fontId="0" fillId="57" borderId="0" xfId="0" applyFont="1" applyFill="1"/>
    <xf numFmtId="37" fontId="46" fillId="57" borderId="0" xfId="57" applyNumberFormat="1" applyFont="1" applyFill="1"/>
    <xf numFmtId="0" fontId="0" fillId="57" borderId="0" xfId="0" applyFont="1" applyFill="1" applyBorder="1" applyAlignment="1">
      <alignment wrapText="1"/>
    </xf>
    <xf numFmtId="0" fontId="10" fillId="0" borderId="0" xfId="0" quotePrefix="1" applyFont="1" applyFill="1" applyAlignment="1">
      <alignment horizontal="left"/>
    </xf>
    <xf numFmtId="166" fontId="37" fillId="33" borderId="0" xfId="2" applyNumberFormat="1" applyFont="1" applyFill="1"/>
    <xf numFmtId="166" fontId="33" fillId="57" borderId="17" xfId="2" applyNumberFormat="1" applyFont="1" applyFill="1" applyBorder="1"/>
    <xf numFmtId="41" fontId="35" fillId="0" borderId="10" xfId="57" applyNumberFormat="1" applyFont="1" applyFill="1" applyBorder="1" applyAlignment="1"/>
    <xf numFmtId="1" fontId="36" fillId="0" borderId="10" xfId="57" applyFont="1" applyFill="1" applyBorder="1" applyAlignment="1">
      <alignment horizontal="center"/>
    </xf>
    <xf numFmtId="1" fontId="36" fillId="0" borderId="10" xfId="57" applyFont="1" applyFill="1" applyBorder="1" applyAlignment="1">
      <alignment horizontal="left" indent="6"/>
    </xf>
    <xf numFmtId="1" fontId="36" fillId="0" borderId="11" xfId="57" applyFont="1" applyFill="1" applyBorder="1" applyAlignment="1">
      <alignment horizontal="center"/>
    </xf>
    <xf numFmtId="1" fontId="36" fillId="0" borderId="12" xfId="57" applyFont="1" applyFill="1" applyBorder="1" applyAlignment="1">
      <alignment horizontal="center"/>
    </xf>
    <xf numFmtId="166" fontId="36" fillId="0" borderId="10" xfId="2" applyNumberFormat="1" applyFont="1" applyFill="1" applyBorder="1" applyAlignment="1">
      <alignment horizontal="left" indent="6"/>
    </xf>
    <xf numFmtId="0" fontId="33" fillId="0" borderId="19" xfId="110" applyFont="1" applyFill="1" applyBorder="1" applyAlignment="1">
      <alignment horizontal="center" vertical="center" wrapText="1"/>
    </xf>
    <xf numFmtId="0" fontId="35" fillId="0" borderId="22" xfId="110" applyFont="1" applyFill="1" applyBorder="1" applyAlignment="1">
      <alignment horizontal="center" vertical="center" wrapText="1"/>
    </xf>
    <xf numFmtId="0" fontId="33" fillId="0" borderId="22" xfId="110" applyFont="1" applyFill="1" applyBorder="1" applyAlignment="1">
      <alignment horizontal="center" vertical="center" wrapText="1"/>
    </xf>
    <xf numFmtId="0" fontId="35" fillId="0" borderId="10" xfId="110" quotePrefix="1" applyFont="1" applyFill="1" applyBorder="1" applyAlignment="1">
      <alignment horizontal="center" vertical="center" wrapText="1"/>
    </xf>
    <xf numFmtId="0" fontId="35" fillId="0" borderId="10" xfId="110" applyFont="1" applyFill="1" applyBorder="1" applyAlignment="1">
      <alignment horizontal="center" vertical="center" wrapText="1"/>
    </xf>
    <xf numFmtId="0" fontId="35" fillId="33" borderId="10" xfId="110" quotePrefix="1" applyFont="1" applyFill="1" applyBorder="1" applyAlignment="1">
      <alignment vertical="top" wrapText="1"/>
    </xf>
    <xf numFmtId="0" fontId="35" fillId="33" borderId="10" xfId="110" applyFont="1" applyFill="1" applyBorder="1" applyAlignment="1">
      <alignment vertical="top" wrapText="1"/>
    </xf>
    <xf numFmtId="0" fontId="35" fillId="33" borderId="19" xfId="110" applyFont="1" applyFill="1" applyBorder="1" applyAlignment="1">
      <alignment vertical="top" wrapText="1"/>
    </xf>
    <xf numFmtId="0" fontId="35" fillId="33" borderId="22" xfId="110" applyFont="1" applyFill="1" applyBorder="1" applyAlignment="1">
      <alignment vertical="top" wrapText="1"/>
    </xf>
    <xf numFmtId="0" fontId="35" fillId="33" borderId="19" xfId="110" applyFont="1" applyFill="1" applyBorder="1" applyAlignment="1">
      <alignment horizontal="center" vertical="center" wrapText="1"/>
    </xf>
    <xf numFmtId="0" fontId="35" fillId="33" borderId="22" xfId="110" applyFont="1" applyFill="1" applyBorder="1" applyAlignment="1">
      <alignment horizontal="center" vertical="center" wrapText="1"/>
    </xf>
    <xf numFmtId="0" fontId="33" fillId="0" borderId="17" xfId="110" applyFont="1" applyFill="1" applyBorder="1" applyAlignment="1">
      <alignment horizontal="center" vertical="center" wrapText="1"/>
    </xf>
    <xf numFmtId="0" fontId="35" fillId="0" borderId="17" xfId="110" applyFont="1" applyFill="1" applyBorder="1" applyAlignment="1">
      <alignment horizontal="center" vertical="center" wrapText="1"/>
    </xf>
    <xf numFmtId="0" fontId="35" fillId="0" borderId="13" xfId="110" applyFont="1" applyFill="1" applyBorder="1" applyAlignment="1">
      <alignment horizontal="center" vertical="center" wrapText="1"/>
    </xf>
    <xf numFmtId="0" fontId="35" fillId="0" borderId="14" xfId="110" applyFont="1" applyFill="1" applyBorder="1" applyAlignment="1">
      <alignment horizontal="center" vertical="center" wrapText="1"/>
    </xf>
    <xf numFmtId="0" fontId="35" fillId="0" borderId="23" xfId="110" applyFont="1" applyFill="1" applyBorder="1" applyAlignment="1">
      <alignment horizontal="center" vertical="center" wrapText="1"/>
    </xf>
    <xf numFmtId="0" fontId="33" fillId="0" borderId="0" xfId="110" applyFont="1" applyFill="1" applyBorder="1" applyAlignment="1">
      <alignment vertical="center"/>
    </xf>
    <xf numFmtId="0" fontId="35" fillId="0" borderId="0" xfId="110" applyFont="1" applyFill="1" applyAlignment="1"/>
    <xf numFmtId="0" fontId="59" fillId="0" borderId="19" xfId="110" applyFont="1" applyFill="1" applyBorder="1" applyAlignment="1">
      <alignment horizontal="center" vertical="center" wrapText="1"/>
    </xf>
    <xf numFmtId="0" fontId="59" fillId="0" borderId="22" xfId="110" applyFont="1" applyFill="1" applyBorder="1" applyAlignment="1">
      <alignment horizontal="center" vertical="center" wrapText="1"/>
    </xf>
    <xf numFmtId="0" fontId="33" fillId="0" borderId="16" xfId="110" applyFont="1" applyFill="1" applyBorder="1" applyAlignment="1">
      <alignment horizontal="center" vertical="center" wrapText="1"/>
    </xf>
    <xf numFmtId="0" fontId="35" fillId="0" borderId="21" xfId="110" applyFont="1" applyFill="1" applyBorder="1" applyAlignment="1">
      <alignment horizontal="center" vertical="center" wrapText="1"/>
    </xf>
    <xf numFmtId="0" fontId="35" fillId="0" borderId="16" xfId="110" quotePrefix="1" applyFont="1" applyFill="1" applyBorder="1" applyAlignment="1">
      <alignment horizontal="center" vertical="center" wrapText="1"/>
    </xf>
    <xf numFmtId="0" fontId="35" fillId="33" borderId="16" xfId="110" quotePrefix="1" applyFont="1" applyFill="1" applyBorder="1" applyAlignment="1">
      <alignment vertical="top" wrapText="1"/>
    </xf>
    <xf numFmtId="0" fontId="35" fillId="33" borderId="17" xfId="110" applyFont="1" applyFill="1" applyBorder="1" applyAlignment="1">
      <alignment vertical="top" wrapText="1"/>
    </xf>
    <xf numFmtId="0" fontId="35" fillId="33" borderId="13" xfId="110" applyFont="1" applyFill="1" applyBorder="1" applyAlignment="1">
      <alignment vertical="top" wrapText="1"/>
    </xf>
    <xf numFmtId="0" fontId="35" fillId="33" borderId="21" xfId="110" applyFont="1" applyFill="1" applyBorder="1" applyAlignment="1">
      <alignment vertical="top" wrapText="1"/>
    </xf>
    <xf numFmtId="0" fontId="35" fillId="33" borderId="14" xfId="110" applyFont="1" applyFill="1" applyBorder="1" applyAlignment="1">
      <alignment vertical="top" wrapText="1"/>
    </xf>
    <xf numFmtId="0" fontId="35" fillId="33" borderId="23" xfId="110" applyFont="1" applyFill="1" applyBorder="1" applyAlignment="1">
      <alignment vertical="top" wrapText="1"/>
    </xf>
    <xf numFmtId="0" fontId="33" fillId="0" borderId="11" xfId="112" applyFont="1" applyFill="1" applyBorder="1" applyAlignment="1">
      <alignment horizontal="center" wrapText="1"/>
    </xf>
    <xf numFmtId="0" fontId="33" fillId="0" borderId="2" xfId="112" applyFont="1" applyFill="1" applyBorder="1" applyAlignment="1">
      <alignment horizontal="center" wrapText="1"/>
    </xf>
    <xf numFmtId="0" fontId="33" fillId="0" borderId="12" xfId="112" applyFont="1" applyFill="1" applyBorder="1" applyAlignment="1">
      <alignment horizontal="center" wrapText="1"/>
    </xf>
    <xf numFmtId="0" fontId="33" fillId="0" borderId="11" xfId="112" applyFont="1" applyBorder="1" applyAlignment="1">
      <alignment horizontal="center" wrapText="1"/>
    </xf>
    <xf numFmtId="0" fontId="33" fillId="0" borderId="2" xfId="112" applyFont="1" applyBorder="1" applyAlignment="1">
      <alignment horizontal="center" wrapText="1"/>
    </xf>
    <xf numFmtId="0" fontId="33" fillId="0" borderId="12" xfId="112" applyFont="1" applyBorder="1" applyAlignment="1">
      <alignment horizontal="center" wrapText="1"/>
    </xf>
  </cellXfs>
  <cellStyles count="1309">
    <cellStyle name="20% - Accent1" xfId="27" builtinId="30" customBuiltin="1"/>
    <cellStyle name="20% - Accent1 2" xfId="91"/>
    <cellStyle name="20% - Accent1 2 2" xfId="124"/>
    <cellStyle name="20% - Accent1 3" xfId="125"/>
    <cellStyle name="20% - Accent1 4" xfId="126"/>
    <cellStyle name="20% - Accent1 4 2" xfId="127"/>
    <cellStyle name="20% - Accent1 4 2 2" xfId="128"/>
    <cellStyle name="20% - Accent1 4 2 2 2" xfId="129"/>
    <cellStyle name="20% - Accent1 4 2 2 2 2" xfId="130"/>
    <cellStyle name="20% - Accent1 4 2 2 2 2 2" xfId="131"/>
    <cellStyle name="20% - Accent1 4 2 2 2 3" xfId="132"/>
    <cellStyle name="20% - Accent1 4 2 2 3" xfId="133"/>
    <cellStyle name="20% - Accent1 4 2 2 3 2" xfId="134"/>
    <cellStyle name="20% - Accent1 4 2 2 4" xfId="135"/>
    <cellStyle name="20% - Accent1 4 2 3" xfId="136"/>
    <cellStyle name="20% - Accent1 4 2 3 2" xfId="137"/>
    <cellStyle name="20% - Accent1 4 2 3 2 2" xfId="138"/>
    <cellStyle name="20% - Accent1 4 2 3 3" xfId="139"/>
    <cellStyle name="20% - Accent1 4 2 4" xfId="140"/>
    <cellStyle name="20% - Accent1 4 2 4 2" xfId="141"/>
    <cellStyle name="20% - Accent1 4 2 5" xfId="142"/>
    <cellStyle name="20% - Accent1 4 3" xfId="143"/>
    <cellStyle name="20% - Accent1 4 3 2" xfId="144"/>
    <cellStyle name="20% - Accent1 4 3 2 2" xfId="145"/>
    <cellStyle name="20% - Accent1 4 3 2 2 2" xfId="146"/>
    <cellStyle name="20% - Accent1 4 3 2 3" xfId="147"/>
    <cellStyle name="20% - Accent1 4 3 3" xfId="148"/>
    <cellStyle name="20% - Accent1 4 3 3 2" xfId="149"/>
    <cellStyle name="20% - Accent1 4 3 4" xfId="150"/>
    <cellStyle name="20% - Accent1 4 4" xfId="151"/>
    <cellStyle name="20% - Accent1 4 4 2" xfId="152"/>
    <cellStyle name="20% - Accent1 4 4 2 2" xfId="153"/>
    <cellStyle name="20% - Accent1 4 4 3" xfId="154"/>
    <cellStyle name="20% - Accent1 4 5" xfId="155"/>
    <cellStyle name="20% - Accent1 4 5 2" xfId="156"/>
    <cellStyle name="20% - Accent1 4 6" xfId="157"/>
    <cellStyle name="20% - Accent1 5" xfId="158"/>
    <cellStyle name="20% - Accent1 6" xfId="159"/>
    <cellStyle name="20% - Accent2" xfId="31" builtinId="34" customBuiltin="1"/>
    <cellStyle name="20% - Accent2 2" xfId="93"/>
    <cellStyle name="20% - Accent2 2 2" xfId="160"/>
    <cellStyle name="20% - Accent2 3" xfId="161"/>
    <cellStyle name="20% - Accent2 4" xfId="162"/>
    <cellStyle name="20% - Accent2 4 2" xfId="163"/>
    <cellStyle name="20% - Accent2 4 2 2" xfId="164"/>
    <cellStyle name="20% - Accent2 4 2 2 2" xfId="165"/>
    <cellStyle name="20% - Accent2 4 2 2 2 2" xfId="166"/>
    <cellStyle name="20% - Accent2 4 2 2 2 2 2" xfId="167"/>
    <cellStyle name="20% - Accent2 4 2 2 2 3" xfId="168"/>
    <cellStyle name="20% - Accent2 4 2 2 3" xfId="169"/>
    <cellStyle name="20% - Accent2 4 2 2 3 2" xfId="170"/>
    <cellStyle name="20% - Accent2 4 2 2 4" xfId="171"/>
    <cellStyle name="20% - Accent2 4 2 3" xfId="172"/>
    <cellStyle name="20% - Accent2 4 2 3 2" xfId="173"/>
    <cellStyle name="20% - Accent2 4 2 3 2 2" xfId="174"/>
    <cellStyle name="20% - Accent2 4 2 3 3" xfId="175"/>
    <cellStyle name="20% - Accent2 4 2 4" xfId="176"/>
    <cellStyle name="20% - Accent2 4 2 4 2" xfId="177"/>
    <cellStyle name="20% - Accent2 4 2 5" xfId="178"/>
    <cellStyle name="20% - Accent2 4 3" xfId="179"/>
    <cellStyle name="20% - Accent2 4 3 2" xfId="180"/>
    <cellStyle name="20% - Accent2 4 3 2 2" xfId="181"/>
    <cellStyle name="20% - Accent2 4 3 2 2 2" xfId="182"/>
    <cellStyle name="20% - Accent2 4 3 2 3" xfId="183"/>
    <cellStyle name="20% - Accent2 4 3 3" xfId="184"/>
    <cellStyle name="20% - Accent2 4 3 3 2" xfId="185"/>
    <cellStyle name="20% - Accent2 4 3 4" xfId="186"/>
    <cellStyle name="20% - Accent2 4 4" xfId="187"/>
    <cellStyle name="20% - Accent2 4 4 2" xfId="188"/>
    <cellStyle name="20% - Accent2 4 4 2 2" xfId="189"/>
    <cellStyle name="20% - Accent2 4 4 3" xfId="190"/>
    <cellStyle name="20% - Accent2 4 5" xfId="191"/>
    <cellStyle name="20% - Accent2 4 5 2" xfId="192"/>
    <cellStyle name="20% - Accent2 4 6" xfId="193"/>
    <cellStyle name="20% - Accent2 5" xfId="194"/>
    <cellStyle name="20% - Accent2 6" xfId="195"/>
    <cellStyle name="20% - Accent3" xfId="35" builtinId="38" customBuiltin="1"/>
    <cellStyle name="20% - Accent3 2" xfId="95"/>
    <cellStyle name="20% - Accent3 2 2" xfId="196"/>
    <cellStyle name="20% - Accent3 3" xfId="197"/>
    <cellStyle name="20% - Accent3 4" xfId="198"/>
    <cellStyle name="20% - Accent3 4 2" xfId="199"/>
    <cellStyle name="20% - Accent3 4 2 2" xfId="200"/>
    <cellStyle name="20% - Accent3 4 2 2 2" xfId="201"/>
    <cellStyle name="20% - Accent3 4 2 2 2 2" xfId="202"/>
    <cellStyle name="20% - Accent3 4 2 2 2 2 2" xfId="203"/>
    <cellStyle name="20% - Accent3 4 2 2 2 3" xfId="204"/>
    <cellStyle name="20% - Accent3 4 2 2 3" xfId="205"/>
    <cellStyle name="20% - Accent3 4 2 2 3 2" xfId="206"/>
    <cellStyle name="20% - Accent3 4 2 2 4" xfId="207"/>
    <cellStyle name="20% - Accent3 4 2 3" xfId="208"/>
    <cellStyle name="20% - Accent3 4 2 3 2" xfId="209"/>
    <cellStyle name="20% - Accent3 4 2 3 2 2" xfId="210"/>
    <cellStyle name="20% - Accent3 4 2 3 3" xfId="211"/>
    <cellStyle name="20% - Accent3 4 2 4" xfId="212"/>
    <cellStyle name="20% - Accent3 4 2 4 2" xfId="213"/>
    <cellStyle name="20% - Accent3 4 2 5" xfId="214"/>
    <cellStyle name="20% - Accent3 4 3" xfId="215"/>
    <cellStyle name="20% - Accent3 4 3 2" xfId="216"/>
    <cellStyle name="20% - Accent3 4 3 2 2" xfId="217"/>
    <cellStyle name="20% - Accent3 4 3 2 2 2" xfId="218"/>
    <cellStyle name="20% - Accent3 4 3 2 3" xfId="219"/>
    <cellStyle name="20% - Accent3 4 3 3" xfId="220"/>
    <cellStyle name="20% - Accent3 4 3 3 2" xfId="221"/>
    <cellStyle name="20% - Accent3 4 3 4" xfId="222"/>
    <cellStyle name="20% - Accent3 4 4" xfId="223"/>
    <cellStyle name="20% - Accent3 4 4 2" xfId="224"/>
    <cellStyle name="20% - Accent3 4 4 2 2" xfId="225"/>
    <cellStyle name="20% - Accent3 4 4 3" xfId="226"/>
    <cellStyle name="20% - Accent3 4 5" xfId="227"/>
    <cellStyle name="20% - Accent3 4 5 2" xfId="228"/>
    <cellStyle name="20% - Accent3 4 6" xfId="229"/>
    <cellStyle name="20% - Accent3 5" xfId="230"/>
    <cellStyle name="20% - Accent3 6" xfId="231"/>
    <cellStyle name="20% - Accent4" xfId="39" builtinId="42" customBuiltin="1"/>
    <cellStyle name="20% - Accent4 2" xfId="97"/>
    <cellStyle name="20% - Accent4 2 2" xfId="232"/>
    <cellStyle name="20% - Accent4 3" xfId="233"/>
    <cellStyle name="20% - Accent4 4" xfId="234"/>
    <cellStyle name="20% - Accent4 4 2" xfId="235"/>
    <cellStyle name="20% - Accent4 4 2 2" xfId="236"/>
    <cellStyle name="20% - Accent4 4 2 2 2" xfId="237"/>
    <cellStyle name="20% - Accent4 4 2 2 2 2" xfId="238"/>
    <cellStyle name="20% - Accent4 4 2 2 2 2 2" xfId="239"/>
    <cellStyle name="20% - Accent4 4 2 2 2 3" xfId="240"/>
    <cellStyle name="20% - Accent4 4 2 2 3" xfId="241"/>
    <cellStyle name="20% - Accent4 4 2 2 3 2" xfId="242"/>
    <cellStyle name="20% - Accent4 4 2 2 4" xfId="243"/>
    <cellStyle name="20% - Accent4 4 2 3" xfId="244"/>
    <cellStyle name="20% - Accent4 4 2 3 2" xfId="245"/>
    <cellStyle name="20% - Accent4 4 2 3 2 2" xfId="246"/>
    <cellStyle name="20% - Accent4 4 2 3 3" xfId="247"/>
    <cellStyle name="20% - Accent4 4 2 4" xfId="248"/>
    <cellStyle name="20% - Accent4 4 2 4 2" xfId="249"/>
    <cellStyle name="20% - Accent4 4 2 5" xfId="250"/>
    <cellStyle name="20% - Accent4 4 3" xfId="251"/>
    <cellStyle name="20% - Accent4 4 3 2" xfId="252"/>
    <cellStyle name="20% - Accent4 4 3 2 2" xfId="253"/>
    <cellStyle name="20% - Accent4 4 3 2 2 2" xfId="254"/>
    <cellStyle name="20% - Accent4 4 3 2 3" xfId="255"/>
    <cellStyle name="20% - Accent4 4 3 3" xfId="256"/>
    <cellStyle name="20% - Accent4 4 3 3 2" xfId="257"/>
    <cellStyle name="20% - Accent4 4 3 4" xfId="258"/>
    <cellStyle name="20% - Accent4 4 4" xfId="259"/>
    <cellStyle name="20% - Accent4 4 4 2" xfId="260"/>
    <cellStyle name="20% - Accent4 4 4 2 2" xfId="261"/>
    <cellStyle name="20% - Accent4 4 4 3" xfId="262"/>
    <cellStyle name="20% - Accent4 4 5" xfId="263"/>
    <cellStyle name="20% - Accent4 4 5 2" xfId="264"/>
    <cellStyle name="20% - Accent4 4 6" xfId="265"/>
    <cellStyle name="20% - Accent4 5" xfId="266"/>
    <cellStyle name="20% - Accent4 6" xfId="267"/>
    <cellStyle name="20% - Accent5" xfId="43" builtinId="46" customBuiltin="1"/>
    <cellStyle name="20% - Accent5 2" xfId="99"/>
    <cellStyle name="20% - Accent5 2 2" xfId="268"/>
    <cellStyle name="20% - Accent5 3" xfId="269"/>
    <cellStyle name="20% - Accent5 4" xfId="270"/>
    <cellStyle name="20% - Accent5 4 2" xfId="271"/>
    <cellStyle name="20% - Accent5 4 2 2" xfId="272"/>
    <cellStyle name="20% - Accent5 4 2 2 2" xfId="273"/>
    <cellStyle name="20% - Accent5 4 2 2 2 2" xfId="274"/>
    <cellStyle name="20% - Accent5 4 2 2 2 2 2" xfId="275"/>
    <cellStyle name="20% - Accent5 4 2 2 2 3" xfId="276"/>
    <cellStyle name="20% - Accent5 4 2 2 3" xfId="277"/>
    <cellStyle name="20% - Accent5 4 2 2 3 2" xfId="278"/>
    <cellStyle name="20% - Accent5 4 2 2 4" xfId="279"/>
    <cellStyle name="20% - Accent5 4 2 3" xfId="280"/>
    <cellStyle name="20% - Accent5 4 2 3 2" xfId="281"/>
    <cellStyle name="20% - Accent5 4 2 3 2 2" xfId="282"/>
    <cellStyle name="20% - Accent5 4 2 3 3" xfId="283"/>
    <cellStyle name="20% - Accent5 4 2 4" xfId="284"/>
    <cellStyle name="20% - Accent5 4 2 4 2" xfId="285"/>
    <cellStyle name="20% - Accent5 4 2 5" xfId="286"/>
    <cellStyle name="20% - Accent5 4 3" xfId="287"/>
    <cellStyle name="20% - Accent5 4 3 2" xfId="288"/>
    <cellStyle name="20% - Accent5 4 3 2 2" xfId="289"/>
    <cellStyle name="20% - Accent5 4 3 2 2 2" xfId="290"/>
    <cellStyle name="20% - Accent5 4 3 2 3" xfId="291"/>
    <cellStyle name="20% - Accent5 4 3 3" xfId="292"/>
    <cellStyle name="20% - Accent5 4 3 3 2" xfId="293"/>
    <cellStyle name="20% - Accent5 4 3 4" xfId="294"/>
    <cellStyle name="20% - Accent5 4 4" xfId="295"/>
    <cellStyle name="20% - Accent5 4 4 2" xfId="296"/>
    <cellStyle name="20% - Accent5 4 4 2 2" xfId="297"/>
    <cellStyle name="20% - Accent5 4 4 3" xfId="298"/>
    <cellStyle name="20% - Accent5 4 5" xfId="299"/>
    <cellStyle name="20% - Accent5 4 5 2" xfId="300"/>
    <cellStyle name="20% - Accent5 4 6" xfId="301"/>
    <cellStyle name="20% - Accent5 5" xfId="302"/>
    <cellStyle name="20% - Accent5 6" xfId="303"/>
    <cellStyle name="20% - Accent6" xfId="47" builtinId="50" customBuiltin="1"/>
    <cellStyle name="20% - Accent6 2" xfId="101"/>
    <cellStyle name="20% - Accent6 2 2" xfId="304"/>
    <cellStyle name="20% - Accent6 3" xfId="305"/>
    <cellStyle name="20% - Accent6 4" xfId="306"/>
    <cellStyle name="20% - Accent6 4 2" xfId="307"/>
    <cellStyle name="20% - Accent6 4 2 2" xfId="308"/>
    <cellStyle name="20% - Accent6 4 2 2 2" xfId="309"/>
    <cellStyle name="20% - Accent6 4 2 2 2 2" xfId="310"/>
    <cellStyle name="20% - Accent6 4 2 2 2 2 2" xfId="311"/>
    <cellStyle name="20% - Accent6 4 2 2 2 3" xfId="312"/>
    <cellStyle name="20% - Accent6 4 2 2 3" xfId="313"/>
    <cellStyle name="20% - Accent6 4 2 2 3 2" xfId="314"/>
    <cellStyle name="20% - Accent6 4 2 2 4" xfId="315"/>
    <cellStyle name="20% - Accent6 4 2 3" xfId="316"/>
    <cellStyle name="20% - Accent6 4 2 3 2" xfId="317"/>
    <cellStyle name="20% - Accent6 4 2 3 2 2" xfId="318"/>
    <cellStyle name="20% - Accent6 4 2 3 3" xfId="319"/>
    <cellStyle name="20% - Accent6 4 2 4" xfId="320"/>
    <cellStyle name="20% - Accent6 4 2 4 2" xfId="321"/>
    <cellStyle name="20% - Accent6 4 2 5" xfId="322"/>
    <cellStyle name="20% - Accent6 4 3" xfId="323"/>
    <cellStyle name="20% - Accent6 4 3 2" xfId="324"/>
    <cellStyle name="20% - Accent6 4 3 2 2" xfId="325"/>
    <cellStyle name="20% - Accent6 4 3 2 2 2" xfId="326"/>
    <cellStyle name="20% - Accent6 4 3 2 3" xfId="327"/>
    <cellStyle name="20% - Accent6 4 3 3" xfId="328"/>
    <cellStyle name="20% - Accent6 4 3 3 2" xfId="329"/>
    <cellStyle name="20% - Accent6 4 3 4" xfId="330"/>
    <cellStyle name="20% - Accent6 4 4" xfId="331"/>
    <cellStyle name="20% - Accent6 4 4 2" xfId="332"/>
    <cellStyle name="20% - Accent6 4 4 2 2" xfId="333"/>
    <cellStyle name="20% - Accent6 4 4 3" xfId="334"/>
    <cellStyle name="20% - Accent6 4 5" xfId="335"/>
    <cellStyle name="20% - Accent6 4 5 2" xfId="336"/>
    <cellStyle name="20% - Accent6 4 6" xfId="337"/>
    <cellStyle name="20% - Accent6 5" xfId="338"/>
    <cellStyle name="20% - Accent6 6" xfId="339"/>
    <cellStyle name="40% - Accent1" xfId="28" builtinId="31" customBuiltin="1"/>
    <cellStyle name="40% - Accent1 2" xfId="92"/>
    <cellStyle name="40% - Accent1 2 2" xfId="340"/>
    <cellStyle name="40% - Accent1 3" xfId="341"/>
    <cellStyle name="40% - Accent1 4" xfId="342"/>
    <cellStyle name="40% - Accent1 4 2" xfId="343"/>
    <cellStyle name="40% - Accent1 4 2 2" xfId="344"/>
    <cellStyle name="40% - Accent1 4 2 2 2" xfId="345"/>
    <cellStyle name="40% - Accent1 4 2 2 2 2" xfId="346"/>
    <cellStyle name="40% - Accent1 4 2 2 2 2 2" xfId="347"/>
    <cellStyle name="40% - Accent1 4 2 2 2 3" xfId="348"/>
    <cellStyle name="40% - Accent1 4 2 2 3" xfId="349"/>
    <cellStyle name="40% - Accent1 4 2 2 3 2" xfId="350"/>
    <cellStyle name="40% - Accent1 4 2 2 4" xfId="351"/>
    <cellStyle name="40% - Accent1 4 2 3" xfId="352"/>
    <cellStyle name="40% - Accent1 4 2 3 2" xfId="353"/>
    <cellStyle name="40% - Accent1 4 2 3 2 2" xfId="354"/>
    <cellStyle name="40% - Accent1 4 2 3 3" xfId="355"/>
    <cellStyle name="40% - Accent1 4 2 4" xfId="356"/>
    <cellStyle name="40% - Accent1 4 2 4 2" xfId="357"/>
    <cellStyle name="40% - Accent1 4 2 5" xfId="358"/>
    <cellStyle name="40% - Accent1 4 3" xfId="359"/>
    <cellStyle name="40% - Accent1 4 3 2" xfId="360"/>
    <cellStyle name="40% - Accent1 4 3 2 2" xfId="361"/>
    <cellStyle name="40% - Accent1 4 3 2 2 2" xfId="362"/>
    <cellStyle name="40% - Accent1 4 3 2 3" xfId="363"/>
    <cellStyle name="40% - Accent1 4 3 3" xfId="364"/>
    <cellStyle name="40% - Accent1 4 3 3 2" xfId="365"/>
    <cellStyle name="40% - Accent1 4 3 4" xfId="366"/>
    <cellStyle name="40% - Accent1 4 4" xfId="367"/>
    <cellStyle name="40% - Accent1 4 4 2" xfId="368"/>
    <cellStyle name="40% - Accent1 4 4 2 2" xfId="369"/>
    <cellStyle name="40% - Accent1 4 4 3" xfId="370"/>
    <cellStyle name="40% - Accent1 4 5" xfId="371"/>
    <cellStyle name="40% - Accent1 4 5 2" xfId="372"/>
    <cellStyle name="40% - Accent1 4 6" xfId="373"/>
    <cellStyle name="40% - Accent1 5" xfId="374"/>
    <cellStyle name="40% - Accent1 6" xfId="375"/>
    <cellStyle name="40% - Accent2" xfId="32" builtinId="35" customBuiltin="1"/>
    <cellStyle name="40% - Accent2 2" xfId="94"/>
    <cellStyle name="40% - Accent2 2 2" xfId="376"/>
    <cellStyle name="40% - Accent2 3" xfId="377"/>
    <cellStyle name="40% - Accent2 4" xfId="378"/>
    <cellStyle name="40% - Accent2 4 2" xfId="379"/>
    <cellStyle name="40% - Accent2 4 2 2" xfId="380"/>
    <cellStyle name="40% - Accent2 4 2 2 2" xfId="381"/>
    <cellStyle name="40% - Accent2 4 2 2 2 2" xfId="382"/>
    <cellStyle name="40% - Accent2 4 2 2 2 2 2" xfId="383"/>
    <cellStyle name="40% - Accent2 4 2 2 2 3" xfId="384"/>
    <cellStyle name="40% - Accent2 4 2 2 3" xfId="385"/>
    <cellStyle name="40% - Accent2 4 2 2 3 2" xfId="386"/>
    <cellStyle name="40% - Accent2 4 2 2 4" xfId="387"/>
    <cellStyle name="40% - Accent2 4 2 3" xfId="388"/>
    <cellStyle name="40% - Accent2 4 2 3 2" xfId="389"/>
    <cellStyle name="40% - Accent2 4 2 3 2 2" xfId="390"/>
    <cellStyle name="40% - Accent2 4 2 3 3" xfId="391"/>
    <cellStyle name="40% - Accent2 4 2 4" xfId="392"/>
    <cellStyle name="40% - Accent2 4 2 4 2" xfId="393"/>
    <cellStyle name="40% - Accent2 4 2 5" xfId="394"/>
    <cellStyle name="40% - Accent2 4 3" xfId="395"/>
    <cellStyle name="40% - Accent2 4 3 2" xfId="396"/>
    <cellStyle name="40% - Accent2 4 3 2 2" xfId="397"/>
    <cellStyle name="40% - Accent2 4 3 2 2 2" xfId="398"/>
    <cellStyle name="40% - Accent2 4 3 2 3" xfId="399"/>
    <cellStyle name="40% - Accent2 4 3 3" xfId="400"/>
    <cellStyle name="40% - Accent2 4 3 3 2" xfId="401"/>
    <cellStyle name="40% - Accent2 4 3 4" xfId="402"/>
    <cellStyle name="40% - Accent2 4 4" xfId="403"/>
    <cellStyle name="40% - Accent2 4 4 2" xfId="404"/>
    <cellStyle name="40% - Accent2 4 4 2 2" xfId="405"/>
    <cellStyle name="40% - Accent2 4 4 3" xfId="406"/>
    <cellStyle name="40% - Accent2 4 5" xfId="407"/>
    <cellStyle name="40% - Accent2 4 5 2" xfId="408"/>
    <cellStyle name="40% - Accent2 4 6" xfId="409"/>
    <cellStyle name="40% - Accent2 5" xfId="410"/>
    <cellStyle name="40% - Accent2 6" xfId="411"/>
    <cellStyle name="40% - Accent3" xfId="36" builtinId="39" customBuiltin="1"/>
    <cellStyle name="40% - Accent3 2" xfId="96"/>
    <cellStyle name="40% - Accent3 2 2" xfId="412"/>
    <cellStyle name="40% - Accent3 3" xfId="413"/>
    <cellStyle name="40% - Accent3 4" xfId="414"/>
    <cellStyle name="40% - Accent3 4 2" xfId="415"/>
    <cellStyle name="40% - Accent3 4 2 2" xfId="416"/>
    <cellStyle name="40% - Accent3 4 2 2 2" xfId="417"/>
    <cellStyle name="40% - Accent3 4 2 2 2 2" xfId="418"/>
    <cellStyle name="40% - Accent3 4 2 2 2 2 2" xfId="419"/>
    <cellStyle name="40% - Accent3 4 2 2 2 3" xfId="420"/>
    <cellStyle name="40% - Accent3 4 2 2 3" xfId="421"/>
    <cellStyle name="40% - Accent3 4 2 2 3 2" xfId="422"/>
    <cellStyle name="40% - Accent3 4 2 2 4" xfId="423"/>
    <cellStyle name="40% - Accent3 4 2 3" xfId="424"/>
    <cellStyle name="40% - Accent3 4 2 3 2" xfId="425"/>
    <cellStyle name="40% - Accent3 4 2 3 2 2" xfId="426"/>
    <cellStyle name="40% - Accent3 4 2 3 3" xfId="427"/>
    <cellStyle name="40% - Accent3 4 2 4" xfId="428"/>
    <cellStyle name="40% - Accent3 4 2 4 2" xfId="429"/>
    <cellStyle name="40% - Accent3 4 2 5" xfId="430"/>
    <cellStyle name="40% - Accent3 4 3" xfId="431"/>
    <cellStyle name="40% - Accent3 4 3 2" xfId="432"/>
    <cellStyle name="40% - Accent3 4 3 2 2" xfId="433"/>
    <cellStyle name="40% - Accent3 4 3 2 2 2" xfId="434"/>
    <cellStyle name="40% - Accent3 4 3 2 3" xfId="435"/>
    <cellStyle name="40% - Accent3 4 3 3" xfId="436"/>
    <cellStyle name="40% - Accent3 4 3 3 2" xfId="437"/>
    <cellStyle name="40% - Accent3 4 3 4" xfId="438"/>
    <cellStyle name="40% - Accent3 4 4" xfId="439"/>
    <cellStyle name="40% - Accent3 4 4 2" xfId="440"/>
    <cellStyle name="40% - Accent3 4 4 2 2" xfId="441"/>
    <cellStyle name="40% - Accent3 4 4 3" xfId="442"/>
    <cellStyle name="40% - Accent3 4 5" xfId="443"/>
    <cellStyle name="40% - Accent3 4 5 2" xfId="444"/>
    <cellStyle name="40% - Accent3 4 6" xfId="445"/>
    <cellStyle name="40% - Accent3 5" xfId="446"/>
    <cellStyle name="40% - Accent3 6" xfId="447"/>
    <cellStyle name="40% - Accent4" xfId="40" builtinId="43" customBuiltin="1"/>
    <cellStyle name="40% - Accent4 2" xfId="98"/>
    <cellStyle name="40% - Accent4 2 2" xfId="448"/>
    <cellStyle name="40% - Accent4 3" xfId="449"/>
    <cellStyle name="40% - Accent4 4" xfId="450"/>
    <cellStyle name="40% - Accent4 4 2" xfId="451"/>
    <cellStyle name="40% - Accent4 4 2 2" xfId="452"/>
    <cellStyle name="40% - Accent4 4 2 2 2" xfId="453"/>
    <cellStyle name="40% - Accent4 4 2 2 2 2" xfId="454"/>
    <cellStyle name="40% - Accent4 4 2 2 2 2 2" xfId="455"/>
    <cellStyle name="40% - Accent4 4 2 2 2 3" xfId="456"/>
    <cellStyle name="40% - Accent4 4 2 2 3" xfId="457"/>
    <cellStyle name="40% - Accent4 4 2 2 3 2" xfId="458"/>
    <cellStyle name="40% - Accent4 4 2 2 4" xfId="459"/>
    <cellStyle name="40% - Accent4 4 2 3" xfId="460"/>
    <cellStyle name="40% - Accent4 4 2 3 2" xfId="461"/>
    <cellStyle name="40% - Accent4 4 2 3 2 2" xfId="462"/>
    <cellStyle name="40% - Accent4 4 2 3 3" xfId="463"/>
    <cellStyle name="40% - Accent4 4 2 4" xfId="464"/>
    <cellStyle name="40% - Accent4 4 2 4 2" xfId="465"/>
    <cellStyle name="40% - Accent4 4 2 5" xfId="466"/>
    <cellStyle name="40% - Accent4 4 3" xfId="467"/>
    <cellStyle name="40% - Accent4 4 3 2" xfId="468"/>
    <cellStyle name="40% - Accent4 4 3 2 2" xfId="469"/>
    <cellStyle name="40% - Accent4 4 3 2 2 2" xfId="470"/>
    <cellStyle name="40% - Accent4 4 3 2 3" xfId="471"/>
    <cellStyle name="40% - Accent4 4 3 3" xfId="472"/>
    <cellStyle name="40% - Accent4 4 3 3 2" xfId="473"/>
    <cellStyle name="40% - Accent4 4 3 4" xfId="474"/>
    <cellStyle name="40% - Accent4 4 4" xfId="475"/>
    <cellStyle name="40% - Accent4 4 4 2" xfId="476"/>
    <cellStyle name="40% - Accent4 4 4 2 2" xfId="477"/>
    <cellStyle name="40% - Accent4 4 4 3" xfId="478"/>
    <cellStyle name="40% - Accent4 4 5" xfId="479"/>
    <cellStyle name="40% - Accent4 4 5 2" xfId="480"/>
    <cellStyle name="40% - Accent4 4 6" xfId="481"/>
    <cellStyle name="40% - Accent4 5" xfId="482"/>
    <cellStyle name="40% - Accent4 6" xfId="483"/>
    <cellStyle name="40% - Accent5" xfId="44" builtinId="47" customBuiltin="1"/>
    <cellStyle name="40% - Accent5 2" xfId="100"/>
    <cellStyle name="40% - Accent5 2 2" xfId="484"/>
    <cellStyle name="40% - Accent5 3" xfId="485"/>
    <cellStyle name="40% - Accent5 4" xfId="486"/>
    <cellStyle name="40% - Accent5 4 2" xfId="487"/>
    <cellStyle name="40% - Accent5 4 2 2" xfId="488"/>
    <cellStyle name="40% - Accent5 4 2 2 2" xfId="489"/>
    <cellStyle name="40% - Accent5 4 2 2 2 2" xfId="490"/>
    <cellStyle name="40% - Accent5 4 2 2 2 2 2" xfId="491"/>
    <cellStyle name="40% - Accent5 4 2 2 2 3" xfId="492"/>
    <cellStyle name="40% - Accent5 4 2 2 3" xfId="493"/>
    <cellStyle name="40% - Accent5 4 2 2 3 2" xfId="494"/>
    <cellStyle name="40% - Accent5 4 2 2 4" xfId="495"/>
    <cellStyle name="40% - Accent5 4 2 3" xfId="496"/>
    <cellStyle name="40% - Accent5 4 2 3 2" xfId="497"/>
    <cellStyle name="40% - Accent5 4 2 3 2 2" xfId="498"/>
    <cellStyle name="40% - Accent5 4 2 3 3" xfId="499"/>
    <cellStyle name="40% - Accent5 4 2 4" xfId="500"/>
    <cellStyle name="40% - Accent5 4 2 4 2" xfId="501"/>
    <cellStyle name="40% - Accent5 4 2 5" xfId="502"/>
    <cellStyle name="40% - Accent5 4 3" xfId="503"/>
    <cellStyle name="40% - Accent5 4 3 2" xfId="504"/>
    <cellStyle name="40% - Accent5 4 3 2 2" xfId="505"/>
    <cellStyle name="40% - Accent5 4 3 2 2 2" xfId="506"/>
    <cellStyle name="40% - Accent5 4 3 2 3" xfId="507"/>
    <cellStyle name="40% - Accent5 4 3 3" xfId="508"/>
    <cellStyle name="40% - Accent5 4 3 3 2" xfId="509"/>
    <cellStyle name="40% - Accent5 4 3 4" xfId="510"/>
    <cellStyle name="40% - Accent5 4 4" xfId="511"/>
    <cellStyle name="40% - Accent5 4 4 2" xfId="512"/>
    <cellStyle name="40% - Accent5 4 4 2 2" xfId="513"/>
    <cellStyle name="40% - Accent5 4 4 3" xfId="514"/>
    <cellStyle name="40% - Accent5 4 5" xfId="515"/>
    <cellStyle name="40% - Accent5 4 5 2" xfId="516"/>
    <cellStyle name="40% - Accent5 4 6" xfId="517"/>
    <cellStyle name="40% - Accent5 5" xfId="518"/>
    <cellStyle name="40% - Accent5 6" xfId="519"/>
    <cellStyle name="40% - Accent6" xfId="48" builtinId="51" customBuiltin="1"/>
    <cellStyle name="40% - Accent6 2" xfId="102"/>
    <cellStyle name="40% - Accent6 2 2" xfId="520"/>
    <cellStyle name="40% - Accent6 3" xfId="521"/>
    <cellStyle name="40% - Accent6 4" xfId="522"/>
    <cellStyle name="40% - Accent6 4 2" xfId="523"/>
    <cellStyle name="40% - Accent6 4 2 2" xfId="524"/>
    <cellStyle name="40% - Accent6 4 2 2 2" xfId="525"/>
    <cellStyle name="40% - Accent6 4 2 2 2 2" xfId="526"/>
    <cellStyle name="40% - Accent6 4 2 2 2 2 2" xfId="527"/>
    <cellStyle name="40% - Accent6 4 2 2 2 3" xfId="528"/>
    <cellStyle name="40% - Accent6 4 2 2 3" xfId="529"/>
    <cellStyle name="40% - Accent6 4 2 2 3 2" xfId="530"/>
    <cellStyle name="40% - Accent6 4 2 2 4" xfId="531"/>
    <cellStyle name="40% - Accent6 4 2 3" xfId="532"/>
    <cellStyle name="40% - Accent6 4 2 3 2" xfId="533"/>
    <cellStyle name="40% - Accent6 4 2 3 2 2" xfId="534"/>
    <cellStyle name="40% - Accent6 4 2 3 3" xfId="535"/>
    <cellStyle name="40% - Accent6 4 2 4" xfId="536"/>
    <cellStyle name="40% - Accent6 4 2 4 2" xfId="537"/>
    <cellStyle name="40% - Accent6 4 2 5" xfId="538"/>
    <cellStyle name="40% - Accent6 4 3" xfId="539"/>
    <cellStyle name="40% - Accent6 4 3 2" xfId="540"/>
    <cellStyle name="40% - Accent6 4 3 2 2" xfId="541"/>
    <cellStyle name="40% - Accent6 4 3 2 2 2" xfId="542"/>
    <cellStyle name="40% - Accent6 4 3 2 3" xfId="543"/>
    <cellStyle name="40% - Accent6 4 3 3" xfId="544"/>
    <cellStyle name="40% - Accent6 4 3 3 2" xfId="545"/>
    <cellStyle name="40% - Accent6 4 3 4" xfId="546"/>
    <cellStyle name="40% - Accent6 4 4" xfId="547"/>
    <cellStyle name="40% - Accent6 4 4 2" xfId="548"/>
    <cellStyle name="40% - Accent6 4 4 2 2" xfId="549"/>
    <cellStyle name="40% - Accent6 4 4 3" xfId="550"/>
    <cellStyle name="40% - Accent6 4 5" xfId="551"/>
    <cellStyle name="40% - Accent6 4 5 2" xfId="552"/>
    <cellStyle name="40% - Accent6 4 6" xfId="553"/>
    <cellStyle name="40% - Accent6 5" xfId="554"/>
    <cellStyle name="40% - Accent6 6" xfId="555"/>
    <cellStyle name="60% - Accent1" xfId="29" builtinId="32" customBuiltin="1"/>
    <cellStyle name="60% - Accent1 2" xfId="556"/>
    <cellStyle name="60% - Accent1 3" xfId="557"/>
    <cellStyle name="60% - Accent1 4" xfId="558"/>
    <cellStyle name="60% - Accent1 5" xfId="559"/>
    <cellStyle name="60% - Accent2" xfId="33" builtinId="36" customBuiltin="1"/>
    <cellStyle name="60% - Accent2 2" xfId="560"/>
    <cellStyle name="60% - Accent2 3" xfId="561"/>
    <cellStyle name="60% - Accent2 4" xfId="562"/>
    <cellStyle name="60% - Accent2 5" xfId="563"/>
    <cellStyle name="60% - Accent3" xfId="37" builtinId="40" customBuiltin="1"/>
    <cellStyle name="60% - Accent3 2" xfId="564"/>
    <cellStyle name="60% - Accent3 3" xfId="565"/>
    <cellStyle name="60% - Accent3 4" xfId="566"/>
    <cellStyle name="60% - Accent3 5" xfId="567"/>
    <cellStyle name="60% - Accent4" xfId="41" builtinId="44" customBuiltin="1"/>
    <cellStyle name="60% - Accent4 2" xfId="568"/>
    <cellStyle name="60% - Accent4 3" xfId="569"/>
    <cellStyle name="60% - Accent4 4" xfId="570"/>
    <cellStyle name="60% - Accent4 5" xfId="571"/>
    <cellStyle name="60% - Accent5" xfId="45" builtinId="48" customBuiltin="1"/>
    <cellStyle name="60% - Accent5 2" xfId="572"/>
    <cellStyle name="60% - Accent5 3" xfId="573"/>
    <cellStyle name="60% - Accent5 4" xfId="574"/>
    <cellStyle name="60% - Accent5 5" xfId="575"/>
    <cellStyle name="60% - Accent6" xfId="49" builtinId="52" customBuiltin="1"/>
    <cellStyle name="60% - Accent6 2" xfId="576"/>
    <cellStyle name="60% - Accent6 3" xfId="577"/>
    <cellStyle name="60% - Accent6 4" xfId="578"/>
    <cellStyle name="60% - Accent6 5" xfId="579"/>
    <cellStyle name="Accent1" xfId="26" builtinId="29" customBuiltin="1"/>
    <cellStyle name="Accent1 2" xfId="580"/>
    <cellStyle name="Accent1 3" xfId="581"/>
    <cellStyle name="Accent1 4" xfId="582"/>
    <cellStyle name="Accent1 5" xfId="583"/>
    <cellStyle name="Accent2" xfId="30" builtinId="33" customBuiltin="1"/>
    <cellStyle name="Accent2 2" xfId="584"/>
    <cellStyle name="Accent2 3" xfId="585"/>
    <cellStyle name="Accent2 4" xfId="586"/>
    <cellStyle name="Accent2 5" xfId="587"/>
    <cellStyle name="Accent3" xfId="34" builtinId="37" customBuiltin="1"/>
    <cellStyle name="Accent3 2" xfId="588"/>
    <cellStyle name="Accent3 3" xfId="589"/>
    <cellStyle name="Accent3 4" xfId="590"/>
    <cellStyle name="Accent3 5" xfId="591"/>
    <cellStyle name="Accent4" xfId="38" builtinId="41" customBuiltin="1"/>
    <cellStyle name="Accent4 2" xfId="592"/>
    <cellStyle name="Accent4 3" xfId="593"/>
    <cellStyle name="Accent4 4" xfId="594"/>
    <cellStyle name="Accent4 5" xfId="595"/>
    <cellStyle name="Accent5" xfId="42" builtinId="45" customBuiltin="1"/>
    <cellStyle name="Accent5 2" xfId="596"/>
    <cellStyle name="Accent5 3" xfId="597"/>
    <cellStyle name="Accent5 4" xfId="598"/>
    <cellStyle name="Accent5 5" xfId="599"/>
    <cellStyle name="Accent6" xfId="46" builtinId="49" customBuiltin="1"/>
    <cellStyle name="Accent6 2" xfId="600"/>
    <cellStyle name="Accent6 3" xfId="601"/>
    <cellStyle name="Accent6 4" xfId="602"/>
    <cellStyle name="Accent6 5" xfId="603"/>
    <cellStyle name="AMN" xfId="604"/>
    <cellStyle name="Bad" xfId="16" builtinId="27" customBuiltin="1"/>
    <cellStyle name="Bad 2" xfId="605"/>
    <cellStyle name="Bad 3" xfId="606"/>
    <cellStyle name="Bad 4" xfId="607"/>
    <cellStyle name="Bad 5" xfId="608"/>
    <cellStyle name="Bridget" xfId="609"/>
    <cellStyle name="Calculation" xfId="20" builtinId="22" customBuiltin="1"/>
    <cellStyle name="Calculation 2" xfId="610"/>
    <cellStyle name="Calculation 3" xfId="611"/>
    <cellStyle name="Calculation 4" xfId="612"/>
    <cellStyle name="Calculation 5" xfId="613"/>
    <cellStyle name="Check Cell" xfId="22" builtinId="23" customBuiltin="1"/>
    <cellStyle name="Check Cell 2" xfId="614"/>
    <cellStyle name="Check Cell 3" xfId="615"/>
    <cellStyle name="Check Cell 4" xfId="616"/>
    <cellStyle name="Check Cell 5" xfId="617"/>
    <cellStyle name="Comma" xfId="1" builtinId="3"/>
    <cellStyle name="Comma [0]" xfId="54" builtinId="6" customBuiltin="1"/>
    <cellStyle name="Comma [0] 2" xfId="107"/>
    <cellStyle name="Comma 10" xfId="118"/>
    <cellStyle name="Comma 100" xfId="618"/>
    <cellStyle name="Comma 101" xfId="619"/>
    <cellStyle name="Comma 102" xfId="620"/>
    <cellStyle name="Comma 103" xfId="621"/>
    <cellStyle name="Comma 104" xfId="622"/>
    <cellStyle name="Comma 105" xfId="623"/>
    <cellStyle name="Comma 106" xfId="624"/>
    <cellStyle name="Comma 107" xfId="625"/>
    <cellStyle name="Comma 108" xfId="626"/>
    <cellStyle name="Comma 109" xfId="627"/>
    <cellStyle name="Comma 11" xfId="628"/>
    <cellStyle name="Comma 110" xfId="629"/>
    <cellStyle name="Comma 111" xfId="630"/>
    <cellStyle name="Comma 112" xfId="631"/>
    <cellStyle name="Comma 113" xfId="632"/>
    <cellStyle name="Comma 114" xfId="633"/>
    <cellStyle name="Comma 115" xfId="634"/>
    <cellStyle name="Comma 116" xfId="635"/>
    <cellStyle name="Comma 117" xfId="636"/>
    <cellStyle name="Comma 118" xfId="637"/>
    <cellStyle name="Comma 119" xfId="638"/>
    <cellStyle name="Comma 12" xfId="639"/>
    <cellStyle name="Comma 120" xfId="640"/>
    <cellStyle name="Comma 121" xfId="641"/>
    <cellStyle name="Comma 122" xfId="642"/>
    <cellStyle name="Comma 123" xfId="643"/>
    <cellStyle name="Comma 124" xfId="644"/>
    <cellStyle name="Comma 125" xfId="645"/>
    <cellStyle name="Comma 126" xfId="646"/>
    <cellStyle name="Comma 127" xfId="647"/>
    <cellStyle name="Comma 128" xfId="648"/>
    <cellStyle name="Comma 129" xfId="649"/>
    <cellStyle name="Comma 13" xfId="650"/>
    <cellStyle name="Comma 130" xfId="651"/>
    <cellStyle name="Comma 131" xfId="652"/>
    <cellStyle name="Comma 132" xfId="653"/>
    <cellStyle name="Comma 133" xfId="654"/>
    <cellStyle name="Comma 134" xfId="655"/>
    <cellStyle name="Comma 135" xfId="656"/>
    <cellStyle name="Comma 136" xfId="657"/>
    <cellStyle name="Comma 137" xfId="658"/>
    <cellStyle name="Comma 138" xfId="659"/>
    <cellStyle name="Comma 139" xfId="660"/>
    <cellStyle name="Comma 14" xfId="661"/>
    <cellStyle name="Comma 140" xfId="662"/>
    <cellStyle name="Comma 141" xfId="663"/>
    <cellStyle name="Comma 142" xfId="664"/>
    <cellStyle name="Comma 143" xfId="665"/>
    <cellStyle name="Comma 144" xfId="666"/>
    <cellStyle name="Comma 145" xfId="667"/>
    <cellStyle name="Comma 146" xfId="668"/>
    <cellStyle name="Comma 147" xfId="669"/>
    <cellStyle name="Comma 148" xfId="670"/>
    <cellStyle name="Comma 149" xfId="671"/>
    <cellStyle name="Comma 15" xfId="672"/>
    <cellStyle name="Comma 150" xfId="673"/>
    <cellStyle name="Comma 151" xfId="674"/>
    <cellStyle name="Comma 152" xfId="675"/>
    <cellStyle name="Comma 153" xfId="676"/>
    <cellStyle name="Comma 154" xfId="677"/>
    <cellStyle name="Comma 155" xfId="678"/>
    <cellStyle name="Comma 156" xfId="679"/>
    <cellStyle name="Comma 157" xfId="680"/>
    <cellStyle name="Comma 158" xfId="681"/>
    <cellStyle name="Comma 159" xfId="682"/>
    <cellStyle name="Comma 16" xfId="683"/>
    <cellStyle name="Comma 160" xfId="684"/>
    <cellStyle name="Comma 161" xfId="685"/>
    <cellStyle name="Comma 162" xfId="686"/>
    <cellStyle name="Comma 163" xfId="687"/>
    <cellStyle name="Comma 164" xfId="688"/>
    <cellStyle name="Comma 164 2" xfId="689"/>
    <cellStyle name="Comma 164 2 2" xfId="690"/>
    <cellStyle name="Comma 164 2 2 2" xfId="691"/>
    <cellStyle name="Comma 164 2 2 2 2" xfId="692"/>
    <cellStyle name="Comma 164 2 2 2 2 2" xfId="693"/>
    <cellStyle name="Comma 164 2 2 2 3" xfId="694"/>
    <cellStyle name="Comma 164 2 2 3" xfId="695"/>
    <cellStyle name="Comma 164 2 2 3 2" xfId="696"/>
    <cellStyle name="Comma 164 2 2 4" xfId="697"/>
    <cellStyle name="Comma 164 2 3" xfId="698"/>
    <cellStyle name="Comma 164 2 3 2" xfId="699"/>
    <cellStyle name="Comma 164 2 3 2 2" xfId="700"/>
    <cellStyle name="Comma 164 2 3 3" xfId="701"/>
    <cellStyle name="Comma 164 2 4" xfId="702"/>
    <cellStyle name="Comma 164 2 4 2" xfId="703"/>
    <cellStyle name="Comma 164 2 5" xfId="704"/>
    <cellStyle name="Comma 164 3" xfId="705"/>
    <cellStyle name="Comma 164 3 2" xfId="706"/>
    <cellStyle name="Comma 164 3 2 2" xfId="707"/>
    <cellStyle name="Comma 164 3 2 2 2" xfId="708"/>
    <cellStyle name="Comma 164 3 2 3" xfId="709"/>
    <cellStyle name="Comma 164 3 3" xfId="710"/>
    <cellStyle name="Comma 164 3 3 2" xfId="711"/>
    <cellStyle name="Comma 164 3 4" xfId="712"/>
    <cellStyle name="Comma 164 4" xfId="713"/>
    <cellStyle name="Comma 164 4 2" xfId="714"/>
    <cellStyle name="Comma 164 4 2 2" xfId="715"/>
    <cellStyle name="Comma 164 4 3" xfId="716"/>
    <cellStyle name="Comma 164 5" xfId="717"/>
    <cellStyle name="Comma 164 5 2" xfId="718"/>
    <cellStyle name="Comma 164 6" xfId="719"/>
    <cellStyle name="Comma 165" xfId="720"/>
    <cellStyle name="Comma 166" xfId="721"/>
    <cellStyle name="Comma 167" xfId="722"/>
    <cellStyle name="Comma 168" xfId="723"/>
    <cellStyle name="Comma 169" xfId="724"/>
    <cellStyle name="Comma 17" xfId="725"/>
    <cellStyle name="Comma 170" xfId="726"/>
    <cellStyle name="Comma 171" xfId="123"/>
    <cellStyle name="Comma 172" xfId="727"/>
    <cellStyle name="Comma 18" xfId="728"/>
    <cellStyle name="Comma 19" xfId="729"/>
    <cellStyle name="Comma 2" xfId="7"/>
    <cellStyle name="Comma 2 2" xfId="79"/>
    <cellStyle name="Comma 2 2 2" xfId="730"/>
    <cellStyle name="Comma 2 2 3" xfId="731"/>
    <cellStyle name="Comma 2 2 3 2" xfId="732"/>
    <cellStyle name="Comma 2 2 3 2 2" xfId="733"/>
    <cellStyle name="Comma 2 2 3 2 2 2" xfId="734"/>
    <cellStyle name="Comma 2 2 3 2 2 2 2" xfId="735"/>
    <cellStyle name="Comma 2 2 3 2 2 2 2 2" xfId="736"/>
    <cellStyle name="Comma 2 2 3 2 2 2 3" xfId="737"/>
    <cellStyle name="Comma 2 2 3 2 2 3" xfId="738"/>
    <cellStyle name="Comma 2 2 3 2 2 3 2" xfId="739"/>
    <cellStyle name="Comma 2 2 3 2 2 4" xfId="740"/>
    <cellStyle name="Comma 2 2 3 2 3" xfId="741"/>
    <cellStyle name="Comma 2 2 3 2 3 2" xfId="742"/>
    <cellStyle name="Comma 2 2 3 2 3 2 2" xfId="743"/>
    <cellStyle name="Comma 2 2 3 2 3 3" xfId="744"/>
    <cellStyle name="Comma 2 2 3 2 4" xfId="745"/>
    <cellStyle name="Comma 2 2 3 2 4 2" xfId="746"/>
    <cellStyle name="Comma 2 2 3 2 5" xfId="747"/>
    <cellStyle name="Comma 2 2 3 3" xfId="748"/>
    <cellStyle name="Comma 2 2 3 3 2" xfId="749"/>
    <cellStyle name="Comma 2 2 3 3 2 2" xfId="750"/>
    <cellStyle name="Comma 2 2 3 3 2 2 2" xfId="751"/>
    <cellStyle name="Comma 2 2 3 3 2 3" xfId="752"/>
    <cellStyle name="Comma 2 2 3 3 3" xfId="753"/>
    <cellStyle name="Comma 2 2 3 3 3 2" xfId="754"/>
    <cellStyle name="Comma 2 2 3 3 4" xfId="755"/>
    <cellStyle name="Comma 2 2 3 4" xfId="756"/>
    <cellStyle name="Comma 2 2 3 4 2" xfId="757"/>
    <cellStyle name="Comma 2 2 3 4 2 2" xfId="758"/>
    <cellStyle name="Comma 2 2 3 4 3" xfId="759"/>
    <cellStyle name="Comma 2 2 3 5" xfId="760"/>
    <cellStyle name="Comma 2 2 3 5 2" xfId="761"/>
    <cellStyle name="Comma 2 2 3 6" xfId="762"/>
    <cellStyle name="Comma 2 3" xfId="90"/>
    <cellStyle name="Comma 2 3 2" xfId="763"/>
    <cellStyle name="Comma 2 3 2 2" xfId="764"/>
    <cellStyle name="Comma 2 3 2 2 2" xfId="765"/>
    <cellStyle name="Comma 2 3 2 2 2 2" xfId="766"/>
    <cellStyle name="Comma 2 3 2 2 2 2 2" xfId="767"/>
    <cellStyle name="Comma 2 3 2 2 2 3" xfId="768"/>
    <cellStyle name="Comma 2 3 2 2 3" xfId="769"/>
    <cellStyle name="Comma 2 3 2 2 3 2" xfId="770"/>
    <cellStyle name="Comma 2 3 2 2 4" xfId="771"/>
    <cellStyle name="Comma 2 3 2 3" xfId="772"/>
    <cellStyle name="Comma 2 3 2 3 2" xfId="773"/>
    <cellStyle name="Comma 2 3 2 3 2 2" xfId="774"/>
    <cellStyle name="Comma 2 3 2 3 3" xfId="775"/>
    <cellStyle name="Comma 2 3 2 4" xfId="776"/>
    <cellStyle name="Comma 2 3 2 4 2" xfId="777"/>
    <cellStyle name="Comma 2 3 2 5" xfId="778"/>
    <cellStyle name="Comma 2 3 3" xfId="779"/>
    <cellStyle name="Comma 2 3 3 2" xfId="780"/>
    <cellStyle name="Comma 2 3 3 2 2" xfId="781"/>
    <cellStyle name="Comma 2 3 3 2 2 2" xfId="782"/>
    <cellStyle name="Comma 2 3 3 2 3" xfId="783"/>
    <cellStyle name="Comma 2 3 3 3" xfId="784"/>
    <cellStyle name="Comma 2 3 3 3 2" xfId="785"/>
    <cellStyle name="Comma 2 3 3 4" xfId="786"/>
    <cellStyle name="Comma 2 3 4" xfId="787"/>
    <cellStyle name="Comma 2 3 4 2" xfId="788"/>
    <cellStyle name="Comma 2 3 4 2 2" xfId="789"/>
    <cellStyle name="Comma 2 3 4 3" xfId="790"/>
    <cellStyle name="Comma 2 3 5" xfId="791"/>
    <cellStyle name="Comma 2 3 5 2" xfId="792"/>
    <cellStyle name="Comma 2 3 6" xfId="793"/>
    <cellStyle name="Comma 2 3 7" xfId="794"/>
    <cellStyle name="Comma 2 4" xfId="795"/>
    <cellStyle name="Comma 2 4 2" xfId="796"/>
    <cellStyle name="Comma 2 5" xfId="797"/>
    <cellStyle name="Comma 20" xfId="798"/>
    <cellStyle name="Comma 21" xfId="799"/>
    <cellStyle name="Comma 22" xfId="800"/>
    <cellStyle name="Comma 23" xfId="801"/>
    <cellStyle name="Comma 24" xfId="802"/>
    <cellStyle name="Comma 25" xfId="803"/>
    <cellStyle name="Comma 26" xfId="804"/>
    <cellStyle name="Comma 27" xfId="805"/>
    <cellStyle name="Comma 28" xfId="806"/>
    <cellStyle name="Comma 29" xfId="807"/>
    <cellStyle name="Comma 3" xfId="58"/>
    <cellStyle name="Comma 3 2" xfId="808"/>
    <cellStyle name="Comma 3 2 2" xfId="809"/>
    <cellStyle name="Comma 3 2 3" xfId="810"/>
    <cellStyle name="Comma 30" xfId="811"/>
    <cellStyle name="Comma 31" xfId="812"/>
    <cellStyle name="Comma 32" xfId="813"/>
    <cellStyle name="Comma 33" xfId="814"/>
    <cellStyle name="Comma 34" xfId="815"/>
    <cellStyle name="Comma 35" xfId="816"/>
    <cellStyle name="Comma 36" xfId="817"/>
    <cellStyle name="Comma 37" xfId="818"/>
    <cellStyle name="Comma 38" xfId="819"/>
    <cellStyle name="Comma 39" xfId="820"/>
    <cellStyle name="Comma 4" xfId="69"/>
    <cellStyle name="Comma 4 2" xfId="87"/>
    <cellStyle name="Comma 40" xfId="821"/>
    <cellStyle name="Comma 41" xfId="822"/>
    <cellStyle name="Comma 42" xfId="823"/>
    <cellStyle name="Comma 43" xfId="824"/>
    <cellStyle name="Comma 44" xfId="825"/>
    <cellStyle name="Comma 45" xfId="826"/>
    <cellStyle name="Comma 46" xfId="827"/>
    <cellStyle name="Comma 47" xfId="828"/>
    <cellStyle name="Comma 48" xfId="829"/>
    <cellStyle name="Comma 49" xfId="830"/>
    <cellStyle name="Comma 5" xfId="81"/>
    <cellStyle name="Comma 5 2" xfId="120"/>
    <cellStyle name="Comma 50" xfId="831"/>
    <cellStyle name="Comma 51" xfId="832"/>
    <cellStyle name="Comma 52" xfId="833"/>
    <cellStyle name="Comma 53" xfId="834"/>
    <cellStyle name="Comma 54" xfId="835"/>
    <cellStyle name="Comma 55" xfId="836"/>
    <cellStyle name="Comma 56" xfId="837"/>
    <cellStyle name="Comma 57" xfId="838"/>
    <cellStyle name="Comma 58" xfId="839"/>
    <cellStyle name="Comma 59" xfId="840"/>
    <cellStyle name="Comma 6" xfId="108"/>
    <cellStyle name="Comma 60" xfId="841"/>
    <cellStyle name="Comma 61" xfId="842"/>
    <cellStyle name="Comma 62" xfId="843"/>
    <cellStyle name="Comma 63" xfId="844"/>
    <cellStyle name="Comma 64" xfId="845"/>
    <cellStyle name="Comma 65" xfId="846"/>
    <cellStyle name="Comma 66" xfId="847"/>
    <cellStyle name="Comma 67" xfId="848"/>
    <cellStyle name="Comma 68" xfId="849"/>
    <cellStyle name="Comma 69" xfId="850"/>
    <cellStyle name="Comma 7" xfId="851"/>
    <cellStyle name="Comma 70" xfId="852"/>
    <cellStyle name="Comma 71" xfId="853"/>
    <cellStyle name="Comma 72" xfId="854"/>
    <cellStyle name="Comma 73" xfId="855"/>
    <cellStyle name="Comma 74" xfId="856"/>
    <cellStyle name="Comma 75" xfId="857"/>
    <cellStyle name="Comma 76" xfId="858"/>
    <cellStyle name="Comma 77" xfId="859"/>
    <cellStyle name="Comma 78" xfId="860"/>
    <cellStyle name="Comma 79" xfId="861"/>
    <cellStyle name="Comma 8" xfId="862"/>
    <cellStyle name="Comma 80" xfId="863"/>
    <cellStyle name="Comma 81" xfId="864"/>
    <cellStyle name="Comma 82" xfId="865"/>
    <cellStyle name="Comma 83" xfId="866"/>
    <cellStyle name="Comma 84" xfId="867"/>
    <cellStyle name="Comma 85" xfId="868"/>
    <cellStyle name="Comma 86" xfId="869"/>
    <cellStyle name="Comma 87" xfId="870"/>
    <cellStyle name="Comma 88" xfId="871"/>
    <cellStyle name="Comma 89" xfId="872"/>
    <cellStyle name="Comma 9" xfId="873"/>
    <cellStyle name="Comma 90" xfId="874"/>
    <cellStyle name="Comma 91" xfId="875"/>
    <cellStyle name="Comma 92" xfId="876"/>
    <cellStyle name="Comma 93" xfId="877"/>
    <cellStyle name="Comma 94" xfId="878"/>
    <cellStyle name="Comma 95" xfId="879"/>
    <cellStyle name="Comma 96" xfId="880"/>
    <cellStyle name="Comma 97" xfId="881"/>
    <cellStyle name="Comma 98" xfId="882"/>
    <cellStyle name="Comma 99" xfId="883"/>
    <cellStyle name="Comma0" xfId="884"/>
    <cellStyle name="Comma2" xfId="6"/>
    <cellStyle name="Curr" xfId="885"/>
    <cellStyle name="Currency" xfId="2" builtinId="4"/>
    <cellStyle name="Currency [0]" xfId="55" builtinId="7" customBuiltin="1"/>
    <cellStyle name="Currency [0] 2" xfId="886"/>
    <cellStyle name="Currency 2" xfId="9"/>
    <cellStyle name="Currency 2 2" xfId="66"/>
    <cellStyle name="Currency 2 2 2" xfId="109"/>
    <cellStyle name="Currency 2 2 3" xfId="111"/>
    <cellStyle name="Currency 2 3" xfId="78"/>
    <cellStyle name="Currency 2 3 2" xfId="887"/>
    <cellStyle name="Currency 2 4" xfId="888"/>
    <cellStyle name="Currency 3" xfId="84"/>
    <cellStyle name="Currency 3 2" xfId="85"/>
    <cellStyle name="Currency 3 3" xfId="889"/>
    <cellStyle name="Currency 3 4" xfId="890"/>
    <cellStyle name="Currency 30" xfId="114"/>
    <cellStyle name="Currency 4" xfId="891"/>
    <cellStyle name="Currency 5" xfId="892"/>
    <cellStyle name="Currency 6" xfId="893"/>
    <cellStyle name="Currency 7" xfId="894"/>
    <cellStyle name="Currency 8" xfId="895"/>
    <cellStyle name="Currency 9" xfId="896"/>
    <cellStyle name="Currency0" xfId="897"/>
    <cellStyle name="Date" xfId="898"/>
    <cellStyle name="Explanatory Text" xfId="24" builtinId="53" customBuiltin="1"/>
    <cellStyle name="Explanatory Text 2" xfId="899"/>
    <cellStyle name="Explanatory Text 3" xfId="900"/>
    <cellStyle name="Explanatory Text 4" xfId="901"/>
    <cellStyle name="Explanatory Text 5" xfId="902"/>
    <cellStyle name="Fixed" xfId="903"/>
    <cellStyle name="Good" xfId="15" builtinId="26" customBuiltin="1"/>
    <cellStyle name="Good 2" xfId="904"/>
    <cellStyle name="Good 3" xfId="905"/>
    <cellStyle name="Good 4" xfId="906"/>
    <cellStyle name="Good 5" xfId="907"/>
    <cellStyle name="Header" xfId="908"/>
    <cellStyle name="Heading 1" xfId="11" builtinId="16" customBuiltin="1"/>
    <cellStyle name="Heading 1 2" xfId="67"/>
    <cellStyle name="Heading 1 2 2" xfId="909"/>
    <cellStyle name="Heading 1 2 3" xfId="910"/>
    <cellStyle name="Heading 1 3" xfId="911"/>
    <cellStyle name="Heading 1 3 2" xfId="912"/>
    <cellStyle name="Heading 1 4" xfId="913"/>
    <cellStyle name="Heading 1 5" xfId="914"/>
    <cellStyle name="Heading 1 6" xfId="915"/>
    <cellStyle name="Heading 2" xfId="12" builtinId="17" customBuiltin="1"/>
    <cellStyle name="Heading 2 2" xfId="65"/>
    <cellStyle name="Heading 2 2 2" xfId="916"/>
    <cellStyle name="Heading 2 2 3" xfId="917"/>
    <cellStyle name="Heading 2 3" xfId="918"/>
    <cellStyle name="Heading 2 3 2" xfId="919"/>
    <cellStyle name="Heading 2 4" xfId="920"/>
    <cellStyle name="Heading 2 5" xfId="921"/>
    <cellStyle name="Heading 2 6" xfId="922"/>
    <cellStyle name="Heading 3" xfId="13" builtinId="18" customBuiltin="1"/>
    <cellStyle name="Heading 3 2" xfId="923"/>
    <cellStyle name="Heading 3 3" xfId="924"/>
    <cellStyle name="Heading 3 4" xfId="925"/>
    <cellStyle name="Heading 3 5" xfId="926"/>
    <cellStyle name="Heading 3 6" xfId="927"/>
    <cellStyle name="Heading 4" xfId="14" builtinId="19" customBuiltin="1"/>
    <cellStyle name="Heading 4 2" xfId="928"/>
    <cellStyle name="Heading 4 3" xfId="929"/>
    <cellStyle name="Heading 4 4" xfId="930"/>
    <cellStyle name="Heading 4 5" xfId="931"/>
    <cellStyle name="Hyperlink 10" xfId="932"/>
    <cellStyle name="Hyperlink 11" xfId="933"/>
    <cellStyle name="Hyperlink 12" xfId="934"/>
    <cellStyle name="Hyperlink 13" xfId="935"/>
    <cellStyle name="Hyperlink 14" xfId="936"/>
    <cellStyle name="Hyperlink 15" xfId="937"/>
    <cellStyle name="Hyperlink 16" xfId="938"/>
    <cellStyle name="Hyperlink 17" xfId="939"/>
    <cellStyle name="Hyperlink 2" xfId="940"/>
    <cellStyle name="Hyperlink 2 2" xfId="941"/>
    <cellStyle name="Hyperlink 2 3" xfId="942"/>
    <cellStyle name="Hyperlink 3" xfId="943"/>
    <cellStyle name="Hyperlink 3 2" xfId="944"/>
    <cellStyle name="Hyperlink 4" xfId="945"/>
    <cellStyle name="Hyperlink 5" xfId="946"/>
    <cellStyle name="Hyperlink 6" xfId="947"/>
    <cellStyle name="Hyperlink 7" xfId="948"/>
    <cellStyle name="Hyperlink 8" xfId="949"/>
    <cellStyle name="Hyperlink 9" xfId="950"/>
    <cellStyle name="Hyperlink_Adj. Final Approved Compliance Case (2009-2028)" xfId="951"/>
    <cellStyle name="ias19" xfId="952"/>
    <cellStyle name="Input" xfId="18" builtinId="20" customBuiltin="1"/>
    <cellStyle name="Input 2" xfId="953"/>
    <cellStyle name="Input 3" xfId="954"/>
    <cellStyle name="Input 4" xfId="86"/>
    <cellStyle name="Input 5" xfId="955"/>
    <cellStyle name="Input 6" xfId="956"/>
    <cellStyle name="Input0" xfId="56"/>
    <cellStyle name="Input0 2" xfId="957"/>
    <cellStyle name="Linked Cell" xfId="21" builtinId="24" customBuiltin="1"/>
    <cellStyle name="Linked Cell 2" xfId="958"/>
    <cellStyle name="Linked Cell 3" xfId="959"/>
    <cellStyle name="Linked Cell 4" xfId="960"/>
    <cellStyle name="Linked Cell 5" xfId="961"/>
    <cellStyle name="Neutral" xfId="17" builtinId="28" customBuiltin="1"/>
    <cellStyle name="Neutral 2" xfId="962"/>
    <cellStyle name="Neutral 3" xfId="963"/>
    <cellStyle name="Neutral 4" xfId="964"/>
    <cellStyle name="Neutral 5" xfId="965"/>
    <cellStyle name="Normal" xfId="0" builtinId="0" customBuiltin="1"/>
    <cellStyle name="Normal 10" xfId="70"/>
    <cellStyle name="Normal 10 2" xfId="966"/>
    <cellStyle name="Normal 11" xfId="116"/>
    <cellStyle name="Normal 11 2" xfId="967"/>
    <cellStyle name="Normal 11 2 2" xfId="968"/>
    <cellStyle name="Normal 11 2 2 2" xfId="969"/>
    <cellStyle name="Normal 11 2 2 2 2" xfId="970"/>
    <cellStyle name="Normal 11 2 2 2 2 2" xfId="971"/>
    <cellStyle name="Normal 11 2 2 2 3" xfId="972"/>
    <cellStyle name="Normal 11 2 2 3" xfId="973"/>
    <cellStyle name="Normal 11 2 2 3 2" xfId="974"/>
    <cellStyle name="Normal 11 2 2 4" xfId="975"/>
    <cellStyle name="Normal 11 2 3" xfId="976"/>
    <cellStyle name="Normal 11 2 3 2" xfId="977"/>
    <cellStyle name="Normal 11 2 3 2 2" xfId="978"/>
    <cellStyle name="Normal 11 2 3 3" xfId="979"/>
    <cellStyle name="Normal 11 2 4" xfId="980"/>
    <cellStyle name="Normal 11 2 4 2" xfId="981"/>
    <cellStyle name="Normal 11 2 5" xfId="982"/>
    <cellStyle name="Normal 11 3" xfId="983"/>
    <cellStyle name="Normal 11 3 2" xfId="984"/>
    <cellStyle name="Normal 11 3 2 2" xfId="985"/>
    <cellStyle name="Normal 11 3 2 2 2" xfId="986"/>
    <cellStyle name="Normal 11 3 2 3" xfId="987"/>
    <cellStyle name="Normal 11 3 3" xfId="988"/>
    <cellStyle name="Normal 11 3 3 2" xfId="989"/>
    <cellStyle name="Normal 11 3 4" xfId="990"/>
    <cellStyle name="Normal 11 4" xfId="991"/>
    <cellStyle name="Normal 11 4 2" xfId="992"/>
    <cellStyle name="Normal 11 4 2 2" xfId="993"/>
    <cellStyle name="Normal 11 4 3" xfId="994"/>
    <cellStyle name="Normal 11 5" xfId="995"/>
    <cellStyle name="Normal 11 5 2" xfId="996"/>
    <cellStyle name="Normal 11 6" xfId="997"/>
    <cellStyle name="Normal 11 7" xfId="998"/>
    <cellStyle name="Normal 12" xfId="999"/>
    <cellStyle name="Normal 13" xfId="1000"/>
    <cellStyle name="Normal 14" xfId="1001"/>
    <cellStyle name="Normal 15" xfId="1002"/>
    <cellStyle name="Normal 15 2" xfId="1003"/>
    <cellStyle name="Normal 15 2 2" xfId="1004"/>
    <cellStyle name="Normal 15 2 2 2" xfId="1005"/>
    <cellStyle name="Normal 15 2 2 2 2" xfId="1006"/>
    <cellStyle name="Normal 15 2 2 3" xfId="1007"/>
    <cellStyle name="Normal 15 2 3" xfId="1008"/>
    <cellStyle name="Normal 15 2 3 2" xfId="1009"/>
    <cellStyle name="Normal 15 2 4" xfId="1010"/>
    <cellStyle name="Normal 15 3" xfId="1011"/>
    <cellStyle name="Normal 15 3 2" xfId="1012"/>
    <cellStyle name="Normal 15 3 2 2" xfId="1013"/>
    <cellStyle name="Normal 15 3 3" xfId="1014"/>
    <cellStyle name="Normal 15 4" xfId="1015"/>
    <cellStyle name="Normal 15 4 2" xfId="1016"/>
    <cellStyle name="Normal 15 5" xfId="1017"/>
    <cellStyle name="Normal 16" xfId="1018"/>
    <cellStyle name="Normal 17" xfId="1019"/>
    <cellStyle name="Normal 18" xfId="1020"/>
    <cellStyle name="Normal 18 2" xfId="1021"/>
    <cellStyle name="Normal 18 2 2" xfId="1022"/>
    <cellStyle name="Normal 18 2 2 2" xfId="1023"/>
    <cellStyle name="Normal 18 2 2 2 2" xfId="1024"/>
    <cellStyle name="Normal 18 2 2 3" xfId="1025"/>
    <cellStyle name="Normal 18 2 3" xfId="1026"/>
    <cellStyle name="Normal 18 2 3 2" xfId="1027"/>
    <cellStyle name="Normal 18 2 4" xfId="1028"/>
    <cellStyle name="Normal 18 3" xfId="1029"/>
    <cellStyle name="Normal 18 3 2" xfId="1030"/>
    <cellStyle name="Normal 18 3 2 2" xfId="1031"/>
    <cellStyle name="Normal 18 3 3" xfId="1032"/>
    <cellStyle name="Normal 18 4" xfId="1033"/>
    <cellStyle name="Normal 18 4 2" xfId="1034"/>
    <cellStyle name="Normal 18 5" xfId="1035"/>
    <cellStyle name="Normal 19" xfId="1036"/>
    <cellStyle name="Normal 2" xfId="8"/>
    <cellStyle name="Normal 2 10" xfId="1037"/>
    <cellStyle name="Normal 2 2" xfId="110"/>
    <cellStyle name="Normal 2 2 2" xfId="1038"/>
    <cellStyle name="Normal 2 2 3" xfId="1039"/>
    <cellStyle name="Normal 2 2 3 2" xfId="1040"/>
    <cellStyle name="Normal 2 2 3 2 2" xfId="1041"/>
    <cellStyle name="Normal 2 2 3 2 2 2" xfId="1042"/>
    <cellStyle name="Normal 2 2 3 2 2 2 2" xfId="1043"/>
    <cellStyle name="Normal 2 2 3 2 2 2 2 2" xfId="1044"/>
    <cellStyle name="Normal 2 2 3 2 2 2 3" xfId="1045"/>
    <cellStyle name="Normal 2 2 3 2 2 3" xfId="1046"/>
    <cellStyle name="Normal 2 2 3 2 2 3 2" xfId="1047"/>
    <cellStyle name="Normal 2 2 3 2 2 4" xfId="1048"/>
    <cellStyle name="Normal 2 2 3 2 3" xfId="1049"/>
    <cellStyle name="Normal 2 2 3 2 3 2" xfId="1050"/>
    <cellStyle name="Normal 2 2 3 2 3 2 2" xfId="1051"/>
    <cellStyle name="Normal 2 2 3 2 3 3" xfId="1052"/>
    <cellStyle name="Normal 2 2 3 2 4" xfId="1053"/>
    <cellStyle name="Normal 2 2 3 2 4 2" xfId="1054"/>
    <cellStyle name="Normal 2 2 3 2 5" xfId="1055"/>
    <cellStyle name="Normal 2 2 3 3" xfId="1056"/>
    <cellStyle name="Normal 2 2 3 3 2" xfId="1057"/>
    <cellStyle name="Normal 2 2 3 3 2 2" xfId="1058"/>
    <cellStyle name="Normal 2 2 3 3 2 2 2" xfId="1059"/>
    <cellStyle name="Normal 2 2 3 3 2 3" xfId="1060"/>
    <cellStyle name="Normal 2 2 3 3 3" xfId="1061"/>
    <cellStyle name="Normal 2 2 3 3 3 2" xfId="1062"/>
    <cellStyle name="Normal 2 2 3 3 4" xfId="1063"/>
    <cellStyle name="Normal 2 2 3 4" xfId="1064"/>
    <cellStyle name="Normal 2 2 3 4 2" xfId="1065"/>
    <cellStyle name="Normal 2 2 3 4 2 2" xfId="1066"/>
    <cellStyle name="Normal 2 2 3 4 3" xfId="1067"/>
    <cellStyle name="Normal 2 2 3 5" xfId="1068"/>
    <cellStyle name="Normal 2 2 3 5 2" xfId="1069"/>
    <cellStyle name="Normal 2 2 3 6" xfId="1070"/>
    <cellStyle name="Normal 2 2 4" xfId="1071"/>
    <cellStyle name="Normal 2 2 5" xfId="1072"/>
    <cellStyle name="Normal 2 2 6" xfId="1073"/>
    <cellStyle name="Normal 2 3" xfId="1074"/>
    <cellStyle name="Normal 2 3 2" xfId="1075"/>
    <cellStyle name="Normal 2 3 3" xfId="1076"/>
    <cellStyle name="Normal 2 3 3 2" xfId="1077"/>
    <cellStyle name="Normal 2 3 3 2 2" xfId="1078"/>
    <cellStyle name="Normal 2 3 3 2 2 2" xfId="1079"/>
    <cellStyle name="Normal 2 3 3 2 2 2 2" xfId="1080"/>
    <cellStyle name="Normal 2 3 3 2 2 3" xfId="1081"/>
    <cellStyle name="Normal 2 3 3 2 3" xfId="1082"/>
    <cellStyle name="Normal 2 3 3 2 3 2" xfId="1083"/>
    <cellStyle name="Normal 2 3 3 2 4" xfId="1084"/>
    <cellStyle name="Normal 2 3 3 3" xfId="1085"/>
    <cellStyle name="Normal 2 3 3 3 2" xfId="1086"/>
    <cellStyle name="Normal 2 3 3 3 2 2" xfId="1087"/>
    <cellStyle name="Normal 2 3 3 3 3" xfId="1088"/>
    <cellStyle name="Normal 2 3 3 4" xfId="1089"/>
    <cellStyle name="Normal 2 3 3 4 2" xfId="1090"/>
    <cellStyle name="Normal 2 3 3 5" xfId="1091"/>
    <cellStyle name="Normal 2 3 4" xfId="1092"/>
    <cellStyle name="Normal 2 3 4 2" xfId="1093"/>
    <cellStyle name="Normal 2 3 4 2 2" xfId="1094"/>
    <cellStyle name="Normal 2 3 4 2 2 2" xfId="1095"/>
    <cellStyle name="Normal 2 3 4 2 3" xfId="1096"/>
    <cellStyle name="Normal 2 3 4 3" xfId="1097"/>
    <cellStyle name="Normal 2 3 4 3 2" xfId="1098"/>
    <cellStyle name="Normal 2 3 4 4" xfId="1099"/>
    <cellStyle name="Normal 2 3 5" xfId="1100"/>
    <cellStyle name="Normal 2 3 5 2" xfId="1101"/>
    <cellStyle name="Normal 2 3 5 2 2" xfId="1102"/>
    <cellStyle name="Normal 2 3 5 3" xfId="1103"/>
    <cellStyle name="Normal 2 3 6" xfId="1104"/>
    <cellStyle name="Normal 2 3 6 2" xfId="1105"/>
    <cellStyle name="Normal 2 3 7" xfId="1106"/>
    <cellStyle name="Normal 2 4" xfId="1107"/>
    <cellStyle name="Normal 2 5" xfId="1108"/>
    <cellStyle name="Normal 2 6" xfId="1109"/>
    <cellStyle name="Normal 2 6 2" xfId="1110"/>
    <cellStyle name="Normal 2 6 2 2" xfId="1111"/>
    <cellStyle name="Normal 2 6 2 2 2" xfId="1112"/>
    <cellStyle name="Normal 2 6 2 2 2 2" xfId="1113"/>
    <cellStyle name="Normal 2 6 2 2 3" xfId="1114"/>
    <cellStyle name="Normal 2 6 2 3" xfId="1115"/>
    <cellStyle name="Normal 2 6 2 3 2" xfId="1116"/>
    <cellStyle name="Normal 2 6 2 4" xfId="1117"/>
    <cellStyle name="Normal 2 6 3" xfId="1118"/>
    <cellStyle name="Normal 2 6 3 2" xfId="1119"/>
    <cellStyle name="Normal 2 6 3 2 2" xfId="1120"/>
    <cellStyle name="Normal 2 6 3 3" xfId="1121"/>
    <cellStyle name="Normal 2 6 4" xfId="1122"/>
    <cellStyle name="Normal 2 6 4 2" xfId="1123"/>
    <cellStyle name="Normal 2 6 5" xfId="1124"/>
    <cellStyle name="Normal 2 7" xfId="1125"/>
    <cellStyle name="Normal 2 7 2" xfId="1126"/>
    <cellStyle name="Normal 2 7 2 2" xfId="1127"/>
    <cellStyle name="Normal 2 7 2 2 2" xfId="1128"/>
    <cellStyle name="Normal 2 7 2 3" xfId="1129"/>
    <cellStyle name="Normal 2 7 3" xfId="1130"/>
    <cellStyle name="Normal 2 7 3 2" xfId="1131"/>
    <cellStyle name="Normal 2 7 4" xfId="1132"/>
    <cellStyle name="Normal 2 8" xfId="1133"/>
    <cellStyle name="Normal 2 8 2" xfId="1134"/>
    <cellStyle name="Normal 2 8 2 2" xfId="1135"/>
    <cellStyle name="Normal 2 8 3" xfId="1136"/>
    <cellStyle name="Normal 2 9" xfId="1137"/>
    <cellStyle name="Normal 2 9 2" xfId="1138"/>
    <cellStyle name="Normal 20" xfId="1139"/>
    <cellStyle name="Normal 20 2" xfId="1140"/>
    <cellStyle name="Normal 20 2 2" xfId="1141"/>
    <cellStyle name="Normal 20 3" xfId="1142"/>
    <cellStyle name="Normal 21" xfId="1143"/>
    <cellStyle name="Normal 22" xfId="1144"/>
    <cellStyle name="Normal 23" xfId="1145"/>
    <cellStyle name="Normal 24" xfId="1146"/>
    <cellStyle name="Normal 25" xfId="1147"/>
    <cellStyle name="Normal 25 2" xfId="1148"/>
    <cellStyle name="Normal 25 2 2" xfId="1149"/>
    <cellStyle name="Normal 25 3" xfId="1150"/>
    <cellStyle name="Normal 26" xfId="1151"/>
    <cellStyle name="Normal 27" xfId="119"/>
    <cellStyle name="Normal 28" xfId="122"/>
    <cellStyle name="Normal 29" xfId="121"/>
    <cellStyle name="Normal 3" xfId="5"/>
    <cellStyle name="Normal 3 2" xfId="75"/>
    <cellStyle name="Normal 3 2 2" xfId="1152"/>
    <cellStyle name="Normal 3 2 2 2" xfId="1153"/>
    <cellStyle name="Normal 3 2 2 2 2" xfId="1154"/>
    <cellStyle name="Normal 3 2 2 2 2 2" xfId="1155"/>
    <cellStyle name="Normal 3 2 2 2 2 2 2" xfId="1156"/>
    <cellStyle name="Normal 3 2 2 2 2 3" xfId="1157"/>
    <cellStyle name="Normal 3 2 2 2 3" xfId="1158"/>
    <cellStyle name="Normal 3 2 2 2 3 2" xfId="1159"/>
    <cellStyle name="Normal 3 2 2 2 4" xfId="1160"/>
    <cellStyle name="Normal 3 2 2 3" xfId="1161"/>
    <cellStyle name="Normal 3 2 2 3 2" xfId="1162"/>
    <cellStyle name="Normal 3 2 2 3 2 2" xfId="1163"/>
    <cellStyle name="Normal 3 2 2 3 3" xfId="1164"/>
    <cellStyle name="Normal 3 2 2 4" xfId="1165"/>
    <cellStyle name="Normal 3 2 2 4 2" xfId="1166"/>
    <cellStyle name="Normal 3 2 2 5" xfId="1167"/>
    <cellStyle name="Normal 3 2 3" xfId="1168"/>
    <cellStyle name="Normal 3 2 3 2" xfId="1169"/>
    <cellStyle name="Normal 3 2 3 2 2" xfId="1170"/>
    <cellStyle name="Normal 3 2 3 2 2 2" xfId="1171"/>
    <cellStyle name="Normal 3 2 3 2 3" xfId="1172"/>
    <cellStyle name="Normal 3 2 3 3" xfId="1173"/>
    <cellStyle name="Normal 3 2 3 3 2" xfId="1174"/>
    <cellStyle name="Normal 3 2 3 4" xfId="1175"/>
    <cellStyle name="Normal 3 2 4" xfId="1176"/>
    <cellStyle name="Normal 3 2 4 2" xfId="1177"/>
    <cellStyle name="Normal 3 2 4 2 2" xfId="1178"/>
    <cellStyle name="Normal 3 2 4 3" xfId="1179"/>
    <cellStyle name="Normal 3 2 5" xfId="1180"/>
    <cellStyle name="Normal 3 2 5 2" xfId="1181"/>
    <cellStyle name="Normal 3 2 6" xfId="1182"/>
    <cellStyle name="Normal 3 2 7" xfId="1183"/>
    <cellStyle name="Normal 3 3" xfId="89"/>
    <cellStyle name="Normal 3 3 2" xfId="1184"/>
    <cellStyle name="Normal 3 4" xfId="112"/>
    <cellStyle name="Normal 3 4 2" xfId="1185"/>
    <cellStyle name="Normal 3 4 2 2" xfId="1186"/>
    <cellStyle name="Normal 3 4 2 2 2" xfId="1187"/>
    <cellStyle name="Normal 3 4 2 2 2 2" xfId="1188"/>
    <cellStyle name="Normal 3 4 2 2 3" xfId="1189"/>
    <cellStyle name="Normal 3 4 2 3" xfId="1190"/>
    <cellStyle name="Normal 3 4 2 3 2" xfId="1191"/>
    <cellStyle name="Normal 3 4 2 4" xfId="1192"/>
    <cellStyle name="Normal 3 4 3" xfId="1193"/>
    <cellStyle name="Normal 3 4 3 2" xfId="1194"/>
    <cellStyle name="Normal 3 4 3 2 2" xfId="1195"/>
    <cellStyle name="Normal 3 4 3 3" xfId="1196"/>
    <cellStyle name="Normal 3 4 4" xfId="1197"/>
    <cellStyle name="Normal 3 4 4 2" xfId="1198"/>
    <cellStyle name="Normal 3 4 5" xfId="1199"/>
    <cellStyle name="Normal 3 5" xfId="1200"/>
    <cellStyle name="Normal 32" xfId="1201"/>
    <cellStyle name="Normal 4" xfId="50"/>
    <cellStyle name="Normal 4 2" xfId="103"/>
    <cellStyle name="Normal 4 2 2" xfId="1202"/>
    <cellStyle name="Normal 4 3" xfId="1203"/>
    <cellStyle name="Normal 4 3 2" xfId="1204"/>
    <cellStyle name="Normal 4 4" xfId="1205"/>
    <cellStyle name="Normal 4 5" xfId="1206"/>
    <cellStyle name="Normal 40" xfId="1207"/>
    <cellStyle name="Normal 48" xfId="1208"/>
    <cellStyle name="Normal 5" xfId="52"/>
    <cellStyle name="Normal 5 2" xfId="105"/>
    <cellStyle name="Normal 5 2 2" xfId="1209"/>
    <cellStyle name="Normal 5 3" xfId="1210"/>
    <cellStyle name="Normal 56" xfId="1211"/>
    <cellStyle name="Normal 6" xfId="53"/>
    <cellStyle name="Normal 6 2" xfId="106"/>
    <cellStyle name="Normal 6 3" xfId="1212"/>
    <cellStyle name="Normal 64" xfId="1213"/>
    <cellStyle name="Normal 7" xfId="57"/>
    <cellStyle name="Normal 7 2" xfId="82"/>
    <cellStyle name="Normal 7 3" xfId="72"/>
    <cellStyle name="Normal 72" xfId="1214"/>
    <cellStyle name="Normal 8" xfId="63"/>
    <cellStyle name="Normal 8 2" xfId="1215"/>
    <cellStyle name="Normal 80" xfId="1216"/>
    <cellStyle name="Normal 88" xfId="1217"/>
    <cellStyle name="Normal 9" xfId="68"/>
    <cellStyle name="Normal 9 2" xfId="1218"/>
    <cellStyle name="Normal_Book2" xfId="80"/>
    <cellStyle name="Normal_Labor 2007-2008 - Working 1.0" xfId="76"/>
    <cellStyle name="Note 2" xfId="51"/>
    <cellStyle name="Note 2 2" xfId="104"/>
    <cellStyle name="Note 2 3" xfId="1219"/>
    <cellStyle name="Note 3" xfId="1220"/>
    <cellStyle name="Note 4" xfId="1221"/>
    <cellStyle name="Note 4 2" xfId="1222"/>
    <cellStyle name="Note 4 2 2" xfId="1223"/>
    <cellStyle name="Note 4 2 2 2" xfId="1224"/>
    <cellStyle name="Note 4 2 2 2 2" xfId="1225"/>
    <cellStyle name="Note 4 2 2 2 2 2" xfId="1226"/>
    <cellStyle name="Note 4 2 2 2 3" xfId="1227"/>
    <cellStyle name="Note 4 2 2 3" xfId="1228"/>
    <cellStyle name="Note 4 2 2 3 2" xfId="1229"/>
    <cellStyle name="Note 4 2 2 4" xfId="1230"/>
    <cellStyle name="Note 4 2 3" xfId="1231"/>
    <cellStyle name="Note 4 2 3 2" xfId="1232"/>
    <cellStyle name="Note 4 2 3 2 2" xfId="1233"/>
    <cellStyle name="Note 4 2 3 3" xfId="1234"/>
    <cellStyle name="Note 4 2 4" xfId="1235"/>
    <cellStyle name="Note 4 2 4 2" xfId="1236"/>
    <cellStyle name="Note 4 2 5" xfId="1237"/>
    <cellStyle name="Note 4 3" xfId="1238"/>
    <cellStyle name="Note 4 3 2" xfId="1239"/>
    <cellStyle name="Note 4 3 2 2" xfId="1240"/>
    <cellStyle name="Note 4 3 2 2 2" xfId="1241"/>
    <cellStyle name="Note 4 3 2 3" xfId="1242"/>
    <cellStyle name="Note 4 3 3" xfId="1243"/>
    <cellStyle name="Note 4 3 3 2" xfId="1244"/>
    <cellStyle name="Note 4 3 4" xfId="1245"/>
    <cellStyle name="Note 4 4" xfId="1246"/>
    <cellStyle name="Note 4 4 2" xfId="1247"/>
    <cellStyle name="Note 4 4 2 2" xfId="1248"/>
    <cellStyle name="Note 4 4 3" xfId="1249"/>
    <cellStyle name="Note 4 5" xfId="1250"/>
    <cellStyle name="Note 4 5 2" xfId="1251"/>
    <cellStyle name="Note 4 6" xfId="1252"/>
    <cellStyle name="Note 5" xfId="1253"/>
    <cellStyle name="Output" xfId="19" builtinId="21" customBuiltin="1"/>
    <cellStyle name="Output 2" xfId="1254"/>
    <cellStyle name="Output 3" xfId="1255"/>
    <cellStyle name="Output 4" xfId="1256"/>
    <cellStyle name="Output 5" xfId="1257"/>
    <cellStyle name="Percent" xfId="3" builtinId="5"/>
    <cellStyle name="Percent 2" xfId="61"/>
    <cellStyle name="Percent 3" xfId="71"/>
    <cellStyle name="Percent 3 2" xfId="113"/>
    <cellStyle name="Percent 4" xfId="73"/>
    <cellStyle name="Percent 4 2" xfId="74"/>
    <cellStyle name="Percent 5" xfId="83"/>
    <cellStyle name="Percent 6" xfId="88"/>
    <cellStyle name="Percent 7" xfId="117"/>
    <cellStyle name="PSChar" xfId="1258"/>
    <cellStyle name="PSDate" xfId="1259"/>
    <cellStyle name="PSHeading" xfId="1260"/>
    <cellStyle name="PSHeading 2" xfId="1261"/>
    <cellStyle name="SAS FM Client calculated data cell (data entry table)" xfId="1262"/>
    <cellStyle name="SAS FM Client calculated data cell (read only table)" xfId="1263"/>
    <cellStyle name="SAS FM Column drillable header" xfId="1264"/>
    <cellStyle name="SAS FM Column drillable header 2" xfId="1265"/>
    <cellStyle name="SAS FM Column drillable header 2 2" xfId="1266"/>
    <cellStyle name="SAS FM Column drillable header 2 2 2" xfId="1267"/>
    <cellStyle name="SAS FM Column drillable header 2 2 2 2" xfId="1268"/>
    <cellStyle name="SAS FM Column header" xfId="1269"/>
    <cellStyle name="SAS FM Column header 2" xfId="1270"/>
    <cellStyle name="SAS FM Column header 2 2" xfId="1271"/>
    <cellStyle name="SAS FM Column header 2 2 2" xfId="1272"/>
    <cellStyle name="SAS FM Column header 2 2 2 2" xfId="1273"/>
    <cellStyle name="SAS FM Drill path" xfId="1274"/>
    <cellStyle name="SAS FM Invalid data cell" xfId="1275"/>
    <cellStyle name="SAS FM No query data cell" xfId="1276"/>
    <cellStyle name="SAS FM Protected member data cell" xfId="1277"/>
    <cellStyle name="SAS FM Read-only data cell (data entry table)" xfId="1278"/>
    <cellStyle name="SAS FM Read-only data cell (read-only table)" xfId="1279"/>
    <cellStyle name="SAS FM Row drillable header" xfId="1280"/>
    <cellStyle name="SAS FM Row drillable header 2" xfId="1281"/>
    <cellStyle name="SAS FM Row drillable header 2 2" xfId="1282"/>
    <cellStyle name="SAS FM Row drillable header 2 2 2" xfId="1283"/>
    <cellStyle name="SAS FM Row drillable header 2 2 2 2" xfId="1284"/>
    <cellStyle name="SAS FM Row header" xfId="1285"/>
    <cellStyle name="SAS FM Row header 2" xfId="1286"/>
    <cellStyle name="SAS FM Row header 2 2" xfId="1287"/>
    <cellStyle name="SAS FM Row header 2 2 2" xfId="1288"/>
    <cellStyle name="SAS FM Row header 2 2 2 2" xfId="1289"/>
    <cellStyle name="SAS FM Slicers" xfId="1290"/>
    <cellStyle name="SAS FM Supplemented member data cell" xfId="1291"/>
    <cellStyle name="SAS FM Writeable data cell" xfId="1292"/>
    <cellStyle name="Style 1" xfId="1293"/>
    <cellStyle name="Style 1 2" xfId="1294"/>
    <cellStyle name="Style 1 3" xfId="1295"/>
    <cellStyle name="Style 1 4" xfId="1296"/>
    <cellStyle name="Style 1 5" xfId="1297"/>
    <cellStyle name="STYLE1" xfId="4"/>
    <cellStyle name="Subtotal" xfId="62"/>
    <cellStyle name="Title" xfId="10" builtinId="15" customBuiltin="1"/>
    <cellStyle name="Title 2" xfId="59"/>
    <cellStyle name="Title 2 2" xfId="77"/>
    <cellStyle name="Title 3" xfId="115"/>
    <cellStyle name="Title 3 2" xfId="1298"/>
    <cellStyle name="Title 4" xfId="60"/>
    <cellStyle name="Title 5" xfId="1299"/>
    <cellStyle name="Total" xfId="25" builtinId="25" customBuiltin="1"/>
    <cellStyle name="Total 2" xfId="64"/>
    <cellStyle name="Total 2 2" xfId="1300"/>
    <cellStyle name="Total 3" xfId="1301"/>
    <cellStyle name="Total 4" xfId="1302"/>
    <cellStyle name="Total 5" xfId="1303"/>
    <cellStyle name="Total 6" xfId="1304"/>
    <cellStyle name="Warning Text" xfId="23" builtinId="11" customBuiltin="1"/>
    <cellStyle name="Warning Text 2" xfId="1305"/>
    <cellStyle name="Warning Text 3" xfId="1306"/>
    <cellStyle name="Warning Text 4" xfId="1307"/>
    <cellStyle name="Warning Text 5" xfId="1308"/>
  </cellStyles>
  <dxfs count="3">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Old\Tri-State%202014%20ATRR%20Formula_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simpsen\AppData\Local\Microsoft\Windows\Temporary%20Internet%20Files\Content.Outlook\ZGS7YD1E\East%20River%20Compliance%20Formula%20Rate%20Template_DRAFT_V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enbey\AppData\Local\Microsoft\Windows\Temporary%20Internet%20Files\Content.Outlook\BYVGXGLO\WP%20AAs.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20Schedules%20adj.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enwag\AppData\Local\Microsoft\Windows\Temporary%20Internet%20Files\Content.Outlook\0FH5DAOA\Staff%20Modified%20Settlement%20Template%2010-4-16-rws-JBW_ba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Analytical\COS\CO\Tri_State_ATRR_2014\20%20Trial\Staff\Trial%20Staff%20Rebuttal\Exhibit%20No.%20S-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jsimpsen\AppData\Local\Microsoft\Windows\Temporary%20Internet%20Files\Content.Outlook\ZGS7YD1E\Exhibit%20No%20%20SPP-4_Populated_template_6-12-2015.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rojects\Analytical\COS\IA\NIPCO\Transmission\28%20Compliance\NIPCO%20ATRR%202014%20Compliance%2001.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Tri-State_Populated_V24.xlsm"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amp;S%20Adj.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rojects\Analytical\COS\ND\Central%20Power%20SPP%20Xmssn\14%20Compliance\Central%20Power%20FRT%20COMPLIANCE%20FILING%20DRAFT%20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Tri-State%202014%20ATRR%20Formula_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Analytical\COS\CO\Tri_State_ATRR_2014\08%20Formula%20Calc\Old\Tri-State_Populated_V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Analytical\COS\IA\NIPCO\Transmission\28%20Compliance\Exhibit%20B%20-%20NIPCO%20Settlement%20FRT_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Settlement%20Formula%20Rate%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Electric%20Power%20Cooperative%20Formula%20Rate%20Template-%20COMPLIANCE%20FILING%20Aggreg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nyder\AppData\Local\Microsoft\Windows\Temporary%20Internet%20Files\Content.Outlook\G9Y7ZA80\East%20River%20Electric%20Power%20Cooperative%20Formula%20Rate%20Template-%20COMPLIANCE%20FILING%20Aggrega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Analytical\COS\SD\East%20River\2014SPPTranEval\17%20Compliance\East%20River%20Electric%20Power%20Cooperative%20Formula%20Rate%20Template%20Compliance%20-%20Final%20v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snyder\AppData\Local\Microsoft\Windows\Temporary%20Internet%20Files\Content.Outlook\G9Y7ZA80\East%20River%20Electric%20Power%20Cooperative%20Formula%20Rate%20Template%20Compliance%20-%20Fina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2"/>
      <sheetName val="B3"/>
      <sheetName val="B-6"/>
      <sheetName val="Trans Rpt"/>
      <sheetName val="BPS Rpt"/>
      <sheetName val="Elect rpt "/>
      <sheetName val="Electric 1000"/>
      <sheetName val="BPS 1000 "/>
      <sheetName val="Trans 1000"/>
      <sheetName val="Co 34 1000"/>
      <sheetName val="Co 35-1000"/>
      <sheetName val="BPS Afton"/>
      <sheetName val="BPS Algodones"/>
      <sheetName val="BPS Four Corners"/>
      <sheetName val="BPS General"/>
      <sheetName val="BPS Las Vegas"/>
      <sheetName val="BPS Lordsburg"/>
      <sheetName val="BPS Luna"/>
      <sheetName val="BPS Palo Verde Tot"/>
      <sheetName val="BPS Reeves"/>
      <sheetName val="BPS SJ"/>
      <sheetName val="CK BPS station"/>
      <sheetName val="Energy Del"/>
      <sheetName val="PNMR Services"/>
      <sheetName val="PNMR Inc"/>
      <sheetName val="Co J"/>
      <sheetName val="PNMR Dev and Mgmnt"/>
      <sheetName val="106001"/>
      <sheetName val="GL"/>
      <sheetName val="ALLOC FAC"/>
      <sheetName val="AlloctoElec Co6,7,8,J only"/>
      <sheetName val="Allocation to Co 34 and 35 "/>
      <sheetName val="ck tot all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22">
          <cell r="N22">
            <v>0.44700000000000001</v>
          </cell>
        </row>
        <row r="23">
          <cell r="N23">
            <v>0.4698</v>
          </cell>
        </row>
        <row r="24">
          <cell r="N24">
            <v>0</v>
          </cell>
        </row>
        <row r="30">
          <cell r="N30">
            <v>0.46669999999999995</v>
          </cell>
        </row>
      </sheetData>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chedule 1 Revenue Requirement"/>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 val="Sheet1"/>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row r="19">
          <cell r="K19">
            <v>6.3556578451222867E-2</v>
          </cell>
        </row>
      </sheetData>
      <sheetData sheetId="6"/>
      <sheetData sheetId="7">
        <row r="22">
          <cell r="G22">
            <v>1.3130977765646791E-2</v>
          </cell>
        </row>
      </sheetData>
      <sheetData sheetId="8"/>
      <sheetData sheetId="9">
        <row r="15">
          <cell r="F15">
            <v>8552147</v>
          </cell>
        </row>
      </sheetData>
      <sheetData sheetId="10"/>
      <sheetData sheetId="11">
        <row r="15">
          <cell r="D15">
            <v>2.75E-2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Wages Input"/>
      <sheetName val="Worksheet H O&amp;M Input"/>
      <sheetName val="Worksheet I Depr Input"/>
      <sheetName val="Worksheet J OthRev Input"/>
      <sheetName val="Worksheet K Tran Plant"/>
      <sheetName val="Worksheet L MWave Bandwidth"/>
      <sheetName val="Worksheet M HV Subs"/>
      <sheetName val="Worksheet N Dist Subs"/>
      <sheetName val="Worksheet O SCADA System by Sub"/>
      <sheetName val="Worksheet P Lines"/>
      <sheetName val="Worksheet Q SPP Upgrades"/>
    </sheetNames>
    <sheetDataSet>
      <sheetData sheetId="0">
        <row r="4">
          <cell r="B4" t="str">
            <v>East River Electric Power Cooperative</v>
          </cell>
        </row>
        <row r="33">
          <cell r="D3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 val="Worksheet H, O&amp;M Input"/>
      <sheetName val="Worksheet I, Depr Rates"/>
      <sheetName val="Worksheet M, SPP Orded Plans"/>
      <sheetName val="Worksheet Summary"/>
      <sheetName val="Worksheet G, Wages Input"/>
      <sheetName val="Worksheet I, Depr Input"/>
    </sheetNames>
    <sheetDataSet>
      <sheetData sheetId="0">
        <row r="31">
          <cell r="D31">
            <v>1</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 val="Worksheet H SPP Upgrade Project"/>
    </sheetNames>
    <sheetDataSet>
      <sheetData sheetId="0"/>
      <sheetData sheetId="1"/>
      <sheetData sheetId="2"/>
      <sheetData sheetId="3"/>
      <sheetData sheetId="4"/>
      <sheetData sheetId="5"/>
      <sheetData sheetId="6">
        <row r="98">
          <cell r="B98" t="str">
            <v>Customer Meters</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Network Load"/>
      <sheetName val="Worksheet E, Alloc. Factor"/>
      <sheetName val="Worksheet F, Inputs"/>
      <sheetName val="Worksheet G O&amp;M Input"/>
      <sheetName val="Worksheet H SPP Upgrades"/>
      <sheetName val="Worksheet I Depreciation Rates"/>
      <sheetName val="Worksheet J Reconciliation"/>
      <sheetName val="Workpaper K-Wages Input"/>
      <sheetName val="Workpaper L Depr Input"/>
      <sheetName val="Workpaper M OthRev Input"/>
      <sheetName val="Workpaper N CWIP"/>
      <sheetName val="Workpaper O Future Use"/>
      <sheetName val="Workpaper P Compl Not Class"/>
      <sheetName val="Workpaper Q Reg. &amp; Comm. Ex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s>
    <sheetDataSet>
      <sheetData sheetId="0"/>
      <sheetData sheetId="1"/>
      <sheetData sheetId="2"/>
      <sheetData sheetId="3"/>
      <sheetData sheetId="4"/>
      <sheetData sheetId="5"/>
      <sheetData sheetId="6">
        <row r="98">
          <cell r="B98" t="str">
            <v>Customer Meters</v>
          </cell>
          <cell r="C98">
            <v>0</v>
          </cell>
          <cell r="D98">
            <v>0</v>
          </cell>
          <cell r="E98">
            <v>0</v>
          </cell>
          <cell r="F98">
            <v>6.7622950819672137E-2</v>
          </cell>
        </row>
        <row r="99">
          <cell r="B99" t="str">
            <v>Direct 100</v>
          </cell>
          <cell r="C99">
            <v>0</v>
          </cell>
          <cell r="D99">
            <v>0</v>
          </cell>
          <cell r="E99">
            <v>0</v>
          </cell>
          <cell r="F99">
            <v>1</v>
          </cell>
        </row>
        <row r="100">
          <cell r="B100" t="str">
            <v>Direct Zero</v>
          </cell>
          <cell r="C100">
            <v>0</v>
          </cell>
          <cell r="D100">
            <v>0</v>
          </cell>
          <cell r="E100">
            <v>0</v>
          </cell>
          <cell r="F100">
            <v>0</v>
          </cell>
        </row>
        <row r="101">
          <cell r="B101" t="str">
            <v>T-Completed</v>
          </cell>
          <cell r="C101">
            <v>0</v>
          </cell>
          <cell r="D101">
            <v>0</v>
          </cell>
          <cell r="E101">
            <v>0</v>
          </cell>
          <cell r="F101">
            <v>5.702821762631303E-3</v>
          </cell>
        </row>
        <row r="102">
          <cell r="B102" t="str">
            <v>T-CWIP</v>
          </cell>
          <cell r="C102">
            <v>0</v>
          </cell>
          <cell r="D102">
            <v>0</v>
          </cell>
          <cell r="E102">
            <v>0</v>
          </cell>
          <cell r="F102">
            <v>9.2478512451681615E-4</v>
          </cell>
        </row>
        <row r="103">
          <cell r="B103" t="str">
            <v xml:space="preserve">T-Depr Reserv </v>
          </cell>
          <cell r="C103">
            <v>0</v>
          </cell>
          <cell r="D103">
            <v>0</v>
          </cell>
          <cell r="E103">
            <v>0</v>
          </cell>
          <cell r="F103">
            <v>4.5082933258472881E-2</v>
          </cell>
        </row>
        <row r="104">
          <cell r="B104" t="str">
            <v>T-DeprEx Lines</v>
          </cell>
          <cell r="C104">
            <v>0</v>
          </cell>
          <cell r="D104">
            <v>0</v>
          </cell>
          <cell r="E104">
            <v>0</v>
          </cell>
          <cell r="F104">
            <v>3.6475337607115514E-2</v>
          </cell>
        </row>
        <row r="105">
          <cell r="B105" t="str">
            <v>T-DeprEx Subs</v>
          </cell>
          <cell r="C105">
            <v>0</v>
          </cell>
          <cell r="D105">
            <v>0</v>
          </cell>
          <cell r="E105">
            <v>0</v>
          </cell>
          <cell r="F105">
            <v>3.3120014201292916E-2</v>
          </cell>
        </row>
        <row r="106">
          <cell r="B106" t="str">
            <v>T-Future Use</v>
          </cell>
          <cell r="C106">
            <v>0</v>
          </cell>
          <cell r="D106">
            <v>0</v>
          </cell>
          <cell r="E106">
            <v>0</v>
          </cell>
          <cell r="F106">
            <v>0</v>
          </cell>
        </row>
        <row r="107">
          <cell r="B107" t="str">
            <v>T-Net Allocation</v>
          </cell>
          <cell r="C107">
            <v>0</v>
          </cell>
          <cell r="D107">
            <v>0</v>
          </cell>
          <cell r="E107">
            <v>0</v>
          </cell>
          <cell r="F107">
            <v>9.0693467210864014E-3</v>
          </cell>
        </row>
        <row r="108">
          <cell r="B108" t="str">
            <v>T-Plant Allocation</v>
          </cell>
          <cell r="C108">
            <v>0</v>
          </cell>
          <cell r="D108">
            <v>0</v>
          </cell>
          <cell r="E108">
            <v>0</v>
          </cell>
          <cell r="F108">
            <v>1.2110586082731974E-2</v>
          </cell>
        </row>
        <row r="109">
          <cell r="B109" t="str">
            <v>T-Plant Held</v>
          </cell>
          <cell r="C109">
            <v>0</v>
          </cell>
          <cell r="D109">
            <v>0</v>
          </cell>
          <cell r="E109">
            <v>0</v>
          </cell>
          <cell r="F109">
            <v>0</v>
          </cell>
        </row>
        <row r="110">
          <cell r="B110" t="str">
            <v>T-Rent</v>
          </cell>
          <cell r="C110">
            <v>0</v>
          </cell>
          <cell r="D110">
            <v>0</v>
          </cell>
          <cell r="E110">
            <v>0</v>
          </cell>
          <cell r="F110">
            <v>1.3780505569168502E-2</v>
          </cell>
        </row>
        <row r="111">
          <cell r="B111" t="str">
            <v>T-RTO/ISO Maintenance</v>
          </cell>
          <cell r="C111">
            <v>0</v>
          </cell>
          <cell r="D111">
            <v>0</v>
          </cell>
          <cell r="E111">
            <v>0</v>
          </cell>
          <cell r="F111">
            <v>0</v>
          </cell>
        </row>
        <row r="112">
          <cell r="B112" t="str">
            <v>T-RTO/ISO Operations</v>
          </cell>
          <cell r="C112">
            <v>0</v>
          </cell>
          <cell r="D112">
            <v>0</v>
          </cell>
          <cell r="E112">
            <v>0</v>
          </cell>
          <cell r="F112">
            <v>0</v>
          </cell>
        </row>
        <row r="113">
          <cell r="B113" t="str">
            <v>T-RTO/ISO Plant</v>
          </cell>
          <cell r="C113">
            <v>0</v>
          </cell>
          <cell r="D113">
            <v>0</v>
          </cell>
          <cell r="E113">
            <v>0</v>
          </cell>
          <cell r="F113">
            <v>0</v>
          </cell>
        </row>
        <row r="114">
          <cell r="B114" t="str">
            <v>T-Tax</v>
          </cell>
          <cell r="C114">
            <v>0</v>
          </cell>
          <cell r="D114">
            <v>0</v>
          </cell>
          <cell r="E114">
            <v>0</v>
          </cell>
          <cell r="F114">
            <v>9.0693467210864014E-3</v>
          </cell>
        </row>
        <row r="115">
          <cell r="B115" t="str">
            <v>T-TIE</v>
          </cell>
          <cell r="C115">
            <v>0</v>
          </cell>
          <cell r="D115">
            <v>0</v>
          </cell>
          <cell r="E115">
            <v>0</v>
          </cell>
          <cell r="F115">
            <v>2.8025597876585137E-2</v>
          </cell>
        </row>
        <row r="116">
          <cell r="B116" t="str">
            <v>T-Tran Lines</v>
          </cell>
          <cell r="C116">
            <v>0</v>
          </cell>
          <cell r="D116">
            <v>0</v>
          </cell>
          <cell r="E116">
            <v>0</v>
          </cell>
          <cell r="F116">
            <v>4.1971604390734593E-2</v>
          </cell>
        </row>
        <row r="117">
          <cell r="B117" t="str">
            <v>T-Tran Plant</v>
          </cell>
          <cell r="C117">
            <v>0</v>
          </cell>
          <cell r="D117">
            <v>0</v>
          </cell>
          <cell r="E117">
            <v>0</v>
          </cell>
          <cell r="F117">
            <v>3.6082209822862032E-2</v>
          </cell>
        </row>
        <row r="118">
          <cell r="B118" t="str">
            <v>T-Tran Stations</v>
          </cell>
          <cell r="C118">
            <v>0</v>
          </cell>
          <cell r="D118">
            <v>0</v>
          </cell>
          <cell r="E118">
            <v>0</v>
          </cell>
          <cell r="F118">
            <v>3.1018590947331115E-2</v>
          </cell>
        </row>
        <row r="119">
          <cell r="B119" t="str">
            <v>T-Wage Allocation</v>
          </cell>
          <cell r="C119">
            <v>0</v>
          </cell>
          <cell r="D119">
            <v>0</v>
          </cell>
          <cell r="E119">
            <v>0</v>
          </cell>
          <cell r="F119">
            <v>1.7765858133703943E-2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s>
    <sheetDataSet>
      <sheetData sheetId="0">
        <row r="31">
          <cell r="D31">
            <v>1</v>
          </cell>
        </row>
        <row r="33">
          <cell r="G33" t="str">
            <v>Average</v>
          </cell>
        </row>
        <row r="34">
          <cell r="D34">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Depreciation Rates"/>
      <sheetName val="Index and Summary"/>
      <sheetName val="Workpaper I Wages Input"/>
      <sheetName val="Workpaper J CWIP"/>
      <sheetName val="Workpaper K O&amp;M Input"/>
      <sheetName val="Workpaper L Depr Input"/>
      <sheetName val="Workpaper M OthRev Input"/>
      <sheetName val="Workpaper N Tran Plant"/>
      <sheetName val="Workpaper O MWave Bandwidth"/>
      <sheetName val="Workpaper P HV Subs"/>
      <sheetName val="Workpaper Q Dist Subs"/>
      <sheetName val="Workpaper R SCADA System by Sub"/>
      <sheetName val="Workpaper S Lines"/>
      <sheetName val="Workpaper T Future Use"/>
      <sheetName val="Workpaper U Compl Not Class"/>
      <sheetName val="Workpaper V True-Up"/>
      <sheetName val="Workpaper W Reg. &amp; Comm. Exp."/>
    </sheetNames>
    <sheetDataSet>
      <sheetData sheetId="0"/>
      <sheetData sheetId="1"/>
      <sheetData sheetId="2"/>
      <sheetData sheetId="3"/>
      <sheetData sheetId="4"/>
      <sheetData sheetId="5"/>
      <sheetData sheetId="6"/>
      <sheetData sheetId="7"/>
      <sheetData sheetId="8">
        <row r="7">
          <cell r="B7" t="str">
            <v>Budget Year Ending December 31, 2015</v>
          </cell>
        </row>
      </sheetData>
      <sheetData sheetId="9"/>
      <sheetData sheetId="10">
        <row r="4">
          <cell r="B4" t="str">
            <v>East River Electric Power Cooperative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pageSetUpPr fitToPage="1"/>
  </sheetPr>
  <dimension ref="A1:L40"/>
  <sheetViews>
    <sheetView topLeftCell="B1" zoomScaleNormal="100" workbookViewId="0">
      <selection activeCell="B1" sqref="B1"/>
    </sheetView>
  </sheetViews>
  <sheetFormatPr defaultColWidth="9.25" defaultRowHeight="14.25"/>
  <cols>
    <col min="1" max="1" width="9.25" style="1"/>
    <col min="2" max="2" width="23.25" style="1" customWidth="1"/>
    <col min="3" max="3" width="53.625" style="1" customWidth="1"/>
    <col min="4" max="4" width="14.875" style="1" customWidth="1"/>
    <col min="5" max="5" width="9.25" style="1"/>
    <col min="6" max="6" width="5" style="1" customWidth="1"/>
    <col min="7" max="7" width="16.625" style="1" customWidth="1"/>
    <col min="8" max="16384" width="9.25" style="1"/>
  </cols>
  <sheetData>
    <row r="1" spans="1:12" ht="15">
      <c r="A1" s="9"/>
      <c r="B1" s="7"/>
      <c r="C1" s="44" t="s">
        <v>17</v>
      </c>
      <c r="D1" s="9"/>
      <c r="L1" s="3"/>
    </row>
    <row r="2" spans="1:12" ht="20.25">
      <c r="A2" s="9"/>
      <c r="B2" s="111" t="s">
        <v>157</v>
      </c>
      <c r="C2" s="7"/>
      <c r="D2" s="9"/>
      <c r="G2" s="9" t="s">
        <v>17</v>
      </c>
    </row>
    <row r="3" spans="1:12">
      <c r="A3" s="9"/>
      <c r="B3" s="7"/>
      <c r="C3" s="7"/>
      <c r="D3" s="9"/>
      <c r="F3" s="1" t="s">
        <v>17</v>
      </c>
    </row>
    <row r="4" spans="1:12" ht="15">
      <c r="A4" s="9"/>
      <c r="B4" s="5" t="s">
        <v>30</v>
      </c>
      <c r="C4" s="7"/>
      <c r="D4" s="9"/>
    </row>
    <row r="5" spans="1:12" ht="15.75">
      <c r="A5" s="9"/>
      <c r="B5" s="394" t="s">
        <v>963</v>
      </c>
      <c r="C5" s="395"/>
      <c r="F5" s="6"/>
    </row>
    <row r="6" spans="1:12" ht="15.75">
      <c r="A6" s="9"/>
      <c r="B6" s="63"/>
      <c r="C6" s="9"/>
      <c r="F6" s="6"/>
    </row>
    <row r="7" spans="1:12">
      <c r="A7" s="105" t="s">
        <v>415</v>
      </c>
      <c r="B7" s="106" t="s">
        <v>185</v>
      </c>
      <c r="C7" s="106" t="s">
        <v>0</v>
      </c>
      <c r="D7" s="49"/>
      <c r="F7" s="2"/>
    </row>
    <row r="8" spans="1:12">
      <c r="A8" s="396"/>
      <c r="B8" s="396"/>
      <c r="C8" s="397"/>
      <c r="D8" s="49"/>
      <c r="F8" s="2"/>
    </row>
    <row r="9" spans="1:12">
      <c r="A9" s="49">
        <v>1</v>
      </c>
      <c r="B9" s="50" t="s">
        <v>458</v>
      </c>
      <c r="C9" s="9" t="s">
        <v>790</v>
      </c>
      <c r="D9" s="49"/>
      <c r="F9" s="2"/>
    </row>
    <row r="10" spans="1:12">
      <c r="A10" s="49">
        <f>A9+1</f>
        <v>2</v>
      </c>
      <c r="B10" s="50" t="s">
        <v>656</v>
      </c>
      <c r="C10" s="9" t="s">
        <v>791</v>
      </c>
      <c r="D10" s="49"/>
      <c r="F10" s="2"/>
    </row>
    <row r="11" spans="1:12">
      <c r="A11" s="49">
        <f t="shared" ref="A11:A32" si="0">A10+1</f>
        <v>3</v>
      </c>
      <c r="B11" s="50" t="s">
        <v>6</v>
      </c>
      <c r="C11" s="9" t="s">
        <v>37</v>
      </c>
      <c r="D11" s="49"/>
      <c r="F11" s="2"/>
    </row>
    <row r="12" spans="1:12">
      <c r="A12" s="49">
        <f t="shared" si="0"/>
        <v>4</v>
      </c>
      <c r="B12" s="50" t="s">
        <v>12</v>
      </c>
      <c r="C12" s="7" t="s">
        <v>150</v>
      </c>
      <c r="D12" s="49"/>
      <c r="F12" s="2"/>
    </row>
    <row r="13" spans="1:12">
      <c r="A13" s="49">
        <f t="shared" si="0"/>
        <v>5</v>
      </c>
      <c r="B13" s="50" t="s">
        <v>13</v>
      </c>
      <c r="C13" s="9" t="s">
        <v>40</v>
      </c>
      <c r="D13" s="49"/>
      <c r="F13" s="2"/>
    </row>
    <row r="14" spans="1:12">
      <c r="A14" s="49">
        <f t="shared" si="0"/>
        <v>6</v>
      </c>
      <c r="B14" s="50" t="s">
        <v>209</v>
      </c>
      <c r="C14" s="9" t="s">
        <v>210</v>
      </c>
      <c r="D14" s="49"/>
      <c r="F14" s="2"/>
    </row>
    <row r="15" spans="1:12">
      <c r="A15" s="49">
        <f t="shared" si="0"/>
        <v>7</v>
      </c>
      <c r="B15" s="50" t="s">
        <v>14</v>
      </c>
      <c r="C15" s="9" t="s">
        <v>258</v>
      </c>
      <c r="D15" s="49"/>
      <c r="F15" s="2"/>
    </row>
    <row r="16" spans="1:12">
      <c r="A16" s="49">
        <f t="shared" si="0"/>
        <v>8</v>
      </c>
      <c r="B16" s="50" t="s">
        <v>15</v>
      </c>
      <c r="C16" s="9" t="s">
        <v>792</v>
      </c>
      <c r="D16" s="49"/>
      <c r="F16" s="2"/>
    </row>
    <row r="17" spans="1:6">
      <c r="A17" s="49">
        <f t="shared" si="0"/>
        <v>9</v>
      </c>
      <c r="B17" s="50" t="s">
        <v>206</v>
      </c>
      <c r="C17" s="9" t="s">
        <v>151</v>
      </c>
      <c r="D17" s="49"/>
      <c r="F17" s="2"/>
    </row>
    <row r="18" spans="1:6">
      <c r="A18" s="49">
        <f t="shared" si="0"/>
        <v>10</v>
      </c>
      <c r="B18" s="9" t="s">
        <v>455</v>
      </c>
      <c r="C18" s="380" t="s">
        <v>412</v>
      </c>
    </row>
    <row r="19" spans="1:6">
      <c r="A19" s="49">
        <f t="shared" si="0"/>
        <v>11</v>
      </c>
      <c r="B19" s="9" t="s">
        <v>456</v>
      </c>
      <c r="C19" s="380" t="s">
        <v>428</v>
      </c>
    </row>
    <row r="20" spans="1:6">
      <c r="A20" s="49">
        <f t="shared" si="0"/>
        <v>12</v>
      </c>
      <c r="B20" s="1" t="s">
        <v>457</v>
      </c>
      <c r="C20" s="1" t="s">
        <v>429</v>
      </c>
      <c r="D20" s="49"/>
      <c r="F20" s="2"/>
    </row>
    <row r="21" spans="1:6">
      <c r="A21" s="49">
        <f t="shared" si="0"/>
        <v>13</v>
      </c>
      <c r="B21" s="1" t="s">
        <v>460</v>
      </c>
      <c r="C21" s="1" t="s">
        <v>152</v>
      </c>
      <c r="D21" s="49"/>
      <c r="F21" s="2"/>
    </row>
    <row r="22" spans="1:6">
      <c r="A22" s="49">
        <f t="shared" si="0"/>
        <v>14</v>
      </c>
      <c r="B22" s="9" t="s">
        <v>889</v>
      </c>
      <c r="C22" s="9" t="s">
        <v>616</v>
      </c>
      <c r="D22" s="49"/>
      <c r="F22" s="2"/>
    </row>
    <row r="23" spans="1:6">
      <c r="A23" s="49">
        <f t="shared" si="0"/>
        <v>15</v>
      </c>
      <c r="B23" s="159" t="s">
        <v>822</v>
      </c>
      <c r="C23" s="1" t="s">
        <v>257</v>
      </c>
      <c r="D23" s="49"/>
    </row>
    <row r="24" spans="1:6">
      <c r="A24" s="49">
        <f t="shared" si="0"/>
        <v>16</v>
      </c>
      <c r="B24" s="159" t="s">
        <v>537</v>
      </c>
      <c r="C24" s="1" t="s">
        <v>204</v>
      </c>
      <c r="D24" s="49"/>
    </row>
    <row r="25" spans="1:6">
      <c r="A25" s="49">
        <f t="shared" si="0"/>
        <v>17</v>
      </c>
      <c r="B25" s="159" t="s">
        <v>562</v>
      </c>
      <c r="C25" s="1" t="s">
        <v>563</v>
      </c>
      <c r="D25" s="49"/>
    </row>
    <row r="26" spans="1:6">
      <c r="A26" s="49">
        <f t="shared" si="0"/>
        <v>18</v>
      </c>
      <c r="B26" s="381" t="s">
        <v>576</v>
      </c>
      <c r="C26" s="9" t="s">
        <v>789</v>
      </c>
      <c r="D26" s="49"/>
    </row>
    <row r="27" spans="1:6">
      <c r="A27" s="49">
        <f t="shared" si="0"/>
        <v>19</v>
      </c>
      <c r="B27" s="1" t="s">
        <v>577</v>
      </c>
      <c r="C27" s="160" t="s">
        <v>695</v>
      </c>
      <c r="D27" s="49"/>
    </row>
    <row r="28" spans="1:6">
      <c r="A28" s="49">
        <f t="shared" si="0"/>
        <v>20</v>
      </c>
      <c r="B28" s="1" t="s">
        <v>591</v>
      </c>
      <c r="C28" s="160" t="s">
        <v>75</v>
      </c>
      <c r="D28" s="49"/>
    </row>
    <row r="29" spans="1:6">
      <c r="A29" s="49">
        <f t="shared" si="0"/>
        <v>21</v>
      </c>
      <c r="B29" s="1" t="s">
        <v>606</v>
      </c>
      <c r="C29" s="160" t="s">
        <v>451</v>
      </c>
      <c r="D29" s="49"/>
    </row>
    <row r="30" spans="1:6">
      <c r="A30" s="49">
        <f t="shared" si="0"/>
        <v>22</v>
      </c>
      <c r="B30" s="1" t="s">
        <v>610</v>
      </c>
      <c r="C30" s="160" t="s">
        <v>611</v>
      </c>
      <c r="D30" s="49"/>
    </row>
    <row r="31" spans="1:6">
      <c r="A31" s="49">
        <f t="shared" si="0"/>
        <v>23</v>
      </c>
      <c r="B31" s="9" t="s">
        <v>631</v>
      </c>
      <c r="C31" s="380" t="s">
        <v>633</v>
      </c>
      <c r="D31" s="49"/>
    </row>
    <row r="32" spans="1:6">
      <c r="A32" s="49">
        <f t="shared" si="0"/>
        <v>24</v>
      </c>
      <c r="B32" s="9" t="s">
        <v>632</v>
      </c>
      <c r="C32" s="380" t="s">
        <v>634</v>
      </c>
    </row>
    <row r="33" spans="1:4">
      <c r="A33" s="49"/>
    </row>
    <row r="34" spans="1:4">
      <c r="A34" s="49">
        <f>A32+1</f>
        <v>25</v>
      </c>
      <c r="B34" s="9" t="s">
        <v>685</v>
      </c>
    </row>
    <row r="35" spans="1:4">
      <c r="A35" s="49">
        <f>A34+1</f>
        <v>26</v>
      </c>
      <c r="B35" s="393"/>
      <c r="C35" s="392" t="s">
        <v>840</v>
      </c>
    </row>
    <row r="36" spans="1:4">
      <c r="A36" s="9"/>
    </row>
    <row r="37" spans="1:4">
      <c r="A37" s="9"/>
    </row>
    <row r="38" spans="1:4">
      <c r="A38" s="9"/>
    </row>
    <row r="40" spans="1:4">
      <c r="D40" s="9"/>
    </row>
  </sheetData>
  <customSheetViews>
    <customSheetView guid="{3FBB0C90-C6C1-480D-B078-514EE8852FAF}" showPageBreaks="1" fitToPage="1" printArea="1">
      <selection activeCell="C21" sqref="C21"/>
      <pageMargins left="0.7" right="0.7" top="0.75" bottom="0.75" header="0.3" footer="0.3"/>
      <pageSetup orientation="landscape" horizontalDpi="1200" verticalDpi="1200" r:id="rId1"/>
    </customSheetView>
  </customSheetViews>
  <pageMargins left="0.7" right="0.7" top="0.75" bottom="0.75" header="0.3" footer="0.3"/>
  <pageSetup orientation="landscape" useFirstPageNumber="1"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H51"/>
  <sheetViews>
    <sheetView zoomScaleNormal="100" workbookViewId="0"/>
  </sheetViews>
  <sheetFormatPr defaultColWidth="9" defaultRowHeight="14.25"/>
  <cols>
    <col min="1" max="1" width="9" style="9"/>
    <col min="2" max="2" width="42.125" style="9" customWidth="1"/>
    <col min="3" max="3" width="15.5" style="9" customWidth="1"/>
    <col min="4" max="4" width="13.625" style="7" customWidth="1"/>
    <col min="5" max="5" width="14.625" style="7" customWidth="1"/>
    <col min="6" max="6" width="15.75" style="7" bestFit="1" customWidth="1"/>
    <col min="7" max="16384" width="9" style="9"/>
  </cols>
  <sheetData>
    <row r="1" spans="1:8" ht="15">
      <c r="H1" s="112"/>
    </row>
    <row r="2" spans="1:8" ht="15">
      <c r="E2" s="28"/>
      <c r="F2" s="668" t="s">
        <v>831</v>
      </c>
      <c r="H2" s="113"/>
    </row>
    <row r="3" spans="1:8">
      <c r="B3" s="7"/>
      <c r="C3" s="7"/>
      <c r="E3" s="28"/>
      <c r="F3" s="114" t="s">
        <v>206</v>
      </c>
    </row>
    <row r="4" spans="1:8" ht="15">
      <c r="B4" s="7"/>
      <c r="C4" s="7"/>
      <c r="E4" s="28"/>
      <c r="F4" s="113"/>
    </row>
    <row r="5" spans="1:8" ht="20.25">
      <c r="B5" s="489" t="str">
        <f>Index!B2</f>
        <v>Tri-State Generation and Transmission Association, Inc.</v>
      </c>
      <c r="C5" s="7"/>
      <c r="E5" s="114"/>
      <c r="F5" s="28"/>
    </row>
    <row r="6" spans="1:8" ht="15">
      <c r="B6" s="5"/>
      <c r="C6" s="7"/>
      <c r="E6" s="114"/>
      <c r="F6" s="28"/>
    </row>
    <row r="7" spans="1:8" ht="15.75">
      <c r="B7" s="490" t="str">
        <f>Index!C17</f>
        <v xml:space="preserve">O&amp;M </v>
      </c>
      <c r="C7" s="7"/>
      <c r="E7" s="114"/>
      <c r="F7" s="28"/>
    </row>
    <row r="8" spans="1:8" ht="15.75">
      <c r="B8" s="490" t="str">
        <f>Index!B5</f>
        <v>Year Ending December 31, 2016</v>
      </c>
      <c r="C8" s="7"/>
      <c r="E8" s="28"/>
      <c r="F8" s="28"/>
    </row>
    <row r="9" spans="1:8" ht="15">
      <c r="B9" s="232"/>
      <c r="E9" s="28"/>
      <c r="F9" s="28"/>
    </row>
    <row r="10" spans="1:8" ht="15">
      <c r="A10" s="256" t="s">
        <v>18</v>
      </c>
      <c r="B10" s="257" t="s">
        <v>19</v>
      </c>
      <c r="C10" s="257" t="s">
        <v>20</v>
      </c>
      <c r="D10" s="258" t="s">
        <v>21</v>
      </c>
      <c r="E10" s="258" t="s">
        <v>22</v>
      </c>
      <c r="F10" s="258" t="s">
        <v>23</v>
      </c>
    </row>
    <row r="11" spans="1:8">
      <c r="A11" s="60"/>
      <c r="B11" s="61"/>
      <c r="C11" s="62"/>
      <c r="D11" s="115"/>
      <c r="E11" s="115"/>
      <c r="F11" s="259"/>
    </row>
    <row r="12" spans="1:8" ht="15">
      <c r="A12" s="799" t="s">
        <v>184</v>
      </c>
      <c r="B12" s="799"/>
      <c r="C12" s="799"/>
      <c r="D12" s="799"/>
      <c r="E12" s="799"/>
      <c r="F12" s="260"/>
    </row>
    <row r="13" spans="1:8" ht="15">
      <c r="A13" s="801" t="s">
        <v>185</v>
      </c>
      <c r="B13" s="802"/>
      <c r="C13" s="267" t="s">
        <v>186</v>
      </c>
      <c r="D13" s="116" t="s">
        <v>628</v>
      </c>
      <c r="E13" s="116" t="s">
        <v>187</v>
      </c>
      <c r="F13" s="261" t="s">
        <v>2</v>
      </c>
    </row>
    <row r="14" spans="1:8" ht="15">
      <c r="A14" s="800" t="s">
        <v>188</v>
      </c>
      <c r="B14" s="800"/>
      <c r="C14" s="800"/>
      <c r="D14" s="800"/>
      <c r="E14" s="800"/>
      <c r="F14" s="260"/>
    </row>
    <row r="15" spans="1:8">
      <c r="A15" s="52">
        <v>1</v>
      </c>
      <c r="B15" s="53" t="s">
        <v>81</v>
      </c>
      <c r="C15" s="54">
        <v>560</v>
      </c>
      <c r="D15" s="787">
        <v>6405346</v>
      </c>
      <c r="E15" s="787">
        <v>11895643</v>
      </c>
      <c r="F15" s="274">
        <f t="shared" ref="F15:F24" si="0">SUM(D15:E15)</f>
        <v>18300989</v>
      </c>
    </row>
    <row r="16" spans="1:8">
      <c r="A16" s="52">
        <f t="shared" ref="A16:A24" si="1">A15+1</f>
        <v>2</v>
      </c>
      <c r="B16" s="53" t="s">
        <v>82</v>
      </c>
      <c r="C16" s="54">
        <v>561</v>
      </c>
      <c r="D16" s="787">
        <v>9253409</v>
      </c>
      <c r="E16" s="275"/>
      <c r="F16" s="274">
        <f t="shared" si="0"/>
        <v>9253409</v>
      </c>
    </row>
    <row r="17" spans="1:6">
      <c r="A17" s="52">
        <f t="shared" si="1"/>
        <v>3</v>
      </c>
      <c r="B17" s="53" t="s">
        <v>83</v>
      </c>
      <c r="C17" s="54">
        <v>562</v>
      </c>
      <c r="D17" s="724"/>
      <c r="E17" s="787">
        <v>15372051</v>
      </c>
      <c r="F17" s="274">
        <f t="shared" si="0"/>
        <v>15372051</v>
      </c>
    </row>
    <row r="18" spans="1:6">
      <c r="A18" s="52">
        <f t="shared" si="1"/>
        <v>4</v>
      </c>
      <c r="B18" s="53" t="s">
        <v>84</v>
      </c>
      <c r="C18" s="54">
        <v>563</v>
      </c>
      <c r="D18" s="787">
        <v>7392584</v>
      </c>
      <c r="E18" s="798"/>
      <c r="F18" s="274">
        <f t="shared" si="0"/>
        <v>7392584</v>
      </c>
    </row>
    <row r="19" spans="1:6">
      <c r="A19" s="52">
        <f t="shared" si="1"/>
        <v>5</v>
      </c>
      <c r="B19" s="53" t="s">
        <v>85</v>
      </c>
      <c r="C19" s="54">
        <v>564</v>
      </c>
      <c r="D19" s="788">
        <v>0</v>
      </c>
      <c r="E19" s="798"/>
      <c r="F19" s="274">
        <f t="shared" si="0"/>
        <v>0</v>
      </c>
    </row>
    <row r="20" spans="1:6">
      <c r="A20" s="52">
        <f t="shared" si="1"/>
        <v>6</v>
      </c>
      <c r="B20" s="53" t="s">
        <v>86</v>
      </c>
      <c r="C20" s="54">
        <v>566</v>
      </c>
      <c r="D20" s="787">
        <v>7091195</v>
      </c>
      <c r="E20" s="787">
        <v>16365452</v>
      </c>
      <c r="F20" s="274">
        <f t="shared" si="0"/>
        <v>23456647</v>
      </c>
    </row>
    <row r="21" spans="1:6" ht="15">
      <c r="A21" s="55">
        <f t="shared" si="1"/>
        <v>7</v>
      </c>
      <c r="B21" s="56" t="s">
        <v>87</v>
      </c>
      <c r="C21" s="267"/>
      <c r="D21" s="277">
        <f>SUM(D15:D20)</f>
        <v>30142534</v>
      </c>
      <c r="E21" s="277">
        <f>SUM(E15:E20)</f>
        <v>43633146</v>
      </c>
      <c r="F21" s="274">
        <f t="shared" si="0"/>
        <v>73775680</v>
      </c>
    </row>
    <row r="22" spans="1:6">
      <c r="A22" s="52">
        <f t="shared" si="1"/>
        <v>8</v>
      </c>
      <c r="B22" s="53" t="s">
        <v>189</v>
      </c>
      <c r="C22" s="54">
        <v>565</v>
      </c>
      <c r="D22" s="787">
        <v>50949240</v>
      </c>
      <c r="E22" s="724"/>
      <c r="F22" s="274">
        <f t="shared" si="0"/>
        <v>50949240</v>
      </c>
    </row>
    <row r="23" spans="1:6">
      <c r="A23" s="52">
        <f t="shared" si="1"/>
        <v>9</v>
      </c>
      <c r="B23" s="53" t="s">
        <v>88</v>
      </c>
      <c r="C23" s="54">
        <v>567</v>
      </c>
      <c r="D23" s="787">
        <v>84281</v>
      </c>
      <c r="E23" s="787">
        <v>156522</v>
      </c>
      <c r="F23" s="274">
        <f t="shared" si="0"/>
        <v>240803</v>
      </c>
    </row>
    <row r="24" spans="1:6" ht="15">
      <c r="A24" s="55">
        <f t="shared" si="1"/>
        <v>10</v>
      </c>
      <c r="B24" s="56" t="s">
        <v>89</v>
      </c>
      <c r="C24" s="267"/>
      <c r="D24" s="277">
        <f>SUM(D21:D23)</f>
        <v>81176055</v>
      </c>
      <c r="E24" s="277">
        <f>SUM(E21:E23)</f>
        <v>43789668</v>
      </c>
      <c r="F24" s="274">
        <f t="shared" si="0"/>
        <v>124965723</v>
      </c>
    </row>
    <row r="25" spans="1:6" ht="15">
      <c r="A25" s="803" t="s">
        <v>90</v>
      </c>
      <c r="B25" s="803"/>
      <c r="C25" s="803"/>
      <c r="D25" s="803"/>
      <c r="E25" s="803"/>
      <c r="F25" s="260"/>
    </row>
    <row r="26" spans="1:6">
      <c r="A26" s="52">
        <f>A24+1</f>
        <v>11</v>
      </c>
      <c r="B26" s="53" t="s">
        <v>81</v>
      </c>
      <c r="C26" s="54">
        <v>568</v>
      </c>
      <c r="D26" s="787">
        <v>5706710</v>
      </c>
      <c r="E26" s="787">
        <v>10598175</v>
      </c>
      <c r="F26" s="274">
        <f t="shared" ref="F26:F40" si="2">SUM(D26:E26)</f>
        <v>16304885</v>
      </c>
    </row>
    <row r="27" spans="1:6">
      <c r="A27" s="52">
        <f t="shared" ref="A27:A40" si="3">A26+1</f>
        <v>12</v>
      </c>
      <c r="B27" s="53" t="s">
        <v>91</v>
      </c>
      <c r="C27" s="54">
        <v>569</v>
      </c>
      <c r="D27" s="798"/>
      <c r="E27" s="787">
        <v>106018</v>
      </c>
      <c r="F27" s="278">
        <f t="shared" si="2"/>
        <v>106018</v>
      </c>
    </row>
    <row r="28" spans="1:6">
      <c r="A28" s="52">
        <f t="shared" si="3"/>
        <v>13</v>
      </c>
      <c r="B28" s="53" t="s">
        <v>77</v>
      </c>
      <c r="C28" s="54">
        <v>570</v>
      </c>
      <c r="D28" s="798"/>
      <c r="E28" s="787">
        <v>7408517</v>
      </c>
      <c r="F28" s="274">
        <f t="shared" si="2"/>
        <v>7408517</v>
      </c>
    </row>
    <row r="29" spans="1:6">
      <c r="A29" s="52">
        <f t="shared" si="3"/>
        <v>14</v>
      </c>
      <c r="B29" s="53" t="s">
        <v>92</v>
      </c>
      <c r="C29" s="54">
        <v>571</v>
      </c>
      <c r="D29" s="787">
        <v>3195490</v>
      </c>
      <c r="E29" s="798"/>
      <c r="F29" s="274">
        <f t="shared" si="2"/>
        <v>3195490</v>
      </c>
    </row>
    <row r="30" spans="1:6">
      <c r="A30" s="52">
        <f t="shared" si="3"/>
        <v>15</v>
      </c>
      <c r="B30" s="53" t="s">
        <v>93</v>
      </c>
      <c r="C30" s="54">
        <v>572</v>
      </c>
      <c r="D30" s="276"/>
      <c r="E30" s="798"/>
      <c r="F30" s="278">
        <f t="shared" si="2"/>
        <v>0</v>
      </c>
    </row>
    <row r="31" spans="1:6">
      <c r="A31" s="52">
        <f t="shared" si="3"/>
        <v>16</v>
      </c>
      <c r="B31" s="53" t="s">
        <v>94</v>
      </c>
      <c r="C31" s="54">
        <v>573</v>
      </c>
      <c r="D31" s="787">
        <v>1125185</v>
      </c>
      <c r="E31" s="787">
        <v>2601325</v>
      </c>
      <c r="F31" s="274">
        <f t="shared" si="2"/>
        <v>3726510</v>
      </c>
    </row>
    <row r="32" spans="1:6" ht="15">
      <c r="A32" s="55">
        <f t="shared" si="3"/>
        <v>17</v>
      </c>
      <c r="B32" s="56" t="s">
        <v>95</v>
      </c>
      <c r="C32" s="799"/>
      <c r="D32" s="277">
        <f>SUM(D26:D31)</f>
        <v>10027385</v>
      </c>
      <c r="E32" s="277">
        <f>SUM(E26:E31)</f>
        <v>20714035</v>
      </c>
      <c r="F32" s="274">
        <f t="shared" si="2"/>
        <v>30741420</v>
      </c>
    </row>
    <row r="33" spans="1:6" ht="15">
      <c r="A33" s="55">
        <f t="shared" si="3"/>
        <v>18</v>
      </c>
      <c r="B33" s="56" t="s">
        <v>96</v>
      </c>
      <c r="C33" s="799"/>
      <c r="D33" s="277">
        <f>D24+D32</f>
        <v>91203440</v>
      </c>
      <c r="E33" s="277">
        <f>E24+E32</f>
        <v>64503703</v>
      </c>
      <c r="F33" s="274">
        <f t="shared" si="2"/>
        <v>155707143</v>
      </c>
    </row>
    <row r="34" spans="1:6">
      <c r="A34" s="52">
        <f t="shared" si="3"/>
        <v>19</v>
      </c>
      <c r="B34" s="53" t="s">
        <v>97</v>
      </c>
      <c r="C34" s="54" t="s">
        <v>98</v>
      </c>
      <c r="D34" s="788">
        <v>0</v>
      </c>
      <c r="E34" s="788">
        <v>0</v>
      </c>
      <c r="F34" s="274">
        <f t="shared" si="2"/>
        <v>0</v>
      </c>
    </row>
    <row r="35" spans="1:6">
      <c r="A35" s="52">
        <f t="shared" si="3"/>
        <v>20</v>
      </c>
      <c r="B35" s="53" t="s">
        <v>190</v>
      </c>
      <c r="C35" s="54" t="s">
        <v>99</v>
      </c>
      <c r="D35" s="788">
        <v>0</v>
      </c>
      <c r="E35" s="788">
        <v>0</v>
      </c>
      <c r="F35" s="274">
        <f t="shared" si="2"/>
        <v>0</v>
      </c>
    </row>
    <row r="36" spans="1:6" ht="15">
      <c r="A36" s="55">
        <f t="shared" si="3"/>
        <v>21</v>
      </c>
      <c r="B36" s="56" t="s">
        <v>100</v>
      </c>
      <c r="C36" s="267"/>
      <c r="D36" s="277">
        <f>SUM(D34:D35)</f>
        <v>0</v>
      </c>
      <c r="E36" s="277">
        <f>SUM(E34:E35)</f>
        <v>0</v>
      </c>
      <c r="F36" s="274">
        <f t="shared" si="2"/>
        <v>0</v>
      </c>
    </row>
    <row r="37" spans="1:6">
      <c r="A37" s="52">
        <f t="shared" si="3"/>
        <v>22</v>
      </c>
      <c r="B37" s="53" t="s">
        <v>101</v>
      </c>
      <c r="C37" s="54" t="s">
        <v>102</v>
      </c>
      <c r="D37" s="276"/>
      <c r="E37" s="787">
        <v>990916</v>
      </c>
      <c r="F37" s="274">
        <f t="shared" si="2"/>
        <v>990916</v>
      </c>
    </row>
    <row r="38" spans="1:6">
      <c r="A38" s="52">
        <f t="shared" si="3"/>
        <v>23</v>
      </c>
      <c r="B38" s="53" t="s">
        <v>103</v>
      </c>
      <c r="C38" s="54" t="s">
        <v>104</v>
      </c>
      <c r="D38" s="276"/>
      <c r="E38" s="787">
        <v>29841</v>
      </c>
      <c r="F38" s="274">
        <f t="shared" si="2"/>
        <v>29841</v>
      </c>
    </row>
    <row r="39" spans="1:6" ht="15">
      <c r="A39" s="55">
        <f t="shared" si="3"/>
        <v>24</v>
      </c>
      <c r="B39" s="56" t="s">
        <v>105</v>
      </c>
      <c r="C39" s="799"/>
      <c r="D39" s="279">
        <f>SUM(D37:D38)</f>
        <v>0</v>
      </c>
      <c r="E39" s="277">
        <f>SUM(E37:E38)</f>
        <v>1020757</v>
      </c>
      <c r="F39" s="274">
        <f t="shared" si="2"/>
        <v>1020757</v>
      </c>
    </row>
    <row r="40" spans="1:6" ht="15">
      <c r="A40" s="55">
        <f t="shared" si="3"/>
        <v>25</v>
      </c>
      <c r="B40" s="56" t="s">
        <v>106</v>
      </c>
      <c r="C40" s="799"/>
      <c r="D40" s="277">
        <f>D33+D36+D39</f>
        <v>91203440</v>
      </c>
      <c r="E40" s="277">
        <f>E33+E36+E39</f>
        <v>65524460</v>
      </c>
      <c r="F40" s="274">
        <f t="shared" si="2"/>
        <v>156727900</v>
      </c>
    </row>
    <row r="41" spans="1:6" ht="15">
      <c r="A41" s="800" t="s">
        <v>107</v>
      </c>
      <c r="B41" s="800"/>
      <c r="C41" s="800"/>
      <c r="D41" s="800"/>
      <c r="E41" s="800"/>
      <c r="F41" s="260"/>
    </row>
    <row r="42" spans="1:6">
      <c r="A42" s="52">
        <f>A40+1</f>
        <v>26</v>
      </c>
      <c r="B42" s="53" t="s">
        <v>108</v>
      </c>
      <c r="C42" s="280">
        <v>403.5</v>
      </c>
      <c r="D42" s="787">
        <v>18232287</v>
      </c>
      <c r="E42" s="788">
        <v>20361114</v>
      </c>
      <c r="F42" s="274">
        <f t="shared" ref="F42:F48" si="4">SUM(D42:E42)</f>
        <v>38593401</v>
      </c>
    </row>
    <row r="43" spans="1:6">
      <c r="A43" s="52">
        <f>A42+1</f>
        <v>27</v>
      </c>
      <c r="B43" s="53" t="s">
        <v>109</v>
      </c>
      <c r="C43" s="280">
        <v>403.6</v>
      </c>
      <c r="D43" s="276"/>
      <c r="E43" s="787">
        <v>2620387</v>
      </c>
      <c r="F43" s="274">
        <f t="shared" si="4"/>
        <v>2620387</v>
      </c>
    </row>
    <row r="44" spans="1:6">
      <c r="A44" s="52">
        <f>A43+1</f>
        <v>28</v>
      </c>
      <c r="B44" s="53" t="s">
        <v>110</v>
      </c>
      <c r="C44" s="280">
        <v>427</v>
      </c>
      <c r="D44" s="787">
        <v>0</v>
      </c>
      <c r="E44" s="787">
        <v>0</v>
      </c>
      <c r="F44" s="274">
        <f t="shared" si="4"/>
        <v>0</v>
      </c>
    </row>
    <row r="45" spans="1:6">
      <c r="A45" s="52">
        <f>A44+1</f>
        <v>29</v>
      </c>
      <c r="B45" s="53" t="s">
        <v>111</v>
      </c>
      <c r="C45" s="280">
        <v>427</v>
      </c>
      <c r="D45" s="276"/>
      <c r="E45" s="787">
        <v>0</v>
      </c>
      <c r="F45" s="274">
        <f t="shared" si="4"/>
        <v>0</v>
      </c>
    </row>
    <row r="46" spans="1:6" ht="15">
      <c r="A46" s="55">
        <v>30</v>
      </c>
      <c r="B46" s="56" t="s">
        <v>112</v>
      </c>
      <c r="C46" s="799"/>
      <c r="D46" s="277">
        <f>SUM(D33,D42,D44)</f>
        <v>109435727</v>
      </c>
      <c r="E46" s="277">
        <f>SUM(E33,E42,E44)</f>
        <v>84864817</v>
      </c>
      <c r="F46" s="274">
        <f t="shared" si="4"/>
        <v>194300544</v>
      </c>
    </row>
    <row r="47" spans="1:6" ht="15">
      <c r="A47" s="55">
        <v>31</v>
      </c>
      <c r="B47" s="56" t="s">
        <v>113</v>
      </c>
      <c r="C47" s="799"/>
      <c r="D47" s="279">
        <f>SUM(D39,D43,D45)</f>
        <v>0</v>
      </c>
      <c r="E47" s="277">
        <f>E39+E43+E45</f>
        <v>3641144</v>
      </c>
      <c r="F47" s="274">
        <f t="shared" si="4"/>
        <v>3641144</v>
      </c>
    </row>
    <row r="48" spans="1:6" ht="15">
      <c r="A48" s="55">
        <v>32</v>
      </c>
      <c r="B48" s="56" t="s">
        <v>114</v>
      </c>
      <c r="C48" s="799"/>
      <c r="D48" s="277">
        <f>D36+D46+D47</f>
        <v>109435727</v>
      </c>
      <c r="E48" s="277">
        <f>E36+E46+E47</f>
        <v>88505961</v>
      </c>
      <c r="F48" s="274">
        <f t="shared" si="4"/>
        <v>197941688</v>
      </c>
    </row>
    <row r="50" spans="1:2">
      <c r="A50" s="656">
        <f>A48+1</f>
        <v>33</v>
      </c>
      <c r="B50" s="655" t="s">
        <v>439</v>
      </c>
    </row>
    <row r="51" spans="1:2">
      <c r="A51" s="656">
        <f>A50+1</f>
        <v>34</v>
      </c>
      <c r="B51" s="9" t="s">
        <v>843</v>
      </c>
    </row>
  </sheetData>
  <mergeCells count="11">
    <mergeCell ref="D27:D28"/>
    <mergeCell ref="A12:E12"/>
    <mergeCell ref="A13:B13"/>
    <mergeCell ref="A14:E14"/>
    <mergeCell ref="E18:E19"/>
    <mergeCell ref="A25:E25"/>
    <mergeCell ref="E29:E30"/>
    <mergeCell ref="C32:C33"/>
    <mergeCell ref="C39:C40"/>
    <mergeCell ref="A41:E41"/>
    <mergeCell ref="C46:C48"/>
  </mergeCells>
  <printOptions horizontalCentered="1"/>
  <pageMargins left="0.7" right="0.7" top="0.75" bottom="0.75" header="0.3" footer="0.3"/>
  <pageSetup scale="80"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41"/>
  <sheetViews>
    <sheetView workbookViewId="0"/>
  </sheetViews>
  <sheetFormatPr defaultColWidth="8.125" defaultRowHeight="12.75"/>
  <cols>
    <col min="1" max="1" width="6.875" style="361" customWidth="1"/>
    <col min="2" max="2" width="41.375" style="362" customWidth="1"/>
    <col min="3" max="3" width="18.875" style="361" bestFit="1" customWidth="1"/>
    <col min="4" max="4" width="16.5" style="362" customWidth="1"/>
    <col min="5" max="5" width="21.25" style="362" bestFit="1" customWidth="1"/>
    <col min="6" max="6" width="15" style="362" bestFit="1" customWidth="1"/>
    <col min="7" max="7" width="14.125" style="361" bestFit="1" customWidth="1"/>
    <col min="8" max="8" width="16.75" style="362" bestFit="1" customWidth="1"/>
    <col min="9" max="9" width="22.25" style="362" bestFit="1" customWidth="1"/>
    <col min="10" max="10" width="22.25" style="362" customWidth="1"/>
    <col min="11" max="11" width="17.125" style="362" bestFit="1" customWidth="1"/>
    <col min="12" max="16384" width="8.125" style="362"/>
  </cols>
  <sheetData>
    <row r="2" spans="1:13" ht="14.25">
      <c r="K2" s="695" t="s">
        <v>452</v>
      </c>
      <c r="M2" s="363"/>
    </row>
    <row r="3" spans="1:13" ht="14.25">
      <c r="K3" s="695" t="s">
        <v>455</v>
      </c>
    </row>
    <row r="4" spans="1:13" ht="20.25">
      <c r="B4" s="419" t="s">
        <v>839</v>
      </c>
      <c r="C4" s="376"/>
      <c r="D4" s="376"/>
      <c r="E4" s="376"/>
      <c r="F4" s="376"/>
      <c r="G4" s="376"/>
      <c r="H4" s="376"/>
      <c r="I4" s="376"/>
      <c r="J4" s="376"/>
      <c r="K4" s="376"/>
    </row>
    <row r="5" spans="1:13">
      <c r="B5" s="377"/>
      <c r="C5" s="377"/>
      <c r="D5" s="377"/>
      <c r="E5" s="377"/>
      <c r="F5" s="377"/>
      <c r="G5" s="377"/>
      <c r="H5" s="377"/>
      <c r="I5" s="377"/>
      <c r="J5" s="377"/>
      <c r="K5" s="377"/>
    </row>
    <row r="6" spans="1:13" ht="15">
      <c r="B6" s="533" t="str">
        <f>Index!C18</f>
        <v>SPP Upgrades</v>
      </c>
      <c r="C6" s="377"/>
      <c r="D6" s="377"/>
      <c r="E6" s="377"/>
      <c r="F6" s="377"/>
      <c r="G6" s="377"/>
      <c r="H6" s="377"/>
      <c r="I6" s="377"/>
      <c r="J6" s="377"/>
      <c r="K6" s="377"/>
    </row>
    <row r="7" spans="1:13" s="387" customFormat="1" ht="15">
      <c r="B7" s="421" t="str">
        <f>Index!B5</f>
        <v>Year Ending December 31, 2016</v>
      </c>
      <c r="C7" s="378"/>
      <c r="D7" s="378"/>
      <c r="E7" s="378"/>
      <c r="F7" s="378"/>
      <c r="G7" s="378"/>
      <c r="H7" s="378"/>
      <c r="I7" s="378"/>
      <c r="J7" s="378"/>
      <c r="K7" s="378"/>
    </row>
    <row r="8" spans="1:13" s="387" customFormat="1" ht="14.25">
      <c r="B8" s="492"/>
      <c r="C8" s="378"/>
      <c r="D8" s="378"/>
      <c r="E8" s="378"/>
      <c r="F8" s="378"/>
      <c r="G8" s="378"/>
      <c r="H8" s="378"/>
      <c r="I8" s="378"/>
      <c r="J8" s="378"/>
      <c r="K8" s="378"/>
    </row>
    <row r="9" spans="1:13" ht="15">
      <c r="A9" s="494" t="s">
        <v>18</v>
      </c>
      <c r="B9" s="494" t="s">
        <v>19</v>
      </c>
      <c r="C9" s="494" t="s">
        <v>20</v>
      </c>
      <c r="D9" s="494" t="s">
        <v>21</v>
      </c>
      <c r="E9" s="494" t="s">
        <v>22</v>
      </c>
      <c r="F9" s="494" t="s">
        <v>23</v>
      </c>
      <c r="G9" s="494" t="s">
        <v>24</v>
      </c>
      <c r="H9" s="494" t="s">
        <v>25</v>
      </c>
      <c r="I9" s="494" t="s">
        <v>134</v>
      </c>
      <c r="J9" s="494" t="s">
        <v>135</v>
      </c>
      <c r="K9" s="494" t="s">
        <v>369</v>
      </c>
    </row>
    <row r="10" spans="1:13" s="364" customFormat="1" ht="15">
      <c r="A10" s="493"/>
      <c r="B10" s="494"/>
      <c r="C10" s="494"/>
      <c r="D10" s="494" t="s">
        <v>416</v>
      </c>
      <c r="E10" s="494" t="s">
        <v>696</v>
      </c>
      <c r="F10" s="494" t="s">
        <v>697</v>
      </c>
      <c r="G10" s="494" t="s">
        <v>698</v>
      </c>
      <c r="H10" s="494" t="s">
        <v>699</v>
      </c>
      <c r="I10" s="494" t="s">
        <v>416</v>
      </c>
      <c r="J10" s="494" t="s">
        <v>416</v>
      </c>
      <c r="K10" s="495" t="s">
        <v>700</v>
      </c>
    </row>
    <row r="11" spans="1:13" s="364" customFormat="1" ht="15">
      <c r="A11" s="493" t="s">
        <v>415</v>
      </c>
      <c r="B11" s="494" t="s">
        <v>701</v>
      </c>
      <c r="C11" s="494" t="s">
        <v>702</v>
      </c>
      <c r="D11" s="494" t="s">
        <v>703</v>
      </c>
      <c r="E11" s="494" t="s">
        <v>417</v>
      </c>
      <c r="F11" s="494" t="s">
        <v>704</v>
      </c>
      <c r="G11" s="494" t="s">
        <v>705</v>
      </c>
      <c r="H11" s="494" t="s">
        <v>419</v>
      </c>
      <c r="I11" s="494" t="s">
        <v>153</v>
      </c>
      <c r="J11" s="494" t="s">
        <v>40</v>
      </c>
      <c r="K11" s="495" t="s">
        <v>706</v>
      </c>
    </row>
    <row r="12" spans="1:13" s="361" customFormat="1" ht="14.25">
      <c r="A12" s="496"/>
      <c r="B12" s="497" t="s">
        <v>707</v>
      </c>
      <c r="C12" s="497"/>
      <c r="D12" s="497" t="s">
        <v>708</v>
      </c>
      <c r="E12" s="497" t="s">
        <v>708</v>
      </c>
      <c r="F12" s="528" t="s">
        <v>799</v>
      </c>
      <c r="G12" s="497" t="s">
        <v>709</v>
      </c>
      <c r="H12" s="528" t="s">
        <v>800</v>
      </c>
      <c r="I12" s="497" t="s">
        <v>710</v>
      </c>
      <c r="J12" s="497" t="s">
        <v>711</v>
      </c>
      <c r="K12" s="529" t="s">
        <v>801</v>
      </c>
    </row>
    <row r="13" spans="1:13" ht="14.25">
      <c r="A13" s="498"/>
      <c r="B13" s="499"/>
      <c r="C13" s="500"/>
      <c r="D13" s="499"/>
      <c r="E13" s="499"/>
      <c r="F13" s="499"/>
      <c r="G13" s="500"/>
      <c r="H13" s="499"/>
      <c r="I13" s="499"/>
      <c r="J13" s="499"/>
      <c r="K13" s="501"/>
    </row>
    <row r="14" spans="1:13" ht="14.25">
      <c r="A14" s="502" t="s">
        <v>420</v>
      </c>
      <c r="B14" s="503"/>
      <c r="C14" s="504"/>
      <c r="D14" s="505"/>
      <c r="E14" s="505"/>
      <c r="F14" s="506">
        <f>D14-E14</f>
        <v>0</v>
      </c>
      <c r="G14" s="507">
        <f>$C$36</f>
        <v>0.20390991791578669</v>
      </c>
      <c r="H14" s="506">
        <f>D14*G14</f>
        <v>0</v>
      </c>
      <c r="I14" s="506">
        <f>D14*'Worksheet L Depreciation Exp'!$G$23</f>
        <v>0</v>
      </c>
      <c r="J14" s="506">
        <f>F14*'Worksheet C Return'!$K$17</f>
        <v>0</v>
      </c>
      <c r="K14" s="508">
        <f>H14+I14+J14</f>
        <v>0</v>
      </c>
    </row>
    <row r="15" spans="1:13" ht="14.25">
      <c r="A15" s="509" t="s">
        <v>421</v>
      </c>
      <c r="B15" s="510"/>
      <c r="C15" s="511"/>
      <c r="D15" s="512"/>
      <c r="E15" s="512"/>
      <c r="F15" s="506">
        <f t="shared" ref="F15:F22" si="0">D15-E15</f>
        <v>0</v>
      </c>
      <c r="G15" s="507">
        <f t="shared" ref="G15:G21" si="1">$C$36</f>
        <v>0.20390991791578669</v>
      </c>
      <c r="H15" s="506">
        <f t="shared" ref="H15:H21" si="2">D15*G15</f>
        <v>0</v>
      </c>
      <c r="I15" s="506">
        <f>D15*'Worksheet L Depreciation Exp'!$G$23</f>
        <v>0</v>
      </c>
      <c r="J15" s="506">
        <f>F15*'Worksheet C Return'!$K$17</f>
        <v>0</v>
      </c>
      <c r="K15" s="508">
        <f t="shared" ref="K15:K22" si="3">H15+I15+J15</f>
        <v>0</v>
      </c>
    </row>
    <row r="16" spans="1:13" ht="14.25">
      <c r="A16" s="509" t="s">
        <v>422</v>
      </c>
      <c r="B16" s="510"/>
      <c r="C16" s="511"/>
      <c r="D16" s="512"/>
      <c r="E16" s="512"/>
      <c r="F16" s="506">
        <f t="shared" si="0"/>
        <v>0</v>
      </c>
      <c r="G16" s="507">
        <f t="shared" si="1"/>
        <v>0.20390991791578669</v>
      </c>
      <c r="H16" s="506">
        <f t="shared" si="2"/>
        <v>0</v>
      </c>
      <c r="I16" s="506">
        <f>D16*'Worksheet L Depreciation Exp'!$G$23</f>
        <v>0</v>
      </c>
      <c r="J16" s="506">
        <f>F16*'Worksheet C Return'!$K$17</f>
        <v>0</v>
      </c>
      <c r="K16" s="508">
        <f t="shared" si="3"/>
        <v>0</v>
      </c>
    </row>
    <row r="17" spans="1:11" ht="14.25">
      <c r="A17" s="509" t="s">
        <v>423</v>
      </c>
      <c r="B17" s="510"/>
      <c r="C17" s="511"/>
      <c r="D17" s="512"/>
      <c r="E17" s="512"/>
      <c r="F17" s="506">
        <f t="shared" si="0"/>
        <v>0</v>
      </c>
      <c r="G17" s="507">
        <f t="shared" si="1"/>
        <v>0.20390991791578669</v>
      </c>
      <c r="H17" s="506">
        <f t="shared" si="2"/>
        <v>0</v>
      </c>
      <c r="I17" s="506">
        <f>D17*'Worksheet L Depreciation Exp'!$G$23</f>
        <v>0</v>
      </c>
      <c r="J17" s="506">
        <f>F17*'Worksheet C Return'!$K$17</f>
        <v>0</v>
      </c>
      <c r="K17" s="508">
        <f t="shared" si="3"/>
        <v>0</v>
      </c>
    </row>
    <row r="18" spans="1:11" ht="14.25">
      <c r="A18" s="509" t="s">
        <v>424</v>
      </c>
      <c r="B18" s="510"/>
      <c r="C18" s="511"/>
      <c r="D18" s="512"/>
      <c r="E18" s="512"/>
      <c r="F18" s="506">
        <f t="shared" si="0"/>
        <v>0</v>
      </c>
      <c r="G18" s="507">
        <f t="shared" si="1"/>
        <v>0.20390991791578669</v>
      </c>
      <c r="H18" s="506">
        <f t="shared" si="2"/>
        <v>0</v>
      </c>
      <c r="I18" s="506">
        <f>D18*'Worksheet L Depreciation Exp'!$G$23</f>
        <v>0</v>
      </c>
      <c r="J18" s="506">
        <f>F18*'Worksheet C Return'!$K$17</f>
        <v>0</v>
      </c>
      <c r="K18" s="508">
        <f t="shared" si="3"/>
        <v>0</v>
      </c>
    </row>
    <row r="19" spans="1:11" ht="14.25">
      <c r="A19" s="509" t="s">
        <v>425</v>
      </c>
      <c r="B19" s="510"/>
      <c r="C19" s="511"/>
      <c r="D19" s="512"/>
      <c r="E19" s="512"/>
      <c r="F19" s="506">
        <f t="shared" si="0"/>
        <v>0</v>
      </c>
      <c r="G19" s="507">
        <f t="shared" si="1"/>
        <v>0.20390991791578669</v>
      </c>
      <c r="H19" s="506">
        <f t="shared" si="2"/>
        <v>0</v>
      </c>
      <c r="I19" s="506">
        <f>D19*'Worksheet L Depreciation Exp'!$G$23</f>
        <v>0</v>
      </c>
      <c r="J19" s="506">
        <f>F19*'Worksheet C Return'!$K$17</f>
        <v>0</v>
      </c>
      <c r="K19" s="508">
        <f t="shared" si="3"/>
        <v>0</v>
      </c>
    </row>
    <row r="20" spans="1:11" ht="14.25">
      <c r="A20" s="509" t="s">
        <v>426</v>
      </c>
      <c r="B20" s="510"/>
      <c r="C20" s="511"/>
      <c r="D20" s="512"/>
      <c r="E20" s="512"/>
      <c r="F20" s="506">
        <f t="shared" si="0"/>
        <v>0</v>
      </c>
      <c r="G20" s="507">
        <f t="shared" si="1"/>
        <v>0.20390991791578669</v>
      </c>
      <c r="H20" s="506">
        <f t="shared" si="2"/>
        <v>0</v>
      </c>
      <c r="I20" s="506">
        <f>D20*'Worksheet L Depreciation Exp'!$G$23</f>
        <v>0</v>
      </c>
      <c r="J20" s="506">
        <f>F20*'Worksheet C Return'!$K$17</f>
        <v>0</v>
      </c>
      <c r="K20" s="508">
        <f t="shared" si="3"/>
        <v>0</v>
      </c>
    </row>
    <row r="21" spans="1:11" ht="14.25">
      <c r="A21" s="509" t="s">
        <v>427</v>
      </c>
      <c r="B21" s="510"/>
      <c r="C21" s="511"/>
      <c r="D21" s="512"/>
      <c r="E21" s="512"/>
      <c r="F21" s="506">
        <f t="shared" si="0"/>
        <v>0</v>
      </c>
      <c r="G21" s="507">
        <f t="shared" si="1"/>
        <v>0.20390991791578669</v>
      </c>
      <c r="H21" s="506">
        <f t="shared" si="2"/>
        <v>0</v>
      </c>
      <c r="I21" s="506">
        <f>D21*'Worksheet L Depreciation Exp'!$G$23</f>
        <v>0</v>
      </c>
      <c r="J21" s="506">
        <f>F21*'Worksheet C Return'!$K$17</f>
        <v>0</v>
      </c>
      <c r="K21" s="508">
        <f t="shared" si="3"/>
        <v>0</v>
      </c>
    </row>
    <row r="22" spans="1:11" ht="14.25">
      <c r="A22" s="513" t="s">
        <v>427</v>
      </c>
      <c r="B22" s="514"/>
      <c r="C22" s="515"/>
      <c r="D22" s="516"/>
      <c r="E22" s="516"/>
      <c r="F22" s="517">
        <f t="shared" si="0"/>
        <v>0</v>
      </c>
      <c r="G22" s="518">
        <f>G21</f>
        <v>0.20390991791578669</v>
      </c>
      <c r="H22" s="517">
        <f>D22*G22</f>
        <v>0</v>
      </c>
      <c r="I22" s="517">
        <f>D22*'Worksheet L Depreciation Exp'!$G$23</f>
        <v>0</v>
      </c>
      <c r="J22" s="517">
        <f>F22*'Worksheet C Return'!$K$17</f>
        <v>0</v>
      </c>
      <c r="K22" s="519">
        <f t="shared" si="3"/>
        <v>0</v>
      </c>
    </row>
    <row r="23" spans="1:11" ht="14.25">
      <c r="A23" s="520"/>
      <c r="B23" s="521"/>
      <c r="C23" s="520"/>
      <c r="D23" s="521"/>
      <c r="E23" s="521"/>
      <c r="F23" s="521"/>
      <c r="G23" s="520"/>
      <c r="H23" s="521"/>
      <c r="I23" s="521"/>
      <c r="J23" s="521"/>
      <c r="K23" s="521"/>
    </row>
    <row r="24" spans="1:11" ht="15" thickBot="1">
      <c r="A24" s="520">
        <v>2</v>
      </c>
      <c r="B24" s="521" t="s">
        <v>712</v>
      </c>
      <c r="C24" s="520"/>
      <c r="D24" s="522">
        <f>SUM(D14:D22)</f>
        <v>0</v>
      </c>
      <c r="E24" s="522">
        <f>SUM(E14:E22)</f>
        <v>0</v>
      </c>
      <c r="F24" s="522">
        <f>SUM(F14:F22)</f>
        <v>0</v>
      </c>
      <c r="G24" s="520"/>
      <c r="H24" s="522">
        <f>SUM(H14:H22)</f>
        <v>0</v>
      </c>
      <c r="I24" s="522">
        <f>SUM(I14:I22)</f>
        <v>0</v>
      </c>
      <c r="J24" s="522">
        <f>SUM(J14:J22)</f>
        <v>0</v>
      </c>
      <c r="K24" s="522">
        <f>SUM(K14:K22)</f>
        <v>0</v>
      </c>
    </row>
    <row r="25" spans="1:11" ht="15" thickTop="1">
      <c r="A25" s="520"/>
      <c r="B25" s="521"/>
      <c r="C25" s="520"/>
      <c r="D25" s="521"/>
      <c r="E25" s="521"/>
      <c r="F25" s="521"/>
      <c r="G25" s="520"/>
      <c r="H25" s="521"/>
      <c r="I25" s="521"/>
      <c r="J25" s="521"/>
      <c r="K25" s="521"/>
    </row>
    <row r="26" spans="1:11" ht="14.25">
      <c r="A26" s="520">
        <f>A24+1</f>
        <v>3</v>
      </c>
      <c r="B26" s="638" t="s">
        <v>798</v>
      </c>
      <c r="C26" s="520"/>
      <c r="D26" s="521"/>
      <c r="E26" s="521"/>
      <c r="F26" s="521"/>
      <c r="G26" s="520"/>
      <c r="H26" s="521"/>
      <c r="I26" s="521"/>
      <c r="J26" s="521"/>
      <c r="K26" s="521"/>
    </row>
    <row r="27" spans="1:11" ht="14.25">
      <c r="A27" s="520">
        <f>A26+1</f>
        <v>4</v>
      </c>
      <c r="B27" s="612" t="s">
        <v>819</v>
      </c>
      <c r="C27" s="520"/>
      <c r="D27" s="521"/>
      <c r="E27" s="521"/>
      <c r="F27" s="521"/>
      <c r="G27" s="520"/>
      <c r="H27" s="521"/>
      <c r="I27" s="521"/>
      <c r="J27" s="521"/>
      <c r="K27" s="521"/>
    </row>
    <row r="28" spans="1:11" ht="14.25">
      <c r="A28" s="520">
        <f t="shared" ref="A28:A41" si="4">A27+1</f>
        <v>5</v>
      </c>
      <c r="B28" s="612" t="s">
        <v>820</v>
      </c>
      <c r="C28" s="520"/>
      <c r="D28" s="521"/>
      <c r="E28" s="521"/>
      <c r="F28" s="521"/>
      <c r="G28" s="520"/>
      <c r="H28" s="521"/>
      <c r="I28" s="521"/>
      <c r="J28" s="521"/>
      <c r="K28" s="521"/>
    </row>
    <row r="29" spans="1:11" ht="14.25">
      <c r="A29" s="520">
        <f t="shared" si="4"/>
        <v>6</v>
      </c>
      <c r="B29" s="612" t="s">
        <v>827</v>
      </c>
      <c r="C29" s="520"/>
      <c r="D29" s="521"/>
      <c r="E29" s="521"/>
      <c r="F29" s="521"/>
      <c r="G29" s="520"/>
      <c r="H29" s="521"/>
      <c r="I29" s="521"/>
      <c r="J29" s="521"/>
      <c r="K29" s="521"/>
    </row>
    <row r="30" spans="1:11" ht="14.25">
      <c r="A30" s="520">
        <f t="shared" si="4"/>
        <v>7</v>
      </c>
      <c r="B30" s="612" t="s">
        <v>828</v>
      </c>
      <c r="C30" s="520"/>
      <c r="D30" s="521"/>
      <c r="E30" s="521"/>
      <c r="F30" s="521"/>
      <c r="G30" s="520"/>
      <c r="H30" s="521"/>
      <c r="I30" s="521"/>
      <c r="J30" s="521"/>
      <c r="K30" s="521"/>
    </row>
    <row r="31" spans="1:11" ht="14.25">
      <c r="A31" s="520">
        <f t="shared" si="4"/>
        <v>8</v>
      </c>
      <c r="B31" s="657" t="s">
        <v>806</v>
      </c>
      <c r="C31" s="523">
        <f>Summary!H14</f>
        <v>9170781.1568838432</v>
      </c>
      <c r="D31" s="521"/>
      <c r="E31" s="521"/>
      <c r="F31" s="521"/>
      <c r="G31" s="520"/>
      <c r="H31" s="521"/>
      <c r="I31" s="521"/>
      <c r="J31" s="521"/>
      <c r="K31" s="521"/>
    </row>
    <row r="32" spans="1:11" ht="14.25">
      <c r="A32" s="520">
        <f t="shared" si="4"/>
        <v>9</v>
      </c>
      <c r="B32" s="658" t="s">
        <v>807</v>
      </c>
      <c r="C32" s="524">
        <f>SUM('Worksheet B Expenses'!I49:I49)</f>
        <v>551639.55989950045</v>
      </c>
      <c r="D32" s="521"/>
      <c r="E32" s="521"/>
      <c r="F32" s="521"/>
      <c r="G32" s="520"/>
      <c r="H32" s="521"/>
      <c r="I32" s="521"/>
      <c r="J32" s="521"/>
      <c r="K32" s="521"/>
    </row>
    <row r="33" spans="1:11" ht="14.25">
      <c r="A33" s="520">
        <f t="shared" si="4"/>
        <v>10</v>
      </c>
      <c r="B33" s="658" t="s">
        <v>808</v>
      </c>
      <c r="C33" s="524">
        <f>'Worksheet A Rate Base'!I57*'Worksheet C Return'!K17</f>
        <v>921367.53713843075</v>
      </c>
      <c r="D33" s="521"/>
      <c r="E33" s="521"/>
      <c r="F33" s="521"/>
      <c r="G33" s="520"/>
      <c r="H33" s="521"/>
      <c r="I33" s="521"/>
      <c r="J33" s="521"/>
      <c r="K33" s="521"/>
    </row>
    <row r="34" spans="1:11" ht="14.25">
      <c r="A34" s="520">
        <f t="shared" si="4"/>
        <v>11</v>
      </c>
      <c r="B34" s="658" t="s">
        <v>809</v>
      </c>
      <c r="C34" s="524">
        <f>Summary!H21</f>
        <v>797180.7</v>
      </c>
      <c r="D34" s="521"/>
      <c r="E34" s="521"/>
      <c r="F34" s="521"/>
      <c r="G34" s="520"/>
      <c r="H34" s="521"/>
      <c r="I34" s="521"/>
      <c r="J34" s="521"/>
      <c r="K34" s="521"/>
    </row>
    <row r="35" spans="1:11" ht="14.25">
      <c r="A35" s="520">
        <f t="shared" si="4"/>
        <v>12</v>
      </c>
      <c r="B35" s="658" t="s">
        <v>810</v>
      </c>
      <c r="C35" s="524">
        <f>'Worksheet A Rate Base'!$I$25</f>
        <v>33841381.676666692</v>
      </c>
      <c r="D35" s="521"/>
      <c r="E35" s="521"/>
      <c r="F35" s="521"/>
      <c r="G35" s="520"/>
      <c r="H35" s="521"/>
      <c r="I35" s="521"/>
      <c r="J35" s="521"/>
      <c r="K35" s="521"/>
    </row>
    <row r="36" spans="1:11" ht="14.25">
      <c r="A36" s="520">
        <f t="shared" si="4"/>
        <v>13</v>
      </c>
      <c r="B36" s="658" t="s">
        <v>802</v>
      </c>
      <c r="C36" s="525">
        <f>(C31-C32-C33-C34)/C35</f>
        <v>0.20390991791578669</v>
      </c>
      <c r="D36" s="521"/>
      <c r="E36" s="521"/>
      <c r="F36" s="521"/>
      <c r="G36" s="520"/>
      <c r="H36" s="521"/>
      <c r="I36" s="521"/>
      <c r="J36" s="521"/>
      <c r="K36" s="521"/>
    </row>
    <row r="37" spans="1:11" ht="14.25">
      <c r="A37" s="520">
        <f t="shared" si="4"/>
        <v>14</v>
      </c>
      <c r="B37" s="612" t="s">
        <v>923</v>
      </c>
      <c r="C37" s="520"/>
      <c r="D37" s="521"/>
      <c r="E37" s="526"/>
      <c r="F37" s="521"/>
      <c r="G37" s="527"/>
      <c r="H37" s="521"/>
      <c r="I37" s="521"/>
      <c r="J37" s="521"/>
      <c r="K37" s="521"/>
    </row>
    <row r="38" spans="1:11" ht="14.25">
      <c r="A38" s="520">
        <f t="shared" si="4"/>
        <v>15</v>
      </c>
      <c r="B38" s="637" t="s">
        <v>821</v>
      </c>
      <c r="C38" s="520"/>
      <c r="D38" s="521"/>
      <c r="E38" s="521"/>
      <c r="F38" s="521"/>
      <c r="G38" s="520"/>
      <c r="H38" s="521"/>
      <c r="I38" s="521"/>
      <c r="J38" s="521"/>
      <c r="K38" s="521"/>
    </row>
    <row r="39" spans="1:11" ht="14.25">
      <c r="A39" s="520">
        <f t="shared" si="4"/>
        <v>16</v>
      </c>
      <c r="B39" s="698" t="s">
        <v>948</v>
      </c>
    </row>
    <row r="40" spans="1:11" ht="14.25">
      <c r="A40" s="520">
        <f t="shared" si="4"/>
        <v>17</v>
      </c>
      <c r="B40" s="698" t="s">
        <v>930</v>
      </c>
    </row>
    <row r="41" spans="1:11" ht="14.25">
      <c r="A41" s="520">
        <f t="shared" si="4"/>
        <v>18</v>
      </c>
      <c r="B41" s="698" t="s">
        <v>931</v>
      </c>
    </row>
  </sheetData>
  <pageMargins left="0.7" right="0.7" top="0.75" bottom="0.75" header="0.3" footer="0.3"/>
  <pageSetup scale="5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63"/>
  <sheetViews>
    <sheetView topLeftCell="A7" workbookViewId="0"/>
  </sheetViews>
  <sheetFormatPr defaultColWidth="8.125" defaultRowHeight="12.75"/>
  <cols>
    <col min="1" max="1" width="6.875" style="361" customWidth="1"/>
    <col min="2" max="2" width="13.25" style="362" customWidth="1"/>
    <col min="3" max="3" width="57.375" style="362" customWidth="1"/>
    <col min="4" max="4" width="26.375" style="361" bestFit="1" customWidth="1"/>
    <col min="5" max="16384" width="8.125" style="362"/>
  </cols>
  <sheetData>
    <row r="1" spans="1:6">
      <c r="F1" s="361"/>
    </row>
    <row r="2" spans="1:6" ht="14.25">
      <c r="C2" s="389"/>
      <c r="D2" s="695" t="s">
        <v>793</v>
      </c>
    </row>
    <row r="3" spans="1:6" ht="14.25">
      <c r="D3" s="695" t="s">
        <v>456</v>
      </c>
    </row>
    <row r="4" spans="1:6" ht="20.25">
      <c r="B4" s="419" t="s">
        <v>839</v>
      </c>
      <c r="C4" s="376"/>
      <c r="D4" s="376"/>
    </row>
    <row r="5" spans="1:6" ht="15">
      <c r="B5" s="533" t="str">
        <f>Index!C19</f>
        <v>Depreciation Rates</v>
      </c>
      <c r="C5" s="377"/>
      <c r="D5" s="377"/>
    </row>
    <row r="6" spans="1:6" s="387" customFormat="1" ht="15">
      <c r="B6" s="421" t="str">
        <f>Index!B5</f>
        <v>Year Ending December 31, 2016</v>
      </c>
      <c r="C6" s="378"/>
      <c r="D6" s="378"/>
    </row>
    <row r="8" spans="1:6">
      <c r="A8" s="364" t="s">
        <v>18</v>
      </c>
      <c r="B8" s="364" t="s">
        <v>19</v>
      </c>
      <c r="C8" s="364" t="s">
        <v>20</v>
      </c>
      <c r="D8" s="364" t="s">
        <v>21</v>
      </c>
    </row>
    <row r="9" spans="1:6" ht="25.5">
      <c r="A9" s="367" t="s">
        <v>415</v>
      </c>
      <c r="B9" s="367" t="s">
        <v>735</v>
      </c>
      <c r="C9" s="367" t="s">
        <v>0</v>
      </c>
      <c r="D9" s="531" t="s">
        <v>803</v>
      </c>
    </row>
    <row r="10" spans="1:6">
      <c r="A10" s="361">
        <v>1</v>
      </c>
      <c r="C10" s="368" t="s">
        <v>779</v>
      </c>
      <c r="D10" s="383"/>
    </row>
    <row r="11" spans="1:6">
      <c r="A11" s="361">
        <f>A10+1</f>
        <v>2</v>
      </c>
      <c r="B11" s="631">
        <v>303</v>
      </c>
      <c r="C11" s="632" t="s">
        <v>812</v>
      </c>
      <c r="D11" s="398">
        <v>2.75E-2</v>
      </c>
    </row>
    <row r="12" spans="1:6">
      <c r="A12" s="362"/>
      <c r="D12" s="383"/>
    </row>
    <row r="13" spans="1:6">
      <c r="A13" s="400">
        <f>A11+1</f>
        <v>3</v>
      </c>
      <c r="C13" s="368" t="s">
        <v>76</v>
      </c>
      <c r="D13" s="383"/>
    </row>
    <row r="14" spans="1:6">
      <c r="A14" s="361">
        <f>A13+1</f>
        <v>4</v>
      </c>
      <c r="B14" s="361">
        <v>352</v>
      </c>
      <c r="C14" s="362" t="s">
        <v>440</v>
      </c>
      <c r="D14" s="398">
        <v>1.4900000000000002E-2</v>
      </c>
    </row>
    <row r="15" spans="1:6">
      <c r="A15" s="400">
        <f>A14+1</f>
        <v>5</v>
      </c>
      <c r="B15" s="361">
        <v>353</v>
      </c>
      <c r="C15" s="362" t="s">
        <v>77</v>
      </c>
      <c r="D15" s="398">
        <v>1.5400000000000002E-2</v>
      </c>
    </row>
    <row r="16" spans="1:6">
      <c r="A16" s="400">
        <f t="shared" ref="A16:A21" si="0">A15+1</f>
        <v>6</v>
      </c>
      <c r="B16" s="361">
        <v>354</v>
      </c>
      <c r="C16" s="362" t="s">
        <v>749</v>
      </c>
      <c r="D16" s="398">
        <v>1.1900000000000001E-2</v>
      </c>
    </row>
    <row r="17" spans="1:13">
      <c r="A17" s="400">
        <f t="shared" si="0"/>
        <v>7</v>
      </c>
      <c r="B17" s="361">
        <v>355</v>
      </c>
      <c r="C17" s="362" t="s">
        <v>441</v>
      </c>
      <c r="D17" s="398">
        <v>2.1899999999999999E-2</v>
      </c>
    </row>
    <row r="18" spans="1:13">
      <c r="A18" s="400">
        <f t="shared" si="0"/>
        <v>8</v>
      </c>
      <c r="B18" s="361">
        <v>356</v>
      </c>
      <c r="C18" s="362" t="s">
        <v>750</v>
      </c>
      <c r="D18" s="398">
        <v>1.5900000000000001E-2</v>
      </c>
    </row>
    <row r="19" spans="1:13">
      <c r="A19" s="400">
        <f t="shared" si="0"/>
        <v>9</v>
      </c>
      <c r="B19" s="361">
        <v>357</v>
      </c>
      <c r="C19" s="534" t="s">
        <v>442</v>
      </c>
      <c r="D19" s="398">
        <v>1.5900000000000001E-2</v>
      </c>
    </row>
    <row r="20" spans="1:13">
      <c r="A20" s="400">
        <f t="shared" si="0"/>
        <v>10</v>
      </c>
      <c r="B20" s="361">
        <v>358</v>
      </c>
      <c r="C20" s="362" t="s">
        <v>751</v>
      </c>
      <c r="D20" s="398">
        <v>2.3700000000000002E-2</v>
      </c>
    </row>
    <row r="21" spans="1:13">
      <c r="A21" s="400">
        <f t="shared" si="0"/>
        <v>11</v>
      </c>
      <c r="B21" s="361">
        <v>359</v>
      </c>
      <c r="C21" s="362" t="s">
        <v>690</v>
      </c>
      <c r="D21" s="675">
        <v>1.2400000000000001E-2</v>
      </c>
    </row>
    <row r="22" spans="1:13">
      <c r="D22" s="676"/>
    </row>
    <row r="23" spans="1:13">
      <c r="A23" s="361">
        <f>A21+1</f>
        <v>12</v>
      </c>
      <c r="C23" s="368" t="s">
        <v>786</v>
      </c>
      <c r="D23" s="383"/>
    </row>
    <row r="24" spans="1:13">
      <c r="A24" s="400">
        <f>A23+1</f>
        <v>13</v>
      </c>
      <c r="B24" s="361">
        <v>361</v>
      </c>
      <c r="C24" s="362" t="s">
        <v>443</v>
      </c>
      <c r="D24" s="383">
        <v>2.8799999999999999E-2</v>
      </c>
    </row>
    <row r="25" spans="1:13">
      <c r="A25" s="400">
        <f>A24+1</f>
        <v>14</v>
      </c>
      <c r="B25" s="361">
        <v>362</v>
      </c>
      <c r="C25" s="362" t="s">
        <v>444</v>
      </c>
      <c r="D25" s="383">
        <v>2.8799999999999999E-2</v>
      </c>
    </row>
    <row r="26" spans="1:13">
      <c r="A26" s="400"/>
      <c r="D26" s="383"/>
    </row>
    <row r="27" spans="1:13">
      <c r="A27" s="400">
        <f>A25+1</f>
        <v>15</v>
      </c>
      <c r="C27" s="368" t="s">
        <v>414</v>
      </c>
      <c r="D27" s="383"/>
    </row>
    <row r="28" spans="1:13">
      <c r="A28" s="361">
        <f>A27+1</f>
        <v>16</v>
      </c>
      <c r="B28" s="361">
        <v>390</v>
      </c>
      <c r="C28" s="362" t="s">
        <v>692</v>
      </c>
      <c r="D28" s="633">
        <v>1.2E-2</v>
      </c>
      <c r="M28" s="391"/>
    </row>
    <row r="29" spans="1:13">
      <c r="A29" s="400"/>
      <c r="B29" s="400"/>
      <c r="D29" s="390"/>
      <c r="M29" s="391"/>
    </row>
    <row r="30" spans="1:13">
      <c r="A30" s="361">
        <f>A28+1</f>
        <v>17</v>
      </c>
      <c r="B30" s="361">
        <v>391</v>
      </c>
      <c r="C30" s="368" t="s">
        <v>787</v>
      </c>
      <c r="D30" s="383"/>
      <c r="M30" s="391"/>
    </row>
    <row r="31" spans="1:13">
      <c r="A31" s="361">
        <f t="shared" ref="A31:A60" si="1">A30+1</f>
        <v>18</v>
      </c>
      <c r="B31" s="361">
        <v>391.1</v>
      </c>
      <c r="C31" s="386" t="s">
        <v>756</v>
      </c>
      <c r="D31" s="383">
        <v>0.25</v>
      </c>
      <c r="M31" s="391"/>
    </row>
    <row r="32" spans="1:13">
      <c r="A32" s="361">
        <f t="shared" si="1"/>
        <v>19</v>
      </c>
      <c r="B32" s="361">
        <v>391.11</v>
      </c>
      <c r="C32" s="386" t="s">
        <v>757</v>
      </c>
      <c r="D32" s="383">
        <v>5.9988002399520089E-2</v>
      </c>
      <c r="M32" s="391"/>
    </row>
    <row r="33" spans="1:13">
      <c r="A33" s="361">
        <f t="shared" si="1"/>
        <v>20</v>
      </c>
      <c r="B33" s="361">
        <v>391.12</v>
      </c>
      <c r="C33" s="386" t="s">
        <v>758</v>
      </c>
      <c r="D33" s="383">
        <v>0.1</v>
      </c>
      <c r="M33" s="391"/>
    </row>
    <row r="34" spans="1:13">
      <c r="A34" s="361">
        <f t="shared" si="1"/>
        <v>21</v>
      </c>
      <c r="B34" s="361">
        <v>391.13</v>
      </c>
      <c r="C34" s="386" t="s">
        <v>759</v>
      </c>
      <c r="D34" s="383">
        <v>0.2</v>
      </c>
      <c r="M34" s="391"/>
    </row>
    <row r="35" spans="1:13">
      <c r="A35" s="361">
        <f t="shared" si="1"/>
        <v>22</v>
      </c>
      <c r="B35" s="361">
        <v>391.14</v>
      </c>
      <c r="C35" s="386" t="s">
        <v>760</v>
      </c>
      <c r="D35" s="383">
        <v>5.9988002399520089E-2</v>
      </c>
      <c r="M35" s="391"/>
    </row>
    <row r="36" spans="1:13">
      <c r="A36" s="361">
        <f t="shared" si="1"/>
        <v>23</v>
      </c>
      <c r="B36" s="361">
        <v>391.15</v>
      </c>
      <c r="C36" s="386" t="s">
        <v>761</v>
      </c>
      <c r="D36" s="383">
        <v>0.1</v>
      </c>
      <c r="M36" s="391"/>
    </row>
    <row r="37" spans="1:13">
      <c r="A37" s="361">
        <f t="shared" si="1"/>
        <v>24</v>
      </c>
      <c r="B37" s="361">
        <v>391.16</v>
      </c>
      <c r="C37" s="386" t="s">
        <v>762</v>
      </c>
      <c r="D37" s="383">
        <v>0.08</v>
      </c>
      <c r="M37" s="391"/>
    </row>
    <row r="38" spans="1:13">
      <c r="A38" s="361">
        <f t="shared" si="1"/>
        <v>25</v>
      </c>
      <c r="B38" s="361">
        <v>391.17</v>
      </c>
      <c r="C38" s="386" t="s">
        <v>763</v>
      </c>
      <c r="D38" s="383">
        <v>0.25</v>
      </c>
      <c r="M38" s="391"/>
    </row>
    <row r="39" spans="1:13">
      <c r="A39" s="361">
        <f t="shared" si="1"/>
        <v>26</v>
      </c>
      <c r="B39" s="361">
        <v>391.18</v>
      </c>
      <c r="C39" s="386" t="s">
        <v>764</v>
      </c>
      <c r="D39" s="383">
        <v>0.33333333333333331</v>
      </c>
      <c r="M39" s="391"/>
    </row>
    <row r="40" spans="1:13">
      <c r="A40" s="361">
        <f t="shared" si="1"/>
        <v>27</v>
      </c>
      <c r="B40" s="361">
        <v>391.19</v>
      </c>
      <c r="C40" s="535" t="s">
        <v>804</v>
      </c>
      <c r="D40" s="383">
        <v>0.2</v>
      </c>
      <c r="M40" s="391"/>
    </row>
    <row r="41" spans="1:13">
      <c r="A41" s="400"/>
      <c r="B41" s="400"/>
      <c r="C41" s="386"/>
      <c r="D41" s="383"/>
      <c r="M41" s="391"/>
    </row>
    <row r="42" spans="1:13">
      <c r="A42" s="361">
        <f>A40+1</f>
        <v>28</v>
      </c>
      <c r="B42" s="361">
        <v>392</v>
      </c>
      <c r="C42" s="368" t="s">
        <v>788</v>
      </c>
      <c r="D42" s="383"/>
      <c r="M42" s="391"/>
    </row>
    <row r="43" spans="1:13">
      <c r="A43" s="361">
        <f t="shared" si="1"/>
        <v>29</v>
      </c>
      <c r="B43" s="361">
        <v>392.1</v>
      </c>
      <c r="C43" s="386" t="s">
        <v>766</v>
      </c>
      <c r="D43" s="383">
        <v>0.25</v>
      </c>
      <c r="M43" s="391"/>
    </row>
    <row r="44" spans="1:13">
      <c r="A44" s="361">
        <f t="shared" si="1"/>
        <v>30</v>
      </c>
      <c r="B44" s="361">
        <v>392.11</v>
      </c>
      <c r="C44" s="386" t="s">
        <v>767</v>
      </c>
      <c r="D44" s="383">
        <v>6.6666666666666666E-2</v>
      </c>
      <c r="M44" s="391"/>
    </row>
    <row r="45" spans="1:13">
      <c r="A45" s="361">
        <f t="shared" si="1"/>
        <v>31</v>
      </c>
      <c r="B45" s="361">
        <v>392.12</v>
      </c>
      <c r="C45" s="386" t="s">
        <v>768</v>
      </c>
      <c r="D45" s="383">
        <v>0.25</v>
      </c>
      <c r="M45" s="391"/>
    </row>
    <row r="46" spans="1:13">
      <c r="A46" s="361">
        <f t="shared" si="1"/>
        <v>32</v>
      </c>
      <c r="B46" s="361">
        <v>392.13</v>
      </c>
      <c r="C46" s="386" t="s">
        <v>769</v>
      </c>
      <c r="D46" s="383">
        <v>0.25</v>
      </c>
      <c r="M46" s="391"/>
    </row>
    <row r="47" spans="1:13">
      <c r="A47" s="361">
        <f t="shared" si="1"/>
        <v>33</v>
      </c>
      <c r="B47" s="361">
        <v>392.14</v>
      </c>
      <c r="C47" s="386" t="s">
        <v>770</v>
      </c>
      <c r="D47" s="383">
        <v>0.25</v>
      </c>
      <c r="M47" s="391"/>
    </row>
    <row r="48" spans="1:13">
      <c r="A48" s="361">
        <f t="shared" si="1"/>
        <v>34</v>
      </c>
      <c r="B48" s="361">
        <v>392.15</v>
      </c>
      <c r="C48" s="386" t="s">
        <v>771</v>
      </c>
      <c r="D48" s="383">
        <v>0.16666666666666666</v>
      </c>
      <c r="M48" s="391"/>
    </row>
    <row r="49" spans="1:13">
      <c r="A49" s="361">
        <f t="shared" si="1"/>
        <v>35</v>
      </c>
      <c r="B49" s="361">
        <v>392.16</v>
      </c>
      <c r="C49" s="386" t="s">
        <v>772</v>
      </c>
      <c r="D49" s="383">
        <v>0.25</v>
      </c>
      <c r="M49" s="391"/>
    </row>
    <row r="50" spans="1:13">
      <c r="A50" s="361">
        <f t="shared" si="1"/>
        <v>36</v>
      </c>
      <c r="B50" s="361">
        <v>392.17</v>
      </c>
      <c r="C50" s="386" t="s">
        <v>773</v>
      </c>
      <c r="D50" s="383">
        <v>0.25</v>
      </c>
      <c r="M50" s="391"/>
    </row>
    <row r="51" spans="1:13">
      <c r="A51" s="361">
        <f t="shared" si="1"/>
        <v>37</v>
      </c>
      <c r="B51" s="361">
        <v>392.18</v>
      </c>
      <c r="C51" s="386" t="s">
        <v>774</v>
      </c>
      <c r="D51" s="383">
        <v>0.25</v>
      </c>
      <c r="M51" s="391"/>
    </row>
    <row r="52" spans="1:13">
      <c r="A52" s="361">
        <f t="shared" si="1"/>
        <v>38</v>
      </c>
      <c r="B52" s="361">
        <v>392.19</v>
      </c>
      <c r="C52" s="386" t="s">
        <v>775</v>
      </c>
      <c r="D52" s="383">
        <v>0.2</v>
      </c>
      <c r="M52" s="391"/>
    </row>
    <row r="53" spans="1:13">
      <c r="A53" s="361">
        <f t="shared" si="1"/>
        <v>39</v>
      </c>
      <c r="B53" s="361">
        <v>392.2</v>
      </c>
      <c r="C53" s="386" t="s">
        <v>776</v>
      </c>
      <c r="D53" s="383">
        <v>0.25</v>
      </c>
      <c r="M53" s="391"/>
    </row>
    <row r="54" spans="1:13">
      <c r="A54" s="361">
        <f t="shared" si="1"/>
        <v>40</v>
      </c>
      <c r="B54" s="361">
        <v>392.21</v>
      </c>
      <c r="C54" s="535" t="s">
        <v>805</v>
      </c>
      <c r="D54" s="383">
        <v>0.25</v>
      </c>
      <c r="M54" s="391"/>
    </row>
    <row r="55" spans="1:13">
      <c r="A55" s="361">
        <f t="shared" si="1"/>
        <v>41</v>
      </c>
      <c r="B55" s="361">
        <v>393</v>
      </c>
      <c r="C55" s="362" t="s">
        <v>445</v>
      </c>
      <c r="D55" s="383">
        <v>0.06</v>
      </c>
      <c r="M55" s="391"/>
    </row>
    <row r="56" spans="1:13">
      <c r="A56" s="361">
        <f t="shared" si="1"/>
        <v>42</v>
      </c>
      <c r="B56" s="361">
        <v>394</v>
      </c>
      <c r="C56" s="362" t="s">
        <v>446</v>
      </c>
      <c r="D56" s="383">
        <v>0.06</v>
      </c>
      <c r="M56" s="391"/>
    </row>
    <row r="57" spans="1:13">
      <c r="A57" s="361">
        <f t="shared" si="1"/>
        <v>43</v>
      </c>
      <c r="B57" s="361">
        <v>395</v>
      </c>
      <c r="C57" s="362" t="s">
        <v>777</v>
      </c>
      <c r="D57" s="383">
        <v>0.06</v>
      </c>
      <c r="M57" s="391"/>
    </row>
    <row r="58" spans="1:13">
      <c r="A58" s="361">
        <f t="shared" si="1"/>
        <v>44</v>
      </c>
      <c r="B58" s="361">
        <v>396</v>
      </c>
      <c r="C58" s="362" t="s">
        <v>447</v>
      </c>
      <c r="D58" s="383">
        <v>0.15</v>
      </c>
      <c r="M58" s="391"/>
    </row>
    <row r="59" spans="1:13">
      <c r="A59" s="361">
        <f t="shared" si="1"/>
        <v>45</v>
      </c>
      <c r="B59" s="361">
        <v>397</v>
      </c>
      <c r="C59" s="362" t="s">
        <v>448</v>
      </c>
      <c r="D59" s="383">
        <v>0.08</v>
      </c>
      <c r="M59" s="391"/>
    </row>
    <row r="60" spans="1:13">
      <c r="A60" s="361">
        <f t="shared" si="1"/>
        <v>46</v>
      </c>
      <c r="B60" s="361">
        <v>398</v>
      </c>
      <c r="C60" s="362" t="s">
        <v>449</v>
      </c>
      <c r="D60" s="383">
        <v>0.15</v>
      </c>
      <c r="M60" s="391"/>
    </row>
    <row r="62" spans="1:13">
      <c r="A62" s="400">
        <f>A60+1</f>
        <v>47</v>
      </c>
      <c r="B62" s="639" t="s">
        <v>713</v>
      </c>
    </row>
    <row r="63" spans="1:13">
      <c r="A63" s="400">
        <f>A62+1</f>
        <v>48</v>
      </c>
      <c r="B63" s="723" t="s">
        <v>946</v>
      </c>
    </row>
  </sheetData>
  <pageMargins left="0.7" right="0.7" top="0.75" bottom="0.75" header="0.3" footer="0.3"/>
  <pageSetup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224"/>
  <sheetViews>
    <sheetView workbookViewId="0"/>
  </sheetViews>
  <sheetFormatPr defaultColWidth="8" defaultRowHeight="12.75"/>
  <cols>
    <col min="1" max="1" width="8" style="284"/>
    <col min="2" max="3" width="9.25" style="284" customWidth="1"/>
    <col min="4" max="4" width="10.375" style="284" customWidth="1"/>
    <col min="5" max="5" width="10.625" style="284" bestFit="1" customWidth="1"/>
    <col min="6" max="6" width="12.75" style="284" bestFit="1" customWidth="1"/>
    <col min="7" max="7" width="12.875" style="284" customWidth="1"/>
    <col min="8" max="8" width="13.125" style="284" customWidth="1"/>
    <col min="9" max="9" width="12.25" style="284" customWidth="1"/>
    <col min="10" max="10" width="16.625" style="284" customWidth="1"/>
    <col min="11" max="11" width="15.5" style="284" bestFit="1" customWidth="1"/>
    <col min="12" max="12" width="26.375" style="284" bestFit="1" customWidth="1"/>
    <col min="13" max="13" width="10.625" style="284" customWidth="1"/>
    <col min="14" max="14" width="10.875" style="284" customWidth="1"/>
    <col min="15" max="16384" width="8" style="284"/>
  </cols>
  <sheetData>
    <row r="1" spans="1:15">
      <c r="O1" s="284" t="s">
        <v>17</v>
      </c>
    </row>
    <row r="2" spans="1:15" ht="14.25">
      <c r="L2" s="696" t="s">
        <v>612</v>
      </c>
      <c r="N2" s="285"/>
    </row>
    <row r="3" spans="1:15" ht="14.25">
      <c r="L3" s="696" t="s">
        <v>457</v>
      </c>
      <c r="N3" s="285"/>
    </row>
    <row r="4" spans="1:15" ht="18">
      <c r="B4" s="532" t="str">
        <f>Index!B2</f>
        <v>Tri-State Generation and Transmission Association, Inc.</v>
      </c>
    </row>
    <row r="5" spans="1:15" ht="17.25" customHeight="1">
      <c r="B5" s="7"/>
      <c r="C5" s="288"/>
      <c r="D5" s="288"/>
      <c r="E5" s="288"/>
      <c r="F5" s="288"/>
      <c r="G5" s="288"/>
      <c r="H5" s="288"/>
      <c r="I5" s="288"/>
      <c r="J5" s="288"/>
      <c r="K5" s="288"/>
      <c r="L5" s="288"/>
      <c r="M5" s="288"/>
      <c r="N5" s="288"/>
    </row>
    <row r="6" spans="1:15" ht="15" customHeight="1">
      <c r="B6" s="5" t="str">
        <f>Index!C20</f>
        <v>Reconciliation Items, Refunds and Surcharges</v>
      </c>
    </row>
    <row r="7" spans="1:15" ht="20.25">
      <c r="B7" s="286" t="str">
        <f>Index!B5</f>
        <v>Year Ending December 31, 2016</v>
      </c>
      <c r="C7" s="287"/>
      <c r="D7" s="287"/>
      <c r="E7" s="287"/>
      <c r="F7" s="287"/>
      <c r="G7" s="287"/>
      <c r="H7" s="287"/>
      <c r="I7" s="287"/>
      <c r="J7" s="287"/>
      <c r="K7" s="287"/>
      <c r="L7" s="287"/>
      <c r="M7" s="287"/>
      <c r="N7" s="287"/>
      <c r="O7" s="289"/>
    </row>
    <row r="8" spans="1:15" ht="16.5">
      <c r="B8" s="290"/>
      <c r="C8" s="290"/>
      <c r="D8" s="290"/>
      <c r="E8" s="290"/>
      <c r="F8" s="290"/>
      <c r="G8" s="290"/>
      <c r="H8" s="290"/>
      <c r="I8" s="290"/>
      <c r="J8" s="290"/>
      <c r="K8" s="290"/>
      <c r="L8" s="290"/>
      <c r="M8" s="290"/>
      <c r="N8" s="290"/>
      <c r="O8" s="290"/>
    </row>
    <row r="9" spans="1:15" ht="15">
      <c r="A9" s="291" t="s">
        <v>18</v>
      </c>
      <c r="B9" s="292"/>
      <c r="C9" s="292" t="s">
        <v>19</v>
      </c>
      <c r="D9" s="292"/>
      <c r="E9" s="291" t="s">
        <v>20</v>
      </c>
      <c r="F9" s="291" t="s">
        <v>21</v>
      </c>
      <c r="G9" s="291" t="s">
        <v>22</v>
      </c>
      <c r="H9" s="291" t="s">
        <v>23</v>
      </c>
      <c r="I9" s="291" t="s">
        <v>24</v>
      </c>
      <c r="J9" s="291" t="s">
        <v>25</v>
      </c>
      <c r="K9" s="291" t="s">
        <v>134</v>
      </c>
      <c r="L9" s="291" t="s">
        <v>135</v>
      </c>
    </row>
    <row r="10" spans="1:15" ht="15">
      <c r="A10" s="339" t="s">
        <v>658</v>
      </c>
      <c r="B10" s="293"/>
      <c r="C10" s="293"/>
      <c r="D10" s="293"/>
      <c r="E10" s="293"/>
      <c r="F10" s="293"/>
      <c r="G10" s="293"/>
      <c r="H10" s="293"/>
      <c r="I10" s="293"/>
      <c r="J10" s="293"/>
      <c r="K10" s="293"/>
      <c r="L10" s="293"/>
    </row>
    <row r="11" spans="1:15" ht="14.25">
      <c r="A11" s="293"/>
      <c r="B11" s="293"/>
      <c r="C11" s="293"/>
      <c r="D11" s="293"/>
      <c r="E11" s="293"/>
      <c r="F11" s="293"/>
      <c r="G11" s="293"/>
      <c r="H11" s="293"/>
      <c r="I11" s="293"/>
      <c r="J11" s="293"/>
      <c r="K11" s="293"/>
      <c r="L11" s="293"/>
    </row>
    <row r="12" spans="1:15" ht="20.25" customHeight="1">
      <c r="A12" s="804" t="s">
        <v>415</v>
      </c>
      <c r="B12" s="815" t="s">
        <v>430</v>
      </c>
      <c r="C12" s="816"/>
      <c r="D12" s="817"/>
      <c r="E12" s="804" t="s">
        <v>431</v>
      </c>
      <c r="F12" s="804" t="s">
        <v>639</v>
      </c>
      <c r="G12" s="804" t="s">
        <v>432</v>
      </c>
      <c r="H12" s="804" t="s">
        <v>433</v>
      </c>
      <c r="I12" s="804" t="s">
        <v>434</v>
      </c>
      <c r="J12" s="804" t="s">
        <v>435</v>
      </c>
      <c r="K12" s="804" t="s">
        <v>640</v>
      </c>
      <c r="L12" s="804" t="s">
        <v>436</v>
      </c>
    </row>
    <row r="13" spans="1:15" ht="27.75" customHeight="1">
      <c r="A13" s="806"/>
      <c r="B13" s="818"/>
      <c r="C13" s="818"/>
      <c r="D13" s="819"/>
      <c r="E13" s="805"/>
      <c r="F13" s="805"/>
      <c r="G13" s="805"/>
      <c r="H13" s="805"/>
      <c r="I13" s="805"/>
      <c r="J13" s="806"/>
      <c r="K13" s="806"/>
      <c r="L13" s="806"/>
    </row>
    <row r="14" spans="1:15" ht="15">
      <c r="A14" s="294"/>
      <c r="B14" s="295"/>
      <c r="C14" s="295"/>
      <c r="D14" s="295"/>
      <c r="E14" s="295"/>
      <c r="F14" s="296"/>
      <c r="G14" s="297"/>
      <c r="H14" s="297"/>
      <c r="I14" s="297"/>
      <c r="J14" s="297"/>
      <c r="K14" s="297"/>
    </row>
    <row r="15" spans="1:15" ht="15">
      <c r="A15" s="294"/>
      <c r="B15" s="295"/>
      <c r="C15" s="295"/>
      <c r="D15" s="295"/>
      <c r="E15" s="295"/>
      <c r="F15" s="296"/>
      <c r="G15" s="297"/>
      <c r="H15" s="297"/>
      <c r="I15" s="297"/>
      <c r="J15" s="297"/>
      <c r="K15" s="297"/>
      <c r="L15" s="298"/>
    </row>
    <row r="16" spans="1:15" ht="14.25">
      <c r="A16" s="807">
        <v>1</v>
      </c>
      <c r="B16" s="809" t="s">
        <v>17</v>
      </c>
      <c r="C16" s="810"/>
      <c r="D16" s="810"/>
      <c r="E16" s="811" t="s">
        <v>17</v>
      </c>
      <c r="F16" s="813" t="s">
        <v>17</v>
      </c>
      <c r="G16" s="299"/>
      <c r="H16" s="300"/>
      <c r="I16" s="300"/>
      <c r="J16" s="300"/>
      <c r="K16" s="300"/>
      <c r="L16" s="300"/>
    </row>
    <row r="17" spans="1:12" ht="14.25">
      <c r="A17" s="808"/>
      <c r="B17" s="810"/>
      <c r="C17" s="810"/>
      <c r="D17" s="810"/>
      <c r="E17" s="812"/>
      <c r="F17" s="814"/>
      <c r="G17" s="340"/>
      <c r="H17" s="340"/>
      <c r="I17" s="341"/>
      <c r="J17" s="341"/>
      <c r="K17" s="341"/>
      <c r="L17" s="301">
        <f>J17+K17</f>
        <v>0</v>
      </c>
    </row>
    <row r="18" spans="1:12" ht="14.25">
      <c r="A18" s="300"/>
      <c r="B18" s="293"/>
      <c r="C18" s="293"/>
      <c r="D18" s="293"/>
      <c r="E18" s="293"/>
      <c r="F18" s="293"/>
      <c r="G18" s="293"/>
      <c r="H18" s="293"/>
      <c r="I18" s="293"/>
      <c r="J18" s="293"/>
      <c r="K18" s="293"/>
      <c r="L18" s="302"/>
    </row>
    <row r="19" spans="1:12" ht="14.25">
      <c r="A19" s="807">
        <v>2</v>
      </c>
      <c r="B19" s="809"/>
      <c r="C19" s="810"/>
      <c r="D19" s="810"/>
      <c r="E19" s="811"/>
      <c r="F19" s="811"/>
      <c r="G19" s="299"/>
      <c r="H19" s="300"/>
      <c r="I19" s="300"/>
      <c r="J19" s="300"/>
      <c r="K19" s="300"/>
      <c r="L19" s="303"/>
    </row>
    <row r="20" spans="1:12" ht="14.25">
      <c r="A20" s="808"/>
      <c r="B20" s="810"/>
      <c r="C20" s="810"/>
      <c r="D20" s="810"/>
      <c r="E20" s="812"/>
      <c r="F20" s="812"/>
      <c r="G20" s="342"/>
      <c r="H20" s="343"/>
      <c r="I20" s="344"/>
      <c r="J20" s="345"/>
      <c r="K20" s="346"/>
      <c r="L20" s="304">
        <f>J20+K20</f>
        <v>0</v>
      </c>
    </row>
    <row r="21" spans="1:12" ht="14.25">
      <c r="A21" s="300"/>
      <c r="B21" s="293"/>
      <c r="C21" s="293"/>
      <c r="D21" s="293"/>
      <c r="E21" s="293"/>
      <c r="F21" s="293"/>
      <c r="G21" s="293"/>
      <c r="H21" s="293"/>
      <c r="I21" s="293"/>
      <c r="J21" s="293"/>
      <c r="K21" s="293"/>
      <c r="L21" s="302"/>
    </row>
    <row r="22" spans="1:12" ht="14.25">
      <c r="A22" s="807">
        <v>3</v>
      </c>
      <c r="B22" s="809"/>
      <c r="C22" s="810"/>
      <c r="D22" s="810"/>
      <c r="E22" s="811"/>
      <c r="F22" s="811"/>
      <c r="G22" s="299"/>
      <c r="H22" s="300"/>
      <c r="I22" s="300"/>
      <c r="J22" s="300"/>
      <c r="K22" s="300"/>
      <c r="L22" s="303"/>
    </row>
    <row r="23" spans="1:12" ht="14.25">
      <c r="A23" s="808"/>
      <c r="B23" s="810"/>
      <c r="C23" s="810"/>
      <c r="D23" s="810"/>
      <c r="E23" s="812"/>
      <c r="F23" s="812"/>
      <c r="G23" s="342"/>
      <c r="H23" s="343"/>
      <c r="I23" s="344"/>
      <c r="J23" s="345"/>
      <c r="K23" s="346"/>
      <c r="L23" s="304">
        <f>J23+K23</f>
        <v>0</v>
      </c>
    </row>
    <row r="24" spans="1:12" ht="14.25">
      <c r="A24" s="300"/>
      <c r="B24" s="293"/>
      <c r="C24" s="293"/>
      <c r="D24" s="293"/>
      <c r="E24" s="293"/>
      <c r="F24" s="293"/>
      <c r="G24" s="293"/>
      <c r="H24" s="293"/>
      <c r="I24" s="293"/>
      <c r="J24" s="293"/>
      <c r="K24" s="293"/>
      <c r="L24" s="302"/>
    </row>
    <row r="25" spans="1:12" ht="14.25">
      <c r="A25" s="807">
        <v>4</v>
      </c>
      <c r="B25" s="809"/>
      <c r="C25" s="810"/>
      <c r="D25" s="810"/>
      <c r="E25" s="811"/>
      <c r="F25" s="811"/>
      <c r="G25" s="299"/>
      <c r="H25" s="300"/>
      <c r="I25" s="300"/>
      <c r="J25" s="300"/>
      <c r="K25" s="300"/>
      <c r="L25" s="303"/>
    </row>
    <row r="26" spans="1:12" ht="14.25">
      <c r="A26" s="808"/>
      <c r="B26" s="810"/>
      <c r="C26" s="810"/>
      <c r="D26" s="810"/>
      <c r="E26" s="812"/>
      <c r="F26" s="812"/>
      <c r="G26" s="342"/>
      <c r="H26" s="343"/>
      <c r="I26" s="344"/>
      <c r="J26" s="345"/>
      <c r="K26" s="346"/>
      <c r="L26" s="304">
        <f>J26+K26</f>
        <v>0</v>
      </c>
    </row>
    <row r="27" spans="1:12" ht="14.25">
      <c r="A27" s="300"/>
      <c r="B27" s="293"/>
      <c r="C27" s="293"/>
      <c r="D27" s="293"/>
      <c r="E27" s="293"/>
      <c r="F27" s="293"/>
      <c r="G27" s="293"/>
      <c r="H27" s="293"/>
      <c r="I27" s="293"/>
      <c r="J27" s="293"/>
      <c r="K27" s="293"/>
      <c r="L27" s="302"/>
    </row>
    <row r="28" spans="1:12" ht="14.25">
      <c r="A28" s="807">
        <v>5</v>
      </c>
      <c r="B28" s="809"/>
      <c r="C28" s="810"/>
      <c r="D28" s="810"/>
      <c r="E28" s="811"/>
      <c r="F28" s="811"/>
      <c r="G28" s="299"/>
      <c r="H28" s="300"/>
      <c r="I28" s="300"/>
      <c r="J28" s="300"/>
      <c r="K28" s="300"/>
      <c r="L28" s="303"/>
    </row>
    <row r="29" spans="1:12" ht="14.25">
      <c r="A29" s="808"/>
      <c r="B29" s="810"/>
      <c r="C29" s="810"/>
      <c r="D29" s="810"/>
      <c r="E29" s="812"/>
      <c r="F29" s="812"/>
      <c r="G29" s="342"/>
      <c r="H29" s="343"/>
      <c r="I29" s="344"/>
      <c r="J29" s="345"/>
      <c r="K29" s="346"/>
      <c r="L29" s="304">
        <f>J29+K29</f>
        <v>0</v>
      </c>
    </row>
    <row r="30" spans="1:12" ht="14.25">
      <c r="A30" s="294"/>
      <c r="B30" s="305"/>
      <c r="C30" s="305"/>
      <c r="D30" s="305"/>
      <c r="E30" s="305"/>
      <c r="F30" s="305"/>
      <c r="G30" s="299"/>
      <c r="H30" s="306"/>
      <c r="I30" s="300"/>
      <c r="J30" s="307"/>
      <c r="K30" s="308"/>
      <c r="L30" s="307"/>
    </row>
    <row r="31" spans="1:12" ht="15" thickBot="1">
      <c r="A31" s="294"/>
      <c r="B31" s="305"/>
      <c r="C31" s="305"/>
      <c r="D31" s="305"/>
      <c r="E31" s="305"/>
      <c r="F31" s="305"/>
      <c r="G31" s="299"/>
      <c r="H31" s="306"/>
      <c r="I31" s="300"/>
      <c r="J31" s="307"/>
      <c r="K31" s="308"/>
      <c r="L31" s="307"/>
    </row>
    <row r="32" spans="1:12" ht="15.75" thickBot="1">
      <c r="A32" s="401">
        <v>6</v>
      </c>
      <c r="B32" s="820" t="s">
        <v>437</v>
      </c>
      <c r="C32" s="821"/>
      <c r="D32" s="821"/>
      <c r="E32" s="821"/>
      <c r="F32" s="821"/>
      <c r="G32" s="821"/>
      <c r="H32" s="821"/>
      <c r="I32" s="821"/>
      <c r="J32" s="821"/>
      <c r="K32" s="308"/>
      <c r="L32" s="309">
        <f>L17+L20+L23+L26+L29</f>
        <v>0</v>
      </c>
    </row>
    <row r="33" spans="1:12" ht="14.25">
      <c r="A33" s="294"/>
      <c r="B33" s="305"/>
      <c r="C33" s="305"/>
      <c r="D33" s="305"/>
      <c r="E33" s="305"/>
      <c r="F33" s="305"/>
      <c r="G33" s="299"/>
      <c r="H33" s="306"/>
      <c r="I33" s="300"/>
      <c r="J33" s="307"/>
      <c r="K33" s="308"/>
      <c r="L33" s="307"/>
    </row>
    <row r="34" spans="1:12" ht="14.25">
      <c r="A34" s="294"/>
      <c r="B34" s="305"/>
      <c r="C34" s="305"/>
      <c r="D34" s="305"/>
      <c r="E34" s="305"/>
      <c r="F34" s="305"/>
      <c r="G34" s="299"/>
      <c r="H34" s="306"/>
      <c r="I34" s="300"/>
      <c r="J34" s="307"/>
      <c r="K34" s="308"/>
      <c r="L34" s="307"/>
    </row>
    <row r="35" spans="1:12" ht="15">
      <c r="A35" s="339" t="s">
        <v>657</v>
      </c>
      <c r="B35" s="293"/>
      <c r="C35" s="293"/>
      <c r="D35" s="293"/>
      <c r="E35" s="293"/>
      <c r="F35" s="293"/>
      <c r="G35" s="293"/>
      <c r="H35" s="293"/>
      <c r="I35" s="293"/>
      <c r="J35" s="293"/>
      <c r="K35" s="293"/>
      <c r="L35" s="293"/>
    </row>
    <row r="36" spans="1:12" ht="14.25">
      <c r="A36" s="293"/>
      <c r="B36" s="293"/>
      <c r="C36" s="293"/>
      <c r="D36" s="293"/>
      <c r="E36" s="293"/>
      <c r="F36" s="293"/>
      <c r="G36" s="293"/>
      <c r="H36" s="293"/>
      <c r="I36" s="293"/>
      <c r="J36" s="293"/>
      <c r="K36" s="293"/>
      <c r="L36" s="293"/>
    </row>
    <row r="37" spans="1:12" ht="20.25" customHeight="1">
      <c r="A37" s="822" t="s">
        <v>415</v>
      </c>
      <c r="B37" s="824" t="s">
        <v>430</v>
      </c>
      <c r="C37" s="816"/>
      <c r="D37" s="817"/>
      <c r="E37" s="804" t="s">
        <v>431</v>
      </c>
      <c r="F37" s="804" t="s">
        <v>639</v>
      </c>
      <c r="G37" s="804" t="s">
        <v>432</v>
      </c>
      <c r="H37" s="804" t="s">
        <v>433</v>
      </c>
      <c r="I37" s="804" t="s">
        <v>434</v>
      </c>
      <c r="J37" s="804" t="s">
        <v>435</v>
      </c>
      <c r="K37" s="804" t="s">
        <v>640</v>
      </c>
      <c r="L37" s="804" t="s">
        <v>436</v>
      </c>
    </row>
    <row r="38" spans="1:12" ht="24" customHeight="1">
      <c r="A38" s="823"/>
      <c r="B38" s="825"/>
      <c r="C38" s="818"/>
      <c r="D38" s="819"/>
      <c r="E38" s="805"/>
      <c r="F38" s="805"/>
      <c r="G38" s="805"/>
      <c r="H38" s="805"/>
      <c r="I38" s="805"/>
      <c r="J38" s="806"/>
      <c r="K38" s="806"/>
      <c r="L38" s="806"/>
    </row>
    <row r="39" spans="1:12" ht="15">
      <c r="A39" s="294"/>
      <c r="B39" s="295"/>
      <c r="C39" s="295"/>
      <c r="D39" s="295"/>
      <c r="E39" s="295"/>
      <c r="F39" s="296"/>
      <c r="G39" s="297"/>
      <c r="H39" s="297"/>
      <c r="I39" s="297"/>
      <c r="J39" s="297"/>
      <c r="K39" s="297"/>
    </row>
    <row r="40" spans="1:12" ht="14.25">
      <c r="A40" s="293"/>
      <c r="B40" s="293"/>
      <c r="C40" s="293"/>
      <c r="D40" s="293"/>
      <c r="E40" s="293"/>
      <c r="F40" s="293"/>
      <c r="G40" s="293"/>
      <c r="H40" s="293"/>
      <c r="I40" s="293"/>
      <c r="J40" s="293"/>
      <c r="K40" s="293"/>
      <c r="L40" s="310"/>
    </row>
    <row r="41" spans="1:12" ht="14.25">
      <c r="A41" s="826">
        <v>7</v>
      </c>
      <c r="B41" s="827"/>
      <c r="C41" s="828"/>
      <c r="D41" s="829"/>
      <c r="E41" s="811"/>
      <c r="F41" s="811"/>
      <c r="G41" s="299"/>
      <c r="H41" s="300"/>
      <c r="I41" s="300"/>
      <c r="J41" s="300"/>
      <c r="K41" s="300"/>
      <c r="L41" s="300"/>
    </row>
    <row r="42" spans="1:12" ht="14.25">
      <c r="A42" s="825"/>
      <c r="B42" s="830"/>
      <c r="C42" s="831"/>
      <c r="D42" s="832"/>
      <c r="E42" s="812"/>
      <c r="F42" s="812"/>
      <c r="G42" s="342"/>
      <c r="H42" s="343"/>
      <c r="I42" s="344"/>
      <c r="J42" s="345"/>
      <c r="K42" s="346"/>
      <c r="L42" s="304">
        <f>J42+K42</f>
        <v>0</v>
      </c>
    </row>
    <row r="43" spans="1:12" ht="14.25">
      <c r="A43" s="293"/>
      <c r="B43" s="293"/>
      <c r="C43" s="293"/>
      <c r="D43" s="293"/>
      <c r="E43" s="293"/>
      <c r="F43" s="293"/>
      <c r="G43" s="293"/>
      <c r="H43" s="293"/>
      <c r="I43" s="293"/>
      <c r="J43" s="293"/>
      <c r="K43" s="293"/>
      <c r="L43" s="302"/>
    </row>
    <row r="44" spans="1:12" ht="14.25">
      <c r="A44" s="826">
        <v>8</v>
      </c>
      <c r="B44" s="827"/>
      <c r="C44" s="828"/>
      <c r="D44" s="829"/>
      <c r="E44" s="811"/>
      <c r="F44" s="811"/>
      <c r="G44" s="299"/>
      <c r="H44" s="300"/>
      <c r="I44" s="300"/>
      <c r="J44" s="300"/>
      <c r="K44" s="300"/>
      <c r="L44" s="303"/>
    </row>
    <row r="45" spans="1:12" ht="14.25">
      <c r="A45" s="825"/>
      <c r="B45" s="830"/>
      <c r="C45" s="831"/>
      <c r="D45" s="832"/>
      <c r="E45" s="812"/>
      <c r="F45" s="812"/>
      <c r="G45" s="342"/>
      <c r="H45" s="343"/>
      <c r="I45" s="344"/>
      <c r="J45" s="345"/>
      <c r="K45" s="346"/>
      <c r="L45" s="304">
        <f>J45+K45</f>
        <v>0</v>
      </c>
    </row>
    <row r="46" spans="1:12" ht="14.25">
      <c r="A46" s="293"/>
      <c r="B46" s="293"/>
      <c r="C46" s="293"/>
      <c r="D46" s="293"/>
      <c r="E46" s="293"/>
      <c r="F46" s="293"/>
      <c r="G46" s="293"/>
      <c r="H46" s="293"/>
      <c r="I46" s="293"/>
      <c r="J46" s="293"/>
      <c r="K46" s="293"/>
      <c r="L46" s="302"/>
    </row>
    <row r="47" spans="1:12" ht="14.25">
      <c r="A47" s="826">
        <v>9</v>
      </c>
      <c r="B47" s="827"/>
      <c r="C47" s="828"/>
      <c r="D47" s="829"/>
      <c r="E47" s="811"/>
      <c r="F47" s="811"/>
      <c r="G47" s="299"/>
      <c r="H47" s="300"/>
      <c r="I47" s="300"/>
      <c r="J47" s="300"/>
      <c r="K47" s="300"/>
      <c r="L47" s="303"/>
    </row>
    <row r="48" spans="1:12" ht="14.25">
      <c r="A48" s="825"/>
      <c r="B48" s="830"/>
      <c r="C48" s="831"/>
      <c r="D48" s="832"/>
      <c r="E48" s="812"/>
      <c r="F48" s="812"/>
      <c r="G48" s="342"/>
      <c r="H48" s="343"/>
      <c r="I48" s="344"/>
      <c r="J48" s="345"/>
      <c r="K48" s="346"/>
      <c r="L48" s="304">
        <f>J48+K48</f>
        <v>0</v>
      </c>
    </row>
    <row r="49" spans="1:12" ht="14.25">
      <c r="A49" s="293"/>
      <c r="B49" s="293"/>
      <c r="C49" s="293"/>
      <c r="D49" s="293"/>
      <c r="E49" s="293"/>
      <c r="F49" s="293"/>
      <c r="G49" s="293"/>
      <c r="H49" s="293"/>
      <c r="I49" s="293"/>
      <c r="J49" s="293"/>
      <c r="K49" s="293"/>
      <c r="L49" s="302"/>
    </row>
    <row r="50" spans="1:12" ht="14.25">
      <c r="A50" s="826">
        <v>10</v>
      </c>
      <c r="B50" s="827"/>
      <c r="C50" s="828"/>
      <c r="D50" s="829"/>
      <c r="E50" s="811"/>
      <c r="F50" s="811"/>
      <c r="G50" s="299"/>
      <c r="H50" s="300"/>
      <c r="I50" s="300"/>
      <c r="J50" s="300"/>
      <c r="K50" s="300"/>
      <c r="L50" s="303"/>
    </row>
    <row r="51" spans="1:12" ht="14.25">
      <c r="A51" s="825"/>
      <c r="B51" s="830"/>
      <c r="C51" s="831"/>
      <c r="D51" s="832"/>
      <c r="E51" s="812"/>
      <c r="F51" s="812"/>
      <c r="G51" s="342"/>
      <c r="H51" s="343"/>
      <c r="I51" s="344"/>
      <c r="J51" s="345"/>
      <c r="K51" s="346"/>
      <c r="L51" s="304">
        <f>J51+K51</f>
        <v>0</v>
      </c>
    </row>
    <row r="52" spans="1:12" ht="14.25">
      <c r="A52" s="293"/>
      <c r="B52" s="293"/>
      <c r="C52" s="293"/>
      <c r="D52" s="293"/>
      <c r="E52" s="293"/>
      <c r="F52" s="293"/>
      <c r="G52" s="293"/>
      <c r="H52" s="293"/>
      <c r="I52" s="293"/>
      <c r="J52" s="293"/>
      <c r="K52" s="293"/>
      <c r="L52" s="302"/>
    </row>
    <row r="53" spans="1:12" ht="14.25">
      <c r="A53" s="826">
        <v>11</v>
      </c>
      <c r="B53" s="827"/>
      <c r="C53" s="828"/>
      <c r="D53" s="829"/>
      <c r="E53" s="811"/>
      <c r="F53" s="811"/>
      <c r="G53" s="299"/>
      <c r="H53" s="300"/>
      <c r="I53" s="300"/>
      <c r="J53" s="300"/>
      <c r="K53" s="300"/>
      <c r="L53" s="303"/>
    </row>
    <row r="54" spans="1:12" ht="14.25">
      <c r="A54" s="825"/>
      <c r="B54" s="830"/>
      <c r="C54" s="831"/>
      <c r="D54" s="832"/>
      <c r="E54" s="812"/>
      <c r="F54" s="812"/>
      <c r="G54" s="342"/>
      <c r="H54" s="343"/>
      <c r="I54" s="344"/>
      <c r="J54" s="345"/>
      <c r="K54" s="346"/>
      <c r="L54" s="304">
        <f>J54+K54</f>
        <v>0</v>
      </c>
    </row>
    <row r="55" spans="1:12" ht="14.25">
      <c r="A55" s="294"/>
      <c r="B55" s="305"/>
      <c r="C55" s="305"/>
      <c r="D55" s="305"/>
      <c r="E55" s="305"/>
      <c r="F55" s="305"/>
      <c r="G55" s="299"/>
      <c r="H55" s="306"/>
      <c r="I55" s="300"/>
      <c r="J55" s="307"/>
      <c r="K55" s="308"/>
      <c r="L55" s="303"/>
    </row>
    <row r="56" spans="1:12" ht="15" thickBot="1">
      <c r="A56" s="293"/>
      <c r="B56" s="293"/>
      <c r="C56" s="293"/>
      <c r="D56" s="293"/>
      <c r="E56" s="293"/>
      <c r="F56" s="293"/>
      <c r="G56" s="293"/>
      <c r="H56" s="293"/>
      <c r="I56" s="293"/>
      <c r="J56" s="293"/>
      <c r="K56" s="293"/>
      <c r="L56" s="302"/>
    </row>
    <row r="57" spans="1:12" ht="15.75" thickBot="1">
      <c r="A57" s="311" t="s">
        <v>641</v>
      </c>
      <c r="B57" s="820" t="s">
        <v>438</v>
      </c>
      <c r="C57" s="821"/>
      <c r="D57" s="821"/>
      <c r="E57" s="821"/>
      <c r="F57" s="821"/>
      <c r="G57" s="821"/>
      <c r="H57" s="821"/>
      <c r="I57" s="821"/>
      <c r="J57" s="821"/>
      <c r="K57" s="293"/>
      <c r="L57" s="312">
        <f>L42+L45+L48+L51+L54</f>
        <v>0</v>
      </c>
    </row>
    <row r="58" spans="1:12" ht="14.25">
      <c r="A58" s="293"/>
      <c r="B58" s="293"/>
      <c r="C58" s="293"/>
      <c r="D58" s="293"/>
      <c r="E58" s="293"/>
      <c r="F58" s="293"/>
      <c r="G58" s="293"/>
      <c r="H58" s="293"/>
      <c r="I58" s="293"/>
      <c r="J58" s="293"/>
      <c r="K58" s="293"/>
      <c r="L58" s="293"/>
    </row>
    <row r="59" spans="1:12" ht="14.25">
      <c r="A59" s="293"/>
      <c r="B59" s="293"/>
      <c r="C59" s="293"/>
      <c r="D59" s="293"/>
      <c r="E59" s="293"/>
      <c r="F59" s="293"/>
      <c r="G59" s="293"/>
      <c r="H59" s="293"/>
      <c r="I59" s="293"/>
      <c r="J59" s="293"/>
      <c r="K59" s="293"/>
      <c r="L59" s="293"/>
    </row>
    <row r="60" spans="1:12" ht="14.25">
      <c r="A60" s="558">
        <f>A57+1</f>
        <v>13</v>
      </c>
      <c r="B60" s="313" t="s">
        <v>439</v>
      </c>
      <c r="C60" s="293"/>
      <c r="D60" s="293"/>
      <c r="E60" s="293"/>
      <c r="F60" s="293"/>
      <c r="G60" s="293"/>
      <c r="H60" s="293"/>
      <c r="I60" s="293"/>
      <c r="J60" s="293"/>
      <c r="K60" s="293"/>
      <c r="L60" s="293"/>
    </row>
    <row r="61" spans="1:12" ht="14.25">
      <c r="A61" s="640">
        <f>A60+1</f>
        <v>14</v>
      </c>
      <c r="B61" s="293" t="s">
        <v>845</v>
      </c>
      <c r="C61" s="293"/>
      <c r="D61" s="293"/>
      <c r="E61" s="293"/>
      <c r="F61" s="293"/>
      <c r="G61" s="293"/>
      <c r="H61" s="293"/>
      <c r="I61" s="293"/>
      <c r="J61" s="293"/>
      <c r="K61" s="293"/>
      <c r="L61" s="293"/>
    </row>
    <row r="62" spans="1:12" ht="14.25">
      <c r="A62" s="640">
        <f>A61+1</f>
        <v>15</v>
      </c>
      <c r="B62" s="293" t="s">
        <v>642</v>
      </c>
      <c r="C62" s="293"/>
      <c r="D62" s="293"/>
      <c r="E62" s="293"/>
      <c r="F62" s="293"/>
      <c r="G62" s="293"/>
      <c r="H62" s="293"/>
      <c r="I62" s="293"/>
      <c r="J62" s="293"/>
      <c r="K62" s="293"/>
      <c r="L62" s="293"/>
    </row>
    <row r="63" spans="1:12" ht="14.25">
      <c r="A63" s="293"/>
      <c r="B63" s="293"/>
      <c r="C63" s="293"/>
      <c r="D63" s="293"/>
      <c r="E63" s="293"/>
      <c r="F63" s="293"/>
      <c r="G63" s="293"/>
      <c r="H63" s="293"/>
      <c r="I63" s="293"/>
      <c r="J63" s="293"/>
      <c r="K63" s="293"/>
      <c r="L63" s="293"/>
    </row>
    <row r="64" spans="1:12" ht="15">
      <c r="A64" s="314"/>
      <c r="B64" s="314"/>
      <c r="C64" s="314"/>
      <c r="D64" s="314"/>
      <c r="E64" s="314"/>
      <c r="F64" s="314"/>
      <c r="G64" s="314"/>
      <c r="H64" s="314"/>
      <c r="I64" s="314"/>
      <c r="J64" s="293"/>
      <c r="K64" s="293"/>
      <c r="L64" s="293"/>
    </row>
    <row r="65" spans="1:12" ht="42.75">
      <c r="A65" s="541">
        <f>A62+1</f>
        <v>16</v>
      </c>
      <c r="B65" s="542" t="s">
        <v>643</v>
      </c>
      <c r="C65" s="542" t="s">
        <v>644</v>
      </c>
      <c r="D65" s="542" t="s">
        <v>645</v>
      </c>
      <c r="E65" s="542" t="s">
        <v>646</v>
      </c>
      <c r="F65" s="542" t="s">
        <v>647</v>
      </c>
      <c r="G65" s="542" t="s">
        <v>648</v>
      </c>
      <c r="H65" s="542" t="s">
        <v>649</v>
      </c>
      <c r="I65" s="542" t="s">
        <v>650</v>
      </c>
      <c r="J65" s="293"/>
      <c r="K65" s="293"/>
      <c r="L65" s="293"/>
    </row>
    <row r="66" spans="1:12" ht="14.25">
      <c r="A66" s="543"/>
      <c r="B66" s="544"/>
      <c r="C66" s="544"/>
      <c r="D66" s="543"/>
      <c r="E66" s="315"/>
      <c r="F66" s="315"/>
      <c r="G66" s="315"/>
      <c r="H66" s="315"/>
      <c r="I66" s="315"/>
      <c r="J66" s="293"/>
      <c r="K66" s="293"/>
      <c r="L66" s="293"/>
    </row>
    <row r="67" spans="1:12" ht="15">
      <c r="A67" s="316" t="s">
        <v>651</v>
      </c>
      <c r="B67" s="544"/>
      <c r="C67" s="544"/>
      <c r="D67" s="543"/>
      <c r="E67" s="315"/>
      <c r="F67" s="315"/>
      <c r="G67" s="315"/>
      <c r="H67" s="315"/>
      <c r="I67" s="315"/>
      <c r="J67" s="293"/>
      <c r="K67" s="293"/>
      <c r="L67" s="293"/>
    </row>
    <row r="68" spans="1:12" ht="14.25">
      <c r="A68" s="543">
        <f>A65+1</f>
        <v>17</v>
      </c>
      <c r="B68" s="545"/>
      <c r="C68" s="546"/>
      <c r="D68" s="2" t="s">
        <v>652</v>
      </c>
      <c r="E68" s="547"/>
      <c r="F68" s="548">
        <f>J$17/4</f>
        <v>0</v>
      </c>
      <c r="G68" s="549"/>
      <c r="H68" s="550">
        <f t="shared" ref="H68:H79" si="0">(E68+F68)*G68/4</f>
        <v>0</v>
      </c>
      <c r="I68" s="46">
        <f t="shared" ref="I68:I79" si="1">E68+F68+H68</f>
        <v>0</v>
      </c>
      <c r="J68" s="293"/>
      <c r="K68" s="293"/>
      <c r="L68" s="293"/>
    </row>
    <row r="69" spans="1:12" ht="14.25">
      <c r="A69" s="543">
        <f t="shared" ref="A69:A79" si="2">A68+1</f>
        <v>18</v>
      </c>
      <c r="B69" s="545"/>
      <c r="C69" s="546"/>
      <c r="D69" s="2" t="str">
        <f>D68</f>
        <v>Rate Year</v>
      </c>
      <c r="E69" s="46">
        <f t="shared" ref="E69:E79" si="3">I68</f>
        <v>0</v>
      </c>
      <c r="F69" s="548">
        <f>J$17/4</f>
        <v>0</v>
      </c>
      <c r="G69" s="549"/>
      <c r="H69" s="550">
        <f t="shared" si="0"/>
        <v>0</v>
      </c>
      <c r="I69" s="46">
        <f t="shared" si="1"/>
        <v>0</v>
      </c>
      <c r="J69" s="293"/>
      <c r="K69" s="293"/>
      <c r="L69" s="293"/>
    </row>
    <row r="70" spans="1:12" ht="14.25">
      <c r="A70" s="543">
        <f t="shared" si="2"/>
        <v>19</v>
      </c>
      <c r="B70" s="545"/>
      <c r="C70" s="546"/>
      <c r="D70" s="2" t="str">
        <f>D69</f>
        <v>Rate Year</v>
      </c>
      <c r="E70" s="46">
        <f t="shared" si="3"/>
        <v>0</v>
      </c>
      <c r="F70" s="548">
        <f>J$17/4</f>
        <v>0</v>
      </c>
      <c r="G70" s="549"/>
      <c r="H70" s="550">
        <f t="shared" si="0"/>
        <v>0</v>
      </c>
      <c r="I70" s="46">
        <f t="shared" si="1"/>
        <v>0</v>
      </c>
      <c r="J70" s="293"/>
      <c r="K70" s="293"/>
      <c r="L70" s="293"/>
    </row>
    <row r="71" spans="1:12" ht="14.25">
      <c r="A71" s="543">
        <f t="shared" si="2"/>
        <v>20</v>
      </c>
      <c r="B71" s="545"/>
      <c r="C71" s="546"/>
      <c r="D71" s="2" t="str">
        <f>D70</f>
        <v>Rate Year</v>
      </c>
      <c r="E71" s="46">
        <f t="shared" si="3"/>
        <v>0</v>
      </c>
      <c r="F71" s="548">
        <f>J$17/4</f>
        <v>0</v>
      </c>
      <c r="G71" s="549"/>
      <c r="H71" s="550">
        <f t="shared" si="0"/>
        <v>0</v>
      </c>
      <c r="I71" s="46">
        <f t="shared" si="1"/>
        <v>0</v>
      </c>
      <c r="J71" s="293"/>
      <c r="K71" s="293"/>
      <c r="L71" s="293"/>
    </row>
    <row r="72" spans="1:12" ht="14.25">
      <c r="A72" s="543">
        <f t="shared" si="2"/>
        <v>21</v>
      </c>
      <c r="B72" s="545"/>
      <c r="C72" s="551"/>
      <c r="D72" s="1"/>
      <c r="E72" s="46">
        <f t="shared" si="3"/>
        <v>0</v>
      </c>
      <c r="F72" s="548"/>
      <c r="G72" s="549"/>
      <c r="H72" s="550">
        <f t="shared" si="0"/>
        <v>0</v>
      </c>
      <c r="I72" s="46">
        <f t="shared" si="1"/>
        <v>0</v>
      </c>
      <c r="J72" s="293"/>
      <c r="K72" s="293"/>
      <c r="L72" s="293"/>
    </row>
    <row r="73" spans="1:12" ht="14.25">
      <c r="A73" s="543">
        <f t="shared" si="2"/>
        <v>22</v>
      </c>
      <c r="B73" s="545"/>
      <c r="C73" s="551"/>
      <c r="D73" s="1"/>
      <c r="E73" s="46">
        <f t="shared" si="3"/>
        <v>0</v>
      </c>
      <c r="F73" s="548"/>
      <c r="G73" s="549"/>
      <c r="H73" s="550">
        <f t="shared" si="0"/>
        <v>0</v>
      </c>
      <c r="I73" s="46">
        <f t="shared" si="1"/>
        <v>0</v>
      </c>
      <c r="J73" s="293"/>
      <c r="K73" s="293"/>
      <c r="L73" s="293"/>
    </row>
    <row r="74" spans="1:12" ht="14.25">
      <c r="A74" s="543">
        <f t="shared" si="2"/>
        <v>23</v>
      </c>
      <c r="B74" s="545"/>
      <c r="C74" s="552"/>
      <c r="D74" s="1"/>
      <c r="E74" s="46">
        <f t="shared" si="3"/>
        <v>0</v>
      </c>
      <c r="F74" s="548"/>
      <c r="G74" s="549"/>
      <c r="H74" s="550">
        <f t="shared" si="0"/>
        <v>0</v>
      </c>
      <c r="I74" s="46">
        <f t="shared" si="1"/>
        <v>0</v>
      </c>
      <c r="J74" s="293"/>
      <c r="K74" s="293"/>
      <c r="L74" s="293"/>
    </row>
    <row r="75" spans="1:12" ht="14.25">
      <c r="A75" s="543">
        <f t="shared" si="2"/>
        <v>24</v>
      </c>
      <c r="B75" s="545"/>
      <c r="C75" s="552"/>
      <c r="D75" s="1"/>
      <c r="E75" s="46">
        <f t="shared" si="3"/>
        <v>0</v>
      </c>
      <c r="F75" s="548"/>
      <c r="G75" s="549"/>
      <c r="H75" s="550">
        <f t="shared" si="0"/>
        <v>0</v>
      </c>
      <c r="I75" s="553">
        <f t="shared" si="1"/>
        <v>0</v>
      </c>
      <c r="J75" s="293"/>
      <c r="K75" s="293"/>
      <c r="L75" s="293"/>
    </row>
    <row r="76" spans="1:12" ht="14.25">
      <c r="A76" s="543">
        <f t="shared" si="2"/>
        <v>25</v>
      </c>
      <c r="B76" s="554"/>
      <c r="C76" s="555"/>
      <c r="D76" s="2" t="s">
        <v>653</v>
      </c>
      <c r="E76" s="46">
        <f t="shared" si="3"/>
        <v>0</v>
      </c>
      <c r="F76" s="548">
        <f>PMT(G76/4,4,I75,,1)</f>
        <v>0</v>
      </c>
      <c r="G76" s="549"/>
      <c r="H76" s="550">
        <f t="shared" si="0"/>
        <v>0</v>
      </c>
      <c r="I76" s="46">
        <f t="shared" si="1"/>
        <v>0</v>
      </c>
      <c r="J76" s="293"/>
      <c r="K76" s="293"/>
      <c r="L76" s="293"/>
    </row>
    <row r="77" spans="1:12" ht="14.25">
      <c r="A77" s="543">
        <f t="shared" si="2"/>
        <v>26</v>
      </c>
      <c r="B77" s="554"/>
      <c r="C77" s="555"/>
      <c r="D77" s="2" t="str">
        <f>D76</f>
        <v>True-Up Year</v>
      </c>
      <c r="E77" s="46">
        <f t="shared" si="3"/>
        <v>0</v>
      </c>
      <c r="F77" s="548">
        <f>F76</f>
        <v>0</v>
      </c>
      <c r="G77" s="549"/>
      <c r="H77" s="550">
        <f t="shared" si="0"/>
        <v>0</v>
      </c>
      <c r="I77" s="46">
        <f t="shared" si="1"/>
        <v>0</v>
      </c>
      <c r="J77" s="293"/>
      <c r="K77" s="293"/>
      <c r="L77" s="293"/>
    </row>
    <row r="78" spans="1:12" ht="14.25">
      <c r="A78" s="543">
        <f t="shared" si="2"/>
        <v>27</v>
      </c>
      <c r="B78" s="554"/>
      <c r="C78" s="555"/>
      <c r="D78" s="2" t="str">
        <f>D77</f>
        <v>True-Up Year</v>
      </c>
      <c r="E78" s="46">
        <f t="shared" si="3"/>
        <v>0</v>
      </c>
      <c r="F78" s="548">
        <f>F77</f>
        <v>0</v>
      </c>
      <c r="G78" s="549"/>
      <c r="H78" s="550">
        <f t="shared" si="0"/>
        <v>0</v>
      </c>
      <c r="I78" s="46">
        <f t="shared" si="1"/>
        <v>0</v>
      </c>
      <c r="J78" s="293"/>
      <c r="K78" s="293"/>
      <c r="L78" s="293"/>
    </row>
    <row r="79" spans="1:12" ht="14.25">
      <c r="A79" s="543">
        <f t="shared" si="2"/>
        <v>28</v>
      </c>
      <c r="B79" s="554"/>
      <c r="C79" s="555"/>
      <c r="D79" s="2" t="str">
        <f>D78</f>
        <v>True-Up Year</v>
      </c>
      <c r="E79" s="46">
        <f t="shared" si="3"/>
        <v>0</v>
      </c>
      <c r="F79" s="548">
        <f>F78</f>
        <v>0</v>
      </c>
      <c r="G79" s="549"/>
      <c r="H79" s="550">
        <f t="shared" si="0"/>
        <v>0</v>
      </c>
      <c r="I79" s="46">
        <f t="shared" si="1"/>
        <v>0</v>
      </c>
      <c r="J79" s="293"/>
      <c r="K79" s="293"/>
      <c r="L79" s="293"/>
    </row>
    <row r="80" spans="1:12" ht="14.25">
      <c r="A80" s="543">
        <f>A79+1</f>
        <v>29</v>
      </c>
      <c r="B80" s="2" t="s">
        <v>2</v>
      </c>
      <c r="C80" s="2"/>
      <c r="D80" s="2"/>
      <c r="E80" s="46"/>
      <c r="F80" s="548"/>
      <c r="G80" s="556"/>
      <c r="H80" s="550">
        <f>SUM(H68:H79)</f>
        <v>0</v>
      </c>
      <c r="I80" s="46"/>
      <c r="J80" s="293"/>
      <c r="K80" s="293"/>
      <c r="L80" s="293"/>
    </row>
    <row r="81" spans="1:21" ht="14.25">
      <c r="A81" s="293"/>
      <c r="B81" s="293"/>
      <c r="C81" s="293"/>
      <c r="D81" s="293"/>
      <c r="E81" s="293"/>
      <c r="F81" s="293"/>
      <c r="G81" s="293"/>
      <c r="H81" s="293"/>
      <c r="I81" s="293"/>
      <c r="J81" s="293"/>
      <c r="K81" s="293"/>
      <c r="L81" s="293"/>
    </row>
    <row r="82" spans="1:21" ht="15">
      <c r="A82" s="543">
        <f>A80+1</f>
        <v>30</v>
      </c>
      <c r="B82" s="316" t="s">
        <v>654</v>
      </c>
      <c r="C82" s="293"/>
      <c r="D82" s="293"/>
      <c r="E82" s="293"/>
      <c r="F82" s="293"/>
      <c r="G82" s="293"/>
      <c r="H82" s="293"/>
      <c r="I82" s="293"/>
      <c r="J82" s="293"/>
      <c r="K82" s="293"/>
      <c r="L82" s="293"/>
    </row>
    <row r="83" spans="1:21" ht="14.25">
      <c r="A83" s="543">
        <f>A82+1</f>
        <v>31</v>
      </c>
      <c r="B83" s="557" t="s">
        <v>655</v>
      </c>
      <c r="C83" s="293"/>
      <c r="D83" s="293"/>
      <c r="E83" s="293"/>
      <c r="F83" s="293"/>
      <c r="G83" s="293"/>
      <c r="H83" s="293"/>
      <c r="I83" s="293"/>
      <c r="J83" s="293"/>
      <c r="K83" s="293"/>
      <c r="L83" s="293"/>
    </row>
    <row r="84" spans="1:21" ht="14.25">
      <c r="A84" s="543"/>
      <c r="B84" s="293"/>
      <c r="C84" s="293"/>
      <c r="D84" s="293"/>
      <c r="E84" s="293"/>
      <c r="F84" s="293"/>
      <c r="G84" s="293"/>
      <c r="H84" s="293"/>
      <c r="I84" s="293"/>
      <c r="J84" s="293"/>
      <c r="K84" s="293"/>
      <c r="L84" s="293"/>
    </row>
    <row r="85" spans="1:21" ht="14.25">
      <c r="A85" s="543">
        <f>A83+1</f>
        <v>32</v>
      </c>
      <c r="B85" s="293" t="s">
        <v>844</v>
      </c>
      <c r="C85" s="293"/>
      <c r="D85" s="293"/>
      <c r="E85" s="293"/>
      <c r="F85" s="293"/>
      <c r="G85" s="293"/>
      <c r="H85" s="293"/>
      <c r="I85" s="293"/>
      <c r="J85" s="293"/>
      <c r="K85" s="293"/>
      <c r="L85" s="293"/>
    </row>
    <row r="86" spans="1:21" ht="14.25">
      <c r="A86" s="543">
        <f>A85+1</f>
        <v>33</v>
      </c>
      <c r="B86" s="698" t="s">
        <v>941</v>
      </c>
      <c r="C86" s="690"/>
      <c r="D86" s="690"/>
      <c r="E86" s="690"/>
      <c r="F86" s="690"/>
      <c r="G86" s="690"/>
      <c r="H86" s="690"/>
      <c r="I86" s="690"/>
      <c r="J86" s="690"/>
      <c r="K86" s="690"/>
      <c r="L86" s="690"/>
      <c r="M86" s="699"/>
      <c r="N86" s="699"/>
      <c r="O86" s="699"/>
      <c r="P86" s="699"/>
      <c r="Q86" s="699"/>
      <c r="R86" s="699"/>
      <c r="S86" s="699"/>
      <c r="T86" s="699"/>
      <c r="U86" s="699"/>
    </row>
    <row r="87" spans="1:21" ht="14.25">
      <c r="A87" s="543">
        <f>A86+1</f>
        <v>34</v>
      </c>
      <c r="B87" s="698" t="s">
        <v>936</v>
      </c>
      <c r="C87" s="293"/>
      <c r="D87" s="293"/>
      <c r="E87" s="293"/>
      <c r="F87" s="293"/>
      <c r="G87" s="293"/>
      <c r="H87" s="293"/>
      <c r="I87" s="293"/>
      <c r="J87" s="293"/>
      <c r="K87" s="293"/>
      <c r="L87" s="293"/>
    </row>
    <row r="88" spans="1:21" ht="14.25">
      <c r="A88" s="543">
        <f>A87+1</f>
        <v>35</v>
      </c>
      <c r="B88" s="293" t="s">
        <v>935</v>
      </c>
      <c r="C88" s="293"/>
      <c r="D88" s="293"/>
      <c r="E88" s="293"/>
      <c r="F88" s="293"/>
      <c r="G88" s="293"/>
      <c r="H88" s="293"/>
      <c r="I88" s="293"/>
      <c r="J88" s="293"/>
      <c r="K88" s="293"/>
      <c r="L88" s="293"/>
    </row>
    <row r="89" spans="1:21" ht="14.25">
      <c r="A89" s="293"/>
      <c r="B89" s="293"/>
      <c r="C89" s="293"/>
      <c r="D89" s="293"/>
      <c r="E89" s="293"/>
      <c r="F89" s="293"/>
      <c r="G89" s="293"/>
      <c r="H89" s="293"/>
      <c r="I89" s="293"/>
      <c r="J89" s="293"/>
      <c r="K89" s="293"/>
      <c r="L89" s="293"/>
    </row>
    <row r="90" spans="1:21" ht="14.25">
      <c r="A90" s="293"/>
      <c r="B90" s="293"/>
      <c r="C90" s="293"/>
      <c r="D90" s="293"/>
      <c r="E90" s="293"/>
      <c r="F90" s="293"/>
      <c r="G90" s="293"/>
      <c r="H90" s="293"/>
      <c r="I90" s="293"/>
      <c r="J90" s="293"/>
      <c r="K90" s="293"/>
      <c r="L90" s="293"/>
    </row>
    <row r="91" spans="1:21" ht="14.25">
      <c r="A91" s="293"/>
      <c r="B91" s="293"/>
      <c r="C91" s="293"/>
      <c r="D91" s="293"/>
      <c r="E91" s="293"/>
      <c r="F91" s="293"/>
      <c r="G91" s="293"/>
      <c r="H91" s="293"/>
      <c r="I91" s="293"/>
      <c r="J91" s="293"/>
      <c r="K91" s="293"/>
      <c r="L91" s="293"/>
    </row>
    <row r="92" spans="1:21" ht="14.25">
      <c r="A92" s="293"/>
      <c r="B92" s="293"/>
      <c r="C92" s="293"/>
      <c r="D92" s="293"/>
      <c r="E92" s="293"/>
      <c r="F92" s="293"/>
      <c r="G92" s="293"/>
      <c r="H92" s="293"/>
      <c r="I92" s="293"/>
      <c r="J92" s="293"/>
      <c r="K92" s="293"/>
      <c r="L92" s="293"/>
    </row>
    <row r="93" spans="1:21" ht="14.25">
      <c r="A93" s="293"/>
      <c r="B93" s="293"/>
      <c r="C93" s="293"/>
      <c r="D93" s="293"/>
      <c r="E93" s="293"/>
      <c r="F93" s="293"/>
      <c r="G93" s="293"/>
      <c r="H93" s="293"/>
      <c r="I93" s="293"/>
      <c r="J93" s="293"/>
      <c r="K93" s="293"/>
      <c r="L93" s="293"/>
    </row>
    <row r="94" spans="1:21" ht="14.25">
      <c r="A94" s="293"/>
      <c r="B94" s="293"/>
      <c r="C94" s="293"/>
      <c r="D94" s="293"/>
      <c r="E94" s="293"/>
      <c r="F94" s="293"/>
      <c r="G94" s="293"/>
      <c r="H94" s="293"/>
      <c r="I94" s="293"/>
      <c r="J94" s="293"/>
      <c r="K94" s="293"/>
      <c r="L94" s="293"/>
    </row>
    <row r="95" spans="1:21" ht="14.25">
      <c r="A95" s="293"/>
      <c r="B95" s="293"/>
      <c r="C95" s="293"/>
      <c r="D95" s="293"/>
      <c r="E95" s="293"/>
      <c r="F95" s="293"/>
      <c r="G95" s="293"/>
      <c r="H95" s="293"/>
      <c r="I95" s="293"/>
      <c r="J95" s="293"/>
      <c r="K95" s="293"/>
      <c r="L95" s="293"/>
    </row>
    <row r="96" spans="1:21" ht="14.25">
      <c r="A96" s="293"/>
      <c r="B96" s="293"/>
      <c r="C96" s="293"/>
      <c r="D96" s="293"/>
      <c r="E96" s="293"/>
      <c r="F96" s="293"/>
      <c r="G96" s="293"/>
      <c r="H96" s="293"/>
      <c r="I96" s="293"/>
      <c r="J96" s="293"/>
      <c r="K96" s="293"/>
      <c r="L96" s="293"/>
    </row>
    <row r="97" spans="1:12" ht="14.25">
      <c r="A97" s="293"/>
      <c r="B97" s="293"/>
      <c r="C97" s="293"/>
      <c r="D97" s="293"/>
      <c r="E97" s="293"/>
      <c r="F97" s="293"/>
      <c r="G97" s="293"/>
      <c r="H97" s="293"/>
      <c r="I97" s="293"/>
      <c r="J97" s="293"/>
      <c r="K97" s="293"/>
      <c r="L97" s="293"/>
    </row>
    <row r="98" spans="1:12" ht="14.25">
      <c r="A98" s="293"/>
      <c r="B98" s="293"/>
      <c r="C98" s="293"/>
      <c r="D98" s="293"/>
      <c r="E98" s="293"/>
      <c r="F98" s="293"/>
      <c r="G98" s="293"/>
      <c r="H98" s="293"/>
      <c r="I98" s="293"/>
      <c r="J98" s="293"/>
      <c r="K98" s="293"/>
      <c r="L98" s="293"/>
    </row>
    <row r="99" spans="1:12" ht="14.25">
      <c r="A99" s="293"/>
      <c r="B99" s="293"/>
      <c r="C99" s="293"/>
      <c r="D99" s="293"/>
      <c r="E99" s="293"/>
      <c r="F99" s="293"/>
      <c r="G99" s="293"/>
      <c r="H99" s="293"/>
      <c r="I99" s="293"/>
      <c r="J99" s="293"/>
      <c r="K99" s="293"/>
      <c r="L99" s="293"/>
    </row>
    <row r="100" spans="1:12" ht="14.25">
      <c r="A100" s="293"/>
      <c r="B100" s="293"/>
      <c r="C100" s="293"/>
      <c r="D100" s="293"/>
      <c r="E100" s="293"/>
      <c r="F100" s="293"/>
      <c r="G100" s="293"/>
      <c r="H100" s="293"/>
      <c r="I100" s="293"/>
      <c r="J100" s="293"/>
      <c r="K100" s="293"/>
      <c r="L100" s="293"/>
    </row>
    <row r="101" spans="1:12" ht="14.25">
      <c r="A101" s="293"/>
      <c r="B101" s="293"/>
      <c r="C101" s="293"/>
      <c r="D101" s="293"/>
      <c r="E101" s="293"/>
      <c r="F101" s="293"/>
      <c r="G101" s="293"/>
      <c r="H101" s="293"/>
      <c r="I101" s="293"/>
      <c r="J101" s="293"/>
      <c r="K101" s="293"/>
      <c r="L101" s="293"/>
    </row>
    <row r="102" spans="1:12" ht="14.25">
      <c r="A102" s="293"/>
      <c r="B102" s="293"/>
      <c r="C102" s="293"/>
      <c r="D102" s="293"/>
      <c r="E102" s="293"/>
      <c r="F102" s="293"/>
      <c r="G102" s="293"/>
      <c r="H102" s="293"/>
      <c r="I102" s="293"/>
      <c r="J102" s="293"/>
      <c r="K102" s="293"/>
      <c r="L102" s="293"/>
    </row>
    <row r="103" spans="1:12" ht="14.25">
      <c r="A103" s="293"/>
      <c r="B103" s="293"/>
      <c r="C103" s="293"/>
      <c r="D103" s="293"/>
      <c r="E103" s="293"/>
      <c r="F103" s="293"/>
      <c r="G103" s="293"/>
      <c r="H103" s="293"/>
      <c r="I103" s="293"/>
      <c r="J103" s="293"/>
      <c r="K103" s="293"/>
      <c r="L103" s="293"/>
    </row>
    <row r="104" spans="1:12" ht="14.25">
      <c r="A104" s="293"/>
      <c r="B104" s="293"/>
      <c r="C104" s="293"/>
      <c r="D104" s="293"/>
      <c r="E104" s="293"/>
      <c r="F104" s="293"/>
      <c r="G104" s="293"/>
      <c r="H104" s="293"/>
      <c r="I104" s="293"/>
      <c r="J104" s="293"/>
      <c r="K104" s="293"/>
      <c r="L104" s="293"/>
    </row>
    <row r="105" spans="1:12" ht="14.25">
      <c r="A105" s="293"/>
      <c r="B105" s="293"/>
      <c r="C105" s="293"/>
      <c r="D105" s="293"/>
      <c r="E105" s="293"/>
      <c r="F105" s="293"/>
      <c r="G105" s="293"/>
      <c r="H105" s="293"/>
      <c r="I105" s="293"/>
      <c r="J105" s="293"/>
      <c r="K105" s="293"/>
      <c r="L105" s="293"/>
    </row>
    <row r="106" spans="1:12" ht="14.25">
      <c r="A106" s="293"/>
      <c r="B106" s="293"/>
      <c r="C106" s="293"/>
      <c r="D106" s="293"/>
      <c r="E106" s="293"/>
      <c r="F106" s="293"/>
      <c r="G106" s="293"/>
      <c r="H106" s="293"/>
      <c r="I106" s="293"/>
      <c r="J106" s="293"/>
      <c r="K106" s="293"/>
      <c r="L106" s="293"/>
    </row>
    <row r="107" spans="1:12" ht="14.25">
      <c r="A107" s="293"/>
      <c r="B107" s="293"/>
      <c r="C107" s="293"/>
      <c r="D107" s="293"/>
      <c r="E107" s="293"/>
      <c r="F107" s="293"/>
      <c r="G107" s="293"/>
      <c r="H107" s="293"/>
      <c r="I107" s="293"/>
      <c r="J107" s="293"/>
      <c r="K107" s="293"/>
      <c r="L107" s="293"/>
    </row>
    <row r="108" spans="1:12" ht="14.25">
      <c r="A108" s="293"/>
      <c r="B108" s="293"/>
      <c r="C108" s="293"/>
      <c r="D108" s="293"/>
      <c r="E108" s="293"/>
      <c r="F108" s="293"/>
      <c r="G108" s="293"/>
      <c r="H108" s="293"/>
      <c r="I108" s="293"/>
      <c r="J108" s="293"/>
      <c r="K108" s="293"/>
      <c r="L108" s="293"/>
    </row>
    <row r="109" spans="1:12" ht="14.25">
      <c r="A109" s="293"/>
      <c r="B109" s="293"/>
      <c r="C109" s="293"/>
      <c r="D109" s="293"/>
      <c r="E109" s="293"/>
      <c r="F109" s="293"/>
      <c r="G109" s="293"/>
      <c r="H109" s="293"/>
      <c r="I109" s="293"/>
      <c r="J109" s="293"/>
      <c r="K109" s="293"/>
      <c r="L109" s="293"/>
    </row>
    <row r="110" spans="1:12" ht="14.25">
      <c r="A110" s="293"/>
      <c r="B110" s="293"/>
      <c r="C110" s="293"/>
      <c r="D110" s="293"/>
      <c r="E110" s="293"/>
      <c r="F110" s="293"/>
      <c r="G110" s="293"/>
      <c r="H110" s="293"/>
      <c r="I110" s="293"/>
      <c r="J110" s="293"/>
      <c r="K110" s="293"/>
      <c r="L110" s="293"/>
    </row>
    <row r="111" spans="1:12" ht="14.25">
      <c r="A111" s="293"/>
      <c r="B111" s="293"/>
      <c r="C111" s="293"/>
      <c r="D111" s="293"/>
      <c r="E111" s="293"/>
      <c r="F111" s="293"/>
      <c r="G111" s="293"/>
      <c r="H111" s="293"/>
      <c r="I111" s="293"/>
      <c r="J111" s="293"/>
      <c r="K111" s="293"/>
      <c r="L111" s="293"/>
    </row>
    <row r="112" spans="1:12" ht="14.25">
      <c r="A112" s="293"/>
      <c r="B112" s="293"/>
      <c r="C112" s="293"/>
      <c r="D112" s="293"/>
      <c r="E112" s="293"/>
      <c r="F112" s="293"/>
      <c r="G112" s="293"/>
      <c r="H112" s="293"/>
      <c r="I112" s="293"/>
      <c r="J112" s="293"/>
      <c r="K112" s="293"/>
      <c r="L112" s="293"/>
    </row>
    <row r="113" spans="1:12" ht="14.25">
      <c r="A113" s="293"/>
      <c r="B113" s="293"/>
      <c r="C113" s="293"/>
      <c r="D113" s="293"/>
      <c r="E113" s="293"/>
      <c r="F113" s="293"/>
      <c r="G113" s="293"/>
      <c r="H113" s="293"/>
      <c r="I113" s="293"/>
      <c r="J113" s="293"/>
      <c r="K113" s="293"/>
      <c r="L113" s="293"/>
    </row>
    <row r="114" spans="1:12" ht="14.25">
      <c r="A114" s="293"/>
      <c r="B114" s="293"/>
      <c r="C114" s="293"/>
      <c r="D114" s="293"/>
      <c r="E114" s="293"/>
      <c r="F114" s="293"/>
      <c r="G114" s="293"/>
      <c r="H114" s="293"/>
      <c r="I114" s="293"/>
      <c r="J114" s="293"/>
      <c r="K114" s="293"/>
      <c r="L114" s="293"/>
    </row>
    <row r="115" spans="1:12" ht="14.25">
      <c r="A115" s="293"/>
      <c r="B115" s="293"/>
      <c r="C115" s="293"/>
      <c r="D115" s="293"/>
      <c r="E115" s="293"/>
      <c r="F115" s="293"/>
      <c r="G115" s="293"/>
      <c r="H115" s="293"/>
      <c r="I115" s="293"/>
      <c r="J115" s="293"/>
      <c r="K115" s="293"/>
      <c r="L115" s="293"/>
    </row>
    <row r="116" spans="1:12" ht="14.25">
      <c r="A116" s="293"/>
      <c r="B116" s="293"/>
      <c r="C116" s="293"/>
      <c r="D116" s="293"/>
      <c r="E116" s="293"/>
      <c r="F116" s="293"/>
      <c r="G116" s="293"/>
      <c r="H116" s="293"/>
      <c r="I116" s="293"/>
      <c r="J116" s="293"/>
      <c r="K116" s="293"/>
      <c r="L116" s="293"/>
    </row>
    <row r="117" spans="1:12" ht="14.25">
      <c r="A117" s="293"/>
      <c r="B117" s="293"/>
      <c r="C117" s="293"/>
      <c r="D117" s="293"/>
      <c r="E117" s="293"/>
      <c r="F117" s="293"/>
      <c r="G117" s="293"/>
      <c r="H117" s="293"/>
      <c r="I117" s="293"/>
      <c r="J117" s="293"/>
      <c r="K117" s="293"/>
      <c r="L117" s="293"/>
    </row>
    <row r="118" spans="1:12" ht="14.25">
      <c r="A118" s="293"/>
      <c r="B118" s="293"/>
      <c r="C118" s="293"/>
      <c r="D118" s="293"/>
      <c r="E118" s="293"/>
      <c r="F118" s="293"/>
      <c r="G118" s="293"/>
      <c r="H118" s="293"/>
      <c r="I118" s="293"/>
      <c r="J118" s="293"/>
      <c r="K118" s="293"/>
      <c r="L118" s="293"/>
    </row>
    <row r="119" spans="1:12" ht="14.25">
      <c r="A119" s="293"/>
      <c r="B119" s="293"/>
      <c r="C119" s="293"/>
      <c r="D119" s="293"/>
      <c r="E119" s="293"/>
      <c r="F119" s="293"/>
      <c r="G119" s="293"/>
      <c r="H119" s="293"/>
      <c r="I119" s="293"/>
      <c r="J119" s="293"/>
      <c r="K119" s="293"/>
      <c r="L119" s="293"/>
    </row>
    <row r="120" spans="1:12" ht="14.25">
      <c r="A120" s="293"/>
      <c r="B120" s="293"/>
      <c r="C120" s="293"/>
      <c r="D120" s="293"/>
      <c r="E120" s="293"/>
      <c r="F120" s="293"/>
      <c r="G120" s="293"/>
      <c r="H120" s="293"/>
      <c r="I120" s="293"/>
      <c r="J120" s="293"/>
      <c r="K120" s="293"/>
      <c r="L120" s="293"/>
    </row>
    <row r="121" spans="1:12" ht="14.25">
      <c r="A121" s="293"/>
      <c r="B121" s="293"/>
      <c r="C121" s="293"/>
      <c r="D121" s="293"/>
      <c r="E121" s="293"/>
      <c r="F121" s="293"/>
      <c r="G121" s="293"/>
      <c r="H121" s="293"/>
      <c r="I121" s="293"/>
      <c r="J121" s="293"/>
      <c r="K121" s="293"/>
      <c r="L121" s="293"/>
    </row>
    <row r="122" spans="1:12" ht="14.25">
      <c r="A122" s="293"/>
      <c r="B122" s="293"/>
      <c r="C122" s="293"/>
      <c r="D122" s="293"/>
      <c r="E122" s="293"/>
      <c r="F122" s="293"/>
      <c r="G122" s="293"/>
      <c r="H122" s="293"/>
      <c r="I122" s="293"/>
      <c r="J122" s="293"/>
      <c r="K122" s="293"/>
      <c r="L122" s="293"/>
    </row>
    <row r="123" spans="1:12" ht="14.25">
      <c r="A123" s="293"/>
      <c r="B123" s="293"/>
      <c r="C123" s="293"/>
      <c r="D123" s="293"/>
      <c r="E123" s="293"/>
      <c r="F123" s="293"/>
      <c r="G123" s="293"/>
      <c r="H123" s="293"/>
      <c r="I123" s="293"/>
      <c r="J123" s="293"/>
      <c r="K123" s="293"/>
      <c r="L123" s="293"/>
    </row>
    <row r="124" spans="1:12" ht="14.25">
      <c r="A124" s="293"/>
      <c r="B124" s="293"/>
      <c r="C124" s="293"/>
      <c r="D124" s="293"/>
      <c r="E124" s="293"/>
      <c r="F124" s="293"/>
      <c r="G124" s="293"/>
      <c r="H124" s="293"/>
      <c r="I124" s="293"/>
      <c r="J124" s="293"/>
      <c r="K124" s="293"/>
      <c r="L124" s="293"/>
    </row>
    <row r="125" spans="1:12" ht="14.25">
      <c r="A125" s="293"/>
      <c r="B125" s="293"/>
      <c r="C125" s="293"/>
      <c r="D125" s="293"/>
      <c r="E125" s="293"/>
      <c r="F125" s="293"/>
      <c r="G125" s="293"/>
      <c r="H125" s="293"/>
      <c r="I125" s="293"/>
      <c r="J125" s="293"/>
      <c r="K125" s="293"/>
      <c r="L125" s="293"/>
    </row>
    <row r="126" spans="1:12" ht="14.25">
      <c r="A126" s="293"/>
      <c r="B126" s="293"/>
      <c r="C126" s="293"/>
      <c r="D126" s="293"/>
      <c r="E126" s="293"/>
      <c r="F126" s="293"/>
      <c r="G126" s="293"/>
      <c r="H126" s="293"/>
      <c r="I126" s="293"/>
      <c r="J126" s="293"/>
      <c r="K126" s="293"/>
      <c r="L126" s="293"/>
    </row>
    <row r="127" spans="1:12" ht="14.25">
      <c r="A127" s="293"/>
      <c r="B127" s="293"/>
      <c r="C127" s="293"/>
      <c r="D127" s="293"/>
      <c r="E127" s="293"/>
      <c r="F127" s="293"/>
      <c r="G127" s="293"/>
      <c r="H127" s="293"/>
      <c r="I127" s="293"/>
      <c r="J127" s="293"/>
      <c r="K127" s="293"/>
      <c r="L127" s="293"/>
    </row>
    <row r="128" spans="1:12" ht="14.25">
      <c r="A128" s="293"/>
      <c r="B128" s="293"/>
      <c r="C128" s="293"/>
      <c r="D128" s="293"/>
      <c r="E128" s="293"/>
      <c r="F128" s="293"/>
      <c r="G128" s="293"/>
      <c r="H128" s="293"/>
      <c r="I128" s="293"/>
      <c r="J128" s="293"/>
      <c r="K128" s="293"/>
      <c r="L128" s="293"/>
    </row>
    <row r="129" spans="1:12" ht="14.25">
      <c r="A129" s="293"/>
      <c r="B129" s="293"/>
      <c r="C129" s="293"/>
      <c r="D129" s="293"/>
      <c r="E129" s="293"/>
      <c r="F129" s="293"/>
      <c r="G129" s="293"/>
      <c r="H129" s="293"/>
      <c r="I129" s="293"/>
      <c r="J129" s="293"/>
      <c r="K129" s="293"/>
      <c r="L129" s="293"/>
    </row>
    <row r="130" spans="1:12" ht="14.25">
      <c r="A130" s="293"/>
      <c r="B130" s="293"/>
      <c r="C130" s="293"/>
      <c r="D130" s="293"/>
      <c r="E130" s="293"/>
      <c r="F130" s="293"/>
      <c r="G130" s="293"/>
      <c r="H130" s="293"/>
      <c r="I130" s="293"/>
      <c r="J130" s="293"/>
      <c r="K130" s="293"/>
      <c r="L130" s="293"/>
    </row>
    <row r="131" spans="1:12" ht="14.25">
      <c r="A131" s="293"/>
      <c r="B131" s="293"/>
      <c r="C131" s="293"/>
      <c r="D131" s="293"/>
      <c r="E131" s="293"/>
      <c r="F131" s="293"/>
      <c r="G131" s="293"/>
      <c r="H131" s="293"/>
      <c r="I131" s="293"/>
      <c r="J131" s="293"/>
      <c r="K131" s="293"/>
      <c r="L131" s="293"/>
    </row>
    <row r="132" spans="1:12" ht="14.25">
      <c r="A132" s="293"/>
      <c r="B132" s="293"/>
      <c r="C132" s="293"/>
      <c r="D132" s="293"/>
      <c r="E132" s="293"/>
      <c r="F132" s="293"/>
      <c r="G132" s="293"/>
      <c r="H132" s="293"/>
      <c r="I132" s="293"/>
      <c r="J132" s="293"/>
      <c r="K132" s="293"/>
      <c r="L132" s="293"/>
    </row>
    <row r="133" spans="1:12" ht="14.25">
      <c r="A133" s="293"/>
      <c r="B133" s="293"/>
      <c r="C133" s="293"/>
      <c r="D133" s="293"/>
      <c r="E133" s="293"/>
      <c r="F133" s="293"/>
      <c r="G133" s="293"/>
      <c r="H133" s="293"/>
      <c r="I133" s="293"/>
      <c r="J133" s="293"/>
      <c r="K133" s="293"/>
      <c r="L133" s="293"/>
    </row>
    <row r="134" spans="1:12" ht="14.25">
      <c r="A134" s="293"/>
      <c r="B134" s="293"/>
      <c r="C134" s="293"/>
      <c r="D134" s="293"/>
      <c r="E134" s="293"/>
      <c r="F134" s="293"/>
      <c r="G134" s="293"/>
      <c r="H134" s="293"/>
      <c r="I134" s="293"/>
      <c r="J134" s="293"/>
      <c r="K134" s="293"/>
      <c r="L134" s="293"/>
    </row>
    <row r="135" spans="1:12" ht="14.25">
      <c r="A135" s="293"/>
      <c r="B135" s="293"/>
      <c r="C135" s="293"/>
      <c r="D135" s="293"/>
      <c r="E135" s="293"/>
      <c r="F135" s="293"/>
      <c r="G135" s="293"/>
      <c r="H135" s="293"/>
      <c r="I135" s="293"/>
      <c r="J135" s="293"/>
      <c r="K135" s="293"/>
      <c r="L135" s="293"/>
    </row>
    <row r="136" spans="1:12" ht="14.25">
      <c r="A136" s="293"/>
      <c r="B136" s="293"/>
      <c r="C136" s="293"/>
      <c r="D136" s="293"/>
      <c r="E136" s="293"/>
      <c r="F136" s="293"/>
      <c r="G136" s="293"/>
      <c r="H136" s="293"/>
      <c r="I136" s="293"/>
      <c r="J136" s="293"/>
      <c r="K136" s="293"/>
      <c r="L136" s="293"/>
    </row>
    <row r="137" spans="1:12" ht="14.25">
      <c r="A137" s="293"/>
      <c r="B137" s="293"/>
      <c r="C137" s="293"/>
      <c r="D137" s="293"/>
      <c r="E137" s="293"/>
      <c r="F137" s="293"/>
      <c r="G137" s="293"/>
      <c r="H137" s="293"/>
      <c r="I137" s="293"/>
      <c r="J137" s="293"/>
      <c r="K137" s="293"/>
      <c r="L137" s="293"/>
    </row>
    <row r="138" spans="1:12" ht="14.25">
      <c r="A138" s="293"/>
      <c r="B138" s="293"/>
      <c r="C138" s="293"/>
      <c r="D138" s="293"/>
      <c r="E138" s="293"/>
      <c r="F138" s="293"/>
      <c r="G138" s="293"/>
      <c r="H138" s="293"/>
      <c r="I138" s="293"/>
      <c r="J138" s="293"/>
      <c r="K138" s="293"/>
      <c r="L138" s="293"/>
    </row>
    <row r="139" spans="1:12" ht="14.25">
      <c r="A139" s="293"/>
      <c r="B139" s="293"/>
      <c r="C139" s="293"/>
      <c r="D139" s="293"/>
      <c r="E139" s="293"/>
      <c r="F139" s="293"/>
      <c r="G139" s="293"/>
      <c r="H139" s="293"/>
      <c r="I139" s="293"/>
      <c r="J139" s="293"/>
      <c r="K139" s="293"/>
      <c r="L139" s="293"/>
    </row>
    <row r="140" spans="1:12" ht="14.25">
      <c r="A140" s="293"/>
      <c r="B140" s="293"/>
      <c r="C140" s="293"/>
      <c r="D140" s="293"/>
      <c r="E140" s="293"/>
      <c r="F140" s="293"/>
      <c r="G140" s="293"/>
      <c r="H140" s="293"/>
      <c r="I140" s="293"/>
      <c r="J140" s="293"/>
      <c r="K140" s="293"/>
      <c r="L140" s="293"/>
    </row>
    <row r="141" spans="1:12" ht="14.25">
      <c r="A141" s="293"/>
      <c r="B141" s="293"/>
      <c r="C141" s="293"/>
      <c r="D141" s="293"/>
      <c r="E141" s="293"/>
      <c r="F141" s="293"/>
      <c r="G141" s="293"/>
      <c r="H141" s="293"/>
      <c r="I141" s="293"/>
      <c r="J141" s="293"/>
      <c r="K141" s="293"/>
      <c r="L141" s="293"/>
    </row>
    <row r="142" spans="1:12" ht="14.25">
      <c r="A142" s="293"/>
      <c r="B142" s="293"/>
      <c r="C142" s="293"/>
      <c r="D142" s="293"/>
      <c r="E142" s="293"/>
      <c r="F142" s="293"/>
      <c r="G142" s="293"/>
      <c r="H142" s="293"/>
      <c r="I142" s="293"/>
      <c r="J142" s="293"/>
      <c r="K142" s="293"/>
      <c r="L142" s="293"/>
    </row>
    <row r="143" spans="1:12" ht="14.25">
      <c r="A143" s="293"/>
      <c r="B143" s="293"/>
      <c r="C143" s="293"/>
      <c r="D143" s="293"/>
      <c r="E143" s="293"/>
      <c r="F143" s="293"/>
      <c r="G143" s="293"/>
      <c r="H143" s="293"/>
      <c r="I143" s="293"/>
      <c r="J143" s="293"/>
      <c r="K143" s="293"/>
      <c r="L143" s="293"/>
    </row>
    <row r="144" spans="1:12" ht="14.25">
      <c r="A144" s="293"/>
      <c r="B144" s="293"/>
      <c r="C144" s="293"/>
      <c r="D144" s="293"/>
      <c r="E144" s="293"/>
      <c r="F144" s="293"/>
      <c r="G144" s="293"/>
      <c r="H144" s="293"/>
      <c r="I144" s="293"/>
      <c r="J144" s="293"/>
      <c r="K144" s="293"/>
      <c r="L144" s="293"/>
    </row>
    <row r="145" spans="1:12" ht="14.25">
      <c r="A145" s="293"/>
      <c r="B145" s="293"/>
      <c r="C145" s="293"/>
      <c r="D145" s="293"/>
      <c r="E145" s="293"/>
      <c r="F145" s="293"/>
      <c r="G145" s="293"/>
      <c r="H145" s="293"/>
      <c r="I145" s="293"/>
      <c r="J145" s="293"/>
      <c r="K145" s="293"/>
      <c r="L145" s="293"/>
    </row>
    <row r="146" spans="1:12" ht="14.25">
      <c r="A146" s="293"/>
      <c r="B146" s="293"/>
      <c r="C146" s="293"/>
      <c r="D146" s="293"/>
      <c r="E146" s="293"/>
      <c r="F146" s="293"/>
      <c r="G146" s="293"/>
      <c r="H146" s="293"/>
      <c r="I146" s="293"/>
      <c r="J146" s="293"/>
      <c r="K146" s="293"/>
      <c r="L146" s="293"/>
    </row>
    <row r="147" spans="1:12" ht="14.25">
      <c r="A147" s="293"/>
      <c r="B147" s="293"/>
      <c r="C147" s="293"/>
      <c r="D147" s="293"/>
      <c r="E147" s="293"/>
      <c r="F147" s="293"/>
      <c r="G147" s="293"/>
      <c r="H147" s="293"/>
      <c r="I147" s="293"/>
      <c r="J147" s="293"/>
      <c r="K147" s="293"/>
      <c r="L147" s="293"/>
    </row>
    <row r="148" spans="1:12" ht="14.25">
      <c r="A148" s="293"/>
      <c r="B148" s="293"/>
      <c r="C148" s="293"/>
      <c r="D148" s="293"/>
      <c r="E148" s="293"/>
      <c r="F148" s="293"/>
      <c r="G148" s="293"/>
      <c r="H148" s="293"/>
      <c r="I148" s="293"/>
      <c r="J148" s="293"/>
      <c r="K148" s="293"/>
      <c r="L148" s="293"/>
    </row>
    <row r="149" spans="1:12" ht="14.25">
      <c r="A149" s="293"/>
      <c r="B149" s="293"/>
      <c r="C149" s="293"/>
      <c r="D149" s="293"/>
      <c r="E149" s="293"/>
      <c r="F149" s="293"/>
      <c r="G149" s="293"/>
      <c r="H149" s="293"/>
      <c r="I149" s="293"/>
      <c r="J149" s="293"/>
      <c r="K149" s="293"/>
      <c r="L149" s="293"/>
    </row>
    <row r="150" spans="1:12" ht="14.25">
      <c r="A150" s="293"/>
      <c r="B150" s="293"/>
      <c r="C150" s="293"/>
      <c r="D150" s="293"/>
      <c r="E150" s="293"/>
      <c r="F150" s="293"/>
      <c r="G150" s="293"/>
      <c r="H150" s="293"/>
      <c r="I150" s="293"/>
      <c r="J150" s="293"/>
      <c r="K150" s="293"/>
      <c r="L150" s="293"/>
    </row>
    <row r="151" spans="1:12" ht="14.25">
      <c r="A151" s="293"/>
      <c r="B151" s="293"/>
      <c r="C151" s="293"/>
      <c r="D151" s="293"/>
      <c r="E151" s="293"/>
      <c r="F151" s="293"/>
      <c r="G151" s="293"/>
      <c r="H151" s="293"/>
      <c r="I151" s="293"/>
      <c r="J151" s="293"/>
      <c r="K151" s="293"/>
      <c r="L151" s="293"/>
    </row>
    <row r="152" spans="1:12" ht="14.25">
      <c r="A152" s="293"/>
      <c r="B152" s="293"/>
      <c r="C152" s="293"/>
      <c r="D152" s="293"/>
      <c r="E152" s="293"/>
      <c r="F152" s="293"/>
      <c r="G152" s="293"/>
      <c r="H152" s="293"/>
      <c r="I152" s="293"/>
      <c r="J152" s="293"/>
      <c r="K152" s="293"/>
      <c r="L152" s="293"/>
    </row>
    <row r="153" spans="1:12" ht="14.25">
      <c r="A153" s="293"/>
      <c r="B153" s="293"/>
      <c r="C153" s="293"/>
      <c r="D153" s="293"/>
      <c r="E153" s="293"/>
      <c r="F153" s="293"/>
      <c r="G153" s="293"/>
      <c r="H153" s="293"/>
      <c r="I153" s="293"/>
      <c r="J153" s="293"/>
      <c r="K153" s="293"/>
      <c r="L153" s="293"/>
    </row>
    <row r="154" spans="1:12" ht="14.25">
      <c r="A154" s="293"/>
      <c r="B154" s="293"/>
      <c r="C154" s="293"/>
      <c r="D154" s="293"/>
      <c r="E154" s="293"/>
      <c r="F154" s="293"/>
      <c r="G154" s="293"/>
      <c r="H154" s="293"/>
      <c r="I154" s="293"/>
      <c r="J154" s="293"/>
      <c r="K154" s="293"/>
      <c r="L154" s="293"/>
    </row>
    <row r="155" spans="1:12" ht="14.25">
      <c r="A155" s="293"/>
      <c r="B155" s="293"/>
      <c r="C155" s="293"/>
      <c r="D155" s="293"/>
      <c r="E155" s="293"/>
      <c r="F155" s="293"/>
      <c r="G155" s="293"/>
      <c r="H155" s="293"/>
      <c r="I155" s="293"/>
      <c r="J155" s="293"/>
      <c r="K155" s="293"/>
      <c r="L155" s="293"/>
    </row>
    <row r="156" spans="1:12" ht="14.25">
      <c r="A156" s="293"/>
      <c r="B156" s="293"/>
      <c r="C156" s="293"/>
      <c r="D156" s="293"/>
      <c r="E156" s="293"/>
      <c r="F156" s="293"/>
      <c r="G156" s="293"/>
      <c r="H156" s="293"/>
      <c r="I156" s="293"/>
      <c r="J156" s="293"/>
      <c r="K156" s="293"/>
      <c r="L156" s="293"/>
    </row>
    <row r="157" spans="1:12" ht="14.25">
      <c r="A157" s="293"/>
      <c r="B157" s="293"/>
      <c r="C157" s="293"/>
      <c r="D157" s="293"/>
      <c r="E157" s="293"/>
      <c r="F157" s="293"/>
      <c r="G157" s="293"/>
      <c r="H157" s="293"/>
      <c r="I157" s="293"/>
      <c r="J157" s="293"/>
      <c r="K157" s="293"/>
      <c r="L157" s="293"/>
    </row>
    <row r="158" spans="1:12" ht="14.25">
      <c r="A158" s="293"/>
      <c r="B158" s="293"/>
      <c r="C158" s="293"/>
      <c r="D158" s="293"/>
      <c r="E158" s="293"/>
      <c r="F158" s="293"/>
      <c r="G158" s="293"/>
      <c r="H158" s="293"/>
      <c r="I158" s="293"/>
      <c r="J158" s="293"/>
      <c r="K158" s="293"/>
      <c r="L158" s="293"/>
    </row>
    <row r="159" spans="1:12" ht="14.25">
      <c r="A159" s="293"/>
      <c r="B159" s="293"/>
      <c r="C159" s="293"/>
      <c r="D159" s="293"/>
      <c r="E159" s="293"/>
      <c r="F159" s="293"/>
      <c r="G159" s="293"/>
      <c r="H159" s="293"/>
      <c r="I159" s="293"/>
      <c r="J159" s="293"/>
      <c r="K159" s="293"/>
      <c r="L159" s="293"/>
    </row>
    <row r="160" spans="1:12" ht="14.25">
      <c r="A160" s="293"/>
      <c r="B160" s="293"/>
      <c r="C160" s="293"/>
      <c r="D160" s="293"/>
      <c r="E160" s="293"/>
      <c r="F160" s="293"/>
      <c r="G160" s="293"/>
      <c r="H160" s="293"/>
      <c r="I160" s="293"/>
      <c r="J160" s="293"/>
      <c r="K160" s="293"/>
      <c r="L160" s="293"/>
    </row>
    <row r="161" spans="1:12" ht="14.25">
      <c r="A161" s="293"/>
      <c r="B161" s="293"/>
      <c r="C161" s="293"/>
      <c r="D161" s="293"/>
      <c r="E161" s="293"/>
      <c r="F161" s="293"/>
      <c r="G161" s="293"/>
      <c r="H161" s="293"/>
      <c r="I161" s="293"/>
      <c r="J161" s="293"/>
      <c r="K161" s="293"/>
      <c r="L161" s="293"/>
    </row>
    <row r="162" spans="1:12" ht="14.25">
      <c r="A162" s="293"/>
      <c r="B162" s="293"/>
      <c r="C162" s="293"/>
      <c r="D162" s="293"/>
      <c r="E162" s="293"/>
      <c r="F162" s="293"/>
      <c r="G162" s="293"/>
      <c r="H162" s="293"/>
      <c r="I162" s="293"/>
      <c r="J162" s="293"/>
      <c r="K162" s="293"/>
      <c r="L162" s="293"/>
    </row>
    <row r="163" spans="1:12" ht="14.25">
      <c r="A163" s="293"/>
      <c r="B163" s="293"/>
      <c r="C163" s="293"/>
      <c r="D163" s="293"/>
      <c r="E163" s="293"/>
      <c r="F163" s="293"/>
      <c r="G163" s="293"/>
      <c r="H163" s="293"/>
      <c r="I163" s="293"/>
      <c r="J163" s="293"/>
      <c r="K163" s="293"/>
      <c r="L163" s="293"/>
    </row>
    <row r="164" spans="1:12" ht="14.25">
      <c r="A164" s="293"/>
      <c r="B164" s="293"/>
      <c r="C164" s="293"/>
      <c r="D164" s="293"/>
      <c r="E164" s="293"/>
      <c r="F164" s="293"/>
      <c r="G164" s="293"/>
      <c r="H164" s="293"/>
      <c r="I164" s="293"/>
      <c r="J164" s="293"/>
      <c r="K164" s="293"/>
      <c r="L164" s="293"/>
    </row>
    <row r="165" spans="1:12" ht="14.25">
      <c r="A165" s="293"/>
      <c r="B165" s="293"/>
      <c r="C165" s="293"/>
      <c r="D165" s="293"/>
      <c r="E165" s="293"/>
      <c r="F165" s="293"/>
      <c r="G165" s="293"/>
      <c r="H165" s="293"/>
      <c r="I165" s="293"/>
      <c r="J165" s="293"/>
      <c r="K165" s="293"/>
      <c r="L165" s="293"/>
    </row>
    <row r="166" spans="1:12" ht="14.25">
      <c r="A166" s="293"/>
      <c r="B166" s="293"/>
      <c r="C166" s="293"/>
      <c r="D166" s="293"/>
      <c r="E166" s="293"/>
      <c r="F166" s="293"/>
      <c r="G166" s="293"/>
      <c r="H166" s="293"/>
      <c r="I166" s="293"/>
      <c r="J166" s="293"/>
      <c r="K166" s="293"/>
      <c r="L166" s="293"/>
    </row>
    <row r="167" spans="1:12" ht="14.25">
      <c r="A167" s="293"/>
      <c r="B167" s="293"/>
      <c r="C167" s="293"/>
      <c r="D167" s="293"/>
      <c r="E167" s="293"/>
      <c r="F167" s="293"/>
      <c r="G167" s="293"/>
      <c r="H167" s="293"/>
      <c r="I167" s="293"/>
      <c r="J167" s="293"/>
      <c r="K167" s="293"/>
      <c r="L167" s="293"/>
    </row>
    <row r="168" spans="1:12" ht="14.25">
      <c r="A168" s="293"/>
      <c r="B168" s="293"/>
      <c r="C168" s="293"/>
      <c r="D168" s="293"/>
      <c r="E168" s="293"/>
      <c r="F168" s="293"/>
      <c r="G168" s="293"/>
      <c r="H168" s="293"/>
      <c r="I168" s="293"/>
      <c r="J168" s="293"/>
      <c r="K168" s="293"/>
      <c r="L168" s="293"/>
    </row>
    <row r="169" spans="1:12" ht="14.25">
      <c r="A169" s="293"/>
      <c r="B169" s="293"/>
      <c r="C169" s="293"/>
      <c r="D169" s="293"/>
      <c r="E169" s="293"/>
      <c r="F169" s="293"/>
      <c r="G169" s="293"/>
      <c r="H169" s="293"/>
      <c r="I169" s="293"/>
      <c r="J169" s="293"/>
      <c r="K169" s="293"/>
      <c r="L169" s="293"/>
    </row>
    <row r="170" spans="1:12" ht="14.25">
      <c r="A170" s="293"/>
      <c r="B170" s="293"/>
      <c r="C170" s="293"/>
      <c r="D170" s="293"/>
      <c r="E170" s="293"/>
      <c r="F170" s="293"/>
      <c r="G170" s="293"/>
      <c r="H170" s="293"/>
      <c r="I170" s="293"/>
      <c r="J170" s="293"/>
      <c r="K170" s="293"/>
      <c r="L170" s="293"/>
    </row>
    <row r="171" spans="1:12" ht="14.25">
      <c r="A171" s="293"/>
      <c r="B171" s="293"/>
      <c r="C171" s="293"/>
      <c r="D171" s="293"/>
      <c r="E171" s="293"/>
      <c r="F171" s="293"/>
      <c r="G171" s="293"/>
      <c r="H171" s="293"/>
      <c r="I171" s="293"/>
      <c r="J171" s="293"/>
      <c r="K171" s="293"/>
      <c r="L171" s="293"/>
    </row>
    <row r="172" spans="1:12" ht="14.25">
      <c r="A172" s="293"/>
      <c r="B172" s="293"/>
      <c r="C172" s="293"/>
      <c r="D172" s="293"/>
      <c r="E172" s="293"/>
      <c r="F172" s="293"/>
      <c r="G172" s="293"/>
      <c r="H172" s="293"/>
      <c r="I172" s="293"/>
      <c r="J172" s="293"/>
      <c r="K172" s="293"/>
      <c r="L172" s="293"/>
    </row>
    <row r="173" spans="1:12" ht="14.25">
      <c r="A173" s="293"/>
      <c r="B173" s="293"/>
      <c r="C173" s="293"/>
      <c r="D173" s="293"/>
      <c r="E173" s="293"/>
      <c r="F173" s="293"/>
      <c r="G173" s="293"/>
      <c r="H173" s="293"/>
      <c r="I173" s="293"/>
      <c r="J173" s="293"/>
      <c r="K173" s="293"/>
      <c r="L173" s="293"/>
    </row>
    <row r="174" spans="1:12" ht="14.25">
      <c r="A174" s="293"/>
      <c r="B174" s="293"/>
      <c r="C174" s="293"/>
      <c r="D174" s="293"/>
      <c r="E174" s="293"/>
      <c r="F174" s="293"/>
      <c r="G174" s="293"/>
      <c r="H174" s="293"/>
      <c r="I174" s="293"/>
      <c r="J174" s="293"/>
      <c r="K174" s="293"/>
      <c r="L174" s="293"/>
    </row>
    <row r="175" spans="1:12" ht="14.25">
      <c r="A175" s="293"/>
      <c r="B175" s="293"/>
      <c r="C175" s="293"/>
      <c r="D175" s="293"/>
      <c r="E175" s="293"/>
      <c r="F175" s="293"/>
      <c r="G175" s="293"/>
      <c r="H175" s="293"/>
      <c r="I175" s="293"/>
      <c r="J175" s="293"/>
      <c r="K175" s="293"/>
      <c r="L175" s="293"/>
    </row>
    <row r="176" spans="1:12" ht="14.25">
      <c r="A176" s="293"/>
      <c r="B176" s="293"/>
      <c r="C176" s="293"/>
      <c r="D176" s="293"/>
      <c r="E176" s="293"/>
      <c r="F176" s="293"/>
      <c r="G176" s="293"/>
      <c r="H176" s="293"/>
      <c r="I176" s="293"/>
      <c r="J176" s="293"/>
      <c r="K176" s="293"/>
      <c r="L176" s="293"/>
    </row>
    <row r="177" spans="1:12" ht="14.25">
      <c r="A177" s="293"/>
      <c r="B177" s="293"/>
      <c r="C177" s="293"/>
      <c r="D177" s="293"/>
      <c r="E177" s="293"/>
      <c r="F177" s="293"/>
      <c r="G177" s="293"/>
      <c r="H177" s="293"/>
      <c r="I177" s="293"/>
      <c r="J177" s="293"/>
      <c r="K177" s="293"/>
      <c r="L177" s="293"/>
    </row>
    <row r="178" spans="1:12" ht="14.25">
      <c r="A178" s="293"/>
      <c r="B178" s="293"/>
      <c r="C178" s="293"/>
      <c r="D178" s="293"/>
      <c r="E178" s="293"/>
      <c r="F178" s="293"/>
      <c r="G178" s="293"/>
      <c r="H178" s="293"/>
      <c r="I178" s="293"/>
      <c r="J178" s="293"/>
      <c r="K178" s="293"/>
      <c r="L178" s="293"/>
    </row>
    <row r="179" spans="1:12" ht="14.25">
      <c r="A179" s="293"/>
      <c r="B179" s="293"/>
      <c r="C179" s="293"/>
      <c r="D179" s="293"/>
      <c r="E179" s="293"/>
      <c r="F179" s="293"/>
      <c r="G179" s="293"/>
      <c r="H179" s="293"/>
      <c r="I179" s="293"/>
      <c r="J179" s="293"/>
      <c r="K179" s="293"/>
      <c r="L179" s="293"/>
    </row>
    <row r="180" spans="1:12" ht="14.25">
      <c r="A180" s="293"/>
      <c r="B180" s="293"/>
      <c r="C180" s="293"/>
      <c r="D180" s="293"/>
      <c r="E180" s="293"/>
      <c r="F180" s="293"/>
      <c r="G180" s="293"/>
      <c r="H180" s="293"/>
      <c r="I180" s="293"/>
      <c r="J180" s="293"/>
      <c r="K180" s="293"/>
      <c r="L180" s="293"/>
    </row>
    <row r="181" spans="1:12" ht="14.25">
      <c r="A181" s="293"/>
      <c r="B181" s="293"/>
      <c r="C181" s="293"/>
      <c r="D181" s="293"/>
      <c r="E181" s="293"/>
      <c r="F181" s="293"/>
      <c r="G181" s="293"/>
      <c r="H181" s="293"/>
      <c r="I181" s="293"/>
      <c r="J181" s="293"/>
      <c r="K181" s="293"/>
      <c r="L181" s="293"/>
    </row>
    <row r="182" spans="1:12" ht="14.25">
      <c r="A182" s="293"/>
      <c r="B182" s="293"/>
      <c r="C182" s="293"/>
      <c r="D182" s="293"/>
      <c r="E182" s="293"/>
      <c r="F182" s="293"/>
      <c r="G182" s="293"/>
      <c r="H182" s="293"/>
      <c r="I182" s="293"/>
      <c r="J182" s="293"/>
      <c r="K182" s="293"/>
      <c r="L182" s="293"/>
    </row>
    <row r="183" spans="1:12" ht="14.25">
      <c r="A183" s="293"/>
      <c r="B183" s="293"/>
      <c r="C183" s="293"/>
      <c r="D183" s="293"/>
      <c r="E183" s="293"/>
      <c r="F183" s="293"/>
      <c r="G183" s="293"/>
      <c r="H183" s="293"/>
      <c r="I183" s="293"/>
      <c r="J183" s="293"/>
      <c r="K183" s="293"/>
      <c r="L183" s="293"/>
    </row>
    <row r="184" spans="1:12" ht="14.25">
      <c r="A184" s="293"/>
      <c r="B184" s="293"/>
      <c r="C184" s="293"/>
      <c r="D184" s="293"/>
      <c r="E184" s="293"/>
      <c r="F184" s="293"/>
      <c r="G184" s="293"/>
      <c r="H184" s="293"/>
      <c r="I184" s="293"/>
      <c r="J184" s="293"/>
      <c r="K184" s="293"/>
      <c r="L184" s="293"/>
    </row>
    <row r="185" spans="1:12" ht="14.25">
      <c r="A185" s="293"/>
      <c r="B185" s="293"/>
      <c r="C185" s="293"/>
      <c r="D185" s="293"/>
      <c r="E185" s="293"/>
      <c r="F185" s="293"/>
      <c r="G185" s="293"/>
      <c r="H185" s="293"/>
      <c r="I185" s="293"/>
      <c r="J185" s="293"/>
      <c r="K185" s="293"/>
      <c r="L185" s="293"/>
    </row>
    <row r="186" spans="1:12" ht="14.25">
      <c r="A186" s="293"/>
      <c r="B186" s="293"/>
      <c r="C186" s="293"/>
      <c r="D186" s="293"/>
      <c r="E186" s="293"/>
      <c r="F186" s="293"/>
      <c r="G186" s="293"/>
      <c r="H186" s="293"/>
      <c r="I186" s="293"/>
      <c r="J186" s="293"/>
      <c r="K186" s="293"/>
      <c r="L186" s="293"/>
    </row>
    <row r="187" spans="1:12" ht="14.25">
      <c r="A187" s="293"/>
      <c r="B187" s="293"/>
      <c r="C187" s="293"/>
      <c r="D187" s="293"/>
      <c r="E187" s="293"/>
      <c r="F187" s="293"/>
      <c r="G187" s="293"/>
      <c r="H187" s="293"/>
      <c r="I187" s="293"/>
      <c r="J187" s="293"/>
      <c r="K187" s="293"/>
      <c r="L187" s="293"/>
    </row>
    <row r="188" spans="1:12" ht="14.25">
      <c r="A188" s="293"/>
      <c r="B188" s="293"/>
      <c r="C188" s="293"/>
      <c r="D188" s="293"/>
      <c r="E188" s="293"/>
      <c r="F188" s="293"/>
      <c r="G188" s="293"/>
      <c r="H188" s="293"/>
      <c r="I188" s="293"/>
      <c r="J188" s="293"/>
      <c r="K188" s="293"/>
      <c r="L188" s="293"/>
    </row>
    <row r="189" spans="1:12" ht="14.25">
      <c r="A189" s="293"/>
      <c r="B189" s="293"/>
      <c r="C189" s="293"/>
      <c r="D189" s="293"/>
      <c r="E189" s="293"/>
      <c r="F189" s="293"/>
      <c r="G189" s="293"/>
      <c r="H189" s="293"/>
      <c r="I189" s="293"/>
      <c r="J189" s="293"/>
      <c r="K189" s="293"/>
      <c r="L189" s="293"/>
    </row>
    <row r="190" spans="1:12" ht="14.25">
      <c r="A190" s="293"/>
      <c r="B190" s="293"/>
      <c r="C190" s="293"/>
      <c r="D190" s="293"/>
      <c r="E190" s="293"/>
      <c r="F190" s="293"/>
      <c r="G190" s="293"/>
      <c r="H190" s="293"/>
      <c r="I190" s="293"/>
      <c r="J190" s="293"/>
      <c r="K190" s="293"/>
      <c r="L190" s="293"/>
    </row>
    <row r="191" spans="1:12" ht="14.25">
      <c r="A191" s="293"/>
      <c r="B191" s="293"/>
      <c r="C191" s="293"/>
      <c r="D191" s="293"/>
      <c r="E191" s="293"/>
      <c r="F191" s="293"/>
      <c r="G191" s="293"/>
      <c r="H191" s="293"/>
      <c r="I191" s="293"/>
      <c r="J191" s="293"/>
      <c r="K191" s="293"/>
      <c r="L191" s="293"/>
    </row>
    <row r="192" spans="1:12" ht="14.25">
      <c r="A192" s="293"/>
      <c r="B192" s="293"/>
      <c r="C192" s="293"/>
      <c r="D192" s="293"/>
      <c r="E192" s="293"/>
      <c r="F192" s="293"/>
      <c r="G192" s="293"/>
      <c r="H192" s="293"/>
      <c r="I192" s="293"/>
      <c r="J192" s="293"/>
      <c r="K192" s="293"/>
      <c r="L192" s="293"/>
    </row>
    <row r="193" spans="1:12" ht="14.25">
      <c r="A193" s="293"/>
      <c r="B193" s="293"/>
      <c r="C193" s="293"/>
      <c r="D193" s="293"/>
      <c r="E193" s="293"/>
      <c r="F193" s="293"/>
      <c r="G193" s="293"/>
      <c r="H193" s="293"/>
      <c r="I193" s="293"/>
      <c r="J193" s="293"/>
      <c r="K193" s="293"/>
      <c r="L193" s="293"/>
    </row>
    <row r="194" spans="1:12" ht="14.25">
      <c r="A194" s="293"/>
      <c r="B194" s="293"/>
      <c r="C194" s="293"/>
      <c r="D194" s="293"/>
      <c r="E194" s="293"/>
      <c r="F194" s="293"/>
      <c r="G194" s="293"/>
      <c r="H194" s="293"/>
      <c r="I194" s="293"/>
      <c r="J194" s="293"/>
      <c r="K194" s="293"/>
      <c r="L194" s="293"/>
    </row>
    <row r="195" spans="1:12" ht="14.25">
      <c r="A195" s="293"/>
      <c r="B195" s="293"/>
      <c r="C195" s="293"/>
      <c r="D195" s="293"/>
      <c r="E195" s="293"/>
      <c r="F195" s="293"/>
      <c r="G195" s="293"/>
      <c r="H195" s="293"/>
      <c r="I195" s="293"/>
      <c r="J195" s="293"/>
      <c r="K195" s="293"/>
      <c r="L195" s="293"/>
    </row>
    <row r="196" spans="1:12" ht="14.25">
      <c r="A196" s="293"/>
      <c r="B196" s="293"/>
      <c r="C196" s="293"/>
      <c r="D196" s="293"/>
      <c r="E196" s="293"/>
      <c r="F196" s="293"/>
      <c r="G196" s="293"/>
      <c r="H196" s="293"/>
      <c r="I196" s="293"/>
      <c r="J196" s="293"/>
      <c r="K196" s="293"/>
      <c r="L196" s="293"/>
    </row>
    <row r="197" spans="1:12" ht="14.25">
      <c r="A197" s="293"/>
      <c r="B197" s="293"/>
      <c r="C197" s="293"/>
      <c r="D197" s="293"/>
      <c r="E197" s="293"/>
      <c r="F197" s="293"/>
      <c r="G197" s="293"/>
      <c r="H197" s="293"/>
      <c r="I197" s="293"/>
      <c r="J197" s="293"/>
      <c r="K197" s="293"/>
      <c r="L197" s="293"/>
    </row>
    <row r="198" spans="1:12" ht="14.25">
      <c r="A198" s="293"/>
      <c r="B198" s="293"/>
      <c r="C198" s="293"/>
      <c r="D198" s="293"/>
      <c r="E198" s="293"/>
      <c r="F198" s="293"/>
      <c r="G198" s="293"/>
      <c r="H198" s="293"/>
      <c r="I198" s="293"/>
      <c r="J198" s="293"/>
      <c r="K198" s="293"/>
      <c r="L198" s="293"/>
    </row>
    <row r="199" spans="1:12" ht="14.25">
      <c r="A199" s="293"/>
      <c r="B199" s="293"/>
      <c r="C199" s="293"/>
      <c r="D199" s="293"/>
      <c r="E199" s="293"/>
      <c r="F199" s="293"/>
      <c r="G199" s="293"/>
      <c r="H199" s="293"/>
      <c r="I199" s="293"/>
      <c r="J199" s="293"/>
      <c r="K199" s="293"/>
      <c r="L199" s="293"/>
    </row>
    <row r="200" spans="1:12" ht="14.25">
      <c r="A200" s="293"/>
      <c r="B200" s="293"/>
      <c r="C200" s="293"/>
      <c r="D200" s="293"/>
      <c r="E200" s="293"/>
      <c r="F200" s="293"/>
      <c r="G200" s="293"/>
      <c r="H200" s="293"/>
      <c r="I200" s="293"/>
      <c r="J200" s="293"/>
      <c r="K200" s="293"/>
      <c r="L200" s="293"/>
    </row>
    <row r="201" spans="1:12" ht="14.25">
      <c r="A201" s="293"/>
      <c r="B201" s="293"/>
      <c r="C201" s="293"/>
      <c r="D201" s="293"/>
      <c r="E201" s="293"/>
      <c r="F201" s="293"/>
      <c r="G201" s="293"/>
      <c r="H201" s="293"/>
      <c r="I201" s="293"/>
      <c r="J201" s="293"/>
      <c r="K201" s="293"/>
      <c r="L201" s="293"/>
    </row>
    <row r="202" spans="1:12" ht="14.25">
      <c r="A202" s="293"/>
      <c r="B202" s="293"/>
      <c r="C202" s="293"/>
      <c r="D202" s="293"/>
      <c r="E202" s="293"/>
      <c r="F202" s="293"/>
      <c r="G202" s="293"/>
      <c r="H202" s="293"/>
      <c r="I202" s="293"/>
      <c r="J202" s="293"/>
      <c r="K202" s="293"/>
      <c r="L202" s="293"/>
    </row>
    <row r="203" spans="1:12" ht="14.25">
      <c r="A203" s="293"/>
      <c r="B203" s="293"/>
      <c r="C203" s="293"/>
      <c r="D203" s="293"/>
      <c r="E203" s="293"/>
      <c r="F203" s="293"/>
      <c r="G203" s="293"/>
      <c r="H203" s="293"/>
      <c r="I203" s="293"/>
      <c r="J203" s="293"/>
      <c r="K203" s="293"/>
      <c r="L203" s="293"/>
    </row>
    <row r="204" spans="1:12" ht="14.25">
      <c r="A204" s="293"/>
      <c r="B204" s="293"/>
      <c r="C204" s="293"/>
      <c r="D204" s="293"/>
      <c r="E204" s="293"/>
      <c r="F204" s="293"/>
      <c r="G204" s="293"/>
      <c r="H204" s="293"/>
      <c r="I204" s="293"/>
      <c r="J204" s="293"/>
      <c r="K204" s="293"/>
      <c r="L204" s="293"/>
    </row>
    <row r="205" spans="1:12" ht="14.25">
      <c r="A205" s="293"/>
      <c r="B205" s="293"/>
      <c r="C205" s="293"/>
      <c r="D205" s="293"/>
      <c r="E205" s="293"/>
      <c r="F205" s="293"/>
      <c r="G205" s="293"/>
      <c r="H205" s="293"/>
      <c r="I205" s="293"/>
      <c r="J205" s="293"/>
      <c r="K205" s="293"/>
      <c r="L205" s="293"/>
    </row>
    <row r="206" spans="1:12" ht="14.25">
      <c r="A206" s="293"/>
      <c r="B206" s="293"/>
      <c r="C206" s="293"/>
      <c r="D206" s="293"/>
      <c r="E206" s="293"/>
      <c r="F206" s="293"/>
      <c r="G206" s="293"/>
      <c r="H206" s="293"/>
      <c r="I206" s="293"/>
      <c r="J206" s="293"/>
      <c r="K206" s="293"/>
      <c r="L206" s="293"/>
    </row>
    <row r="207" spans="1:12" ht="14.25">
      <c r="A207" s="293"/>
      <c r="B207" s="293"/>
      <c r="C207" s="293"/>
      <c r="D207" s="293"/>
      <c r="E207" s="293"/>
      <c r="F207" s="293"/>
      <c r="G207" s="293"/>
      <c r="H207" s="293"/>
      <c r="I207" s="293"/>
      <c r="J207" s="293"/>
      <c r="K207" s="293"/>
      <c r="L207" s="293"/>
    </row>
    <row r="208" spans="1:12" ht="14.25">
      <c r="A208" s="293"/>
      <c r="B208" s="293"/>
      <c r="C208" s="293"/>
      <c r="D208" s="293"/>
      <c r="E208" s="293"/>
      <c r="F208" s="293"/>
      <c r="G208" s="293"/>
      <c r="H208" s="293"/>
      <c r="I208" s="293"/>
      <c r="J208" s="293"/>
      <c r="K208" s="293"/>
      <c r="L208" s="293"/>
    </row>
    <row r="209" spans="1:12" ht="14.25">
      <c r="A209" s="293"/>
      <c r="B209" s="293"/>
      <c r="C209" s="293"/>
      <c r="D209" s="293"/>
      <c r="E209" s="293"/>
      <c r="F209" s="293"/>
      <c r="G209" s="293"/>
      <c r="H209" s="293"/>
      <c r="I209" s="293"/>
      <c r="J209" s="293"/>
      <c r="K209" s="293"/>
      <c r="L209" s="293"/>
    </row>
    <row r="210" spans="1:12" ht="14.25">
      <c r="A210" s="293"/>
      <c r="B210" s="293"/>
      <c r="C210" s="293"/>
      <c r="D210" s="293"/>
      <c r="E210" s="293"/>
      <c r="F210" s="293"/>
      <c r="G210" s="293"/>
      <c r="H210" s="293"/>
      <c r="I210" s="293"/>
      <c r="J210" s="293"/>
      <c r="K210" s="293"/>
      <c r="L210" s="293"/>
    </row>
    <row r="211" spans="1:12" ht="14.25">
      <c r="A211" s="293"/>
      <c r="B211" s="293"/>
      <c r="C211" s="293"/>
      <c r="D211" s="293"/>
      <c r="E211" s="293"/>
      <c r="F211" s="293"/>
      <c r="G211" s="293"/>
      <c r="H211" s="293"/>
      <c r="I211" s="293"/>
      <c r="J211" s="293"/>
      <c r="K211" s="293"/>
      <c r="L211" s="293"/>
    </row>
    <row r="212" spans="1:12" ht="14.25">
      <c r="A212" s="293"/>
      <c r="B212" s="293"/>
      <c r="C212" s="293"/>
      <c r="D212" s="293"/>
      <c r="E212" s="293"/>
      <c r="F212" s="293"/>
      <c r="G212" s="293"/>
      <c r="H212" s="293"/>
      <c r="I212" s="293"/>
      <c r="J212" s="293"/>
      <c r="K212" s="293"/>
      <c r="L212" s="293"/>
    </row>
    <row r="213" spans="1:12" ht="14.25">
      <c r="A213" s="293"/>
      <c r="B213" s="293"/>
      <c r="C213" s="293"/>
      <c r="D213" s="293"/>
      <c r="E213" s="293"/>
      <c r="F213" s="293"/>
      <c r="G213" s="293"/>
      <c r="H213" s="293"/>
      <c r="I213" s="293"/>
      <c r="J213" s="293"/>
      <c r="K213" s="293"/>
      <c r="L213" s="293"/>
    </row>
    <row r="214" spans="1:12" ht="14.25">
      <c r="A214" s="293"/>
      <c r="B214" s="293"/>
      <c r="C214" s="293"/>
      <c r="D214" s="293"/>
      <c r="E214" s="293"/>
      <c r="F214" s="293"/>
      <c r="G214" s="293"/>
      <c r="H214" s="293"/>
      <c r="I214" s="293"/>
      <c r="J214" s="293"/>
      <c r="K214" s="293"/>
      <c r="L214" s="293"/>
    </row>
    <row r="215" spans="1:12" ht="14.25">
      <c r="A215" s="293"/>
      <c r="B215" s="293"/>
      <c r="C215" s="293"/>
      <c r="D215" s="293"/>
      <c r="E215" s="293"/>
      <c r="F215" s="293"/>
      <c r="G215" s="293"/>
      <c r="H215" s="293"/>
      <c r="I215" s="293"/>
      <c r="J215" s="293"/>
      <c r="K215" s="293"/>
      <c r="L215" s="293"/>
    </row>
    <row r="216" spans="1:12" ht="14.25">
      <c r="A216" s="293"/>
      <c r="B216" s="293"/>
      <c r="C216" s="293"/>
      <c r="D216" s="293"/>
      <c r="E216" s="293"/>
      <c r="F216" s="293"/>
      <c r="G216" s="293"/>
      <c r="H216" s="293"/>
      <c r="I216" s="293"/>
      <c r="J216" s="293"/>
      <c r="K216" s="293"/>
      <c r="L216" s="293"/>
    </row>
    <row r="217" spans="1:12" ht="14.25">
      <c r="A217" s="293"/>
      <c r="B217" s="293"/>
      <c r="C217" s="293"/>
      <c r="D217" s="293"/>
      <c r="E217" s="293"/>
      <c r="F217" s="293"/>
      <c r="G217" s="293"/>
      <c r="H217" s="293"/>
      <c r="I217" s="293"/>
      <c r="J217" s="293"/>
      <c r="K217" s="293"/>
      <c r="L217" s="293"/>
    </row>
    <row r="218" spans="1:12" ht="14.25">
      <c r="A218" s="293"/>
      <c r="B218" s="293"/>
      <c r="C218" s="293"/>
      <c r="D218" s="293"/>
      <c r="E218" s="293"/>
      <c r="F218" s="293"/>
      <c r="G218" s="293"/>
      <c r="H218" s="293"/>
      <c r="I218" s="293"/>
      <c r="J218" s="293"/>
      <c r="K218" s="293"/>
      <c r="L218" s="293"/>
    </row>
    <row r="219" spans="1:12" ht="14.25">
      <c r="A219" s="293"/>
      <c r="B219" s="293"/>
      <c r="C219" s="293"/>
      <c r="D219" s="293"/>
      <c r="E219" s="293"/>
      <c r="F219" s="293"/>
      <c r="G219" s="293"/>
      <c r="H219" s="293"/>
      <c r="I219" s="293"/>
      <c r="J219" s="293"/>
      <c r="K219" s="293"/>
      <c r="L219" s="293"/>
    </row>
    <row r="220" spans="1:12" ht="14.25">
      <c r="A220" s="293"/>
      <c r="B220" s="293"/>
      <c r="C220" s="293"/>
      <c r="D220" s="293"/>
      <c r="E220" s="293"/>
      <c r="F220" s="293"/>
      <c r="G220" s="293"/>
      <c r="H220" s="293"/>
      <c r="I220" s="293"/>
      <c r="J220" s="293"/>
      <c r="K220" s="293"/>
      <c r="L220" s="293"/>
    </row>
    <row r="221" spans="1:12" ht="14.25">
      <c r="A221" s="293"/>
      <c r="B221" s="293"/>
      <c r="C221" s="293"/>
      <c r="D221" s="293"/>
      <c r="E221" s="293"/>
      <c r="F221" s="293"/>
      <c r="G221" s="293"/>
      <c r="H221" s="293"/>
      <c r="I221" s="293"/>
      <c r="J221" s="293"/>
      <c r="K221" s="293"/>
      <c r="L221" s="293"/>
    </row>
    <row r="222" spans="1:12" ht="14.25">
      <c r="A222" s="293"/>
      <c r="B222" s="293"/>
      <c r="C222" s="293"/>
      <c r="D222" s="293"/>
      <c r="E222" s="293"/>
      <c r="F222" s="293"/>
      <c r="G222" s="293"/>
      <c r="H222" s="293"/>
      <c r="I222" s="293"/>
      <c r="J222" s="293"/>
      <c r="K222" s="293"/>
      <c r="L222" s="293"/>
    </row>
    <row r="223" spans="1:12" ht="14.25">
      <c r="A223" s="293"/>
      <c r="B223" s="293"/>
      <c r="C223" s="293"/>
      <c r="D223" s="293"/>
      <c r="E223" s="293"/>
      <c r="F223" s="293"/>
      <c r="G223" s="293"/>
      <c r="H223" s="293"/>
      <c r="I223" s="293"/>
      <c r="J223" s="293"/>
      <c r="K223" s="293"/>
      <c r="L223" s="293"/>
    </row>
    <row r="224" spans="1:12" ht="14.25">
      <c r="A224" s="293"/>
      <c r="B224" s="293"/>
      <c r="C224" s="293"/>
      <c r="D224" s="293"/>
      <c r="E224" s="293"/>
      <c r="F224" s="293"/>
      <c r="G224" s="293"/>
      <c r="H224" s="293"/>
      <c r="I224" s="293"/>
      <c r="J224" s="293"/>
      <c r="K224" s="293"/>
      <c r="L224" s="293"/>
    </row>
  </sheetData>
  <mergeCells count="62">
    <mergeCell ref="B57:J57"/>
    <mergeCell ref="A50:A51"/>
    <mergeCell ref="B50:D51"/>
    <mergeCell ref="E50:E51"/>
    <mergeCell ref="F50:F51"/>
    <mergeCell ref="A53:A54"/>
    <mergeCell ref="B53:D54"/>
    <mergeCell ref="E53:E54"/>
    <mergeCell ref="F53:F54"/>
    <mergeCell ref="A44:A45"/>
    <mergeCell ref="B44:D45"/>
    <mergeCell ref="E44:E45"/>
    <mergeCell ref="F44:F45"/>
    <mergeCell ref="A47:A48"/>
    <mergeCell ref="B47:D48"/>
    <mergeCell ref="E47:E48"/>
    <mergeCell ref="F47:F48"/>
    <mergeCell ref="K37:K38"/>
    <mergeCell ref="L37:L38"/>
    <mergeCell ref="A41:A42"/>
    <mergeCell ref="B41:D42"/>
    <mergeCell ref="E41:E42"/>
    <mergeCell ref="F41:F42"/>
    <mergeCell ref="B32:J32"/>
    <mergeCell ref="A37:A38"/>
    <mergeCell ref="B37:D38"/>
    <mergeCell ref="E37:E38"/>
    <mergeCell ref="F37:F38"/>
    <mergeCell ref="G37:G38"/>
    <mergeCell ref="H37:H38"/>
    <mergeCell ref="I37:I38"/>
    <mergeCell ref="J37:J38"/>
    <mergeCell ref="A25:A26"/>
    <mergeCell ref="B25:D26"/>
    <mergeCell ref="E25:E26"/>
    <mergeCell ref="F25:F26"/>
    <mergeCell ref="A28:A29"/>
    <mergeCell ref="B28:D29"/>
    <mergeCell ref="E28:E29"/>
    <mergeCell ref="F28:F29"/>
    <mergeCell ref="A19:A20"/>
    <mergeCell ref="B19:D20"/>
    <mergeCell ref="E19:E20"/>
    <mergeCell ref="F19:F20"/>
    <mergeCell ref="A22:A23"/>
    <mergeCell ref="B22:D23"/>
    <mergeCell ref="E22:E23"/>
    <mergeCell ref="F22:F23"/>
    <mergeCell ref="I12:I13"/>
    <mergeCell ref="J12:J13"/>
    <mergeCell ref="K12:K13"/>
    <mergeCell ref="L12:L13"/>
    <mergeCell ref="A16:A17"/>
    <mergeCell ref="B16:D17"/>
    <mergeCell ref="E16:E17"/>
    <mergeCell ref="F16:F17"/>
    <mergeCell ref="A12:A13"/>
    <mergeCell ref="B12:D13"/>
    <mergeCell ref="E12:E13"/>
    <mergeCell ref="F12:F13"/>
    <mergeCell ref="G12:G13"/>
    <mergeCell ref="H12:H13"/>
  </mergeCells>
  <printOptions horizontalCentered="1"/>
  <pageMargins left="0.7" right="0.7" top="0.75" bottom="0.75" header="0.3" footer="0.3"/>
  <pageSetup scale="76" fitToHeight="0" orientation="landscape" horizontalDpi="1200" verticalDpi="1200" r:id="rId1"/>
  <rowBreaks count="2" manualBreakCount="2">
    <brk id="33" max="12" man="1"/>
    <brk id="62"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9"/>
  <sheetViews>
    <sheetView workbookViewId="0"/>
  </sheetViews>
  <sheetFormatPr defaultColWidth="8" defaultRowHeight="12.75"/>
  <cols>
    <col min="1" max="1" width="5.875" style="241" customWidth="1"/>
    <col min="2" max="2" width="44.375" style="255" bestFit="1" customWidth="1"/>
    <col min="3" max="3" width="14.75" style="254" bestFit="1" customWidth="1"/>
    <col min="4" max="4" width="16" style="254" customWidth="1"/>
    <col min="5" max="6" width="14.75" style="254" bestFit="1" customWidth="1"/>
    <col min="7" max="16384" width="8" style="241"/>
  </cols>
  <sheetData>
    <row r="1" spans="1:8">
      <c r="H1" s="254" t="str">
        <f>'Worksheet J Reconciliation'!O1</f>
        <v xml:space="preserve"> </v>
      </c>
    </row>
    <row r="2" spans="1:8" ht="14.25">
      <c r="A2" s="238"/>
      <c r="B2" s="239"/>
      <c r="C2" s="240"/>
      <c r="D2" s="240"/>
      <c r="E2" s="142"/>
      <c r="F2" s="51" t="s">
        <v>613</v>
      </c>
    </row>
    <row r="3" spans="1:8" ht="15" customHeight="1">
      <c r="A3" s="238"/>
      <c r="B3" s="239"/>
      <c r="C3" s="240"/>
      <c r="D3" s="240"/>
      <c r="E3" s="142"/>
      <c r="F3" s="51" t="s">
        <v>460</v>
      </c>
    </row>
    <row r="4" spans="1:8" ht="15" customHeight="1">
      <c r="A4" s="238"/>
      <c r="B4" s="239"/>
      <c r="C4" s="240"/>
      <c r="D4" s="240"/>
      <c r="E4" s="142"/>
      <c r="F4" s="142"/>
    </row>
    <row r="5" spans="1:8" ht="15" customHeight="1">
      <c r="A5" s="141"/>
      <c r="B5" s="536" t="str">
        <f>Index!B2</f>
        <v>Tri-State Generation and Transmission Association, Inc.</v>
      </c>
      <c r="C5" s="240"/>
      <c r="D5" s="240"/>
      <c r="E5" s="142"/>
      <c r="F5" s="142"/>
    </row>
    <row r="6" spans="1:8" ht="15" customHeight="1">
      <c r="A6" s="242"/>
      <c r="B6" s="5"/>
      <c r="C6" s="240"/>
      <c r="D6" s="240"/>
      <c r="E6" s="142"/>
      <c r="F6" s="142"/>
    </row>
    <row r="7" spans="1:8" ht="15" customHeight="1">
      <c r="A7" s="242"/>
      <c r="B7" s="537" t="s">
        <v>152</v>
      </c>
      <c r="C7" s="240"/>
      <c r="D7" s="243"/>
      <c r="E7" s="142"/>
      <c r="F7" s="142"/>
    </row>
    <row r="8" spans="1:8" ht="15" customHeight="1">
      <c r="A8" s="238"/>
      <c r="B8" s="538" t="str">
        <f>Index!B5</f>
        <v>Year Ending December 31, 2016</v>
      </c>
      <c r="C8" s="240"/>
      <c r="D8" s="243"/>
      <c r="E8" s="142"/>
      <c r="F8" s="142"/>
    </row>
    <row r="9" spans="1:8" ht="15" customHeight="1">
      <c r="A9" s="238"/>
      <c r="B9" s="239"/>
      <c r="C9" s="240"/>
      <c r="D9" s="243"/>
      <c r="E9" s="142"/>
      <c r="F9" s="142"/>
    </row>
    <row r="10" spans="1:8" ht="15">
      <c r="A10" s="43" t="s">
        <v>18</v>
      </c>
      <c r="B10" s="4" t="s">
        <v>19</v>
      </c>
      <c r="C10" s="44" t="s">
        <v>20</v>
      </c>
      <c r="D10" s="44" t="s">
        <v>21</v>
      </c>
      <c r="E10" s="44" t="s">
        <v>22</v>
      </c>
      <c r="F10" s="44" t="s">
        <v>23</v>
      </c>
    </row>
    <row r="11" spans="1:8" ht="30">
      <c r="A11" s="212" t="s">
        <v>415</v>
      </c>
      <c r="B11" s="143" t="s">
        <v>461</v>
      </c>
      <c r="C11" s="143" t="s">
        <v>462</v>
      </c>
      <c r="D11" s="143" t="s">
        <v>463</v>
      </c>
      <c r="E11" s="143" t="s">
        <v>464</v>
      </c>
      <c r="F11" s="143" t="s">
        <v>465</v>
      </c>
    </row>
    <row r="12" spans="1:8" ht="15">
      <c r="A12" s="540">
        <v>1</v>
      </c>
      <c r="B12" s="244" t="s">
        <v>466</v>
      </c>
      <c r="C12" s="245"/>
      <c r="D12" s="246"/>
      <c r="E12" s="245"/>
      <c r="F12" s="245"/>
    </row>
    <row r="13" spans="1:8" ht="14.25">
      <c r="A13" s="247">
        <f t="shared" ref="A13:A20" si="0">SUM(A12+1)</f>
        <v>2</v>
      </c>
      <c r="B13" s="248" t="s">
        <v>467</v>
      </c>
      <c r="C13" s="736">
        <v>35884664.340000004</v>
      </c>
      <c r="D13" s="736">
        <v>5150277.51</v>
      </c>
      <c r="E13" s="736">
        <v>12665558.140000001</v>
      </c>
      <c r="F13" s="161">
        <f t="shared" ref="F13:F18" si="1">SUM(C13:E13)</f>
        <v>53700499.990000002</v>
      </c>
    </row>
    <row r="14" spans="1:8" ht="14.25">
      <c r="A14" s="247">
        <f t="shared" si="0"/>
        <v>3</v>
      </c>
      <c r="B14" s="248" t="s">
        <v>8</v>
      </c>
      <c r="C14" s="736">
        <v>30404578.489999998</v>
      </c>
      <c r="D14" s="736">
        <v>4490116.42</v>
      </c>
      <c r="E14" s="736">
        <v>16261569.75</v>
      </c>
      <c r="F14" s="161">
        <f t="shared" si="1"/>
        <v>51156264.659999996</v>
      </c>
    </row>
    <row r="15" spans="1:8" ht="14.25">
      <c r="A15" s="247">
        <f t="shared" si="0"/>
        <v>4</v>
      </c>
      <c r="B15" s="248" t="s">
        <v>468</v>
      </c>
      <c r="C15" s="736">
        <v>244461.13</v>
      </c>
      <c r="D15" s="736">
        <v>36768.04</v>
      </c>
      <c r="E15" s="736">
        <v>140471.98000000001</v>
      </c>
      <c r="F15" s="161">
        <f t="shared" si="1"/>
        <v>421701.15</v>
      </c>
    </row>
    <row r="16" spans="1:8" ht="14.25">
      <c r="A16" s="247">
        <f t="shared" si="0"/>
        <v>5</v>
      </c>
      <c r="B16" s="248" t="s">
        <v>193</v>
      </c>
      <c r="C16" s="736">
        <v>258277.12</v>
      </c>
      <c r="D16" s="736">
        <v>41312.65</v>
      </c>
      <c r="E16" s="736">
        <v>157739.84</v>
      </c>
      <c r="F16" s="161">
        <f t="shared" si="1"/>
        <v>457329.61</v>
      </c>
    </row>
    <row r="17" spans="1:6" ht="14.25">
      <c r="A17" s="247">
        <f t="shared" si="0"/>
        <v>6</v>
      </c>
      <c r="B17" s="248" t="s">
        <v>194</v>
      </c>
      <c r="C17" s="736">
        <v>86831.920000000013</v>
      </c>
      <c r="D17" s="736">
        <v>8512.33</v>
      </c>
      <c r="E17" s="736">
        <v>31987.24</v>
      </c>
      <c r="F17" s="161">
        <f t="shared" si="1"/>
        <v>127331.49000000002</v>
      </c>
    </row>
    <row r="18" spans="1:6" ht="14.25">
      <c r="A18" s="247">
        <f t="shared" si="0"/>
        <v>7</v>
      </c>
      <c r="B18" s="249" t="s">
        <v>195</v>
      </c>
      <c r="C18" s="736">
        <v>0</v>
      </c>
      <c r="D18" s="736">
        <v>0</v>
      </c>
      <c r="E18" s="736">
        <v>0</v>
      </c>
      <c r="F18" s="161">
        <f t="shared" si="1"/>
        <v>0</v>
      </c>
    </row>
    <row r="19" spans="1:6" ht="14.25">
      <c r="A19" s="247">
        <f t="shared" si="0"/>
        <v>8</v>
      </c>
      <c r="B19" s="250" t="s">
        <v>2</v>
      </c>
      <c r="C19" s="251">
        <f>SUM(C13:C18)</f>
        <v>66878813</v>
      </c>
      <c r="D19" s="251">
        <f>SUM(D13:D18)</f>
        <v>9726986.9499999993</v>
      </c>
      <c r="E19" s="251">
        <f>SUM(E13:E18)</f>
        <v>29257326.949999999</v>
      </c>
      <c r="F19" s="251">
        <f>SUM(F13:F18)</f>
        <v>105863126.90000001</v>
      </c>
    </row>
    <row r="20" spans="1:6" ht="14.25">
      <c r="A20" s="247">
        <f t="shared" si="0"/>
        <v>9</v>
      </c>
      <c r="B20" s="238"/>
      <c r="C20" s="252">
        <f>C19/$F19</f>
        <v>0.63174794622470198</v>
      </c>
      <c r="D20" s="252">
        <f>D19/$F19</f>
        <v>9.1882671850305964E-2</v>
      </c>
      <c r="E20" s="252">
        <f>E19/$F19</f>
        <v>0.27636938192499205</v>
      </c>
      <c r="F20" s="144">
        <f>SUM(C20:E20)</f>
        <v>1</v>
      </c>
    </row>
    <row r="21" spans="1:6" ht="14.25">
      <c r="A21" s="247"/>
      <c r="B21" s="238"/>
      <c r="C21" s="240"/>
      <c r="D21" s="240"/>
      <c r="E21" s="240"/>
      <c r="F21" s="240"/>
    </row>
    <row r="22" spans="1:6" ht="15">
      <c r="A22" s="247">
        <f>A20+1</f>
        <v>10</v>
      </c>
      <c r="B22" s="244" t="s">
        <v>469</v>
      </c>
      <c r="C22" s="240"/>
      <c r="D22" s="240"/>
      <c r="E22" s="240"/>
      <c r="F22" s="240"/>
    </row>
    <row r="23" spans="1:6" ht="14.25">
      <c r="A23" s="247">
        <f>SUM(A22+1)</f>
        <v>11</v>
      </c>
      <c r="B23" s="148" t="s">
        <v>470</v>
      </c>
      <c r="C23" s="736">
        <v>3792992.66</v>
      </c>
      <c r="D23" s="736">
        <v>511083.18</v>
      </c>
      <c r="E23" s="736">
        <v>1997750.63</v>
      </c>
      <c r="F23" s="161">
        <f>SUM(C23:E23)</f>
        <v>6301826.4699999997</v>
      </c>
    </row>
    <row r="24" spans="1:6" ht="14.25">
      <c r="A24" s="247">
        <f>SUM(A23+1)</f>
        <v>12</v>
      </c>
      <c r="B24" s="148" t="s">
        <v>471</v>
      </c>
      <c r="C24" s="736">
        <v>0</v>
      </c>
      <c r="D24" s="736">
        <v>0</v>
      </c>
      <c r="E24" s="736">
        <v>0</v>
      </c>
      <c r="F24" s="161">
        <f>SUM(C24:E24)</f>
        <v>0</v>
      </c>
    </row>
    <row r="25" spans="1:6" ht="14.25">
      <c r="A25" s="247">
        <f>SUM(A24+1)</f>
        <v>13</v>
      </c>
      <c r="B25" s="148" t="s">
        <v>472</v>
      </c>
      <c r="C25" s="736">
        <v>0</v>
      </c>
      <c r="D25" s="736">
        <v>0</v>
      </c>
      <c r="E25" s="736">
        <v>0</v>
      </c>
      <c r="F25" s="161">
        <f>SUM(C25:E25)</f>
        <v>0</v>
      </c>
    </row>
    <row r="26" spans="1:6" ht="14.25">
      <c r="A26" s="247">
        <f>SUM(A25+1)</f>
        <v>14</v>
      </c>
      <c r="B26" s="250" t="s">
        <v>2</v>
      </c>
      <c r="C26" s="163">
        <f>SUM(C23:C25)</f>
        <v>3792992.66</v>
      </c>
      <c r="D26" s="163">
        <f>SUM(D23:D25)</f>
        <v>511083.18</v>
      </c>
      <c r="E26" s="163">
        <f>SUM(E23:E25)</f>
        <v>1997750.63</v>
      </c>
      <c r="F26" s="163">
        <f>SUM(F23:F25)</f>
        <v>6301826.4699999997</v>
      </c>
    </row>
    <row r="27" spans="1:6" ht="14.25">
      <c r="A27" s="247"/>
      <c r="B27" s="239"/>
      <c r="C27" s="253"/>
      <c r="D27" s="253"/>
      <c r="E27" s="253"/>
      <c r="F27" s="253"/>
    </row>
    <row r="28" spans="1:6" ht="14.25">
      <c r="A28" s="247">
        <f>A26+1</f>
        <v>15</v>
      </c>
      <c r="B28" s="641" t="s">
        <v>474</v>
      </c>
      <c r="C28" s="240"/>
      <c r="D28" s="240"/>
      <c r="E28" s="240"/>
      <c r="F28" s="240"/>
    </row>
    <row r="29" spans="1:6" ht="14.25">
      <c r="A29" s="247">
        <f>A28+1</f>
        <v>16</v>
      </c>
      <c r="B29" s="238" t="s">
        <v>816</v>
      </c>
    </row>
  </sheetData>
  <printOptions horizontalCentered="1"/>
  <pageMargins left="0.7" right="0.7" top="0.75" bottom="0.75" header="0.3" footer="0.3"/>
  <pageSetup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2:M65"/>
  <sheetViews>
    <sheetView workbookViewId="0"/>
  </sheetViews>
  <sheetFormatPr defaultColWidth="8.125" defaultRowHeight="12.75"/>
  <cols>
    <col min="1" max="1" width="6.125" style="361" customWidth="1"/>
    <col min="2" max="2" width="12.375" style="361" customWidth="1"/>
    <col min="3" max="3" width="50.5" style="362" customWidth="1"/>
    <col min="4" max="4" width="21.625" style="362" customWidth="1"/>
    <col min="5" max="5" width="20.25" style="361" customWidth="1"/>
    <col min="6" max="8" width="18.25" style="362" customWidth="1"/>
    <col min="9" max="9" width="13.25" style="361" bestFit="1" customWidth="1"/>
    <col min="10" max="10" width="15.25" style="362" customWidth="1"/>
    <col min="11" max="12" width="8.125" style="362"/>
    <col min="13" max="13" width="11.75" style="362" customWidth="1"/>
    <col min="14" max="16384" width="8.125" style="362"/>
  </cols>
  <sheetData>
    <row r="2" spans="1:13" ht="14.25">
      <c r="J2" s="695" t="s">
        <v>614</v>
      </c>
    </row>
    <row r="3" spans="1:13" ht="14.25">
      <c r="J3" s="695" t="s">
        <v>889</v>
      </c>
    </row>
    <row r="4" spans="1:13">
      <c r="B4" s="376" t="s">
        <v>839</v>
      </c>
      <c r="C4" s="376"/>
      <c r="D4" s="376"/>
      <c r="E4" s="376"/>
      <c r="F4" s="376"/>
      <c r="G4" s="376"/>
      <c r="H4" s="376"/>
      <c r="I4" s="376"/>
      <c r="J4" s="376"/>
    </row>
    <row r="5" spans="1:13">
      <c r="B5" s="377"/>
      <c r="C5" s="377"/>
      <c r="D5" s="377"/>
      <c r="E5" s="377"/>
      <c r="F5" s="377"/>
      <c r="G5" s="377"/>
      <c r="H5" s="377"/>
      <c r="I5" s="377"/>
      <c r="J5" s="377"/>
    </row>
    <row r="6" spans="1:13">
      <c r="B6" s="377" t="str">
        <f>Index!C22</f>
        <v>Annual Depreciation Expense</v>
      </c>
      <c r="C6" s="377"/>
      <c r="D6" s="377"/>
      <c r="E6" s="377"/>
      <c r="F6" s="377"/>
      <c r="G6" s="377"/>
      <c r="H6" s="377"/>
      <c r="I6" s="377"/>
      <c r="J6" s="377"/>
    </row>
    <row r="7" spans="1:13" s="387" customFormat="1">
      <c r="B7" s="491" t="str">
        <f>Index!B5</f>
        <v>Year Ending December 31, 2016</v>
      </c>
      <c r="C7" s="378"/>
      <c r="D7" s="378"/>
      <c r="E7" s="378"/>
      <c r="F7" s="378"/>
      <c r="G7" s="378"/>
      <c r="H7" s="378"/>
      <c r="I7" s="378"/>
      <c r="J7" s="378"/>
    </row>
    <row r="8" spans="1:13" s="387" customFormat="1">
      <c r="B8" s="491"/>
      <c r="C8" s="378"/>
      <c r="D8" s="378"/>
      <c r="E8" s="378"/>
      <c r="F8" s="378"/>
      <c r="G8" s="378"/>
      <c r="H8" s="378"/>
      <c r="I8" s="378"/>
      <c r="J8" s="378"/>
    </row>
    <row r="9" spans="1:13" s="399" customFormat="1">
      <c r="A9" s="365" t="s">
        <v>18</v>
      </c>
      <c r="B9" s="365" t="s">
        <v>19</v>
      </c>
      <c r="C9" s="365" t="s">
        <v>20</v>
      </c>
      <c r="D9" s="365" t="s">
        <v>21</v>
      </c>
      <c r="E9" s="365" t="s">
        <v>22</v>
      </c>
      <c r="F9" s="365" t="s">
        <v>23</v>
      </c>
      <c r="G9" s="365" t="s">
        <v>24</v>
      </c>
      <c r="H9" s="365" t="s">
        <v>25</v>
      </c>
      <c r="I9" s="365"/>
      <c r="J9" s="365"/>
    </row>
    <row r="10" spans="1:13">
      <c r="A10" s="364"/>
      <c r="B10" s="364"/>
      <c r="C10" s="364"/>
      <c r="D10" s="364" t="s">
        <v>744</v>
      </c>
      <c r="E10" s="364" t="s">
        <v>745</v>
      </c>
      <c r="F10" s="364" t="s">
        <v>746</v>
      </c>
      <c r="G10" s="364" t="s">
        <v>417</v>
      </c>
      <c r="H10" s="364" t="s">
        <v>417</v>
      </c>
    </row>
    <row r="11" spans="1:13">
      <c r="A11" s="367" t="s">
        <v>415</v>
      </c>
      <c r="B11" s="367" t="s">
        <v>459</v>
      </c>
      <c r="C11" s="367" t="s">
        <v>0</v>
      </c>
      <c r="D11" s="367" t="s">
        <v>622</v>
      </c>
      <c r="E11" s="367" t="s">
        <v>622</v>
      </c>
      <c r="F11" s="367" t="s">
        <v>747</v>
      </c>
      <c r="G11" s="367" t="s">
        <v>705</v>
      </c>
      <c r="H11" s="367" t="s">
        <v>748</v>
      </c>
    </row>
    <row r="12" spans="1:13">
      <c r="G12" s="361"/>
    </row>
    <row r="13" spans="1:13">
      <c r="A13" s="361">
        <v>1</v>
      </c>
      <c r="C13" s="368" t="s">
        <v>76</v>
      </c>
      <c r="G13" s="361"/>
    </row>
    <row r="14" spans="1:13">
      <c r="A14" s="361">
        <f>A13+1</f>
        <v>2</v>
      </c>
      <c r="B14" s="361">
        <v>350</v>
      </c>
      <c r="C14" s="362" t="s">
        <v>687</v>
      </c>
      <c r="D14" s="634">
        <f>' Worksheet U Stations'!J12+'Worksheet V Lines'!J12</f>
        <v>1703585.655</v>
      </c>
      <c r="E14" s="672">
        <f>' Worksheet U Stations'!L12+'Worksheet V Lines'!L12</f>
        <v>1705785.655</v>
      </c>
      <c r="F14" s="382">
        <f>SUM(D14:E14)/2</f>
        <v>1704685.655</v>
      </c>
      <c r="G14" s="383" t="s">
        <v>670</v>
      </c>
      <c r="H14" s="369"/>
    </row>
    <row r="15" spans="1:13">
      <c r="A15" s="361">
        <f>A14+1</f>
        <v>3</v>
      </c>
      <c r="B15" s="361">
        <v>352</v>
      </c>
      <c r="C15" s="362" t="s">
        <v>440</v>
      </c>
      <c r="D15" s="634">
        <f>' Worksheet U Stations'!J13</f>
        <v>580717.29833333346</v>
      </c>
      <c r="E15" s="672">
        <f>' Worksheet U Stations'!L13</f>
        <v>601465.29833333346</v>
      </c>
      <c r="F15" s="369">
        <f t="shared" ref="F15:F21" si="0">SUM(D15:E15)/2</f>
        <v>591091.29833333346</v>
      </c>
      <c r="G15" s="398">
        <f>'Worksheet I Depreciation Rates'!D14</f>
        <v>1.4900000000000002E-2</v>
      </c>
      <c r="H15" s="369">
        <f t="shared" ref="H15:H22" si="1">F15*G15</f>
        <v>8807.2603451666691</v>
      </c>
      <c r="L15" s="370"/>
      <c r="M15" s="382"/>
    </row>
    <row r="16" spans="1:13">
      <c r="A16" s="400">
        <f t="shared" ref="A16:A23" si="2">A15+1</f>
        <v>4</v>
      </c>
      <c r="B16" s="361">
        <v>353</v>
      </c>
      <c r="C16" s="362" t="s">
        <v>77</v>
      </c>
      <c r="D16" s="634">
        <f>' Worksheet U Stations'!J14</f>
        <v>15052754.458333354</v>
      </c>
      <c r="E16" s="672">
        <f>' Worksheet U Stations'!L14</f>
        <v>15467399.488333357</v>
      </c>
      <c r="F16" s="369">
        <f t="shared" si="0"/>
        <v>15260076.973333355</v>
      </c>
      <c r="G16" s="398">
        <f>'Worksheet I Depreciation Rates'!D15</f>
        <v>1.5400000000000002E-2</v>
      </c>
      <c r="H16" s="369">
        <f t="shared" si="1"/>
        <v>235005.1853893337</v>
      </c>
      <c r="L16" s="370"/>
      <c r="M16" s="382"/>
    </row>
    <row r="17" spans="1:13">
      <c r="A17" s="400">
        <f t="shared" si="2"/>
        <v>5</v>
      </c>
      <c r="B17" s="361">
        <v>354</v>
      </c>
      <c r="C17" s="362" t="s">
        <v>749</v>
      </c>
      <c r="D17" s="634">
        <f>'Worksheet V Lines'!J13</f>
        <v>691861.28</v>
      </c>
      <c r="E17" s="672">
        <f>'Worksheet V Lines'!L13</f>
        <v>691861.28</v>
      </c>
      <c r="F17" s="369">
        <f t="shared" si="0"/>
        <v>691861.28</v>
      </c>
      <c r="G17" s="398">
        <f>'Worksheet I Depreciation Rates'!D16</f>
        <v>1.1900000000000001E-2</v>
      </c>
      <c r="H17" s="369">
        <f t="shared" si="1"/>
        <v>8233.1492320000016</v>
      </c>
      <c r="L17" s="370"/>
      <c r="M17" s="382"/>
    </row>
    <row r="18" spans="1:13">
      <c r="A18" s="400">
        <f t="shared" si="2"/>
        <v>6</v>
      </c>
      <c r="B18" s="361">
        <v>355</v>
      </c>
      <c r="C18" s="362" t="s">
        <v>441</v>
      </c>
      <c r="D18" s="634">
        <f>' Worksheet U Stations'!J15+'Worksheet V Lines'!J14</f>
        <v>8540930.6000000015</v>
      </c>
      <c r="E18" s="672">
        <f>' Worksheet U Stations'!L15+'Worksheet V Lines'!L14</f>
        <v>8684401.0300000012</v>
      </c>
      <c r="F18" s="369">
        <f t="shared" si="0"/>
        <v>8612665.8150000013</v>
      </c>
      <c r="G18" s="398">
        <f>'Worksheet I Depreciation Rates'!D17</f>
        <v>2.1899999999999999E-2</v>
      </c>
      <c r="H18" s="369">
        <f t="shared" si="1"/>
        <v>188617.38134850003</v>
      </c>
      <c r="L18" s="370"/>
      <c r="M18" s="382"/>
    </row>
    <row r="19" spans="1:13">
      <c r="A19" s="400">
        <f t="shared" si="2"/>
        <v>7</v>
      </c>
      <c r="B19" s="361">
        <v>356</v>
      </c>
      <c r="C19" s="362" t="s">
        <v>750</v>
      </c>
      <c r="D19" s="634">
        <f>' Worksheet U Stations'!J16+'Worksheet V Lines'!J15</f>
        <v>6972687.6200000029</v>
      </c>
      <c r="E19" s="672">
        <f>' Worksheet U Stations'!L16+'Worksheet V Lines'!L15</f>
        <v>6977126.9300000025</v>
      </c>
      <c r="F19" s="369">
        <f t="shared" si="0"/>
        <v>6974907.2750000022</v>
      </c>
      <c r="G19" s="398">
        <f>'Worksheet I Depreciation Rates'!D18</f>
        <v>1.5900000000000001E-2</v>
      </c>
      <c r="H19" s="369">
        <f t="shared" si="1"/>
        <v>110901.02567250004</v>
      </c>
      <c r="L19" s="370"/>
      <c r="M19" s="382"/>
    </row>
    <row r="20" spans="1:13">
      <c r="A20" s="400">
        <f t="shared" si="2"/>
        <v>8</v>
      </c>
      <c r="B20" s="361">
        <v>357</v>
      </c>
      <c r="C20" s="534" t="s">
        <v>442</v>
      </c>
      <c r="D20" s="634">
        <f>'Worksheet V Lines'!J16</f>
        <v>0</v>
      </c>
      <c r="E20" s="672">
        <f>'Worksheet V Lines'!L16</f>
        <v>0</v>
      </c>
      <c r="F20" s="369">
        <f t="shared" si="0"/>
        <v>0</v>
      </c>
      <c r="G20" s="398">
        <f>'Worksheet I Depreciation Rates'!D19</f>
        <v>1.5900000000000001E-2</v>
      </c>
      <c r="H20" s="369">
        <f t="shared" si="1"/>
        <v>0</v>
      </c>
      <c r="L20" s="370"/>
      <c r="M20" s="382"/>
    </row>
    <row r="21" spans="1:13">
      <c r="A21" s="400">
        <f t="shared" si="2"/>
        <v>9</v>
      </c>
      <c r="B21" s="361">
        <v>358</v>
      </c>
      <c r="C21" s="362" t="s">
        <v>751</v>
      </c>
      <c r="D21" s="634">
        <f>'Worksheet V Lines'!J17</f>
        <v>0</v>
      </c>
      <c r="E21" s="672">
        <f>'Worksheet V Lines'!L17</f>
        <v>0</v>
      </c>
      <c r="F21" s="369">
        <f t="shared" si="0"/>
        <v>0</v>
      </c>
      <c r="G21" s="398">
        <f>'Worksheet I Depreciation Rates'!D20</f>
        <v>2.3700000000000002E-2</v>
      </c>
      <c r="H21" s="369">
        <f t="shared" si="1"/>
        <v>0</v>
      </c>
      <c r="L21" s="370"/>
      <c r="M21" s="382"/>
    </row>
    <row r="22" spans="1:13">
      <c r="A22" s="400">
        <f t="shared" si="2"/>
        <v>10</v>
      </c>
      <c r="B22" s="361">
        <v>359</v>
      </c>
      <c r="C22" s="362" t="s">
        <v>690</v>
      </c>
      <c r="D22" s="673">
        <f>' Worksheet U Stations'!J17+'Worksheet V Lines'!J18</f>
        <v>6093.38</v>
      </c>
      <c r="E22" s="674">
        <f>' Worksheet U Stations'!L17+'Worksheet V Lines'!L18</f>
        <v>6093.38</v>
      </c>
      <c r="F22" s="384">
        <f>SUM(D22:E22)/2</f>
        <v>6093.38</v>
      </c>
      <c r="G22" s="702">
        <f>'Worksheet I Depreciation Rates'!D21</f>
        <v>1.2400000000000001E-2</v>
      </c>
      <c r="H22" s="371">
        <f t="shared" si="1"/>
        <v>75.557912000000016</v>
      </c>
      <c r="L22" s="370"/>
      <c r="M22" s="382"/>
    </row>
    <row r="23" spans="1:13">
      <c r="A23" s="400">
        <f t="shared" si="2"/>
        <v>11</v>
      </c>
      <c r="C23" s="362" t="s">
        <v>752</v>
      </c>
      <c r="D23" s="369">
        <f>SUM(D14:D22)</f>
        <v>33548630.29166669</v>
      </c>
      <c r="E23" s="385">
        <f>SUM(E14:E22)</f>
        <v>34134133.061666697</v>
      </c>
      <c r="F23" s="369">
        <f>SUM(F14:F22)</f>
        <v>33841381.676666699</v>
      </c>
      <c r="G23" s="636">
        <f>AVERAGE(G15:G22)</f>
        <v>1.6500000000000001E-2</v>
      </c>
      <c r="H23" s="369">
        <f>SUM(H14:H22)</f>
        <v>551639.55989950045</v>
      </c>
      <c r="L23" s="370"/>
      <c r="M23" s="369"/>
    </row>
    <row r="24" spans="1:13">
      <c r="I24" s="383"/>
    </row>
    <row r="25" spans="1:13">
      <c r="C25" s="368"/>
      <c r="G25" s="373"/>
      <c r="I25" s="383"/>
    </row>
    <row r="26" spans="1:13">
      <c r="J26" s="363"/>
    </row>
    <row r="27" spans="1:13" s="399" customFormat="1">
      <c r="A27" s="365" t="s">
        <v>18</v>
      </c>
      <c r="B27" s="365" t="s">
        <v>19</v>
      </c>
      <c r="C27" s="365" t="s">
        <v>20</v>
      </c>
      <c r="D27" s="365" t="s">
        <v>21</v>
      </c>
      <c r="E27" s="365" t="s">
        <v>22</v>
      </c>
      <c r="F27" s="365" t="s">
        <v>23</v>
      </c>
      <c r="G27" s="365" t="s">
        <v>24</v>
      </c>
      <c r="H27" s="365" t="s">
        <v>25</v>
      </c>
      <c r="I27" s="365" t="s">
        <v>134</v>
      </c>
      <c r="J27" s="365" t="s">
        <v>135</v>
      </c>
    </row>
    <row r="28" spans="1:13">
      <c r="A28" s="365"/>
      <c r="B28" s="365"/>
      <c r="C28" s="365"/>
      <c r="D28" s="365" t="s">
        <v>4</v>
      </c>
      <c r="E28" s="365" t="s">
        <v>4</v>
      </c>
      <c r="F28" s="365" t="s">
        <v>4</v>
      </c>
      <c r="G28" s="365" t="s">
        <v>115</v>
      </c>
      <c r="H28" s="365" t="s">
        <v>753</v>
      </c>
      <c r="I28" s="365" t="s">
        <v>417</v>
      </c>
      <c r="J28" s="365" t="s">
        <v>417</v>
      </c>
    </row>
    <row r="29" spans="1:13">
      <c r="A29" s="367" t="s">
        <v>415</v>
      </c>
      <c r="B29" s="367" t="s">
        <v>459</v>
      </c>
      <c r="C29" s="367" t="s">
        <v>0</v>
      </c>
      <c r="D29" s="367" t="s">
        <v>754</v>
      </c>
      <c r="E29" s="367" t="s">
        <v>755</v>
      </c>
      <c r="F29" s="367" t="s">
        <v>747</v>
      </c>
      <c r="G29" s="367" t="s">
        <v>418</v>
      </c>
      <c r="H29" s="367" t="s">
        <v>622</v>
      </c>
      <c r="I29" s="367" t="s">
        <v>705</v>
      </c>
      <c r="J29" s="367" t="s">
        <v>748</v>
      </c>
    </row>
    <row r="31" spans="1:13">
      <c r="A31" s="361">
        <f>A23+1</f>
        <v>12</v>
      </c>
      <c r="C31" s="368" t="s">
        <v>414</v>
      </c>
    </row>
    <row r="32" spans="1:13">
      <c r="A32" s="361">
        <f>A31+1</f>
        <v>13</v>
      </c>
      <c r="B32" s="361">
        <v>390</v>
      </c>
      <c r="C32" s="362" t="s">
        <v>692</v>
      </c>
      <c r="D32" s="634">
        <f>'Worksheet F Inputs'!D180</f>
        <v>66752102.530000016</v>
      </c>
      <c r="E32" s="634">
        <f>'Worksheet F Inputs'!E180</f>
        <v>68227349.269999996</v>
      </c>
      <c r="F32" s="382">
        <f t="shared" ref="F32:F40" si="3">SUM(D32:E32)/2</f>
        <v>67489725.900000006</v>
      </c>
      <c r="G32" s="372">
        <f>'Worksheet E Alloc. Factor'!$G$20</f>
        <v>1.359222739062114E-2</v>
      </c>
      <c r="H32" s="369">
        <f>F32*G32</f>
        <v>917335.70096349309</v>
      </c>
      <c r="I32" s="372">
        <f>'Worksheet I Depreciation Rates'!D28</f>
        <v>1.2E-2</v>
      </c>
      <c r="J32" s="369">
        <f>H32*I32</f>
        <v>11008.028411561918</v>
      </c>
    </row>
    <row r="33" spans="1:10">
      <c r="A33" s="361">
        <f>A32+1</f>
        <v>14</v>
      </c>
      <c r="B33" s="361">
        <v>391.1</v>
      </c>
      <c r="C33" s="362" t="s">
        <v>756</v>
      </c>
      <c r="D33" s="634">
        <f>'Worksheet F Inputs'!D181</f>
        <v>16009991.01</v>
      </c>
      <c r="E33" s="634">
        <f>'Worksheet F Inputs'!E181</f>
        <v>26868097.030000001</v>
      </c>
      <c r="F33" s="382">
        <f t="shared" si="3"/>
        <v>21439044.02</v>
      </c>
      <c r="G33" s="372">
        <f>'Worksheet E Alloc. Factor'!$G$20</f>
        <v>1.359222739062114E-2</v>
      </c>
      <c r="H33" s="369">
        <f t="shared" ref="H33:H60" si="4">F33*G33</f>
        <v>291404.36135737633</v>
      </c>
      <c r="I33" s="372">
        <f>'Worksheet I Depreciation Rates'!D31</f>
        <v>0.25</v>
      </c>
      <c r="J33" s="369">
        <f t="shared" ref="J33:J59" si="5">H33*I33</f>
        <v>72851.090339344082</v>
      </c>
    </row>
    <row r="34" spans="1:10">
      <c r="A34" s="361">
        <f t="shared" ref="A34:A60" si="6">A33+1</f>
        <v>15</v>
      </c>
      <c r="B34" s="361">
        <v>391.11</v>
      </c>
      <c r="C34" s="362" t="s">
        <v>757</v>
      </c>
      <c r="D34" s="634">
        <f>'Worksheet F Inputs'!D182</f>
        <v>5642075.5300000003</v>
      </c>
      <c r="E34" s="634">
        <f>'Worksheet F Inputs'!E182</f>
        <v>5665549.6500000004</v>
      </c>
      <c r="F34" s="382">
        <f t="shared" si="3"/>
        <v>5653812.5899999999</v>
      </c>
      <c r="G34" s="372">
        <f>'Worksheet E Alloc. Factor'!$G$20</f>
        <v>1.359222739062114E-2</v>
      </c>
      <c r="H34" s="369">
        <f t="shared" si="4"/>
        <v>76847.90634723664</v>
      </c>
      <c r="I34" s="372">
        <f>'Worksheet I Depreciation Rates'!D32</f>
        <v>5.9988002399520089E-2</v>
      </c>
      <c r="J34" s="369">
        <f t="shared" si="5"/>
        <v>4609.9523903561267</v>
      </c>
    </row>
    <row r="35" spans="1:10">
      <c r="A35" s="361">
        <f t="shared" si="6"/>
        <v>16</v>
      </c>
      <c r="B35" s="361">
        <v>391.12</v>
      </c>
      <c r="C35" s="362" t="s">
        <v>758</v>
      </c>
      <c r="D35" s="634">
        <f>'Worksheet F Inputs'!D183</f>
        <v>2517135.71</v>
      </c>
      <c r="E35" s="634">
        <f>'Worksheet F Inputs'!E183</f>
        <v>2517135.71</v>
      </c>
      <c r="F35" s="382">
        <f t="shared" si="3"/>
        <v>2517135.71</v>
      </c>
      <c r="G35" s="372">
        <f>'Worksheet E Alloc. Factor'!$G$20</f>
        <v>1.359222739062114E-2</v>
      </c>
      <c r="H35" s="369">
        <f t="shared" si="4"/>
        <v>34213.48094337259</v>
      </c>
      <c r="I35" s="372">
        <f>'Worksheet I Depreciation Rates'!D33</f>
        <v>0.1</v>
      </c>
      <c r="J35" s="369">
        <f t="shared" si="5"/>
        <v>3421.3480943372592</v>
      </c>
    </row>
    <row r="36" spans="1:10">
      <c r="A36" s="361">
        <f t="shared" si="6"/>
        <v>17</v>
      </c>
      <c r="B36" s="361">
        <v>391.13</v>
      </c>
      <c r="C36" s="362" t="s">
        <v>759</v>
      </c>
      <c r="D36" s="634">
        <f>'Worksheet F Inputs'!D184</f>
        <v>9319907.8300000001</v>
      </c>
      <c r="E36" s="634">
        <f>'Worksheet F Inputs'!E184</f>
        <v>9390224.0999999996</v>
      </c>
      <c r="F36" s="382">
        <f t="shared" si="3"/>
        <v>9355065.9649999999</v>
      </c>
      <c r="G36" s="372">
        <f>'Worksheet E Alloc. Factor'!$G$20</f>
        <v>1.359222739062114E-2</v>
      </c>
      <c r="H36" s="369">
        <f t="shared" si="4"/>
        <v>127156.18385054058</v>
      </c>
      <c r="I36" s="372">
        <f>'Worksheet I Depreciation Rates'!D34</f>
        <v>0.2</v>
      </c>
      <c r="J36" s="369">
        <f t="shared" si="5"/>
        <v>25431.236770108117</v>
      </c>
    </row>
    <row r="37" spans="1:10">
      <c r="A37" s="361">
        <f t="shared" si="6"/>
        <v>18</v>
      </c>
      <c r="B37" s="361">
        <v>391.14</v>
      </c>
      <c r="C37" s="362" t="s">
        <v>760</v>
      </c>
      <c r="D37" s="634">
        <f>'Worksheet F Inputs'!D185</f>
        <v>129222.12</v>
      </c>
      <c r="E37" s="634">
        <f>'Worksheet F Inputs'!E185</f>
        <v>129222.12</v>
      </c>
      <c r="F37" s="382">
        <f t="shared" si="3"/>
        <v>129222.12</v>
      </c>
      <c r="G37" s="372">
        <f>'Worksheet E Alloc. Factor'!$G$20</f>
        <v>1.359222739062114E-2</v>
      </c>
      <c r="H37" s="369">
        <f t="shared" si="4"/>
        <v>1756.4164389381317</v>
      </c>
      <c r="I37" s="372">
        <f>'Worksheet I Depreciation Rates'!D35</f>
        <v>5.9988002399520089E-2</v>
      </c>
      <c r="J37" s="369">
        <f t="shared" si="5"/>
        <v>105.36391355357718</v>
      </c>
    </row>
    <row r="38" spans="1:10">
      <c r="A38" s="361">
        <f t="shared" si="6"/>
        <v>19</v>
      </c>
      <c r="B38" s="361">
        <v>391.15</v>
      </c>
      <c r="C38" s="362" t="s">
        <v>761</v>
      </c>
      <c r="D38" s="634">
        <f>'Worksheet F Inputs'!D186</f>
        <v>24835.599999999999</v>
      </c>
      <c r="E38" s="634">
        <f>'Worksheet F Inputs'!E186</f>
        <v>24835.599999999999</v>
      </c>
      <c r="F38" s="382">
        <f t="shared" si="3"/>
        <v>24835.599999999999</v>
      </c>
      <c r="G38" s="372">
        <f>'Worksheet E Alloc. Factor'!$G$20</f>
        <v>1.359222739062114E-2</v>
      </c>
      <c r="H38" s="369">
        <f t="shared" si="4"/>
        <v>337.57112258251038</v>
      </c>
      <c r="I38" s="372">
        <f>'Worksheet I Depreciation Rates'!D36</f>
        <v>0.1</v>
      </c>
      <c r="J38" s="369">
        <f t="shared" si="5"/>
        <v>33.757112258251041</v>
      </c>
    </row>
    <row r="39" spans="1:10">
      <c r="A39" s="361">
        <f t="shared" si="6"/>
        <v>20</v>
      </c>
      <c r="B39" s="361">
        <v>391.16</v>
      </c>
      <c r="C39" s="362" t="s">
        <v>762</v>
      </c>
      <c r="D39" s="634">
        <f>'Worksheet F Inputs'!D187</f>
        <v>4983176.6900000004</v>
      </c>
      <c r="E39" s="634">
        <f>'Worksheet F Inputs'!E187</f>
        <v>4983176.6900000004</v>
      </c>
      <c r="F39" s="382">
        <f t="shared" si="3"/>
        <v>4983176.6900000004</v>
      </c>
      <c r="G39" s="372">
        <f>'Worksheet E Alloc. Factor'!$G$20</f>
        <v>1.359222739062114E-2</v>
      </c>
      <c r="H39" s="369">
        <f t="shared" si="4"/>
        <v>67732.470698122794</v>
      </c>
      <c r="I39" s="372">
        <f>'Worksheet I Depreciation Rates'!D37</f>
        <v>0.08</v>
      </c>
      <c r="J39" s="369">
        <f t="shared" si="5"/>
        <v>5418.5976558498232</v>
      </c>
    </row>
    <row r="40" spans="1:10">
      <c r="A40" s="361">
        <f t="shared" si="6"/>
        <v>21</v>
      </c>
      <c r="B40" s="361">
        <v>391.17</v>
      </c>
      <c r="C40" s="362" t="s">
        <v>763</v>
      </c>
      <c r="D40" s="634">
        <f>'Worksheet F Inputs'!D188</f>
        <v>2356.81</v>
      </c>
      <c r="E40" s="634">
        <f>'Worksheet F Inputs'!E188</f>
        <v>2356.81</v>
      </c>
      <c r="F40" s="369">
        <f t="shared" si="3"/>
        <v>2356.81</v>
      </c>
      <c r="G40" s="372">
        <f>'Worksheet E Alloc. Factor'!$G$20</f>
        <v>1.359222739062114E-2</v>
      </c>
      <c r="H40" s="369">
        <f t="shared" si="4"/>
        <v>32.034297436489808</v>
      </c>
      <c r="I40" s="372">
        <f>'Worksheet I Depreciation Rates'!D38</f>
        <v>0.25</v>
      </c>
      <c r="J40" s="369">
        <f t="shared" si="5"/>
        <v>8.0085743591224521</v>
      </c>
    </row>
    <row r="41" spans="1:10">
      <c r="A41" s="361">
        <f t="shared" si="6"/>
        <v>22</v>
      </c>
      <c r="B41" s="361">
        <v>391.18</v>
      </c>
      <c r="C41" s="362" t="s">
        <v>764</v>
      </c>
      <c r="D41" s="634">
        <f>'Worksheet F Inputs'!D189</f>
        <v>59921412.560000002</v>
      </c>
      <c r="E41" s="634">
        <f>'Worksheet F Inputs'!E189</f>
        <v>59565062.329999998</v>
      </c>
      <c r="F41" s="369">
        <f t="shared" ref="F41:F60" si="7">SUM(D41:E41)/2</f>
        <v>59743237.445</v>
      </c>
      <c r="G41" s="372">
        <f>'Worksheet E Alloc. Factor'!$G$20</f>
        <v>1.359222739062114E-2</v>
      </c>
      <c r="H41" s="369">
        <f t="shared" si="4"/>
        <v>812043.66840431152</v>
      </c>
      <c r="I41" s="372">
        <f>'Worksheet I Depreciation Rates'!D39</f>
        <v>0.33333333333333331</v>
      </c>
      <c r="J41" s="369">
        <f t="shared" si="5"/>
        <v>270681.22280143714</v>
      </c>
    </row>
    <row r="42" spans="1:10">
      <c r="A42" s="361">
        <f t="shared" si="6"/>
        <v>23</v>
      </c>
      <c r="B42" s="361">
        <v>391.19</v>
      </c>
      <c r="C42" s="362" t="s">
        <v>765</v>
      </c>
      <c r="D42" s="634">
        <f>'Worksheet F Inputs'!D190</f>
        <v>10833401.17</v>
      </c>
      <c r="E42" s="634">
        <f>'Worksheet F Inputs'!E190</f>
        <v>10832215.66</v>
      </c>
      <c r="F42" s="369">
        <f t="shared" si="7"/>
        <v>10832808.414999999</v>
      </c>
      <c r="G42" s="372">
        <f>'Worksheet E Alloc. Factor'!$G$20</f>
        <v>1.359222739062114E-2</v>
      </c>
      <c r="H42" s="369">
        <f t="shared" si="4"/>
        <v>147241.99525571417</v>
      </c>
      <c r="I42" s="372">
        <f>'Worksheet I Depreciation Rates'!D40</f>
        <v>0.2</v>
      </c>
      <c r="J42" s="369">
        <f t="shared" si="5"/>
        <v>29448.399051142835</v>
      </c>
    </row>
    <row r="43" spans="1:10">
      <c r="A43" s="361">
        <f>A42+1</f>
        <v>24</v>
      </c>
      <c r="B43" s="361">
        <v>392.1</v>
      </c>
      <c r="C43" s="386" t="s">
        <v>766</v>
      </c>
      <c r="D43" s="634">
        <f>'Worksheet F Inputs'!D191</f>
        <v>416411.94</v>
      </c>
      <c r="E43" s="634">
        <f>'Worksheet F Inputs'!E191</f>
        <v>416411.94</v>
      </c>
      <c r="F43" s="369">
        <f t="shared" si="7"/>
        <v>416411.94</v>
      </c>
      <c r="G43" s="372">
        <f>'Worksheet E Alloc. Factor'!$G$20</f>
        <v>1.359222739062114E-2</v>
      </c>
      <c r="H43" s="369">
        <f t="shared" si="4"/>
        <v>5659.9657766496866</v>
      </c>
      <c r="I43" s="372">
        <f>'Worksheet I Depreciation Rates'!D43</f>
        <v>0.25</v>
      </c>
      <c r="J43" s="369">
        <f t="shared" si="5"/>
        <v>1414.9914441624217</v>
      </c>
    </row>
    <row r="44" spans="1:10">
      <c r="A44" s="361">
        <f t="shared" si="6"/>
        <v>25</v>
      </c>
      <c r="B44" s="361">
        <v>392.11</v>
      </c>
      <c r="C44" s="386" t="s">
        <v>767</v>
      </c>
      <c r="D44" s="634">
        <f>'Worksheet F Inputs'!D192</f>
        <v>4278501.51</v>
      </c>
      <c r="E44" s="634">
        <f>'Worksheet F Inputs'!E192</f>
        <v>5275409.93</v>
      </c>
      <c r="F44" s="369">
        <f t="shared" si="7"/>
        <v>4776955.72</v>
      </c>
      <c r="G44" s="372">
        <f>'Worksheet E Alloc. Factor'!$G$20</f>
        <v>1.359222739062114E-2</v>
      </c>
      <c r="H44" s="369">
        <f t="shared" si="4"/>
        <v>64929.468381168321</v>
      </c>
      <c r="I44" s="372">
        <f>'Worksheet I Depreciation Rates'!D44</f>
        <v>6.6666666666666666E-2</v>
      </c>
      <c r="J44" s="369">
        <f t="shared" si="5"/>
        <v>4328.6312254112217</v>
      </c>
    </row>
    <row r="45" spans="1:10">
      <c r="A45" s="361">
        <f t="shared" si="6"/>
        <v>26</v>
      </c>
      <c r="B45" s="361">
        <v>392.12</v>
      </c>
      <c r="C45" s="386" t="s">
        <v>768</v>
      </c>
      <c r="D45" s="634">
        <f>'Worksheet F Inputs'!D193</f>
        <v>2656152.36</v>
      </c>
      <c r="E45" s="634">
        <f>'Worksheet F Inputs'!E193</f>
        <v>2707989.63</v>
      </c>
      <c r="F45" s="369">
        <f t="shared" si="7"/>
        <v>2682070.9950000001</v>
      </c>
      <c r="G45" s="372">
        <f>'Worksheet E Alloc. Factor'!$G$20</f>
        <v>1.359222739062114E-2</v>
      </c>
      <c r="H45" s="369">
        <f t="shared" si="4"/>
        <v>36455.318841829496</v>
      </c>
      <c r="I45" s="372">
        <f>'Worksheet I Depreciation Rates'!D45</f>
        <v>0.25</v>
      </c>
      <c r="J45" s="369">
        <f t="shared" si="5"/>
        <v>9113.8297104573739</v>
      </c>
    </row>
    <row r="46" spans="1:10">
      <c r="A46" s="361">
        <f t="shared" si="6"/>
        <v>27</v>
      </c>
      <c r="B46" s="361">
        <v>392.13</v>
      </c>
      <c r="C46" s="386" t="s">
        <v>769</v>
      </c>
      <c r="D46" s="634">
        <f>'Worksheet F Inputs'!D194</f>
        <v>964593.74</v>
      </c>
      <c r="E46" s="634">
        <f>'Worksheet F Inputs'!E194</f>
        <v>1061343.72</v>
      </c>
      <c r="F46" s="369">
        <f t="shared" si="7"/>
        <v>1012968.73</v>
      </c>
      <c r="G46" s="372">
        <f>'Worksheet E Alloc. Factor'!$G$20</f>
        <v>1.359222739062114E-2</v>
      </c>
      <c r="H46" s="369">
        <f t="shared" si="4"/>
        <v>13768.501317748709</v>
      </c>
      <c r="I46" s="372">
        <f>'Worksheet I Depreciation Rates'!D46</f>
        <v>0.25</v>
      </c>
      <c r="J46" s="369">
        <f t="shared" si="5"/>
        <v>3442.1253294371772</v>
      </c>
    </row>
    <row r="47" spans="1:10">
      <c r="A47" s="361">
        <f t="shared" si="6"/>
        <v>28</v>
      </c>
      <c r="B47" s="361">
        <v>392.14</v>
      </c>
      <c r="C47" s="386" t="s">
        <v>770</v>
      </c>
      <c r="D47" s="634">
        <f>'Worksheet F Inputs'!D195</f>
        <v>3336875.46</v>
      </c>
      <c r="E47" s="634">
        <f>'Worksheet F Inputs'!E195</f>
        <v>3119193.13</v>
      </c>
      <c r="F47" s="369">
        <f t="shared" si="7"/>
        <v>3228034.2949999999</v>
      </c>
      <c r="G47" s="372">
        <f>'Worksheet E Alloc. Factor'!$G$20</f>
        <v>1.359222739062114E-2</v>
      </c>
      <c r="H47" s="369">
        <f t="shared" si="4"/>
        <v>43876.176162363401</v>
      </c>
      <c r="I47" s="372">
        <f>'Worksheet I Depreciation Rates'!D47</f>
        <v>0.25</v>
      </c>
      <c r="J47" s="369">
        <f t="shared" si="5"/>
        <v>10969.04404059085</v>
      </c>
    </row>
    <row r="48" spans="1:10">
      <c r="A48" s="361">
        <f t="shared" si="6"/>
        <v>29</v>
      </c>
      <c r="B48" s="361">
        <v>392.15</v>
      </c>
      <c r="C48" s="386" t="s">
        <v>771</v>
      </c>
      <c r="D48" s="634">
        <f>'Worksheet F Inputs'!D196</f>
        <v>2270612.3199999998</v>
      </c>
      <c r="E48" s="634">
        <f>'Worksheet F Inputs'!E196</f>
        <v>2037553.88</v>
      </c>
      <c r="F48" s="369">
        <f t="shared" si="7"/>
        <v>2154083.0999999996</v>
      </c>
      <c r="G48" s="372">
        <f>'Worksheet E Alloc. Factor'!$G$20</f>
        <v>1.359222739062114E-2</v>
      </c>
      <c r="H48" s="369">
        <f t="shared" si="4"/>
        <v>29278.787313494089</v>
      </c>
      <c r="I48" s="372">
        <f>'Worksheet I Depreciation Rates'!D48</f>
        <v>0.16666666666666666</v>
      </c>
      <c r="J48" s="369">
        <f t="shared" si="5"/>
        <v>4879.7978855823476</v>
      </c>
    </row>
    <row r="49" spans="1:10">
      <c r="A49" s="361">
        <f t="shared" si="6"/>
        <v>30</v>
      </c>
      <c r="B49" s="361">
        <v>392.16</v>
      </c>
      <c r="C49" s="386" t="s">
        <v>772</v>
      </c>
      <c r="D49" s="634">
        <f>'Worksheet F Inputs'!D197</f>
        <v>46096.83</v>
      </c>
      <c r="E49" s="634">
        <f>'Worksheet F Inputs'!E197</f>
        <v>46096.83</v>
      </c>
      <c r="F49" s="369">
        <f t="shared" si="7"/>
        <v>46096.83</v>
      </c>
      <c r="G49" s="372">
        <f>'Worksheet E Alloc. Factor'!$G$20</f>
        <v>1.359222739062114E-2</v>
      </c>
      <c r="H49" s="369">
        <f t="shared" si="4"/>
        <v>626.55859534680633</v>
      </c>
      <c r="I49" s="372">
        <f>'Worksheet I Depreciation Rates'!D49</f>
        <v>0.25</v>
      </c>
      <c r="J49" s="369">
        <f t="shared" si="5"/>
        <v>156.63964883670158</v>
      </c>
    </row>
    <row r="50" spans="1:10">
      <c r="A50" s="361">
        <f t="shared" si="6"/>
        <v>31</v>
      </c>
      <c r="B50" s="361">
        <v>392.17</v>
      </c>
      <c r="C50" s="386" t="s">
        <v>773</v>
      </c>
      <c r="D50" s="634">
        <f>'Worksheet F Inputs'!D198</f>
        <v>194451.05</v>
      </c>
      <c r="E50" s="634">
        <f>'Worksheet F Inputs'!E198</f>
        <v>182879.39</v>
      </c>
      <c r="F50" s="369">
        <f t="shared" si="7"/>
        <v>188665.22</v>
      </c>
      <c r="G50" s="372">
        <f>'Worksheet E Alloc. Factor'!$G$20</f>
        <v>1.359222739062114E-2</v>
      </c>
      <c r="H50" s="369">
        <f t="shared" si="4"/>
        <v>2564.3805709415633</v>
      </c>
      <c r="I50" s="372">
        <f>'Worksheet I Depreciation Rates'!D50</f>
        <v>0.25</v>
      </c>
      <c r="J50" s="369">
        <f t="shared" si="5"/>
        <v>641.09514273539082</v>
      </c>
    </row>
    <row r="51" spans="1:10">
      <c r="A51" s="361">
        <f t="shared" si="6"/>
        <v>32</v>
      </c>
      <c r="B51" s="361">
        <v>392.18</v>
      </c>
      <c r="C51" s="386" t="s">
        <v>774</v>
      </c>
      <c r="D51" s="634">
        <f>'Worksheet F Inputs'!D199</f>
        <v>344173.31</v>
      </c>
      <c r="E51" s="634">
        <f>'Worksheet F Inputs'!E199</f>
        <v>334750.93</v>
      </c>
      <c r="F51" s="369">
        <f t="shared" si="7"/>
        <v>339462.12</v>
      </c>
      <c r="G51" s="372">
        <f>'Worksheet E Alloc. Factor'!$G$20</f>
        <v>1.359222739062114E-2</v>
      </c>
      <c r="H51" s="369">
        <f t="shared" si="4"/>
        <v>4614.0463255423201</v>
      </c>
      <c r="I51" s="372">
        <f>'Worksheet I Depreciation Rates'!D51</f>
        <v>0.25</v>
      </c>
      <c r="J51" s="369">
        <f t="shared" si="5"/>
        <v>1153.51158138558</v>
      </c>
    </row>
    <row r="52" spans="1:10">
      <c r="A52" s="361">
        <f t="shared" si="6"/>
        <v>33</v>
      </c>
      <c r="B52" s="361">
        <v>392.19</v>
      </c>
      <c r="C52" s="386" t="s">
        <v>775</v>
      </c>
      <c r="D52" s="634">
        <f>'Worksheet F Inputs'!D200</f>
        <v>14980157</v>
      </c>
      <c r="E52" s="634">
        <f>'Worksheet F Inputs'!E200</f>
        <v>17568195.07</v>
      </c>
      <c r="F52" s="369">
        <f t="shared" si="7"/>
        <v>16274176.035</v>
      </c>
      <c r="G52" s="372">
        <f>'Worksheet E Alloc. Factor'!$G$20</f>
        <v>1.359222739062114E-2</v>
      </c>
      <c r="H52" s="369">
        <f t="shared" si="4"/>
        <v>221202.30126271714</v>
      </c>
      <c r="I52" s="372">
        <f>'Worksheet I Depreciation Rates'!D52</f>
        <v>0.2</v>
      </c>
      <c r="J52" s="369">
        <f t="shared" si="5"/>
        <v>44240.460252543431</v>
      </c>
    </row>
    <row r="53" spans="1:10">
      <c r="A53" s="361">
        <f t="shared" si="6"/>
        <v>34</v>
      </c>
      <c r="B53" s="361">
        <v>392.2</v>
      </c>
      <c r="C53" s="386" t="s">
        <v>776</v>
      </c>
      <c r="D53" s="634">
        <f>'Worksheet F Inputs'!D201</f>
        <v>2614381.2000000002</v>
      </c>
      <c r="E53" s="634">
        <f>'Worksheet F Inputs'!E201</f>
        <v>2533749.61</v>
      </c>
      <c r="F53" s="369">
        <f t="shared" si="7"/>
        <v>2574065.4050000003</v>
      </c>
      <c r="G53" s="372">
        <f>'Worksheet E Alloc. Factor'!$G$20</f>
        <v>1.359222739062114E-2</v>
      </c>
      <c r="H53" s="369">
        <f t="shared" si="4"/>
        <v>34987.282303091299</v>
      </c>
      <c r="I53" s="372">
        <f>'Worksheet I Depreciation Rates'!D53</f>
        <v>0.25</v>
      </c>
      <c r="J53" s="369">
        <f t="shared" si="5"/>
        <v>8746.8205757728247</v>
      </c>
    </row>
    <row r="54" spans="1:10">
      <c r="A54" s="361">
        <f t="shared" si="6"/>
        <v>35</v>
      </c>
      <c r="B54" s="361">
        <v>392.21</v>
      </c>
      <c r="C54" s="535" t="s">
        <v>805</v>
      </c>
      <c r="D54" s="634">
        <f>'Worksheet F Inputs'!D202</f>
        <v>7041237.0099999998</v>
      </c>
      <c r="E54" s="634">
        <f>'Worksheet F Inputs'!E202</f>
        <v>7041237.0099999998</v>
      </c>
      <c r="F54" s="369">
        <f t="shared" si="7"/>
        <v>7041237.0099999998</v>
      </c>
      <c r="G54" s="372">
        <f>'Worksheet E Alloc. Factor'!$G$20</f>
        <v>1.359222739062114E-2</v>
      </c>
      <c r="H54" s="369">
        <f t="shared" si="4"/>
        <v>95706.094551177288</v>
      </c>
      <c r="I54" s="372">
        <f>'Worksheet I Depreciation Rates'!D54</f>
        <v>0.25</v>
      </c>
      <c r="J54" s="369">
        <f t="shared" si="5"/>
        <v>23926.523637794322</v>
      </c>
    </row>
    <row r="55" spans="1:10">
      <c r="A55" s="361">
        <f t="shared" si="6"/>
        <v>36</v>
      </c>
      <c r="B55" s="361">
        <v>393</v>
      </c>
      <c r="C55" s="362" t="s">
        <v>445</v>
      </c>
      <c r="D55" s="634">
        <f>'Worksheet F Inputs'!D203</f>
        <v>1380145.71</v>
      </c>
      <c r="E55" s="634">
        <f>'Worksheet F Inputs'!E203</f>
        <v>1367766.21</v>
      </c>
      <c r="F55" s="369">
        <f t="shared" si="7"/>
        <v>1373955.96</v>
      </c>
      <c r="G55" s="372">
        <f>'Worksheet E Alloc. Factor'!$G$20</f>
        <v>1.359222739062114E-2</v>
      </c>
      <c r="H55" s="369">
        <f t="shared" si="4"/>
        <v>18675.121833019162</v>
      </c>
      <c r="I55" s="372">
        <f>'Worksheet I Depreciation Rates'!D55</f>
        <v>0.06</v>
      </c>
      <c r="J55" s="369">
        <f t="shared" si="5"/>
        <v>1120.5073099811498</v>
      </c>
    </row>
    <row r="56" spans="1:10">
      <c r="A56" s="361">
        <f t="shared" si="6"/>
        <v>37</v>
      </c>
      <c r="B56" s="361">
        <v>394</v>
      </c>
      <c r="C56" s="362" t="s">
        <v>446</v>
      </c>
      <c r="D56" s="634">
        <f>'Worksheet F Inputs'!D204</f>
        <v>9415056.9700000007</v>
      </c>
      <c r="E56" s="634">
        <f>'Worksheet F Inputs'!E204</f>
        <v>9675034.6100000236</v>
      </c>
      <c r="F56" s="369">
        <f t="shared" si="7"/>
        <v>9545045.7900000121</v>
      </c>
      <c r="G56" s="372">
        <f>'Worksheet E Alloc. Factor'!$G$20</f>
        <v>1.359222739062114E-2</v>
      </c>
      <c r="H56" s="369">
        <f t="shared" si="4"/>
        <v>129738.43283157116</v>
      </c>
      <c r="I56" s="372">
        <f>'Worksheet I Depreciation Rates'!D56</f>
        <v>0.06</v>
      </c>
      <c r="J56" s="369">
        <f t="shared" si="5"/>
        <v>7784.3059698942698</v>
      </c>
    </row>
    <row r="57" spans="1:10">
      <c r="A57" s="361">
        <f t="shared" si="6"/>
        <v>38</v>
      </c>
      <c r="B57" s="361">
        <v>395</v>
      </c>
      <c r="C57" s="362" t="s">
        <v>777</v>
      </c>
      <c r="D57" s="634">
        <f>'Worksheet F Inputs'!D205</f>
        <v>13437149.150000002</v>
      </c>
      <c r="E57" s="634">
        <f>'Worksheet F Inputs'!E205</f>
        <v>14364654.899999993</v>
      </c>
      <c r="F57" s="369">
        <f t="shared" si="7"/>
        <v>13900902.024999999</v>
      </c>
      <c r="G57" s="372">
        <f>'Worksheet E Alloc. Factor'!$G$20</f>
        <v>1.359222739062114E-2</v>
      </c>
      <c r="H57" s="369">
        <f t="shared" si="4"/>
        <v>188944.22125854585</v>
      </c>
      <c r="I57" s="372">
        <f>'Worksheet I Depreciation Rates'!D57</f>
        <v>0.06</v>
      </c>
      <c r="J57" s="369">
        <f t="shared" si="5"/>
        <v>11336.65327551275</v>
      </c>
    </row>
    <row r="58" spans="1:10">
      <c r="A58" s="361">
        <f t="shared" si="6"/>
        <v>39</v>
      </c>
      <c r="B58" s="361">
        <v>396</v>
      </c>
      <c r="C58" s="362" t="s">
        <v>447</v>
      </c>
      <c r="D58" s="634">
        <f>'Worksheet F Inputs'!D206</f>
        <v>24564486.789999995</v>
      </c>
      <c r="E58" s="634">
        <f>'Worksheet F Inputs'!E206</f>
        <v>29606003.630000006</v>
      </c>
      <c r="F58" s="369">
        <f t="shared" si="7"/>
        <v>27085245.210000001</v>
      </c>
      <c r="G58" s="372">
        <f>'Worksheet E Alloc. Factor'!$G$20</f>
        <v>1.359222739062114E-2</v>
      </c>
      <c r="H58" s="369">
        <f t="shared" si="4"/>
        <v>368148.81182505202</v>
      </c>
      <c r="I58" s="372">
        <f>'Worksheet I Depreciation Rates'!D58</f>
        <v>0.15</v>
      </c>
      <c r="J58" s="369">
        <f t="shared" si="5"/>
        <v>55222.321773757802</v>
      </c>
    </row>
    <row r="59" spans="1:10">
      <c r="A59" s="361">
        <f t="shared" si="6"/>
        <v>40</v>
      </c>
      <c r="B59" s="361">
        <v>397</v>
      </c>
      <c r="C59" s="362" t="s">
        <v>448</v>
      </c>
      <c r="D59" s="634">
        <f>'Worksheet F Inputs'!D207</f>
        <v>146461121.43999997</v>
      </c>
      <c r="E59" s="634">
        <f>'Worksheet F Inputs'!E207</f>
        <v>152149794.49000007</v>
      </c>
      <c r="F59" s="369">
        <f t="shared" si="7"/>
        <v>149305457.96500003</v>
      </c>
      <c r="G59" s="372">
        <f>'Worksheet E Alloc. Factor'!$G$20</f>
        <v>1.359222739062114E-2</v>
      </c>
      <c r="H59" s="369">
        <f t="shared" si="4"/>
        <v>2029393.7353211066</v>
      </c>
      <c r="I59" s="372">
        <f>'Worksheet I Depreciation Rates'!D59</f>
        <v>0.08</v>
      </c>
      <c r="J59" s="369">
        <f t="shared" si="5"/>
        <v>162351.49882568853</v>
      </c>
    </row>
    <row r="60" spans="1:10">
      <c r="A60" s="361">
        <f t="shared" si="6"/>
        <v>41</v>
      </c>
      <c r="B60" s="361">
        <v>398</v>
      </c>
      <c r="C60" s="362" t="s">
        <v>449</v>
      </c>
      <c r="D60" s="673">
        <f>'Worksheet F Inputs'!D208</f>
        <v>2578264.96</v>
      </c>
      <c r="E60" s="673">
        <f>'Worksheet F Inputs'!E208</f>
        <v>2521515.5999999973</v>
      </c>
      <c r="F60" s="371">
        <f t="shared" si="7"/>
        <v>2549890.2799999984</v>
      </c>
      <c r="G60" s="635">
        <f>'Worksheet E Alloc. Factor'!$G$20</f>
        <v>1.359222739062114E-2</v>
      </c>
      <c r="H60" s="371">
        <f t="shared" si="4"/>
        <v>34658.688506894585</v>
      </c>
      <c r="I60" s="635">
        <f>'Worksheet I Depreciation Rates'!D60</f>
        <v>0.15</v>
      </c>
      <c r="J60" s="371">
        <f>H60*I60</f>
        <v>5198.8032760341875</v>
      </c>
    </row>
    <row r="61" spans="1:10">
      <c r="A61" s="361">
        <f>A60+1</f>
        <v>42</v>
      </c>
      <c r="C61" s="362" t="s">
        <v>778</v>
      </c>
      <c r="D61" s="369">
        <f>SUM(D32:D60)</f>
        <v>413115486.31</v>
      </c>
      <c r="E61" s="369">
        <f>SUM(E32:E60)</f>
        <v>440214805.48000014</v>
      </c>
      <c r="F61" s="369">
        <f>SUM(F32:F60)</f>
        <v>426665145.89499998</v>
      </c>
      <c r="H61" s="369">
        <f>SUM(H32:H60)</f>
        <v>5799329.6826573843</v>
      </c>
      <c r="J61" s="369">
        <f>SUM(J32:J60)</f>
        <v>779044.56601988664</v>
      </c>
    </row>
    <row r="63" spans="1:10">
      <c r="A63" s="361">
        <f>A61+1</f>
        <v>43</v>
      </c>
      <c r="C63" s="368" t="s">
        <v>779</v>
      </c>
    </row>
    <row r="64" spans="1:10">
      <c r="A64" s="388">
        <f>A63+1</f>
        <v>44</v>
      </c>
      <c r="B64" s="631">
        <v>303</v>
      </c>
      <c r="C64" s="632" t="s">
        <v>812</v>
      </c>
      <c r="D64" s="673">
        <f>'Worksheet F Inputs'!D209</f>
        <v>146787517.39000005</v>
      </c>
      <c r="E64" s="673">
        <f>'Worksheet F Inputs'!E209</f>
        <v>152768882.22000003</v>
      </c>
      <c r="F64" s="700">
        <f>SUM(D64:E64)/2</f>
        <v>149778199.80500004</v>
      </c>
      <c r="G64" s="701">
        <f>'Worksheet E Alloc. Factor'!$G$20</f>
        <v>1.359222739062114E-2</v>
      </c>
      <c r="H64" s="673">
        <f>F64*G64</f>
        <v>2035819.3499074474</v>
      </c>
      <c r="I64" s="701">
        <f>'Worksheet I Depreciation Rates'!D11</f>
        <v>2.75E-2</v>
      </c>
      <c r="J64" s="673">
        <f>H64*I64</f>
        <v>55985.032122454802</v>
      </c>
    </row>
    <row r="65" spans="1:10">
      <c r="A65" s="361">
        <f>A64+1</f>
        <v>45</v>
      </c>
      <c r="C65" s="362" t="s">
        <v>780</v>
      </c>
      <c r="D65" s="369">
        <f>SUM(D64:D64)</f>
        <v>146787517.39000005</v>
      </c>
      <c r="E65" s="369">
        <f>SUM(E64:E64)</f>
        <v>152768882.22000003</v>
      </c>
      <c r="F65" s="369">
        <f>SUM(F64:F64)</f>
        <v>149778199.80500004</v>
      </c>
      <c r="H65" s="369">
        <f>SUM(H64:H64)</f>
        <v>2035819.3499074474</v>
      </c>
      <c r="J65" s="369">
        <f>SUM(J64:J64)</f>
        <v>55985.032122454802</v>
      </c>
    </row>
  </sheetData>
  <pageMargins left="0.7" right="0.7" top="0.75" bottom="0.75" header="0.3" footer="0.3"/>
  <pageSetup scale="58" fitToHeight="0" orientation="landscape" r:id="rId1"/>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F64"/>
  <sheetViews>
    <sheetView topLeftCell="C13" workbookViewId="0">
      <selection activeCell="D41" sqref="D41"/>
    </sheetView>
  </sheetViews>
  <sheetFormatPr defaultColWidth="8" defaultRowHeight="15"/>
  <cols>
    <col min="1" max="1" width="6.25" style="150" customWidth="1"/>
    <col min="2" max="2" width="10.625" style="157" bestFit="1" customWidth="1"/>
    <col min="3" max="3" width="84.125" style="157" bestFit="1" customWidth="1"/>
    <col min="4" max="4" width="15.375" style="156" bestFit="1" customWidth="1"/>
    <col min="5" max="5" width="12.75" style="156" customWidth="1"/>
    <col min="6" max="6" width="11.75" style="157" customWidth="1"/>
    <col min="7" max="16384" width="8" style="157"/>
  </cols>
  <sheetData>
    <row r="2" spans="1:6">
      <c r="A2" s="148"/>
      <c r="B2" s="148"/>
      <c r="C2" s="148"/>
      <c r="D2" s="148"/>
      <c r="E2" s="155" t="s">
        <v>615</v>
      </c>
    </row>
    <row r="3" spans="1:6" ht="15.75">
      <c r="A3" s="148"/>
      <c r="B3" s="148"/>
      <c r="C3" s="220"/>
      <c r="D3" s="220"/>
      <c r="E3" s="155" t="s">
        <v>822</v>
      </c>
    </row>
    <row r="4" spans="1:6" ht="20.25">
      <c r="B4" s="559" t="str">
        <f>Index!B2</f>
        <v>Tri-State Generation and Transmission Association, Inc.</v>
      </c>
      <c r="C4" s="230"/>
      <c r="D4" s="230"/>
      <c r="E4" s="148"/>
    </row>
    <row r="5" spans="1:6" ht="15.75">
      <c r="B5" s="5"/>
      <c r="C5" s="231"/>
      <c r="D5" s="231"/>
      <c r="E5" s="148"/>
    </row>
    <row r="6" spans="1:6" ht="15.75">
      <c r="B6" s="537" t="str">
        <f>Index!C23</f>
        <v>Other Revenue</v>
      </c>
      <c r="C6" s="145"/>
      <c r="D6" s="145"/>
      <c r="E6" s="148"/>
    </row>
    <row r="7" spans="1:6" ht="15.75">
      <c r="B7" s="538" t="str">
        <f>Index!B5</f>
        <v>Year Ending December 31, 2016</v>
      </c>
      <c r="C7" s="148"/>
      <c r="D7" s="148"/>
      <c r="E7" s="148"/>
    </row>
    <row r="8" spans="1:6" ht="15.75">
      <c r="A8" s="232"/>
      <c r="B8" s="148"/>
      <c r="C8" s="148"/>
      <c r="D8" s="148"/>
      <c r="E8" s="148"/>
    </row>
    <row r="9" spans="1:6" ht="15.75">
      <c r="A9" s="43" t="s">
        <v>18</v>
      </c>
      <c r="B9" s="4" t="s">
        <v>19</v>
      </c>
      <c r="C9" s="44" t="s">
        <v>20</v>
      </c>
      <c r="D9" s="44" t="s">
        <v>21</v>
      </c>
      <c r="E9" s="44" t="s">
        <v>22</v>
      </c>
      <c r="F9" s="347"/>
    </row>
    <row r="10" spans="1:6" ht="15.75">
      <c r="A10" s="108" t="s">
        <v>415</v>
      </c>
      <c r="B10" s="143" t="s">
        <v>459</v>
      </c>
      <c r="C10" s="143" t="s">
        <v>0</v>
      </c>
      <c r="D10" s="146" t="s">
        <v>4</v>
      </c>
      <c r="E10" s="146" t="s">
        <v>668</v>
      </c>
      <c r="F10" s="347"/>
    </row>
    <row r="11" spans="1:6">
      <c r="A11" s="147"/>
      <c r="B11" s="148"/>
      <c r="C11" s="148"/>
      <c r="D11" s="148"/>
      <c r="E11" s="148"/>
      <c r="F11" s="348"/>
    </row>
    <row r="12" spans="1:6">
      <c r="A12" s="147">
        <v>1</v>
      </c>
      <c r="B12" s="737" t="s">
        <v>475</v>
      </c>
      <c r="C12" s="734" t="s">
        <v>476</v>
      </c>
      <c r="D12" s="732">
        <v>2759187.560000001</v>
      </c>
      <c r="E12" s="731">
        <f>20331.7+2250</f>
        <v>22581.7</v>
      </c>
      <c r="F12" s="348"/>
    </row>
    <row r="13" spans="1:6">
      <c r="A13" s="147">
        <f t="shared" ref="A13:A43" si="0">SUM(A12+1)</f>
        <v>2</v>
      </c>
      <c r="B13" s="737" t="s">
        <v>477</v>
      </c>
      <c r="C13" s="734" t="s">
        <v>476</v>
      </c>
      <c r="D13" s="732">
        <v>0</v>
      </c>
      <c r="E13" s="162"/>
      <c r="F13" s="348"/>
    </row>
    <row r="14" spans="1:6">
      <c r="A14" s="147">
        <f t="shared" si="0"/>
        <v>3</v>
      </c>
      <c r="B14" s="737" t="s">
        <v>478</v>
      </c>
      <c r="C14" s="734" t="s">
        <v>479</v>
      </c>
      <c r="D14" s="732">
        <v>1058306.48</v>
      </c>
      <c r="E14" s="162"/>
      <c r="F14" s="348"/>
    </row>
    <row r="15" spans="1:6">
      <c r="A15" s="147">
        <f t="shared" si="0"/>
        <v>4</v>
      </c>
      <c r="B15" s="737" t="s">
        <v>480</v>
      </c>
      <c r="C15" s="734" t="s">
        <v>481</v>
      </c>
      <c r="D15" s="732">
        <v>0</v>
      </c>
      <c r="E15" s="162"/>
      <c r="F15" s="348"/>
    </row>
    <row r="16" spans="1:6">
      <c r="A16" s="147">
        <f t="shared" si="0"/>
        <v>5</v>
      </c>
      <c r="B16" s="737" t="s">
        <v>482</v>
      </c>
      <c r="C16" s="734" t="s">
        <v>483</v>
      </c>
      <c r="D16" s="732">
        <v>4847418.62</v>
      </c>
      <c r="E16" s="162"/>
      <c r="F16" s="348"/>
    </row>
    <row r="17" spans="1:6">
      <c r="A17" s="147">
        <f t="shared" si="0"/>
        <v>6</v>
      </c>
      <c r="B17" s="737" t="s">
        <v>484</v>
      </c>
      <c r="C17" s="734" t="s">
        <v>485</v>
      </c>
      <c r="D17" s="732">
        <v>0</v>
      </c>
      <c r="E17" s="162"/>
      <c r="F17" s="348"/>
    </row>
    <row r="18" spans="1:6">
      <c r="A18" s="147">
        <f t="shared" si="0"/>
        <v>7</v>
      </c>
      <c r="B18" s="737" t="s">
        <v>486</v>
      </c>
      <c r="C18" s="734" t="s">
        <v>487</v>
      </c>
      <c r="D18" s="732">
        <v>0</v>
      </c>
      <c r="E18" s="162"/>
      <c r="F18" s="348"/>
    </row>
    <row r="19" spans="1:6">
      <c r="A19" s="147">
        <f t="shared" si="0"/>
        <v>8</v>
      </c>
      <c r="B19" s="737" t="s">
        <v>488</v>
      </c>
      <c r="C19" s="734" t="s">
        <v>489</v>
      </c>
      <c r="D19" s="732">
        <v>0</v>
      </c>
      <c r="E19" s="162"/>
      <c r="F19" s="348"/>
    </row>
    <row r="20" spans="1:6">
      <c r="A20" s="147">
        <f t="shared" si="0"/>
        <v>9</v>
      </c>
      <c r="B20" s="737" t="s">
        <v>490</v>
      </c>
      <c r="C20" s="734" t="s">
        <v>491</v>
      </c>
      <c r="D20" s="732">
        <v>0</v>
      </c>
      <c r="E20" s="162"/>
      <c r="F20" s="348"/>
    </row>
    <row r="21" spans="1:6">
      <c r="A21" s="147">
        <f t="shared" si="0"/>
        <v>10</v>
      </c>
      <c r="B21" s="737" t="s">
        <v>492</v>
      </c>
      <c r="C21" s="734" t="s">
        <v>493</v>
      </c>
      <c r="D21" s="732">
        <v>74547336.25</v>
      </c>
      <c r="E21" s="162"/>
      <c r="F21" s="348"/>
    </row>
    <row r="22" spans="1:6">
      <c r="A22" s="147">
        <f t="shared" si="0"/>
        <v>11</v>
      </c>
      <c r="B22" s="737" t="s">
        <v>494</v>
      </c>
      <c r="C22" s="734" t="s">
        <v>495</v>
      </c>
      <c r="D22" s="732">
        <v>19470229.279999997</v>
      </c>
      <c r="E22" s="162"/>
      <c r="F22" s="348"/>
    </row>
    <row r="23" spans="1:6">
      <c r="A23" s="147">
        <f t="shared" si="0"/>
        <v>12</v>
      </c>
      <c r="B23" s="737" t="s">
        <v>496</v>
      </c>
      <c r="C23" s="734" t="s">
        <v>497</v>
      </c>
      <c r="D23" s="732">
        <v>-74547336.25</v>
      </c>
      <c r="E23" s="162"/>
      <c r="F23" s="348"/>
    </row>
    <row r="24" spans="1:6">
      <c r="A24" s="147">
        <f t="shared" si="0"/>
        <v>13</v>
      </c>
      <c r="B24" s="737" t="s">
        <v>498</v>
      </c>
      <c r="C24" s="734" t="s">
        <v>499</v>
      </c>
      <c r="D24" s="732">
        <v>-19470229.279999997</v>
      </c>
      <c r="E24" s="162"/>
      <c r="F24" s="348"/>
    </row>
    <row r="25" spans="1:6">
      <c r="A25" s="147">
        <f t="shared" si="0"/>
        <v>14</v>
      </c>
      <c r="B25" s="737" t="s">
        <v>500</v>
      </c>
      <c r="C25" s="734" t="s">
        <v>501</v>
      </c>
      <c r="D25" s="732">
        <v>-7815817.4500000002</v>
      </c>
      <c r="E25" s="162"/>
      <c r="F25" s="348"/>
    </row>
    <row r="26" spans="1:6">
      <c r="A26" s="147">
        <f t="shared" si="0"/>
        <v>15</v>
      </c>
      <c r="B26" s="737" t="s">
        <v>502</v>
      </c>
      <c r="C26" s="734" t="s">
        <v>503</v>
      </c>
      <c r="D26" s="732">
        <v>15095.639999999998</v>
      </c>
      <c r="E26" s="162"/>
      <c r="F26" s="348"/>
    </row>
    <row r="27" spans="1:6">
      <c r="A27" s="147">
        <f t="shared" si="0"/>
        <v>16</v>
      </c>
      <c r="B27" s="737" t="s">
        <v>504</v>
      </c>
      <c r="C27" s="734" t="s">
        <v>505</v>
      </c>
      <c r="D27" s="732">
        <v>0</v>
      </c>
      <c r="E27" s="162"/>
      <c r="F27" s="348"/>
    </row>
    <row r="28" spans="1:6">
      <c r="A28" s="147">
        <f t="shared" si="0"/>
        <v>17</v>
      </c>
      <c r="B28" s="737" t="s">
        <v>506</v>
      </c>
      <c r="C28" s="734" t="s">
        <v>507</v>
      </c>
      <c r="D28" s="732">
        <v>-2876906.8700000006</v>
      </c>
      <c r="E28" s="162"/>
      <c r="F28" s="348"/>
    </row>
    <row r="29" spans="1:6">
      <c r="A29" s="147">
        <f t="shared" si="0"/>
        <v>18</v>
      </c>
      <c r="B29" s="737" t="s">
        <v>508</v>
      </c>
      <c r="C29" s="734" t="s">
        <v>509</v>
      </c>
      <c r="D29" s="732">
        <v>2745785.14</v>
      </c>
      <c r="E29" s="162"/>
      <c r="F29" s="348"/>
    </row>
    <row r="30" spans="1:6">
      <c r="A30" s="147">
        <f t="shared" si="0"/>
        <v>19</v>
      </c>
      <c r="B30" s="737" t="s">
        <v>510</v>
      </c>
      <c r="C30" s="734" t="s">
        <v>511</v>
      </c>
      <c r="D30" s="732">
        <v>1386977.57</v>
      </c>
      <c r="E30" s="162"/>
      <c r="F30" s="348"/>
    </row>
    <row r="31" spans="1:6">
      <c r="A31" s="147">
        <f t="shared" si="0"/>
        <v>20</v>
      </c>
      <c r="B31" s="737" t="s">
        <v>512</v>
      </c>
      <c r="C31" s="734" t="s">
        <v>513</v>
      </c>
      <c r="D31" s="732">
        <v>0</v>
      </c>
      <c r="E31" s="162"/>
      <c r="F31" s="348"/>
    </row>
    <row r="32" spans="1:6">
      <c r="A32" s="147">
        <f t="shared" si="0"/>
        <v>21</v>
      </c>
      <c r="B32" s="737" t="s">
        <v>514</v>
      </c>
      <c r="C32" s="734" t="s">
        <v>515</v>
      </c>
      <c r="D32" s="732">
        <v>0</v>
      </c>
      <c r="E32" s="162"/>
      <c r="F32" s="348"/>
    </row>
    <row r="33" spans="1:6">
      <c r="A33" s="147">
        <f t="shared" si="0"/>
        <v>22</v>
      </c>
      <c r="B33" s="737" t="s">
        <v>516</v>
      </c>
      <c r="C33" s="738" t="s">
        <v>517</v>
      </c>
      <c r="D33" s="732">
        <v>0</v>
      </c>
      <c r="E33" s="162"/>
      <c r="F33" s="348"/>
    </row>
    <row r="34" spans="1:6">
      <c r="A34" s="147">
        <f t="shared" si="0"/>
        <v>23</v>
      </c>
      <c r="B34" s="737" t="s">
        <v>518</v>
      </c>
      <c r="C34" s="734" t="s">
        <v>519</v>
      </c>
      <c r="D34" s="732">
        <v>5839146.1100000003</v>
      </c>
      <c r="E34" s="162"/>
      <c r="F34" s="348"/>
    </row>
    <row r="35" spans="1:6">
      <c r="A35" s="147">
        <f t="shared" si="0"/>
        <v>24</v>
      </c>
      <c r="B35" s="737" t="s">
        <v>520</v>
      </c>
      <c r="C35" s="734" t="s">
        <v>521</v>
      </c>
      <c r="D35" s="732">
        <v>0</v>
      </c>
      <c r="E35" s="162"/>
      <c r="F35" s="348"/>
    </row>
    <row r="36" spans="1:6">
      <c r="A36" s="147">
        <f t="shared" si="0"/>
        <v>25</v>
      </c>
      <c r="B36" s="737" t="s">
        <v>522</v>
      </c>
      <c r="C36" s="734" t="s">
        <v>523</v>
      </c>
      <c r="D36" s="732">
        <v>0</v>
      </c>
      <c r="E36" s="162"/>
      <c r="F36" s="348"/>
    </row>
    <row r="37" spans="1:6">
      <c r="A37" s="147">
        <f t="shared" si="0"/>
        <v>26</v>
      </c>
      <c r="B37" s="737" t="s">
        <v>524</v>
      </c>
      <c r="C37" s="734" t="s">
        <v>525</v>
      </c>
      <c r="D37" s="732">
        <v>511343.82</v>
      </c>
      <c r="E37" s="162"/>
      <c r="F37" s="348"/>
    </row>
    <row r="38" spans="1:6">
      <c r="A38" s="147">
        <f t="shared" si="0"/>
        <v>27</v>
      </c>
      <c r="B38" s="737" t="s">
        <v>526</v>
      </c>
      <c r="C38" s="734" t="s">
        <v>527</v>
      </c>
      <c r="D38" s="732">
        <v>0</v>
      </c>
      <c r="E38" s="162"/>
      <c r="F38" s="348"/>
    </row>
    <row r="39" spans="1:6">
      <c r="A39" s="147">
        <f t="shared" si="0"/>
        <v>28</v>
      </c>
      <c r="B39" s="737" t="s">
        <v>528</v>
      </c>
      <c r="C39" s="734" t="s">
        <v>529</v>
      </c>
      <c r="D39" s="732">
        <v>5113081.3599999994</v>
      </c>
      <c r="E39" s="162"/>
      <c r="F39" s="348"/>
    </row>
    <row r="40" spans="1:6">
      <c r="A40" s="147">
        <f t="shared" si="0"/>
        <v>29</v>
      </c>
      <c r="B40" s="737" t="s">
        <v>530</v>
      </c>
      <c r="C40" s="734" t="s">
        <v>531</v>
      </c>
      <c r="D40" s="732">
        <v>10804337.520000001</v>
      </c>
      <c r="E40" s="162"/>
      <c r="F40" s="348"/>
    </row>
    <row r="41" spans="1:6">
      <c r="A41" s="147">
        <f t="shared" si="0"/>
        <v>30</v>
      </c>
      <c r="B41" s="795">
        <v>456</v>
      </c>
      <c r="C41" s="740" t="s">
        <v>683</v>
      </c>
      <c r="D41" s="796">
        <v>774599</v>
      </c>
      <c r="E41" s="162">
        <f>D41</f>
        <v>774599</v>
      </c>
      <c r="F41" s="348"/>
    </row>
    <row r="42" spans="1:6">
      <c r="A42" s="147">
        <f t="shared" si="0"/>
        <v>31</v>
      </c>
      <c r="B42" s="739">
        <v>456</v>
      </c>
      <c r="C42" s="738" t="s">
        <v>684</v>
      </c>
      <c r="D42" s="732">
        <v>0</v>
      </c>
      <c r="E42" s="162">
        <f>D42</f>
        <v>0</v>
      </c>
      <c r="F42" s="348"/>
    </row>
    <row r="43" spans="1:6" ht="15.75">
      <c r="A43" s="147">
        <f t="shared" si="0"/>
        <v>32</v>
      </c>
      <c r="B43" s="148"/>
      <c r="C43" s="148" t="s">
        <v>532</v>
      </c>
      <c r="D43" s="223">
        <f>SUM(D12:D42)</f>
        <v>25162554.5</v>
      </c>
      <c r="E43" s="223">
        <f>SUM(E12:E42)</f>
        <v>797180.7</v>
      </c>
      <c r="F43" s="348"/>
    </row>
    <row r="44" spans="1:6">
      <c r="A44" s="148"/>
      <c r="B44" s="148"/>
      <c r="C44" s="148"/>
      <c r="D44" s="162"/>
      <c r="E44" s="162"/>
      <c r="F44" s="348"/>
    </row>
    <row r="45" spans="1:6" ht="15.75">
      <c r="A45" s="147">
        <f>A43+1</f>
        <v>33</v>
      </c>
      <c r="B45" s="148"/>
      <c r="C45" s="218" t="s">
        <v>533</v>
      </c>
      <c r="D45" s="162"/>
      <c r="E45" s="162"/>
      <c r="F45" s="348"/>
    </row>
    <row r="46" spans="1:6">
      <c r="A46" s="147">
        <f>A45+1</f>
        <v>34</v>
      </c>
      <c r="B46" s="317">
        <v>454</v>
      </c>
      <c r="C46" s="233" t="s">
        <v>534</v>
      </c>
      <c r="D46" s="163">
        <f>SUM(D12:D15)</f>
        <v>3817494.040000001</v>
      </c>
      <c r="E46" s="357">
        <f>SUM(E12:E15)</f>
        <v>22581.7</v>
      </c>
      <c r="F46" s="348"/>
    </row>
    <row r="47" spans="1:6">
      <c r="A47" s="147">
        <f t="shared" ref="A47:A56" si="1">SUM(A46+1)</f>
        <v>35</v>
      </c>
      <c r="B47" s="318">
        <v>456</v>
      </c>
      <c r="C47" s="234" t="s">
        <v>535</v>
      </c>
      <c r="D47" s="119">
        <f>D36</f>
        <v>0</v>
      </c>
      <c r="E47" s="358"/>
      <c r="F47" s="348"/>
    </row>
    <row r="48" spans="1:6">
      <c r="A48" s="147">
        <f t="shared" si="1"/>
        <v>36</v>
      </c>
      <c r="B48" s="318">
        <v>456</v>
      </c>
      <c r="C48" s="234" t="s">
        <v>683</v>
      </c>
      <c r="D48" s="119">
        <f>D41</f>
        <v>774599</v>
      </c>
      <c r="E48" s="670">
        <f>D48</f>
        <v>774599</v>
      </c>
      <c r="F48" s="348"/>
    </row>
    <row r="49" spans="1:6">
      <c r="A49" s="147">
        <f t="shared" si="1"/>
        <v>37</v>
      </c>
      <c r="B49" s="671" t="s">
        <v>17</v>
      </c>
      <c r="C49" s="10" t="s">
        <v>684</v>
      </c>
      <c r="D49" s="119">
        <f>D42</f>
        <v>0</v>
      </c>
      <c r="E49" s="670">
        <f>D49</f>
        <v>0</v>
      </c>
      <c r="F49" s="348"/>
    </row>
    <row r="50" spans="1:6">
      <c r="A50" s="147">
        <f t="shared" si="1"/>
        <v>38</v>
      </c>
      <c r="B50" s="318">
        <v>456</v>
      </c>
      <c r="C50" s="234" t="s">
        <v>243</v>
      </c>
      <c r="D50" s="119">
        <f>D43-SUM(D46:D48)</f>
        <v>20570461.460000001</v>
      </c>
      <c r="E50" s="358"/>
      <c r="F50" s="348"/>
    </row>
    <row r="51" spans="1:6">
      <c r="A51" s="147">
        <f t="shared" si="1"/>
        <v>39</v>
      </c>
      <c r="B51" s="235"/>
      <c r="C51" s="236" t="s">
        <v>536</v>
      </c>
      <c r="D51" s="237">
        <f>SUM(D46:D50)</f>
        <v>25162554.5</v>
      </c>
      <c r="E51" s="359">
        <f>SUM(E46:E50)</f>
        <v>797180.7</v>
      </c>
      <c r="F51" s="119"/>
    </row>
    <row r="52" spans="1:6">
      <c r="A52" s="147">
        <f t="shared" si="1"/>
        <v>40</v>
      </c>
      <c r="B52" s="148"/>
      <c r="C52" s="148"/>
      <c r="D52" s="148"/>
      <c r="E52" s="148"/>
      <c r="F52" s="348"/>
    </row>
    <row r="53" spans="1:6" ht="12.75" customHeight="1">
      <c r="A53" s="147">
        <f t="shared" si="1"/>
        <v>41</v>
      </c>
      <c r="B53" s="149" t="s">
        <v>439</v>
      </c>
      <c r="F53" s="348"/>
    </row>
    <row r="54" spans="1:6">
      <c r="A54" s="147">
        <f t="shared" si="1"/>
        <v>42</v>
      </c>
      <c r="B54" s="698" t="s">
        <v>939</v>
      </c>
      <c r="F54" s="348"/>
    </row>
    <row r="55" spans="1:6">
      <c r="A55" s="147">
        <f t="shared" si="1"/>
        <v>43</v>
      </c>
      <c r="B55" s="698" t="s">
        <v>930</v>
      </c>
      <c r="F55" s="348"/>
    </row>
    <row r="56" spans="1:6">
      <c r="A56" s="147">
        <f t="shared" si="1"/>
        <v>44</v>
      </c>
      <c r="B56" s="698" t="s">
        <v>931</v>
      </c>
      <c r="F56" s="348"/>
    </row>
    <row r="57" spans="1:6">
      <c r="F57" s="348"/>
    </row>
    <row r="58" spans="1:6">
      <c r="F58" s="348"/>
    </row>
    <row r="64" spans="1:6" ht="13.35" customHeight="1"/>
  </sheetData>
  <printOptions horizontalCentered="1"/>
  <pageMargins left="0.7" right="0.7" top="0.75" bottom="0.75" header="0.3" footer="0.3"/>
  <pageSetup scale="85"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8"/>
  <sheetViews>
    <sheetView zoomScaleNormal="100" workbookViewId="0"/>
  </sheetViews>
  <sheetFormatPr defaultColWidth="8" defaultRowHeight="15"/>
  <cols>
    <col min="1" max="1" width="5.625" style="150" customWidth="1"/>
    <col min="2" max="2" width="7.5" style="560" customWidth="1"/>
    <col min="3" max="3" width="6.75" style="539" bestFit="1" customWidth="1"/>
    <col min="4" max="4" width="36.375" style="539" bestFit="1" customWidth="1"/>
    <col min="5" max="5" width="12.75" style="7" customWidth="1"/>
    <col min="6" max="6" width="16.125" style="7" bestFit="1" customWidth="1"/>
    <col min="7" max="7" width="12.625" style="7" customWidth="1"/>
    <col min="8" max="8" width="14.875" style="539" customWidth="1"/>
    <col min="9" max="9" width="13.125" style="539" customWidth="1"/>
    <col min="10" max="10" width="12.125" style="539" customWidth="1"/>
    <col min="11" max="12" width="16.375" style="539" bestFit="1" customWidth="1"/>
    <col min="13" max="13" width="8.125" style="539" bestFit="1" customWidth="1"/>
    <col min="14" max="16384" width="8" style="539"/>
  </cols>
  <sheetData>
    <row r="1" spans="1:15">
      <c r="O1" s="320"/>
    </row>
    <row r="2" spans="1:15">
      <c r="L2" s="155" t="s">
        <v>832</v>
      </c>
      <c r="O2" s="561"/>
    </row>
    <row r="3" spans="1:15">
      <c r="L3" s="155" t="s">
        <v>537</v>
      </c>
      <c r="N3" s="539" t="s">
        <v>17</v>
      </c>
      <c r="O3" s="561" t="s">
        <v>17</v>
      </c>
    </row>
    <row r="5" spans="1:15" ht="20.25">
      <c r="B5" s="559" t="str">
        <f>Index!B2</f>
        <v>Tri-State Generation and Transmission Association, Inc.</v>
      </c>
      <c r="C5" s="148"/>
      <c r="D5" s="148"/>
      <c r="H5" s="148"/>
      <c r="I5" s="148"/>
      <c r="J5" s="148"/>
    </row>
    <row r="6" spans="1:15">
      <c r="B6" s="7"/>
      <c r="C6" s="148"/>
      <c r="D6" s="148"/>
      <c r="H6" s="148"/>
      <c r="I6" s="148"/>
      <c r="J6" s="148"/>
    </row>
    <row r="7" spans="1:15" ht="15.75">
      <c r="B7" s="537" t="s">
        <v>204</v>
      </c>
      <c r="C7" s="148"/>
      <c r="D7" s="148"/>
      <c r="H7" s="148"/>
      <c r="I7" s="148"/>
      <c r="J7" s="148"/>
    </row>
    <row r="8" spans="1:15" ht="15.75">
      <c r="B8" s="538" t="str">
        <f>Index!B5</f>
        <v>Year Ending December 31, 2016</v>
      </c>
      <c r="C8" s="148"/>
      <c r="D8" s="148"/>
      <c r="H8" s="148"/>
      <c r="I8" s="148"/>
      <c r="J8" s="148"/>
    </row>
    <row r="9" spans="1:15">
      <c r="A9" s="148"/>
      <c r="B9" s="224"/>
      <c r="C9" s="148"/>
      <c r="D9" s="148"/>
      <c r="E9" s="148"/>
      <c r="F9" s="148"/>
      <c r="G9" s="148"/>
      <c r="H9" s="148"/>
      <c r="I9" s="148"/>
      <c r="J9" s="148"/>
    </row>
    <row r="10" spans="1:15">
      <c r="A10" s="148"/>
      <c r="B10" s="224"/>
      <c r="C10" s="148"/>
      <c r="D10" s="148"/>
      <c r="E10" s="225"/>
      <c r="F10" s="226" t="s">
        <v>538</v>
      </c>
      <c r="G10" s="225"/>
      <c r="H10" s="225"/>
      <c r="I10" s="226" t="s">
        <v>539</v>
      </c>
      <c r="J10" s="225"/>
      <c r="K10" s="225"/>
      <c r="L10" s="226" t="s">
        <v>47</v>
      </c>
      <c r="M10" s="225"/>
    </row>
    <row r="11" spans="1:15" ht="15.75">
      <c r="A11" s="222" t="s">
        <v>18</v>
      </c>
      <c r="B11" s="227" t="s">
        <v>19</v>
      </c>
      <c r="C11" s="222" t="s">
        <v>20</v>
      </c>
      <c r="D11" s="222" t="s">
        <v>21</v>
      </c>
      <c r="E11" s="219" t="s">
        <v>22</v>
      </c>
      <c r="F11" s="219" t="s">
        <v>23</v>
      </c>
      <c r="G11" s="219" t="s">
        <v>24</v>
      </c>
      <c r="H11" s="219" t="s">
        <v>25</v>
      </c>
      <c r="I11" s="219" t="s">
        <v>134</v>
      </c>
      <c r="J11" s="219" t="s">
        <v>135</v>
      </c>
      <c r="K11" s="219" t="s">
        <v>369</v>
      </c>
      <c r="L11" s="219" t="s">
        <v>368</v>
      </c>
      <c r="M11" s="219" t="s">
        <v>367</v>
      </c>
    </row>
    <row r="12" spans="1:15" s="562" customFormat="1" ht="30">
      <c r="A12" s="212" t="s">
        <v>415</v>
      </c>
      <c r="B12" s="151" t="s">
        <v>540</v>
      </c>
      <c r="C12" s="151" t="s">
        <v>541</v>
      </c>
      <c r="D12" s="228" t="s">
        <v>0</v>
      </c>
      <c r="E12" s="151" t="s">
        <v>2</v>
      </c>
      <c r="F12" s="151" t="s">
        <v>617</v>
      </c>
      <c r="G12" s="151" t="s">
        <v>158</v>
      </c>
      <c r="H12" s="151" t="s">
        <v>2</v>
      </c>
      <c r="I12" s="151" t="s">
        <v>618</v>
      </c>
      <c r="J12" s="151" t="s">
        <v>158</v>
      </c>
      <c r="K12" s="151" t="s">
        <v>2</v>
      </c>
      <c r="L12" s="151" t="s">
        <v>618</v>
      </c>
      <c r="M12" s="151" t="s">
        <v>158</v>
      </c>
    </row>
    <row r="13" spans="1:15">
      <c r="A13" s="148"/>
      <c r="B13" s="153"/>
      <c r="C13" s="148"/>
      <c r="D13" s="148"/>
      <c r="E13" s="148"/>
      <c r="F13" s="148"/>
      <c r="G13" s="148"/>
      <c r="H13" s="148"/>
      <c r="I13" s="148"/>
      <c r="J13" s="148"/>
      <c r="K13" s="148"/>
      <c r="L13" s="148"/>
      <c r="M13" s="148"/>
    </row>
    <row r="14" spans="1:15">
      <c r="A14" s="148">
        <f t="shared" ref="A14:A37" si="0">SUM(A13+1)</f>
        <v>1</v>
      </c>
      <c r="B14" s="741"/>
      <c r="C14" s="742"/>
      <c r="D14" s="743" t="s">
        <v>542</v>
      </c>
      <c r="E14" s="744">
        <v>74567532.409999996</v>
      </c>
      <c r="F14" s="119">
        <f>SUM(E14-G14)</f>
        <v>74567532.409999996</v>
      </c>
      <c r="G14" s="744">
        <v>0</v>
      </c>
      <c r="H14" s="744">
        <v>74567532.409999996</v>
      </c>
      <c r="I14" s="119">
        <f>SUM(H14-J14)</f>
        <v>74567532.409999996</v>
      </c>
      <c r="J14" s="744">
        <v>0</v>
      </c>
      <c r="K14" s="162">
        <f>(E14+H14)/2</f>
        <v>74567532.409999996</v>
      </c>
      <c r="L14" s="162">
        <f>(F14+I14)/2</f>
        <v>74567532.409999996</v>
      </c>
      <c r="M14" s="162">
        <f>(G14+J14)/2</f>
        <v>0</v>
      </c>
    </row>
    <row r="15" spans="1:15">
      <c r="A15" s="148">
        <f t="shared" si="0"/>
        <v>2</v>
      </c>
      <c r="B15" s="154"/>
      <c r="C15" s="148"/>
      <c r="D15" s="152"/>
      <c r="E15" s="162"/>
      <c r="F15" s="162"/>
      <c r="G15" s="162"/>
      <c r="H15" s="162"/>
      <c r="I15" s="162"/>
      <c r="J15" s="162"/>
      <c r="K15" s="162"/>
      <c r="L15" s="162"/>
      <c r="M15" s="162"/>
    </row>
    <row r="16" spans="1:15">
      <c r="A16" s="148">
        <f t="shared" si="0"/>
        <v>3</v>
      </c>
      <c r="B16" s="745" t="s">
        <v>543</v>
      </c>
      <c r="C16" s="746">
        <v>48649</v>
      </c>
      <c r="D16" s="742" t="s">
        <v>544</v>
      </c>
      <c r="E16" s="731">
        <v>259549.14</v>
      </c>
      <c r="F16" s="119">
        <f>SUM(E16-G16)</f>
        <v>259549.14</v>
      </c>
      <c r="G16" s="744">
        <v>0</v>
      </c>
      <c r="H16" s="731">
        <v>259549.14</v>
      </c>
      <c r="I16" s="119">
        <f>SUM(H16-J16)</f>
        <v>259549.14</v>
      </c>
      <c r="J16" s="744">
        <v>0</v>
      </c>
      <c r="K16" s="162">
        <f t="shared" ref="K16:M29" si="1">(E16+H16)/2</f>
        <v>259549.14</v>
      </c>
      <c r="L16" s="162">
        <f t="shared" si="1"/>
        <v>259549.14</v>
      </c>
      <c r="M16" s="162">
        <f t="shared" si="1"/>
        <v>0</v>
      </c>
    </row>
    <row r="17" spans="1:13">
      <c r="A17" s="148">
        <f t="shared" si="0"/>
        <v>4</v>
      </c>
      <c r="B17" s="745" t="s">
        <v>543</v>
      </c>
      <c r="C17" s="746">
        <v>48650</v>
      </c>
      <c r="D17" s="742" t="s">
        <v>545</v>
      </c>
      <c r="E17" s="731">
        <v>259549.14</v>
      </c>
      <c r="F17" s="119">
        <f>SUM(E17-G17)</f>
        <v>259549.14</v>
      </c>
      <c r="G17" s="744">
        <v>0</v>
      </c>
      <c r="H17" s="731">
        <v>259549.14</v>
      </c>
      <c r="I17" s="119">
        <f>SUM(H17-J17)</f>
        <v>259549.14</v>
      </c>
      <c r="J17" s="744">
        <v>0</v>
      </c>
      <c r="K17" s="162">
        <f t="shared" si="1"/>
        <v>259549.14</v>
      </c>
      <c r="L17" s="162">
        <f t="shared" si="1"/>
        <v>259549.14</v>
      </c>
      <c r="M17" s="162">
        <f>(G17+J17)/2</f>
        <v>0</v>
      </c>
    </row>
    <row r="18" spans="1:13">
      <c r="A18" s="148">
        <f t="shared" si="0"/>
        <v>5</v>
      </c>
      <c r="B18" s="745">
        <v>1410</v>
      </c>
      <c r="C18" s="746">
        <v>83178</v>
      </c>
      <c r="D18" s="742" t="s">
        <v>546</v>
      </c>
      <c r="E18" s="731">
        <v>299072.8</v>
      </c>
      <c r="F18" s="119">
        <f>SUM(E18-G18)</f>
        <v>299072.8</v>
      </c>
      <c r="G18" s="744">
        <v>0</v>
      </c>
      <c r="H18" s="731">
        <v>299072.8</v>
      </c>
      <c r="I18" s="119">
        <f>SUM(H18-J18)</f>
        <v>299072.8</v>
      </c>
      <c r="J18" s="744">
        <v>0</v>
      </c>
      <c r="K18" s="162">
        <f t="shared" si="1"/>
        <v>299072.8</v>
      </c>
      <c r="L18" s="162">
        <f t="shared" si="1"/>
        <v>299072.8</v>
      </c>
      <c r="M18" s="162">
        <f>(G18+J18)/2</f>
        <v>0</v>
      </c>
    </row>
    <row r="19" spans="1:13">
      <c r="A19" s="148">
        <f t="shared" si="0"/>
        <v>6</v>
      </c>
      <c r="B19" s="745">
        <v>1411</v>
      </c>
      <c r="C19" s="746">
        <v>85186</v>
      </c>
      <c r="D19" s="742" t="s">
        <v>547</v>
      </c>
      <c r="E19" s="731">
        <v>1228220.8600000001</v>
      </c>
      <c r="F19" s="119">
        <f>SUM(E19-G19)</f>
        <v>1228220.8600000001</v>
      </c>
      <c r="G19" s="744">
        <v>0</v>
      </c>
      <c r="H19" s="731">
        <v>1228220.8600000001</v>
      </c>
      <c r="I19" s="119">
        <f>SUM(H19-J19)</f>
        <v>1228220.8600000001</v>
      </c>
      <c r="J19" s="744">
        <v>0</v>
      </c>
      <c r="K19" s="162">
        <f t="shared" si="1"/>
        <v>1228220.8600000001</v>
      </c>
      <c r="L19" s="162">
        <f t="shared" si="1"/>
        <v>1228220.8600000001</v>
      </c>
      <c r="M19" s="162">
        <f>(G19+J19)/2</f>
        <v>0</v>
      </c>
    </row>
    <row r="20" spans="1:13">
      <c r="A20" s="148">
        <f t="shared" si="0"/>
        <v>7</v>
      </c>
      <c r="B20" s="745">
        <v>1412</v>
      </c>
      <c r="C20" s="746">
        <v>85187</v>
      </c>
      <c r="D20" s="742" t="s">
        <v>548</v>
      </c>
      <c r="E20" s="731">
        <v>330865.3</v>
      </c>
      <c r="F20" s="119">
        <f>SUM(E20-G20)</f>
        <v>330865.3</v>
      </c>
      <c r="G20" s="744">
        <v>0</v>
      </c>
      <c r="H20" s="731">
        <v>330865.3</v>
      </c>
      <c r="I20" s="119">
        <f>SUM(H20-J20)</f>
        <v>330865.3</v>
      </c>
      <c r="J20" s="744">
        <v>0</v>
      </c>
      <c r="K20" s="162">
        <f t="shared" si="1"/>
        <v>330865.3</v>
      </c>
      <c r="L20" s="162">
        <f t="shared" si="1"/>
        <v>330865.3</v>
      </c>
      <c r="M20" s="162">
        <f>(G20+J20)/2</f>
        <v>0</v>
      </c>
    </row>
    <row r="21" spans="1:13">
      <c r="A21" s="148">
        <f t="shared" si="0"/>
        <v>8</v>
      </c>
      <c r="B21" s="746">
        <v>1556</v>
      </c>
      <c r="C21" s="746">
        <v>14505</v>
      </c>
      <c r="D21" s="742" t="s">
        <v>549</v>
      </c>
      <c r="E21" s="731">
        <v>29513.7</v>
      </c>
      <c r="F21" s="119">
        <f t="shared" ref="F21:F28" si="2">SUM(E21-G21)</f>
        <v>29513.7</v>
      </c>
      <c r="G21" s="744">
        <v>0</v>
      </c>
      <c r="H21" s="731">
        <v>29513.7</v>
      </c>
      <c r="I21" s="119">
        <f t="shared" ref="I21:I27" si="3">SUM(H21-J21)</f>
        <v>29513.7</v>
      </c>
      <c r="J21" s="744">
        <v>0</v>
      </c>
      <c r="K21" s="162">
        <f t="shared" si="1"/>
        <v>29513.7</v>
      </c>
      <c r="L21" s="162">
        <f t="shared" si="1"/>
        <v>29513.7</v>
      </c>
      <c r="M21" s="162">
        <f>(G21+J21)/2</f>
        <v>0</v>
      </c>
    </row>
    <row r="22" spans="1:13">
      <c r="A22" s="148">
        <f t="shared" si="0"/>
        <v>9</v>
      </c>
      <c r="B22" s="746">
        <v>1567</v>
      </c>
      <c r="C22" s="746">
        <v>14506</v>
      </c>
      <c r="D22" s="742" t="s">
        <v>550</v>
      </c>
      <c r="E22" s="731">
        <v>26236.25</v>
      </c>
      <c r="F22" s="119">
        <f t="shared" si="2"/>
        <v>26236.25</v>
      </c>
      <c r="G22" s="744">
        <v>0</v>
      </c>
      <c r="H22" s="731">
        <v>26236.25</v>
      </c>
      <c r="I22" s="119">
        <f t="shared" si="3"/>
        <v>26236.25</v>
      </c>
      <c r="J22" s="744">
        <v>0</v>
      </c>
      <c r="K22" s="162">
        <f t="shared" si="1"/>
        <v>26236.25</v>
      </c>
      <c r="L22" s="162">
        <f t="shared" si="1"/>
        <v>26236.25</v>
      </c>
      <c r="M22" s="162">
        <f t="shared" si="1"/>
        <v>0</v>
      </c>
    </row>
    <row r="23" spans="1:13">
      <c r="A23" s="148">
        <f t="shared" si="0"/>
        <v>10</v>
      </c>
      <c r="B23" s="746">
        <v>1575</v>
      </c>
      <c r="C23" s="746">
        <v>14507</v>
      </c>
      <c r="D23" s="742" t="s">
        <v>551</v>
      </c>
      <c r="E23" s="731">
        <v>39699.089999999997</v>
      </c>
      <c r="F23" s="119">
        <f t="shared" si="2"/>
        <v>39699.089999999997</v>
      </c>
      <c r="G23" s="744">
        <v>0</v>
      </c>
      <c r="H23" s="731">
        <v>39699.089999999997</v>
      </c>
      <c r="I23" s="119">
        <f t="shared" si="3"/>
        <v>39699.089999999997</v>
      </c>
      <c r="J23" s="744">
        <v>0</v>
      </c>
      <c r="K23" s="162">
        <f t="shared" si="1"/>
        <v>39699.089999999997</v>
      </c>
      <c r="L23" s="162">
        <f t="shared" si="1"/>
        <v>39699.089999999997</v>
      </c>
      <c r="M23" s="162">
        <f t="shared" si="1"/>
        <v>0</v>
      </c>
    </row>
    <row r="24" spans="1:13">
      <c r="A24" s="148">
        <f t="shared" si="0"/>
        <v>11</v>
      </c>
      <c r="B24" s="746">
        <v>1935</v>
      </c>
      <c r="C24" s="746">
        <v>17447</v>
      </c>
      <c r="D24" s="742" t="s">
        <v>552</v>
      </c>
      <c r="E24" s="731">
        <v>15273.87</v>
      </c>
      <c r="F24" s="119">
        <f t="shared" si="2"/>
        <v>15273.87</v>
      </c>
      <c r="G24" s="744">
        <v>0</v>
      </c>
      <c r="H24" s="731">
        <v>15273.87</v>
      </c>
      <c r="I24" s="119">
        <f t="shared" si="3"/>
        <v>15273.87</v>
      </c>
      <c r="J24" s="744">
        <v>0</v>
      </c>
      <c r="K24" s="162">
        <f t="shared" si="1"/>
        <v>15273.87</v>
      </c>
      <c r="L24" s="162">
        <f t="shared" si="1"/>
        <v>15273.87</v>
      </c>
      <c r="M24" s="162">
        <f t="shared" si="1"/>
        <v>0</v>
      </c>
    </row>
    <row r="25" spans="1:13">
      <c r="A25" s="148">
        <f t="shared" si="0"/>
        <v>12</v>
      </c>
      <c r="B25" s="746">
        <v>3112</v>
      </c>
      <c r="C25" s="746">
        <v>12531</v>
      </c>
      <c r="D25" s="742" t="s">
        <v>553</v>
      </c>
      <c r="E25" s="731">
        <v>100336</v>
      </c>
      <c r="F25" s="119">
        <f t="shared" si="2"/>
        <v>100336</v>
      </c>
      <c r="G25" s="744">
        <v>0</v>
      </c>
      <c r="H25" s="731">
        <v>100336</v>
      </c>
      <c r="I25" s="119">
        <f t="shared" si="3"/>
        <v>100336</v>
      </c>
      <c r="J25" s="744">
        <v>0</v>
      </c>
      <c r="K25" s="162">
        <f t="shared" si="1"/>
        <v>100336</v>
      </c>
      <c r="L25" s="162">
        <f t="shared" si="1"/>
        <v>100336</v>
      </c>
      <c r="M25" s="162">
        <f t="shared" si="1"/>
        <v>0</v>
      </c>
    </row>
    <row r="26" spans="1:13">
      <c r="A26" s="148">
        <f t="shared" si="0"/>
        <v>13</v>
      </c>
      <c r="B26" s="746">
        <v>3117</v>
      </c>
      <c r="C26" s="746">
        <v>12534</v>
      </c>
      <c r="D26" s="742" t="s">
        <v>554</v>
      </c>
      <c r="E26" s="731">
        <v>0</v>
      </c>
      <c r="F26" s="119">
        <f t="shared" si="2"/>
        <v>0</v>
      </c>
      <c r="G26" s="744">
        <v>0</v>
      </c>
      <c r="H26" s="731">
        <v>0</v>
      </c>
      <c r="I26" s="119">
        <f t="shared" si="3"/>
        <v>0</v>
      </c>
      <c r="J26" s="744">
        <v>0</v>
      </c>
      <c r="K26" s="162">
        <f t="shared" si="1"/>
        <v>0</v>
      </c>
      <c r="L26" s="162">
        <f t="shared" si="1"/>
        <v>0</v>
      </c>
      <c r="M26" s="162">
        <f t="shared" si="1"/>
        <v>0</v>
      </c>
    </row>
    <row r="27" spans="1:13">
      <c r="A27" s="148">
        <f t="shared" si="0"/>
        <v>14</v>
      </c>
      <c r="B27" s="746">
        <v>3118</v>
      </c>
      <c r="C27" s="746">
        <v>12536</v>
      </c>
      <c r="D27" s="742" t="s">
        <v>555</v>
      </c>
      <c r="E27" s="731">
        <v>12935.49</v>
      </c>
      <c r="F27" s="119">
        <f t="shared" si="2"/>
        <v>12935.49</v>
      </c>
      <c r="G27" s="744">
        <v>0</v>
      </c>
      <c r="H27" s="731">
        <v>12935.49</v>
      </c>
      <c r="I27" s="119">
        <f t="shared" si="3"/>
        <v>12935.49</v>
      </c>
      <c r="J27" s="744">
        <v>0</v>
      </c>
      <c r="K27" s="162">
        <f t="shared" si="1"/>
        <v>12935.49</v>
      </c>
      <c r="L27" s="162">
        <f t="shared" si="1"/>
        <v>12935.49</v>
      </c>
      <c r="M27" s="162">
        <f t="shared" si="1"/>
        <v>0</v>
      </c>
    </row>
    <row r="28" spans="1:13">
      <c r="A28" s="148">
        <f t="shared" si="0"/>
        <v>15</v>
      </c>
      <c r="B28" s="746">
        <v>3862</v>
      </c>
      <c r="C28" s="746">
        <v>17446</v>
      </c>
      <c r="D28" s="742" t="s">
        <v>556</v>
      </c>
      <c r="E28" s="731">
        <v>55367.78</v>
      </c>
      <c r="F28" s="119">
        <f t="shared" si="2"/>
        <v>55367.78</v>
      </c>
      <c r="G28" s="744">
        <v>0</v>
      </c>
      <c r="H28" s="731">
        <v>55367.78</v>
      </c>
      <c r="I28" s="119">
        <f>SUM(H28-J28)</f>
        <v>55367.78</v>
      </c>
      <c r="J28" s="744">
        <v>0</v>
      </c>
      <c r="K28" s="162">
        <f t="shared" si="1"/>
        <v>55367.78</v>
      </c>
      <c r="L28" s="162">
        <f t="shared" si="1"/>
        <v>55367.78</v>
      </c>
      <c r="M28" s="162">
        <f t="shared" si="1"/>
        <v>0</v>
      </c>
    </row>
    <row r="29" spans="1:13">
      <c r="A29" s="148">
        <f t="shared" si="0"/>
        <v>16</v>
      </c>
      <c r="B29" s="154"/>
      <c r="C29" s="148"/>
      <c r="D29" s="152" t="s">
        <v>557</v>
      </c>
      <c r="E29" s="163">
        <f t="shared" ref="E29:J29" si="4">SUM(E16:E28)</f>
        <v>2656619.4200000004</v>
      </c>
      <c r="F29" s="163">
        <f t="shared" si="4"/>
        <v>2656619.4200000004</v>
      </c>
      <c r="G29" s="163">
        <f t="shared" si="4"/>
        <v>0</v>
      </c>
      <c r="H29" s="163">
        <f t="shared" si="4"/>
        <v>2656619.4200000004</v>
      </c>
      <c r="I29" s="163">
        <f t="shared" si="4"/>
        <v>2656619.4200000004</v>
      </c>
      <c r="J29" s="163">
        <f t="shared" si="4"/>
        <v>0</v>
      </c>
      <c r="K29" s="163">
        <f>(E29+H29)/2</f>
        <v>2656619.4200000004</v>
      </c>
      <c r="L29" s="163">
        <f>(F29+I29)/2</f>
        <v>2656619.4200000004</v>
      </c>
      <c r="M29" s="163">
        <f t="shared" si="1"/>
        <v>0</v>
      </c>
    </row>
    <row r="30" spans="1:13">
      <c r="A30" s="148">
        <f t="shared" si="0"/>
        <v>17</v>
      </c>
      <c r="B30" s="154"/>
      <c r="C30" s="148"/>
      <c r="D30" s="152"/>
      <c r="E30" s="119"/>
      <c r="F30" s="119"/>
      <c r="G30" s="119"/>
      <c r="H30" s="119"/>
      <c r="I30" s="119"/>
      <c r="J30" s="119"/>
      <c r="K30" s="162"/>
      <c r="L30" s="162"/>
      <c r="M30" s="162"/>
    </row>
    <row r="31" spans="1:13">
      <c r="A31" s="148">
        <f t="shared" si="0"/>
        <v>18</v>
      </c>
      <c r="B31" s="154"/>
      <c r="C31" s="148"/>
      <c r="D31" s="152" t="s">
        <v>558</v>
      </c>
      <c r="E31" s="747">
        <v>0</v>
      </c>
      <c r="F31" s="119">
        <f>SUM(E31-G31)</f>
        <v>0</v>
      </c>
      <c r="G31" s="747">
        <v>0</v>
      </c>
      <c r="H31" s="747">
        <v>0</v>
      </c>
      <c r="I31" s="119">
        <f>SUM(H31-J31)</f>
        <v>0</v>
      </c>
      <c r="J31" s="747">
        <v>0</v>
      </c>
      <c r="K31" s="162">
        <f>(E31+H31)/2</f>
        <v>0</v>
      </c>
      <c r="L31" s="162">
        <f>(F31+I31)/2</f>
        <v>0</v>
      </c>
      <c r="M31" s="162">
        <f>(G31+J31)/2</f>
        <v>0</v>
      </c>
    </row>
    <row r="32" spans="1:13">
      <c r="A32" s="148">
        <f t="shared" si="0"/>
        <v>19</v>
      </c>
      <c r="B32" s="154"/>
      <c r="C32" s="148"/>
      <c r="D32" s="148"/>
      <c r="E32" s="119"/>
      <c r="F32" s="119"/>
      <c r="G32" s="119"/>
      <c r="H32" s="119"/>
      <c r="I32" s="119"/>
      <c r="J32" s="119"/>
      <c r="K32" s="162"/>
      <c r="L32" s="162"/>
      <c r="M32" s="162"/>
    </row>
    <row r="33" spans="1:13">
      <c r="A33" s="148">
        <f t="shared" si="0"/>
        <v>20</v>
      </c>
      <c r="B33" s="154"/>
      <c r="C33" s="148"/>
      <c r="D33" s="152" t="s">
        <v>559</v>
      </c>
      <c r="E33" s="747">
        <v>0</v>
      </c>
      <c r="F33" s="119">
        <f>SUM(E33-G33)</f>
        <v>0</v>
      </c>
      <c r="G33" s="747">
        <v>0</v>
      </c>
      <c r="H33" s="747">
        <v>0</v>
      </c>
      <c r="I33" s="119">
        <f>SUM(H33-J33)</f>
        <v>0</v>
      </c>
      <c r="J33" s="747">
        <v>0</v>
      </c>
      <c r="K33" s="162">
        <f>(E33+H33)/2</f>
        <v>0</v>
      </c>
      <c r="L33" s="162">
        <f>(F33+I33)/2</f>
        <v>0</v>
      </c>
      <c r="M33" s="162">
        <f>(G33+J33)/2</f>
        <v>0</v>
      </c>
    </row>
    <row r="34" spans="1:13">
      <c r="A34" s="148">
        <f t="shared" si="0"/>
        <v>21</v>
      </c>
      <c r="B34" s="154"/>
      <c r="C34" s="148"/>
      <c r="D34" s="152"/>
      <c r="E34" s="119"/>
      <c r="F34" s="119"/>
      <c r="G34" s="119"/>
      <c r="H34" s="119"/>
      <c r="I34" s="119"/>
      <c r="J34" s="119"/>
      <c r="K34" s="162"/>
      <c r="L34" s="162"/>
      <c r="M34" s="162"/>
    </row>
    <row r="35" spans="1:13">
      <c r="A35" s="148">
        <f t="shared" si="0"/>
        <v>22</v>
      </c>
      <c r="B35" s="154"/>
      <c r="C35" s="148"/>
      <c r="D35" s="152" t="s">
        <v>560</v>
      </c>
      <c r="E35" s="747">
        <v>0</v>
      </c>
      <c r="F35" s="119">
        <f>SUM(E35-G35)</f>
        <v>0</v>
      </c>
      <c r="G35" s="747">
        <v>0</v>
      </c>
      <c r="H35" s="747">
        <v>0</v>
      </c>
      <c r="I35" s="119">
        <f>SUM(H35-J35)</f>
        <v>0</v>
      </c>
      <c r="J35" s="747">
        <v>0</v>
      </c>
      <c r="K35" s="162">
        <f>(E35+H35)/2</f>
        <v>0</v>
      </c>
      <c r="L35" s="162">
        <f>(F35+I35)/2</f>
        <v>0</v>
      </c>
      <c r="M35" s="162">
        <f>(G35+J35)/2</f>
        <v>0</v>
      </c>
    </row>
    <row r="36" spans="1:13" ht="15.75" thickBot="1">
      <c r="A36" s="148">
        <f t="shared" si="0"/>
        <v>23</v>
      </c>
      <c r="B36" s="154"/>
      <c r="C36" s="148"/>
      <c r="D36" s="148"/>
      <c r="E36" s="119"/>
      <c r="F36" s="119"/>
      <c r="G36" s="119"/>
      <c r="H36" s="119"/>
      <c r="I36" s="119"/>
      <c r="J36" s="119"/>
      <c r="K36" s="162"/>
      <c r="L36" s="162"/>
      <c r="M36" s="162"/>
    </row>
    <row r="37" spans="1:13" ht="15.75" thickTop="1">
      <c r="A37" s="148">
        <f t="shared" si="0"/>
        <v>24</v>
      </c>
      <c r="B37" s="154"/>
      <c r="C37" s="148"/>
      <c r="D37" s="148" t="s">
        <v>561</v>
      </c>
      <c r="E37" s="229">
        <f t="shared" ref="E37:J37" si="5">SUM(E14+E29+E31+E33+E35)</f>
        <v>77224151.829999998</v>
      </c>
      <c r="F37" s="229">
        <f t="shared" si="5"/>
        <v>77224151.829999998</v>
      </c>
      <c r="G37" s="229">
        <f t="shared" si="5"/>
        <v>0</v>
      </c>
      <c r="H37" s="229">
        <f t="shared" si="5"/>
        <v>77224151.829999998</v>
      </c>
      <c r="I37" s="229">
        <f t="shared" si="5"/>
        <v>77224151.829999998</v>
      </c>
      <c r="J37" s="229">
        <f t="shared" si="5"/>
        <v>0</v>
      </c>
      <c r="K37" s="229">
        <f>(E37+H37)/2</f>
        <v>77224151.829999998</v>
      </c>
      <c r="L37" s="229">
        <f>(F37+I37)/2</f>
        <v>77224151.829999998</v>
      </c>
      <c r="M37" s="229">
        <f>(G37+J37)/2</f>
        <v>0</v>
      </c>
    </row>
    <row r="38" spans="1:13">
      <c r="A38" s="148"/>
      <c r="B38" s="564"/>
      <c r="C38" s="148"/>
      <c r="D38" s="152"/>
      <c r="H38" s="565"/>
      <c r="I38" s="565"/>
      <c r="J38" s="565"/>
      <c r="K38" s="148"/>
      <c r="L38" s="148"/>
      <c r="M38" s="148"/>
    </row>
    <row r="39" spans="1:13">
      <c r="A39" s="155">
        <f>A37+1</f>
        <v>25</v>
      </c>
      <c r="B39" s="149" t="s">
        <v>474</v>
      </c>
      <c r="C39" s="148"/>
      <c r="D39" s="148"/>
      <c r="H39" s="148"/>
      <c r="I39" s="148"/>
      <c r="J39" s="148"/>
      <c r="K39" s="148"/>
      <c r="L39" s="148"/>
      <c r="M39" s="148"/>
    </row>
    <row r="40" spans="1:13">
      <c r="A40" s="155">
        <f>A39+1</f>
        <v>26</v>
      </c>
      <c r="B40" s="148" t="s">
        <v>816</v>
      </c>
      <c r="C40" s="148"/>
      <c r="D40" s="148"/>
      <c r="H40" s="148"/>
      <c r="I40" s="148"/>
      <c r="J40" s="148"/>
      <c r="K40" s="148"/>
      <c r="L40" s="148"/>
      <c r="M40" s="148"/>
    </row>
    <row r="41" spans="1:13">
      <c r="A41" s="155">
        <f>A40+1</f>
        <v>27</v>
      </c>
      <c r="B41" s="698" t="s">
        <v>937</v>
      </c>
    </row>
    <row r="42" spans="1:13">
      <c r="A42" s="155">
        <f>A41+1</f>
        <v>28</v>
      </c>
      <c r="B42" s="698" t="s">
        <v>920</v>
      </c>
    </row>
    <row r="43" spans="1:13">
      <c r="B43" s="563"/>
    </row>
    <row r="44" spans="1:13">
      <c r="B44" s="563"/>
    </row>
    <row r="45" spans="1:13">
      <c r="B45" s="563"/>
    </row>
    <row r="46" spans="1:13">
      <c r="B46" s="563"/>
    </row>
    <row r="47" spans="1:13">
      <c r="B47" s="563"/>
    </row>
    <row r="48" spans="1:13">
      <c r="B48" s="563"/>
    </row>
    <row r="49" spans="2:2">
      <c r="B49" s="563"/>
    </row>
    <row r="50" spans="2:2">
      <c r="B50" s="563"/>
    </row>
    <row r="51" spans="2:2">
      <c r="B51" s="563"/>
    </row>
    <row r="52" spans="2:2">
      <c r="B52" s="563"/>
    </row>
    <row r="53" spans="2:2">
      <c r="B53" s="563"/>
    </row>
    <row r="54" spans="2:2">
      <c r="B54" s="563"/>
    </row>
    <row r="55" spans="2:2">
      <c r="B55" s="563"/>
    </row>
    <row r="56" spans="2:2">
      <c r="B56" s="563"/>
    </row>
    <row r="57" spans="2:2">
      <c r="B57" s="563"/>
    </row>
    <row r="58" spans="2:2">
      <c r="B58" s="563"/>
    </row>
    <row r="59" spans="2:2">
      <c r="B59" s="563"/>
    </row>
    <row r="60" spans="2:2">
      <c r="B60" s="563"/>
    </row>
    <row r="61" spans="2:2">
      <c r="B61" s="563"/>
    </row>
    <row r="62" spans="2:2">
      <c r="B62" s="563"/>
    </row>
    <row r="63" spans="2:2">
      <c r="B63" s="563"/>
    </row>
    <row r="64" spans="2:2">
      <c r="B64" s="563"/>
    </row>
    <row r="65" spans="2:2">
      <c r="B65" s="563"/>
    </row>
    <row r="66" spans="2:2">
      <c r="B66" s="563"/>
    </row>
    <row r="67" spans="2:2">
      <c r="B67" s="563"/>
    </row>
    <row r="68" spans="2:2">
      <c r="B68" s="563"/>
    </row>
  </sheetData>
  <printOptions horizontalCentered="1"/>
  <pageMargins left="0.7" right="0.7" top="0.75" bottom="0.75" header="0.3" footer="0.3"/>
  <pageSetup scale="63" fitToHeight="0"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6"/>
  <sheetViews>
    <sheetView workbookViewId="0">
      <selection activeCell="E26" sqref="E26"/>
    </sheetView>
  </sheetViews>
  <sheetFormatPr defaultColWidth="8" defaultRowHeight="15"/>
  <cols>
    <col min="1" max="1" width="4.875" style="150" customWidth="1"/>
    <col min="2" max="2" width="11.125" style="150" customWidth="1"/>
    <col min="3" max="3" width="77" style="539" bestFit="1" customWidth="1"/>
    <col min="4" max="4" width="14" style="539" customWidth="1"/>
    <col min="5" max="5" width="13.75" style="539" bestFit="1" customWidth="1"/>
    <col min="6" max="11" width="8" style="539"/>
    <col min="12" max="12" width="14.375" style="539" bestFit="1" customWidth="1"/>
    <col min="13" max="22" width="8" style="539"/>
    <col min="23" max="23" width="12.375" style="539" bestFit="1" customWidth="1"/>
    <col min="24" max="16384" width="8" style="539"/>
  </cols>
  <sheetData>
    <row r="1" spans="1:7">
      <c r="G1" s="320"/>
    </row>
    <row r="2" spans="1:7">
      <c r="E2" s="155" t="s">
        <v>833</v>
      </c>
      <c r="G2" s="561"/>
    </row>
    <row r="3" spans="1:7">
      <c r="E3" s="155" t="s">
        <v>562</v>
      </c>
      <c r="G3" s="561"/>
    </row>
    <row r="5" spans="1:7" ht="20.25">
      <c r="B5" s="559" t="str">
        <f>Index!B2</f>
        <v>Tri-State Generation and Transmission Association, Inc.</v>
      </c>
    </row>
    <row r="6" spans="1:7">
      <c r="B6" s="7"/>
    </row>
    <row r="7" spans="1:7" ht="15.75">
      <c r="B7" s="537" t="s">
        <v>563</v>
      </c>
    </row>
    <row r="8" spans="1:7" ht="15.75">
      <c r="B8" s="538" t="str">
        <f>Index!B5</f>
        <v>Year Ending December 31, 2016</v>
      </c>
    </row>
    <row r="9" spans="1:7">
      <c r="D9" s="566"/>
    </row>
    <row r="10" spans="1:7">
      <c r="A10" s="539"/>
      <c r="B10" s="539"/>
    </row>
    <row r="11" spans="1:7" ht="15.75">
      <c r="A11" s="219" t="s">
        <v>18</v>
      </c>
      <c r="B11" s="219" t="s">
        <v>19</v>
      </c>
      <c r="C11" s="219" t="s">
        <v>20</v>
      </c>
      <c r="D11" s="219" t="s">
        <v>21</v>
      </c>
      <c r="E11" s="219" t="s">
        <v>22</v>
      </c>
    </row>
    <row r="12" spans="1:7" ht="15.75">
      <c r="A12" s="212" t="s">
        <v>415</v>
      </c>
      <c r="B12" s="151" t="s">
        <v>813</v>
      </c>
      <c r="C12" s="221" t="s">
        <v>564</v>
      </c>
      <c r="D12" s="221" t="s">
        <v>4</v>
      </c>
      <c r="E12" s="221" t="s">
        <v>158</v>
      </c>
    </row>
    <row r="13" spans="1:7">
      <c r="A13" s="148"/>
      <c r="B13" s="148"/>
      <c r="C13" s="148"/>
      <c r="D13" s="148"/>
      <c r="E13" s="148"/>
    </row>
    <row r="14" spans="1:7">
      <c r="A14" s="155">
        <v>1</v>
      </c>
      <c r="B14" s="733">
        <v>56500</v>
      </c>
      <c r="C14" s="734" t="s">
        <v>565</v>
      </c>
      <c r="D14" s="732">
        <v>20443400.629999999</v>
      </c>
      <c r="E14" s="732"/>
    </row>
    <row r="15" spans="1:7">
      <c r="A15" s="155">
        <f t="shared" ref="A15:A27" si="0">SUM(A14+1)</f>
        <v>2</v>
      </c>
      <c r="B15" s="733">
        <v>56500</v>
      </c>
      <c r="C15" s="735" t="s">
        <v>814</v>
      </c>
      <c r="D15" s="732"/>
      <c r="E15" s="731">
        <v>536323.07999999984</v>
      </c>
    </row>
    <row r="16" spans="1:7">
      <c r="A16" s="155">
        <f t="shared" si="0"/>
        <v>3</v>
      </c>
      <c r="B16" s="733">
        <v>56500</v>
      </c>
      <c r="C16" s="735" t="s">
        <v>815</v>
      </c>
      <c r="D16" s="732"/>
      <c r="E16" s="731">
        <v>1075170</v>
      </c>
    </row>
    <row r="17" spans="1:5">
      <c r="A17" s="155">
        <f t="shared" si="0"/>
        <v>4</v>
      </c>
      <c r="B17" s="733">
        <v>56510</v>
      </c>
      <c r="C17" s="734" t="s">
        <v>566</v>
      </c>
      <c r="D17" s="732">
        <v>0</v>
      </c>
      <c r="E17" s="732"/>
    </row>
    <row r="18" spans="1:5">
      <c r="A18" s="155">
        <f t="shared" si="0"/>
        <v>5</v>
      </c>
      <c r="B18" s="733">
        <v>56515</v>
      </c>
      <c r="C18" s="734" t="s">
        <v>567</v>
      </c>
      <c r="D18" s="732">
        <v>17856002.879999999</v>
      </c>
      <c r="E18" s="732"/>
    </row>
    <row r="19" spans="1:5">
      <c r="A19" s="155">
        <f t="shared" si="0"/>
        <v>6</v>
      </c>
      <c r="B19" s="733">
        <v>56520</v>
      </c>
      <c r="C19" s="734" t="s">
        <v>568</v>
      </c>
      <c r="D19" s="732">
        <v>0</v>
      </c>
      <c r="E19" s="732"/>
    </row>
    <row r="20" spans="1:5">
      <c r="A20" s="155">
        <f t="shared" si="0"/>
        <v>7</v>
      </c>
      <c r="B20" s="733">
        <v>56525</v>
      </c>
      <c r="C20" s="734" t="s">
        <v>569</v>
      </c>
      <c r="D20" s="732">
        <v>9023472.5700000003</v>
      </c>
      <c r="E20" s="732"/>
    </row>
    <row r="21" spans="1:5">
      <c r="A21" s="155">
        <f t="shared" si="0"/>
        <v>8</v>
      </c>
      <c r="B21" s="733">
        <v>56535</v>
      </c>
      <c r="C21" s="734" t="s">
        <v>570</v>
      </c>
      <c r="D21" s="732">
        <v>3626364.39</v>
      </c>
      <c r="E21" s="732"/>
    </row>
    <row r="22" spans="1:5">
      <c r="A22" s="155">
        <f t="shared" si="0"/>
        <v>9</v>
      </c>
      <c r="B22" s="733">
        <v>56550</v>
      </c>
      <c r="C22" s="734" t="s">
        <v>571</v>
      </c>
      <c r="D22" s="732">
        <v>74547336.25</v>
      </c>
      <c r="E22" s="732"/>
    </row>
    <row r="23" spans="1:5">
      <c r="A23" s="155">
        <f t="shared" si="0"/>
        <v>10</v>
      </c>
      <c r="B23" s="733">
        <v>56555</v>
      </c>
      <c r="C23" s="734" t="s">
        <v>572</v>
      </c>
      <c r="D23" s="732">
        <v>19470229.280000001</v>
      </c>
      <c r="E23" s="732"/>
    </row>
    <row r="24" spans="1:5">
      <c r="A24" s="155">
        <f t="shared" si="0"/>
        <v>11</v>
      </c>
      <c r="B24" s="733">
        <v>56560</v>
      </c>
      <c r="C24" s="734" t="s">
        <v>573</v>
      </c>
      <c r="D24" s="732">
        <v>-74547336.25</v>
      </c>
      <c r="E24" s="732"/>
    </row>
    <row r="25" spans="1:5">
      <c r="A25" s="155">
        <f t="shared" si="0"/>
        <v>12</v>
      </c>
      <c r="B25" s="733">
        <v>56565</v>
      </c>
      <c r="C25" s="734" t="s">
        <v>574</v>
      </c>
      <c r="D25" s="732">
        <v>-19470229.280000001</v>
      </c>
      <c r="E25" s="732"/>
    </row>
    <row r="26" spans="1:5" s="793" customFormat="1">
      <c r="A26" s="790">
        <f t="shared" si="0"/>
        <v>13</v>
      </c>
      <c r="B26" s="791"/>
      <c r="C26" s="792" t="s">
        <v>1007</v>
      </c>
      <c r="D26" s="789"/>
      <c r="E26" s="789">
        <v>31968</v>
      </c>
    </row>
    <row r="27" spans="1:5" ht="15.75">
      <c r="A27" s="790">
        <f t="shared" si="0"/>
        <v>14</v>
      </c>
      <c r="B27" s="148"/>
      <c r="C27" s="1" t="s">
        <v>575</v>
      </c>
      <c r="D27" s="797">
        <f>SUM(D14:D26)</f>
        <v>50949240.469999999</v>
      </c>
      <c r="E27" s="797">
        <f>SUM(E14:E26)</f>
        <v>1643461.0799999998</v>
      </c>
    </row>
    <row r="28" spans="1:5">
      <c r="A28" s="148"/>
      <c r="B28" s="148"/>
      <c r="C28" s="148"/>
      <c r="D28" s="148"/>
      <c r="E28" s="148"/>
    </row>
    <row r="29" spans="1:5">
      <c r="A29" s="155">
        <f>A27+1</f>
        <v>15</v>
      </c>
      <c r="B29" s="149" t="s">
        <v>474</v>
      </c>
      <c r="C29" s="148"/>
      <c r="D29" s="148"/>
      <c r="E29" s="148"/>
    </row>
    <row r="30" spans="1:5">
      <c r="A30" s="155">
        <f>A29+1</f>
        <v>16</v>
      </c>
      <c r="B30" s="148" t="s">
        <v>816</v>
      </c>
      <c r="C30" s="148"/>
      <c r="D30" s="148"/>
      <c r="E30" s="148"/>
    </row>
    <row r="31" spans="1:5">
      <c r="A31" s="155">
        <f>A30+1</f>
        <v>17</v>
      </c>
      <c r="B31" s="148" t="s">
        <v>817</v>
      </c>
      <c r="C31" s="148"/>
      <c r="D31" s="148"/>
      <c r="E31" s="148"/>
    </row>
    <row r="32" spans="1:5">
      <c r="A32" s="155">
        <f>A31+1</f>
        <v>18</v>
      </c>
      <c r="B32" s="148" t="s">
        <v>818</v>
      </c>
      <c r="C32" s="148"/>
      <c r="D32" s="148"/>
      <c r="E32" s="148"/>
    </row>
    <row r="33" spans="1:2">
      <c r="A33" s="155">
        <f>A32+1</f>
        <v>19</v>
      </c>
      <c r="B33" s="698" t="s">
        <v>938</v>
      </c>
    </row>
    <row r="34" spans="1:2">
      <c r="A34" s="155">
        <f>A33+1</f>
        <v>20</v>
      </c>
      <c r="B34" s="698" t="s">
        <v>920</v>
      </c>
    </row>
    <row r="35" spans="1:2">
      <c r="A35" s="539"/>
      <c r="B35" s="539"/>
    </row>
    <row r="36" spans="1:2">
      <c r="A36" s="539"/>
      <c r="B36" s="539"/>
    </row>
  </sheetData>
  <printOptions horizontalCentered="1"/>
  <pageMargins left="0.7" right="0.7" top="0.75" bottom="0.75" header="0.3" footer="0.3"/>
  <pageSetup scale="70" fitToHeight="0"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36"/>
  <sheetViews>
    <sheetView workbookViewId="0"/>
  </sheetViews>
  <sheetFormatPr defaultColWidth="8.125" defaultRowHeight="12.75"/>
  <cols>
    <col min="1" max="1" width="6" style="362" customWidth="1"/>
    <col min="2" max="2" width="16.625" style="362" customWidth="1"/>
    <col min="3" max="3" width="67.25" style="362" customWidth="1"/>
    <col min="4" max="4" width="25" style="362" bestFit="1" customWidth="1"/>
    <col min="5" max="5" width="18.75" style="362" bestFit="1" customWidth="1"/>
    <col min="6" max="6" width="21.375" style="362" bestFit="1" customWidth="1"/>
    <col min="7" max="16384" width="8.125" style="362"/>
  </cols>
  <sheetData>
    <row r="2" spans="1:8" ht="14.25">
      <c r="F2" s="695" t="s">
        <v>834</v>
      </c>
      <c r="H2" s="363"/>
    </row>
    <row r="3" spans="1:8" ht="14.25">
      <c r="F3" s="695" t="s">
        <v>576</v>
      </c>
      <c r="H3" s="669" t="s">
        <v>17</v>
      </c>
    </row>
    <row r="4" spans="1:8" ht="20.25">
      <c r="B4" s="419" t="s">
        <v>839</v>
      </c>
      <c r="C4" s="376"/>
      <c r="D4" s="376"/>
      <c r="E4" s="376"/>
      <c r="F4" s="376"/>
      <c r="G4" s="376"/>
    </row>
    <row r="5" spans="1:8" ht="20.25">
      <c r="B5" s="530"/>
      <c r="C5" s="377"/>
      <c r="D5" s="377"/>
      <c r="E5" s="377"/>
      <c r="F5" s="377"/>
      <c r="G5" s="377"/>
    </row>
    <row r="6" spans="1:8" ht="15">
      <c r="B6" s="420" t="str">
        <f>Index!C26</f>
        <v>Account 575/576 Expenses</v>
      </c>
      <c r="C6" s="377"/>
      <c r="D6" s="377"/>
      <c r="E6" s="377"/>
      <c r="F6" s="377"/>
      <c r="G6" s="377"/>
    </row>
    <row r="7" spans="1:8" s="387" customFormat="1" ht="15">
      <c r="B7" s="421" t="str">
        <f>Index!B5</f>
        <v>Year Ending December 31, 2016</v>
      </c>
      <c r="C7" s="378"/>
      <c r="D7" s="378"/>
      <c r="E7" s="378"/>
      <c r="F7" s="378"/>
      <c r="G7" s="378"/>
    </row>
    <row r="9" spans="1:8">
      <c r="A9" s="364" t="s">
        <v>18</v>
      </c>
      <c r="B9" s="364" t="s">
        <v>19</v>
      </c>
      <c r="C9" s="364" t="s">
        <v>20</v>
      </c>
      <c r="D9" s="364" t="s">
        <v>21</v>
      </c>
      <c r="E9" s="364" t="s">
        <v>22</v>
      </c>
      <c r="F9" s="364" t="s">
        <v>23</v>
      </c>
    </row>
    <row r="10" spans="1:8">
      <c r="A10" s="531" t="s">
        <v>415</v>
      </c>
      <c r="B10" s="367" t="s">
        <v>735</v>
      </c>
      <c r="C10" s="367" t="s">
        <v>0</v>
      </c>
      <c r="D10" s="367" t="s">
        <v>736</v>
      </c>
      <c r="E10" s="367" t="s">
        <v>737</v>
      </c>
      <c r="F10" s="688" t="s">
        <v>862</v>
      </c>
    </row>
    <row r="11" spans="1:8">
      <c r="A11" s="366"/>
      <c r="B11" s="366"/>
      <c r="C11" s="366"/>
      <c r="D11" s="366"/>
      <c r="E11" s="366"/>
      <c r="F11" s="366"/>
    </row>
    <row r="12" spans="1:8" ht="15">
      <c r="A12" s="500"/>
      <c r="B12" s="642" t="s">
        <v>410</v>
      </c>
      <c r="C12" s="499"/>
      <c r="D12" s="499"/>
      <c r="E12" s="499"/>
      <c r="F12" s="366"/>
    </row>
    <row r="13" spans="1:8" s="387" customFormat="1" ht="14.25">
      <c r="A13" s="643" t="s">
        <v>420</v>
      </c>
      <c r="B13" s="644"/>
      <c r="C13" s="644"/>
      <c r="D13" s="644"/>
      <c r="E13" s="645"/>
      <c r="F13" s="567">
        <f>D13*E13</f>
        <v>0</v>
      </c>
    </row>
    <row r="14" spans="1:8" s="387" customFormat="1" ht="14.25">
      <c r="A14" s="643" t="s">
        <v>421</v>
      </c>
      <c r="B14" s="644"/>
      <c r="C14" s="644"/>
      <c r="D14" s="644"/>
      <c r="E14" s="645"/>
      <c r="F14" s="567">
        <f>D14*E14</f>
        <v>0</v>
      </c>
    </row>
    <row r="15" spans="1:8" s="387" customFormat="1" ht="14.25">
      <c r="A15" s="643" t="s">
        <v>427</v>
      </c>
      <c r="B15" s="644"/>
      <c r="C15" s="644"/>
      <c r="D15" s="644"/>
      <c r="E15" s="645"/>
      <c r="F15" s="567">
        <f>D15*E15</f>
        <v>0</v>
      </c>
    </row>
    <row r="16" spans="1:8" s="387" customFormat="1" ht="14.25">
      <c r="A16" s="643"/>
      <c r="B16" s="646"/>
      <c r="C16" s="646"/>
      <c r="D16" s="646"/>
      <c r="E16" s="643"/>
      <c r="F16" s="567"/>
    </row>
    <row r="17" spans="1:6" s="387" customFormat="1" ht="15">
      <c r="A17" s="643">
        <v>2</v>
      </c>
      <c r="B17" s="647" t="s">
        <v>738</v>
      </c>
      <c r="C17" s="646"/>
      <c r="D17" s="648">
        <f>SUM(D13:D15)</f>
        <v>0</v>
      </c>
      <c r="E17" s="646"/>
      <c r="F17" s="567">
        <f>SUM(F13:F15)</f>
        <v>0</v>
      </c>
    </row>
    <row r="18" spans="1:6" s="387" customFormat="1" ht="14.25">
      <c r="A18" s="643"/>
      <c r="B18" s="646"/>
      <c r="C18" s="646"/>
      <c r="D18" s="646"/>
      <c r="E18" s="646"/>
      <c r="F18" s="379"/>
    </row>
    <row r="19" spans="1:6" s="387" customFormat="1" ht="15">
      <c r="A19" s="643"/>
      <c r="B19" s="647" t="s">
        <v>739</v>
      </c>
      <c r="C19" s="646"/>
      <c r="D19" s="646"/>
      <c r="E19" s="646"/>
      <c r="F19" s="379"/>
    </row>
    <row r="20" spans="1:6" s="387" customFormat="1" ht="14.25">
      <c r="A20" s="643" t="s">
        <v>740</v>
      </c>
      <c r="B20" s="644"/>
      <c r="C20" s="644"/>
      <c r="D20" s="644"/>
      <c r="E20" s="645"/>
      <c r="F20" s="567">
        <f>D20*E20</f>
        <v>0</v>
      </c>
    </row>
    <row r="21" spans="1:6" s="387" customFormat="1" ht="14.25">
      <c r="A21" s="643" t="s">
        <v>741</v>
      </c>
      <c r="B21" s="644"/>
      <c r="C21" s="644"/>
      <c r="D21" s="644"/>
      <c r="E21" s="645"/>
      <c r="F21" s="567">
        <f>D21*E21</f>
        <v>0</v>
      </c>
    </row>
    <row r="22" spans="1:6" s="387" customFormat="1" ht="14.25">
      <c r="A22" s="643" t="s">
        <v>427</v>
      </c>
      <c r="B22" s="644"/>
      <c r="C22" s="644"/>
      <c r="D22" s="644"/>
      <c r="E22" s="645"/>
      <c r="F22" s="567">
        <f>D22*E22</f>
        <v>0</v>
      </c>
    </row>
    <row r="23" spans="1:6" ht="14.25">
      <c r="A23" s="643"/>
      <c r="B23" s="646"/>
      <c r="C23" s="646"/>
      <c r="D23" s="646"/>
      <c r="E23" s="643"/>
      <c r="F23" s="567"/>
    </row>
    <row r="24" spans="1:6" ht="15">
      <c r="A24" s="500">
        <v>4</v>
      </c>
      <c r="B24" s="642" t="s">
        <v>742</v>
      </c>
      <c r="C24" s="499"/>
      <c r="D24" s="649">
        <f>SUM(D20:D22)</f>
        <v>0</v>
      </c>
      <c r="E24" s="499"/>
      <c r="F24" s="568">
        <f>SUM(F20:F22)</f>
        <v>0</v>
      </c>
    </row>
    <row r="25" spans="1:6" ht="14.25">
      <c r="A25" s="500"/>
      <c r="B25" s="499"/>
      <c r="C25" s="499"/>
      <c r="D25" s="499"/>
      <c r="E25" s="499"/>
      <c r="F25" s="366"/>
    </row>
    <row r="26" spans="1:6" ht="14.25">
      <c r="A26" s="520"/>
      <c r="B26" s="521"/>
      <c r="C26" s="521"/>
      <c r="D26" s="521"/>
      <c r="E26" s="521"/>
    </row>
    <row r="27" spans="1:6" ht="14.25">
      <c r="A27" s="520">
        <f>A24+1</f>
        <v>5</v>
      </c>
      <c r="B27" s="650" t="s">
        <v>474</v>
      </c>
      <c r="C27" s="521"/>
      <c r="D27" s="521"/>
      <c r="E27" s="521"/>
    </row>
    <row r="28" spans="1:6" ht="14.25">
      <c r="A28" s="520">
        <f>A27+1</f>
        <v>6</v>
      </c>
      <c r="B28" s="689" t="s">
        <v>953</v>
      </c>
      <c r="C28" s="521"/>
      <c r="D28" s="521"/>
      <c r="E28" s="521"/>
    </row>
    <row r="29" spans="1:6" ht="14.25">
      <c r="A29" s="520">
        <f t="shared" ref="A29:A36" si="0">A28+1</f>
        <v>7</v>
      </c>
      <c r="B29" s="689" t="s">
        <v>954</v>
      </c>
      <c r="C29" s="521"/>
      <c r="D29" s="521"/>
      <c r="E29" s="521"/>
    </row>
    <row r="30" spans="1:6" ht="14.25">
      <c r="A30" s="520">
        <f t="shared" si="0"/>
        <v>8</v>
      </c>
      <c r="B30" s="521" t="s">
        <v>846</v>
      </c>
      <c r="C30" s="521"/>
      <c r="D30" s="521"/>
      <c r="E30" s="521"/>
    </row>
    <row r="31" spans="1:6" ht="14.25">
      <c r="A31" s="520">
        <f t="shared" si="0"/>
        <v>9</v>
      </c>
      <c r="B31" s="521" t="s">
        <v>743</v>
      </c>
      <c r="C31" s="521"/>
      <c r="D31" s="521"/>
      <c r="E31" s="521"/>
    </row>
    <row r="32" spans="1:6" ht="14.25">
      <c r="A32" s="520">
        <f t="shared" si="0"/>
        <v>10</v>
      </c>
      <c r="B32" s="612" t="s">
        <v>947</v>
      </c>
      <c r="C32" s="521"/>
      <c r="D32" s="521"/>
      <c r="E32" s="521"/>
    </row>
    <row r="33" spans="1:5" ht="14.25">
      <c r="A33" s="520">
        <f t="shared" si="0"/>
        <v>11</v>
      </c>
      <c r="B33" s="612" t="s">
        <v>952</v>
      </c>
      <c r="C33" s="521"/>
      <c r="D33" s="521"/>
      <c r="E33" s="521"/>
    </row>
    <row r="34" spans="1:5" ht="14.25">
      <c r="A34" s="520">
        <f t="shared" si="0"/>
        <v>12</v>
      </c>
      <c r="B34" s="698" t="s">
        <v>949</v>
      </c>
      <c r="C34" s="521"/>
      <c r="D34" s="521"/>
      <c r="E34" s="521"/>
    </row>
    <row r="35" spans="1:5" ht="14.25">
      <c r="A35" s="520">
        <f t="shared" si="0"/>
        <v>13</v>
      </c>
      <c r="B35" s="698" t="s">
        <v>930</v>
      </c>
      <c r="C35" s="521"/>
      <c r="D35" s="521"/>
      <c r="E35" s="521"/>
    </row>
    <row r="36" spans="1:5" ht="14.25">
      <c r="A36" s="520">
        <f t="shared" si="0"/>
        <v>14</v>
      </c>
      <c r="B36" s="698" t="s">
        <v>931</v>
      </c>
    </row>
  </sheetData>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pageSetUpPr fitToPage="1"/>
  </sheetPr>
  <dimension ref="A1:K28"/>
  <sheetViews>
    <sheetView tabSelected="1" topLeftCell="D1" zoomScaleNormal="100" workbookViewId="0">
      <selection activeCell="D1" sqref="D1"/>
    </sheetView>
  </sheetViews>
  <sheetFormatPr defaultColWidth="9.25" defaultRowHeight="14.25"/>
  <cols>
    <col min="1" max="1" width="5.625" style="9" customWidth="1"/>
    <col min="2" max="2" width="9.125" style="9" customWidth="1"/>
    <col min="3" max="3" width="62.875" style="9" customWidth="1"/>
    <col min="4" max="4" width="50.5" style="9" customWidth="1"/>
    <col min="5" max="7" width="15.625" style="9" customWidth="1"/>
    <col min="8" max="8" width="20.875" style="9" customWidth="1"/>
    <col min="9" max="9" width="12.125" style="9" bestFit="1" customWidth="1"/>
    <col min="10" max="16384" width="9.25" style="9"/>
  </cols>
  <sheetData>
    <row r="1" spans="1:11" ht="15">
      <c r="K1" s="100" t="s">
        <v>17</v>
      </c>
    </row>
    <row r="2" spans="1:11">
      <c r="H2" s="51" t="s">
        <v>264</v>
      </c>
    </row>
    <row r="3" spans="1:11">
      <c r="H3" s="51" t="s">
        <v>841</v>
      </c>
    </row>
    <row r="4" spans="1:11">
      <c r="B4" s="7"/>
      <c r="C4" s="7"/>
      <c r="D4" s="7"/>
    </row>
    <row r="5" spans="1:11" ht="20.25">
      <c r="B5" s="402" t="str">
        <f>Index!B2</f>
        <v>Tri-State Generation and Transmission Association, Inc.</v>
      </c>
      <c r="C5" s="7"/>
      <c r="D5" s="7"/>
    </row>
    <row r="6" spans="1:11">
      <c r="B6" s="7"/>
      <c r="C6" s="7"/>
      <c r="D6" s="7"/>
      <c r="H6" s="9" t="s">
        <v>17</v>
      </c>
    </row>
    <row r="7" spans="1:11" ht="15">
      <c r="B7" s="404" t="str">
        <f>Index!C9</f>
        <v>Summary of Total ATRR Revenue Requirement</v>
      </c>
      <c r="C7" s="7"/>
      <c r="D7" s="7"/>
    </row>
    <row r="8" spans="1:11" ht="15">
      <c r="B8" s="405" t="str">
        <f>Index!$B$5</f>
        <v>Year Ending December 31, 2016</v>
      </c>
      <c r="C8" s="7"/>
      <c r="D8" s="7"/>
    </row>
    <row r="10" spans="1:11" ht="15">
      <c r="A10" s="4" t="s">
        <v>18</v>
      </c>
      <c r="B10" s="4" t="s">
        <v>19</v>
      </c>
      <c r="C10" s="4" t="s">
        <v>20</v>
      </c>
      <c r="D10" s="4" t="s">
        <v>21</v>
      </c>
      <c r="E10" s="4" t="s">
        <v>22</v>
      </c>
      <c r="F10" s="4" t="s">
        <v>23</v>
      </c>
      <c r="G10" s="4" t="s">
        <v>24</v>
      </c>
      <c r="H10" s="4" t="s">
        <v>25</v>
      </c>
    </row>
    <row r="11" spans="1:11" ht="42.75" customHeight="1">
      <c r="A11" s="45" t="s">
        <v>415</v>
      </c>
      <c r="B11" s="45" t="s">
        <v>459</v>
      </c>
      <c r="C11" s="45" t="s">
        <v>0</v>
      </c>
      <c r="D11" s="45" t="s">
        <v>1</v>
      </c>
      <c r="E11" s="45" t="s">
        <v>4</v>
      </c>
      <c r="F11" s="45" t="s">
        <v>5</v>
      </c>
      <c r="G11" s="45" t="s">
        <v>26</v>
      </c>
      <c r="H11" s="45" t="s">
        <v>8</v>
      </c>
    </row>
    <row r="12" spans="1:11">
      <c r="A12" s="58"/>
      <c r="B12" s="58"/>
      <c r="C12" s="58"/>
      <c r="D12" s="58"/>
      <c r="E12" s="58"/>
      <c r="F12" s="58"/>
      <c r="G12" s="58"/>
    </row>
    <row r="13" spans="1:11" ht="15">
      <c r="A13" s="653">
        <v>1</v>
      </c>
      <c r="B13" s="374"/>
      <c r="C13" s="406" t="s">
        <v>140</v>
      </c>
      <c r="H13" s="10"/>
    </row>
    <row r="14" spans="1:11">
      <c r="A14" s="653">
        <f>A13+1</f>
        <v>2</v>
      </c>
      <c r="B14" s="374"/>
      <c r="C14" s="9" t="s">
        <v>139</v>
      </c>
      <c r="D14" s="9" t="str">
        <f>'Worksheet B Expenses'!$I$3&amp;", Line "&amp;'Worksheet B Expenses'!A57&amp;", Col "&amp;'Worksheet B Expenses'!$I$10</f>
        <v>Worksheet B, Line 37, Col I</v>
      </c>
      <c r="H14" s="407">
        <f>'Worksheet B Expenses'!I57</f>
        <v>9170781.1568838432</v>
      </c>
    </row>
    <row r="15" spans="1:11">
      <c r="A15" s="653"/>
      <c r="B15" s="374"/>
      <c r="D15" s="50"/>
      <c r="E15" s="50"/>
      <c r="F15" s="50"/>
      <c r="G15" s="408"/>
      <c r="H15" s="407"/>
    </row>
    <row r="16" spans="1:11">
      <c r="A16" s="653">
        <f>A14+1</f>
        <v>3</v>
      </c>
      <c r="B16" s="374"/>
      <c r="C16" s="9" t="s">
        <v>137</v>
      </c>
      <c r="D16" s="697"/>
      <c r="E16" s="50"/>
      <c r="F16" s="50"/>
      <c r="G16" s="408"/>
      <c r="H16" s="407"/>
    </row>
    <row r="17" spans="1:10">
      <c r="A17" s="653">
        <f>A16+1</f>
        <v>4</v>
      </c>
      <c r="B17" s="409">
        <v>454</v>
      </c>
      <c r="C17" s="410" t="s">
        <v>244</v>
      </c>
      <c r="D17" s="697" t="str">
        <f>'Worksheet M OthRev Input'!E3&amp;", Line "&amp;'Worksheet M OthRev Input'!A46&amp;", Col "&amp;'Worksheet M OthRev Input'!$D$9&amp;" and "&amp;'Worksheet M OthRev Input'!E9</f>
        <v>Worksheet M, Line 34, Col D and E</v>
      </c>
      <c r="E17" s="215">
        <f>'Worksheet M OthRev Input'!$D46</f>
        <v>3817494.040000001</v>
      </c>
      <c r="F17" s="49" t="s">
        <v>395</v>
      </c>
      <c r="G17" s="411"/>
      <c r="H17" s="215">
        <f>'Worksheet M OthRev Input'!E46</f>
        <v>22581.7</v>
      </c>
    </row>
    <row r="18" spans="1:10">
      <c r="A18" s="653">
        <f t="shared" ref="A18:A26" si="0">A17+1</f>
        <v>5</v>
      </c>
      <c r="B18" s="409">
        <v>456</v>
      </c>
      <c r="C18" s="412" t="s">
        <v>394</v>
      </c>
      <c r="D18" s="697" t="str">
        <f>'Worksheet M OthRev Input'!E3&amp;", Line "&amp;'Worksheet M OthRev Input'!A47&amp;", Col "&amp;'Worksheet M OthRev Input'!$D$9</f>
        <v>Worksheet M, Line 35, Col D</v>
      </c>
      <c r="E18" s="215">
        <f>'Worksheet M OthRev Input'!$D47</f>
        <v>0</v>
      </c>
      <c r="F18" s="49" t="s">
        <v>80</v>
      </c>
      <c r="G18" s="411">
        <f>'Worksheet E Alloc. Factor'!G29</f>
        <v>3.1755893953600761E-2</v>
      </c>
      <c r="H18" s="215">
        <f>E18*G18</f>
        <v>0</v>
      </c>
    </row>
    <row r="19" spans="1:10">
      <c r="A19" s="653">
        <f t="shared" si="0"/>
        <v>6</v>
      </c>
      <c r="B19" s="409">
        <v>456</v>
      </c>
      <c r="C19" s="412" t="s">
        <v>266</v>
      </c>
      <c r="D19" s="697" t="str">
        <f>'Worksheet M OthRev Input'!E3&amp;", Line "&amp;'Worksheet M OthRev Input'!A48&amp;", Col "&amp;'Worksheet M OthRev Input'!$D$9</f>
        <v>Worksheet M, Line 36, Col D</v>
      </c>
      <c r="E19" s="215">
        <f>'Worksheet M OthRev Input'!$D48</f>
        <v>774599</v>
      </c>
      <c r="F19" s="49" t="s">
        <v>256</v>
      </c>
      <c r="G19" s="411">
        <f>'Worksheet E Alloc. Factor'!G38</f>
        <v>1</v>
      </c>
      <c r="H19" s="215">
        <f>E19*G19</f>
        <v>774599</v>
      </c>
    </row>
    <row r="20" spans="1:10">
      <c r="A20" s="653">
        <f t="shared" si="0"/>
        <v>7</v>
      </c>
      <c r="B20" s="409">
        <v>456</v>
      </c>
      <c r="C20" s="412" t="s">
        <v>243</v>
      </c>
      <c r="D20" s="697" t="str">
        <f>'Worksheet M OthRev Input'!E3&amp;", Line "&amp;'Worksheet M OthRev Input'!A50&amp;", Col "&amp;'Worksheet M OthRev Input'!$D$9</f>
        <v>Worksheet M, Line 38, Col D</v>
      </c>
      <c r="E20" s="686">
        <f>'Worksheet M OthRev Input'!$D50</f>
        <v>20570461.460000001</v>
      </c>
      <c r="F20" s="413" t="s">
        <v>255</v>
      </c>
      <c r="G20" s="411">
        <f>'Worksheet E Alloc. Factor'!G37</f>
        <v>0</v>
      </c>
      <c r="H20" s="686">
        <f>E20*G20</f>
        <v>0</v>
      </c>
    </row>
    <row r="21" spans="1:10">
      <c r="A21" s="653">
        <f t="shared" si="0"/>
        <v>8</v>
      </c>
      <c r="B21" s="374"/>
      <c r="C21" s="412" t="s">
        <v>137</v>
      </c>
      <c r="D21" s="697" t="s">
        <v>16</v>
      </c>
      <c r="E21" s="414">
        <f>SUM(E17:E20)</f>
        <v>25162554.5</v>
      </c>
      <c r="F21" s="50"/>
      <c r="G21" s="408"/>
      <c r="H21" s="407">
        <f>SUM(H17:H20)</f>
        <v>797180.7</v>
      </c>
    </row>
    <row r="22" spans="1:10">
      <c r="A22" s="653" t="s">
        <v>17</v>
      </c>
      <c r="B22" s="374"/>
      <c r="D22" s="697"/>
      <c r="E22" s="414"/>
      <c r="F22" s="50"/>
      <c r="G22" s="408"/>
      <c r="H22" s="407"/>
    </row>
    <row r="23" spans="1:10">
      <c r="A23" s="653">
        <f>A21+1</f>
        <v>9</v>
      </c>
      <c r="B23" s="374"/>
      <c r="C23" s="415" t="s">
        <v>412</v>
      </c>
      <c r="D23" s="28" t="str">
        <f>'Worksheet H SPP Upgrades'!K3&amp;", Line "&amp;'Worksheet H SPP Upgrades'!A24&amp;", Col "&amp;'Worksheet H SPP Upgrades'!K9</f>
        <v>Worksheet H, Line 2, Col K</v>
      </c>
      <c r="E23" s="416"/>
      <c r="F23" s="416"/>
      <c r="G23" s="416"/>
      <c r="H23" s="407">
        <f>-'Worksheet H SPP Upgrades'!K24</f>
        <v>0</v>
      </c>
    </row>
    <row r="24" spans="1:10">
      <c r="A24" s="653">
        <f t="shared" si="0"/>
        <v>10</v>
      </c>
      <c r="B24" s="374"/>
      <c r="C24" s="415" t="s">
        <v>783</v>
      </c>
      <c r="D24" s="28" t="str">
        <f>'Worksheet J Reconciliation'!$L$3&amp;", Line "&amp;'Worksheet J Reconciliation'!A32&amp;", Col "&amp;'Worksheet J Reconciliation'!$L$9</f>
        <v>Worksheet J, Line 6, Col J</v>
      </c>
      <c r="E24" s="416"/>
      <c r="F24" s="416"/>
      <c r="G24" s="416"/>
      <c r="H24" s="407">
        <f>'Worksheet J Reconciliation'!$L$32</f>
        <v>0</v>
      </c>
    </row>
    <row r="25" spans="1:10">
      <c r="A25" s="653">
        <f t="shared" si="0"/>
        <v>11</v>
      </c>
      <c r="B25" s="374"/>
      <c r="C25" s="415" t="s">
        <v>784</v>
      </c>
      <c r="D25" s="28" t="str">
        <f>'Worksheet J Reconciliation'!$L$3&amp;", Line "&amp;'Worksheet J Reconciliation'!A57&amp;", Col "&amp;'Worksheet J Reconciliation'!$L$9</f>
        <v>Worksheet J, Line 12, Col J</v>
      </c>
      <c r="E25" s="416"/>
      <c r="F25" s="416"/>
      <c r="G25" s="416"/>
      <c r="H25" s="407">
        <f>'Worksheet J Reconciliation'!$L$57</f>
        <v>0</v>
      </c>
    </row>
    <row r="26" spans="1:10" s="283" customFormat="1" ht="18.75" customHeight="1" thickBot="1">
      <c r="A26" s="653">
        <f t="shared" si="0"/>
        <v>12</v>
      </c>
      <c r="B26" s="374"/>
      <c r="C26" s="415" t="s">
        <v>785</v>
      </c>
      <c r="D26" s="697" t="str">
        <f>"Line "&amp;A14&amp;" - Lines "&amp;A21&amp;" &amp; "&amp;A23&amp;" + Lines "&amp;A24&amp;" &amp; "&amp;A25</f>
        <v>Line 2 - Lines 8 &amp; 9 + Lines 10 &amp; 11</v>
      </c>
      <c r="E26" s="417"/>
      <c r="F26" s="415"/>
      <c r="G26" s="415"/>
      <c r="H26" s="418">
        <f>H14-H21-H23+H24+H25</f>
        <v>8373600.4568838431</v>
      </c>
      <c r="J26" s="99"/>
    </row>
    <row r="27" spans="1:10" ht="15.75" thickTop="1">
      <c r="A27" s="95"/>
      <c r="B27" s="95"/>
      <c r="C27" s="72"/>
      <c r="D27" s="72"/>
      <c r="E27" s="72"/>
      <c r="F27" s="72"/>
      <c r="G27" s="72"/>
      <c r="H27" s="70"/>
    </row>
    <row r="28" spans="1:10" ht="15">
      <c r="A28" s="95"/>
      <c r="B28" s="95"/>
      <c r="C28" s="72"/>
      <c r="D28" s="66"/>
      <c r="E28" s="66"/>
      <c r="F28" s="66"/>
      <c r="G28" s="66"/>
      <c r="H28" s="70"/>
    </row>
  </sheetData>
  <customSheetViews>
    <customSheetView guid="{3FBB0C90-C6C1-480D-B078-514EE8852FAF}" scale="80" showPageBreaks="1" fitToPage="1" printArea="1" topLeftCell="A7">
      <selection activeCell="B10" sqref="B10:K10"/>
      <pageMargins left="0.7" right="0.7" top="0.75" bottom="0.75" header="0.3" footer="0.3"/>
      <printOptions horizontalCentered="1"/>
      <pageSetup scale="54" orientation="landscape" horizontalDpi="1200" verticalDpi="1200" r:id="rId1"/>
      <headerFooter>
        <oddFooter>&amp;L&amp;8&amp;F  &amp;A  &amp;D  &amp;T</oddFooter>
      </headerFooter>
    </customSheetView>
  </customSheetViews>
  <conditionalFormatting sqref="B19:C19 F19:H19">
    <cfRule type="containsErrors" dxfId="2" priority="8">
      <formula>ISERROR(B19)</formula>
    </cfRule>
  </conditionalFormatting>
  <conditionalFormatting sqref="G20">
    <cfRule type="containsErrors" dxfId="1" priority="7">
      <formula>ISERROR(G20)</formula>
    </cfRule>
  </conditionalFormatting>
  <conditionalFormatting sqref="F17">
    <cfRule type="containsErrors" dxfId="0" priority="6">
      <formula>ISERROR(F17)</formula>
    </cfRule>
  </conditionalFormatting>
  <printOptions horizontalCentered="1"/>
  <pageMargins left="0.7" right="0.7" top="0.75" bottom="0.75" header="0.3" footer="0.3"/>
  <pageSetup scale="57" fitToHeight="0" orientation="landscape" horizontalDpi="1200" verticalDpi="1200" r:id="rId2"/>
  <headerFooter>
    <oddHeader xml:space="preserve">&amp;R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60"/>
  <sheetViews>
    <sheetView workbookViewId="0"/>
  </sheetViews>
  <sheetFormatPr defaultColWidth="8.75" defaultRowHeight="14.25"/>
  <cols>
    <col min="1" max="1" width="7.75" style="194" customWidth="1"/>
    <col min="2" max="2" width="8.75" style="194"/>
    <col min="3" max="3" width="10.25" style="194" bestFit="1" customWidth="1"/>
    <col min="4" max="4" width="38.375" style="194" bestFit="1" customWidth="1"/>
    <col min="5" max="5" width="15.125" style="194" bestFit="1" customWidth="1"/>
    <col min="6" max="6" width="12.125" style="194" bestFit="1" customWidth="1"/>
    <col min="7" max="7" width="35.375" style="194" bestFit="1" customWidth="1"/>
    <col min="8" max="8" width="11.875" style="194" customWidth="1"/>
    <col min="9" max="10" width="5.625" style="194" customWidth="1"/>
    <col min="11" max="11" width="9.125" style="194" customWidth="1"/>
    <col min="12" max="12" width="11.25" style="194" customWidth="1"/>
    <col min="13" max="13" width="43.5" style="194" bestFit="1" customWidth="1"/>
    <col min="14" max="16384" width="8.75" style="194"/>
  </cols>
  <sheetData>
    <row r="1" spans="1:16">
      <c r="P1" s="319" t="s">
        <v>17</v>
      </c>
    </row>
    <row r="2" spans="1:16">
      <c r="M2" s="168" t="s">
        <v>835</v>
      </c>
      <c r="P2" s="168"/>
    </row>
    <row r="3" spans="1:16">
      <c r="B3" s="7"/>
      <c r="C3" s="7"/>
      <c r="D3" s="7"/>
      <c r="E3" s="7"/>
      <c r="M3" s="168" t="s">
        <v>577</v>
      </c>
      <c r="P3" s="168"/>
    </row>
    <row r="4" spans="1:16">
      <c r="B4" s="7"/>
      <c r="C4" s="7"/>
      <c r="D4" s="7"/>
      <c r="E4" s="7"/>
    </row>
    <row r="5" spans="1:16" ht="15" customHeight="1">
      <c r="B5" s="536" t="str">
        <f>Index!B2</f>
        <v>Tri-State Generation and Transmission Association, Inc.</v>
      </c>
      <c r="C5" s="158"/>
      <c r="D5" s="158"/>
      <c r="E5" s="28"/>
    </row>
    <row r="6" spans="1:16" ht="15" customHeight="1">
      <c r="B6" s="7"/>
      <c r="C6" s="158"/>
      <c r="D6" s="158"/>
      <c r="E6" s="158"/>
    </row>
    <row r="7" spans="1:16" ht="15" customHeight="1">
      <c r="B7" s="538" t="str">
        <f>Index!C27</f>
        <v>Completed Construction Not Classified</v>
      </c>
      <c r="C7" s="158"/>
      <c r="D7" s="158"/>
      <c r="E7" s="158"/>
      <c r="M7" s="194" t="s">
        <v>962</v>
      </c>
    </row>
    <row r="8" spans="1:16" ht="15" customHeight="1">
      <c r="B8" s="538" t="str">
        <f>Index!B5</f>
        <v>Year Ending December 31, 2016</v>
      </c>
      <c r="C8" s="7"/>
      <c r="D8" s="7"/>
      <c r="E8" s="7"/>
    </row>
    <row r="9" spans="1:16">
      <c r="A9" s="210"/>
    </row>
    <row r="10" spans="1:16" ht="15">
      <c r="A10" s="4" t="s">
        <v>18</v>
      </c>
      <c r="B10" s="4" t="s">
        <v>19</v>
      </c>
      <c r="C10" s="4" t="s">
        <v>20</v>
      </c>
      <c r="D10" s="4" t="s">
        <v>21</v>
      </c>
      <c r="E10" s="4" t="s">
        <v>22</v>
      </c>
      <c r="F10" s="4" t="s">
        <v>23</v>
      </c>
      <c r="G10" s="4" t="s">
        <v>24</v>
      </c>
      <c r="H10" s="4" t="s">
        <v>25</v>
      </c>
      <c r="I10" s="4" t="s">
        <v>134</v>
      </c>
      <c r="J10" s="4" t="s">
        <v>135</v>
      </c>
      <c r="K10" s="4" t="s">
        <v>369</v>
      </c>
      <c r="L10" s="4" t="s">
        <v>368</v>
      </c>
      <c r="M10" s="4" t="s">
        <v>367</v>
      </c>
    </row>
    <row r="11" spans="1:16" ht="30.75" customHeight="1">
      <c r="A11" s="212" t="s">
        <v>415</v>
      </c>
      <c r="B11" s="211" t="s">
        <v>578</v>
      </c>
      <c r="C11" s="211" t="s">
        <v>579</v>
      </c>
      <c r="D11" s="211" t="s">
        <v>416</v>
      </c>
      <c r="E11" s="212" t="s">
        <v>635</v>
      </c>
      <c r="F11" s="211" t="s">
        <v>636</v>
      </c>
      <c r="G11" s="211" t="s">
        <v>580</v>
      </c>
      <c r="H11" s="213" t="s">
        <v>581</v>
      </c>
      <c r="I11" s="212" t="s">
        <v>582</v>
      </c>
      <c r="J11" s="212" t="s">
        <v>583</v>
      </c>
      <c r="K11" s="269" t="s">
        <v>627</v>
      </c>
      <c r="L11" s="214" t="s">
        <v>584</v>
      </c>
      <c r="M11" s="211" t="s">
        <v>585</v>
      </c>
    </row>
    <row r="12" spans="1:16">
      <c r="A12" s="413">
        <v>1</v>
      </c>
      <c r="B12" s="738">
        <v>871</v>
      </c>
      <c r="C12" s="738">
        <v>3548</v>
      </c>
      <c r="D12" s="738" t="s">
        <v>955</v>
      </c>
      <c r="E12" s="749">
        <v>0</v>
      </c>
      <c r="F12" s="749">
        <v>8233</v>
      </c>
      <c r="G12" s="738" t="s">
        <v>968</v>
      </c>
      <c r="H12" s="9"/>
      <c r="I12" s="752" t="s">
        <v>623</v>
      </c>
      <c r="J12" s="752"/>
      <c r="K12" s="753"/>
      <c r="L12" s="180">
        <f>IF(K12&gt;0,(E12+F12)/2*K12,(E12+F12)/2)</f>
        <v>4116.5</v>
      </c>
      <c r="M12" s="738"/>
    </row>
    <row r="13" spans="1:16">
      <c r="A13" s="413">
        <f>A12+1</f>
        <v>2</v>
      </c>
      <c r="B13" s="738">
        <v>1622</v>
      </c>
      <c r="C13" s="738">
        <v>3470</v>
      </c>
      <c r="D13" s="738" t="s">
        <v>964</v>
      </c>
      <c r="E13" s="749">
        <v>177400</v>
      </c>
      <c r="F13" s="749">
        <v>177400</v>
      </c>
      <c r="G13" s="750" t="s">
        <v>969</v>
      </c>
      <c r="H13" s="9"/>
      <c r="I13" s="752" t="s">
        <v>623</v>
      </c>
      <c r="J13" s="752"/>
      <c r="K13" s="753"/>
      <c r="L13" s="180">
        <f>IF(K13&gt;0,(E13+F13)/2*K13,(E13+F13)/2)</f>
        <v>177400</v>
      </c>
      <c r="M13" s="738"/>
    </row>
    <row r="14" spans="1:16">
      <c r="A14" s="413">
        <f t="shared" ref="A14:A43" si="0">A13+1</f>
        <v>3</v>
      </c>
      <c r="B14" s="738">
        <v>1622</v>
      </c>
      <c r="C14" s="738">
        <v>3489</v>
      </c>
      <c r="D14" s="738" t="s">
        <v>587</v>
      </c>
      <c r="E14" s="749">
        <v>66505</v>
      </c>
      <c r="F14" s="749">
        <v>66505</v>
      </c>
      <c r="G14" s="751" t="s">
        <v>969</v>
      </c>
      <c r="H14" s="9"/>
      <c r="I14" s="752" t="s">
        <v>623</v>
      </c>
      <c r="J14" s="752"/>
      <c r="K14" s="753"/>
      <c r="L14" s="180">
        <f t="shared" ref="L14:L35" si="1">IF(K14&gt;0,(E14+F14)/2*K14,(E14+F14)/2)</f>
        <v>66505</v>
      </c>
      <c r="M14" s="738"/>
    </row>
    <row r="15" spans="1:16">
      <c r="A15" s="413">
        <f t="shared" si="0"/>
        <v>4</v>
      </c>
      <c r="B15" s="738">
        <v>1623</v>
      </c>
      <c r="C15" s="738">
        <v>3498</v>
      </c>
      <c r="D15" s="738" t="s">
        <v>965</v>
      </c>
      <c r="E15" s="749">
        <v>16520</v>
      </c>
      <c r="F15" s="749">
        <v>16520</v>
      </c>
      <c r="G15" s="751" t="s">
        <v>970</v>
      </c>
      <c r="H15" s="9"/>
      <c r="I15" s="752"/>
      <c r="J15" s="752"/>
      <c r="K15" s="753">
        <v>0.5</v>
      </c>
      <c r="L15" s="180">
        <f t="shared" si="1"/>
        <v>8260</v>
      </c>
      <c r="M15" s="738" t="s">
        <v>962</v>
      </c>
    </row>
    <row r="16" spans="1:16">
      <c r="A16" s="413">
        <f t="shared" si="0"/>
        <v>5</v>
      </c>
      <c r="B16" s="738">
        <v>1623</v>
      </c>
      <c r="C16" s="738">
        <v>3548</v>
      </c>
      <c r="D16" s="738" t="s">
        <v>955</v>
      </c>
      <c r="E16" s="749">
        <v>9737</v>
      </c>
      <c r="F16" s="749">
        <v>34888</v>
      </c>
      <c r="G16" s="750" t="s">
        <v>970</v>
      </c>
      <c r="H16" s="9"/>
      <c r="I16" s="752"/>
      <c r="J16" s="752"/>
      <c r="K16" s="753">
        <v>0.5</v>
      </c>
      <c r="L16" s="180">
        <f t="shared" si="1"/>
        <v>11156.25</v>
      </c>
      <c r="M16" s="738" t="s">
        <v>962</v>
      </c>
    </row>
    <row r="17" spans="1:13">
      <c r="A17" s="413">
        <f t="shared" si="0"/>
        <v>6</v>
      </c>
      <c r="B17" s="738">
        <v>1623</v>
      </c>
      <c r="C17" s="738">
        <v>3492</v>
      </c>
      <c r="D17" s="738" t="s">
        <v>589</v>
      </c>
      <c r="E17" s="749">
        <v>642872</v>
      </c>
      <c r="F17" s="749">
        <v>643922</v>
      </c>
      <c r="G17" s="738" t="s">
        <v>970</v>
      </c>
      <c r="H17" s="9"/>
      <c r="I17" s="752"/>
      <c r="J17" s="752"/>
      <c r="K17" s="753">
        <v>0.5</v>
      </c>
      <c r="L17" s="180">
        <f t="shared" si="1"/>
        <v>321698.5</v>
      </c>
      <c r="M17" s="755" t="s">
        <v>962</v>
      </c>
    </row>
    <row r="18" spans="1:13">
      <c r="A18" s="413">
        <f t="shared" si="0"/>
        <v>7</v>
      </c>
      <c r="B18" s="738">
        <v>1623</v>
      </c>
      <c r="C18" s="738">
        <v>5641</v>
      </c>
      <c r="D18" s="738" t="s">
        <v>958</v>
      </c>
      <c r="E18" s="749">
        <v>371860</v>
      </c>
      <c r="F18" s="749">
        <v>374579</v>
      </c>
      <c r="G18" s="738" t="s">
        <v>970</v>
      </c>
      <c r="H18" s="9"/>
      <c r="I18" s="752"/>
      <c r="J18" s="752"/>
      <c r="K18" s="754">
        <v>0.5</v>
      </c>
      <c r="L18" s="180">
        <f t="shared" si="1"/>
        <v>186609.75</v>
      </c>
      <c r="M18" s="738" t="s">
        <v>962</v>
      </c>
    </row>
    <row r="19" spans="1:13">
      <c r="A19" s="413">
        <f t="shared" si="0"/>
        <v>8</v>
      </c>
      <c r="B19" s="738">
        <v>1624</v>
      </c>
      <c r="C19" s="738">
        <v>3470</v>
      </c>
      <c r="D19" s="738" t="s">
        <v>964</v>
      </c>
      <c r="E19" s="749">
        <v>195045</v>
      </c>
      <c r="F19" s="749">
        <v>195045</v>
      </c>
      <c r="G19" s="738" t="s">
        <v>971</v>
      </c>
      <c r="H19" s="9"/>
      <c r="I19" s="752" t="s">
        <v>623</v>
      </c>
      <c r="J19" s="752"/>
      <c r="K19" s="754"/>
      <c r="L19" s="180">
        <f t="shared" si="1"/>
        <v>195045</v>
      </c>
      <c r="M19" s="738"/>
    </row>
    <row r="20" spans="1:13">
      <c r="A20" s="413">
        <f t="shared" si="0"/>
        <v>9</v>
      </c>
      <c r="B20" s="738">
        <v>1624</v>
      </c>
      <c r="C20" s="738">
        <v>3482</v>
      </c>
      <c r="D20" s="738" t="s">
        <v>588</v>
      </c>
      <c r="E20" s="749">
        <v>403163</v>
      </c>
      <c r="F20" s="749">
        <v>403163</v>
      </c>
      <c r="G20" s="738" t="s">
        <v>971</v>
      </c>
      <c r="H20" s="9"/>
      <c r="I20" s="752" t="s">
        <v>623</v>
      </c>
      <c r="J20" s="752"/>
      <c r="K20" s="754"/>
      <c r="L20" s="180">
        <f t="shared" si="1"/>
        <v>403163</v>
      </c>
      <c r="M20" s="755"/>
    </row>
    <row r="21" spans="1:13">
      <c r="A21" s="413">
        <f t="shared" si="0"/>
        <v>10</v>
      </c>
      <c r="B21" s="738">
        <v>1629</v>
      </c>
      <c r="C21" s="738">
        <v>3488</v>
      </c>
      <c r="D21" s="738" t="s">
        <v>586</v>
      </c>
      <c r="E21" s="749">
        <v>62667</v>
      </c>
      <c r="F21" s="749">
        <v>62667</v>
      </c>
      <c r="G21" s="738" t="s">
        <v>972</v>
      </c>
      <c r="H21" s="9"/>
      <c r="I21" s="752" t="s">
        <v>623</v>
      </c>
      <c r="J21" s="752"/>
      <c r="K21" s="754"/>
      <c r="L21" s="180">
        <f t="shared" si="1"/>
        <v>62667</v>
      </c>
      <c r="M21" s="738"/>
    </row>
    <row r="22" spans="1:13">
      <c r="A22" s="413">
        <f t="shared" si="0"/>
        <v>11</v>
      </c>
      <c r="B22" s="738">
        <v>1630</v>
      </c>
      <c r="C22" s="738">
        <v>3470</v>
      </c>
      <c r="D22" s="738" t="s">
        <v>964</v>
      </c>
      <c r="E22" s="749">
        <v>202969</v>
      </c>
      <c r="F22" s="749">
        <v>202969</v>
      </c>
      <c r="G22" s="738" t="s">
        <v>973</v>
      </c>
      <c r="H22" s="9"/>
      <c r="I22" s="752" t="s">
        <v>623</v>
      </c>
      <c r="J22" s="752"/>
      <c r="K22" s="754"/>
      <c r="L22" s="180">
        <f t="shared" si="1"/>
        <v>202969</v>
      </c>
      <c r="M22" s="738"/>
    </row>
    <row r="23" spans="1:13">
      <c r="A23" s="413">
        <f t="shared" si="0"/>
        <v>12</v>
      </c>
      <c r="B23" s="738">
        <v>1630</v>
      </c>
      <c r="C23" s="738">
        <v>3482</v>
      </c>
      <c r="D23" s="738" t="s">
        <v>588</v>
      </c>
      <c r="E23" s="749">
        <v>25692</v>
      </c>
      <c r="F23" s="749">
        <v>378848</v>
      </c>
      <c r="G23" s="738" t="s">
        <v>973</v>
      </c>
      <c r="H23" s="9"/>
      <c r="I23" s="752" t="s">
        <v>623</v>
      </c>
      <c r="J23" s="752"/>
      <c r="K23" s="754"/>
      <c r="L23" s="180">
        <f t="shared" si="1"/>
        <v>202270</v>
      </c>
      <c r="M23" s="738"/>
    </row>
    <row r="24" spans="1:13">
      <c r="A24" s="413">
        <f t="shared" si="0"/>
        <v>13</v>
      </c>
      <c r="B24" s="738">
        <v>1630</v>
      </c>
      <c r="C24" s="738">
        <v>3483</v>
      </c>
      <c r="D24" s="738" t="s">
        <v>961</v>
      </c>
      <c r="E24" s="749">
        <v>76465</v>
      </c>
      <c r="F24" s="749">
        <v>80010</v>
      </c>
      <c r="G24" s="738" t="s">
        <v>973</v>
      </c>
      <c r="H24" s="9"/>
      <c r="I24" s="752" t="s">
        <v>623</v>
      </c>
      <c r="J24" s="752"/>
      <c r="K24" s="754"/>
      <c r="L24" s="180">
        <f t="shared" si="1"/>
        <v>78237.5</v>
      </c>
      <c r="M24" s="738"/>
    </row>
    <row r="25" spans="1:13">
      <c r="A25" s="413">
        <f t="shared" si="0"/>
        <v>14</v>
      </c>
      <c r="B25" s="738">
        <v>1630</v>
      </c>
      <c r="C25" s="738">
        <v>3484</v>
      </c>
      <c r="D25" s="738" t="s">
        <v>602</v>
      </c>
      <c r="E25" s="749">
        <v>31605</v>
      </c>
      <c r="F25" s="749">
        <v>-55062</v>
      </c>
      <c r="G25" s="738" t="s">
        <v>973</v>
      </c>
      <c r="H25" s="9"/>
      <c r="I25" s="752" t="s">
        <v>623</v>
      </c>
      <c r="J25" s="752"/>
      <c r="K25" s="754"/>
      <c r="L25" s="180">
        <f t="shared" si="1"/>
        <v>-11728.5</v>
      </c>
      <c r="M25" s="738"/>
    </row>
    <row r="26" spans="1:13">
      <c r="A26" s="413">
        <f t="shared" si="0"/>
        <v>15</v>
      </c>
      <c r="B26" s="738">
        <v>1637</v>
      </c>
      <c r="C26" s="738">
        <v>3548</v>
      </c>
      <c r="D26" s="738" t="s">
        <v>955</v>
      </c>
      <c r="E26" s="749">
        <v>0</v>
      </c>
      <c r="F26" s="749">
        <v>10526</v>
      </c>
      <c r="G26" s="738" t="s">
        <v>974</v>
      </c>
      <c r="H26" s="9"/>
      <c r="I26" s="752" t="s">
        <v>623</v>
      </c>
      <c r="J26" s="752"/>
      <c r="K26" s="754"/>
      <c r="L26" s="180">
        <f t="shared" si="1"/>
        <v>5263</v>
      </c>
      <c r="M26" s="738"/>
    </row>
    <row r="27" spans="1:13">
      <c r="A27" s="413">
        <f t="shared" si="0"/>
        <v>16</v>
      </c>
      <c r="B27" s="738">
        <v>1668</v>
      </c>
      <c r="C27" s="738">
        <v>6668</v>
      </c>
      <c r="D27" s="738" t="s">
        <v>966</v>
      </c>
      <c r="E27" s="749">
        <v>0</v>
      </c>
      <c r="F27" s="749">
        <v>13216</v>
      </c>
      <c r="G27" s="738" t="s">
        <v>975</v>
      </c>
      <c r="H27" s="9"/>
      <c r="I27" s="752" t="s">
        <v>623</v>
      </c>
      <c r="J27" s="752"/>
      <c r="K27" s="754"/>
      <c r="L27" s="180">
        <f t="shared" si="1"/>
        <v>6608</v>
      </c>
      <c r="M27" s="738"/>
    </row>
    <row r="28" spans="1:13">
      <c r="A28" s="413">
        <f t="shared" si="0"/>
        <v>17</v>
      </c>
      <c r="B28" s="738">
        <v>1674</v>
      </c>
      <c r="C28" s="738">
        <v>6668</v>
      </c>
      <c r="D28" s="738" t="s">
        <v>966</v>
      </c>
      <c r="E28" s="749">
        <v>0</v>
      </c>
      <c r="F28" s="749">
        <v>21477</v>
      </c>
      <c r="G28" s="738" t="s">
        <v>976</v>
      </c>
      <c r="H28" s="9"/>
      <c r="I28" s="752" t="s">
        <v>623</v>
      </c>
      <c r="J28" s="752"/>
      <c r="K28" s="754"/>
      <c r="L28" s="180">
        <f t="shared" si="1"/>
        <v>10738.5</v>
      </c>
      <c r="M28" s="738"/>
    </row>
    <row r="29" spans="1:13">
      <c r="A29" s="413">
        <f t="shared" si="0"/>
        <v>18</v>
      </c>
      <c r="B29" s="738">
        <v>1677</v>
      </c>
      <c r="C29" s="738">
        <v>3546</v>
      </c>
      <c r="D29" s="738" t="s">
        <v>967</v>
      </c>
      <c r="E29" s="749">
        <v>1029</v>
      </c>
      <c r="F29" s="749">
        <v>26513</v>
      </c>
      <c r="G29" s="738" t="s">
        <v>977</v>
      </c>
      <c r="H29" s="9"/>
      <c r="I29" s="752" t="s">
        <v>623</v>
      </c>
      <c r="J29" s="752"/>
      <c r="K29" s="754"/>
      <c r="L29" s="180">
        <f t="shared" si="1"/>
        <v>13771</v>
      </c>
      <c r="M29" s="738"/>
    </row>
    <row r="30" spans="1:13">
      <c r="A30" s="413">
        <f t="shared" si="0"/>
        <v>19</v>
      </c>
      <c r="B30" s="738">
        <v>1710</v>
      </c>
      <c r="C30" s="738">
        <v>3548</v>
      </c>
      <c r="D30" s="738" t="s">
        <v>955</v>
      </c>
      <c r="E30" s="749">
        <v>28815</v>
      </c>
      <c r="F30" s="749">
        <v>32763</v>
      </c>
      <c r="G30" s="738" t="s">
        <v>978</v>
      </c>
      <c r="H30" s="9"/>
      <c r="I30" s="752" t="s">
        <v>623</v>
      </c>
      <c r="J30" s="752"/>
      <c r="K30" s="754"/>
      <c r="L30" s="180">
        <f t="shared" si="1"/>
        <v>30789</v>
      </c>
      <c r="M30" s="738"/>
    </row>
    <row r="31" spans="1:13">
      <c r="A31" s="413">
        <f t="shared" si="0"/>
        <v>20</v>
      </c>
      <c r="B31" s="738">
        <v>1722</v>
      </c>
      <c r="C31" s="738">
        <v>3482</v>
      </c>
      <c r="D31" s="738" t="s">
        <v>588</v>
      </c>
      <c r="E31" s="749">
        <v>257390</v>
      </c>
      <c r="F31" s="749">
        <v>257390</v>
      </c>
      <c r="G31" s="738" t="s">
        <v>979</v>
      </c>
      <c r="H31" s="9"/>
      <c r="I31" s="752" t="s">
        <v>623</v>
      </c>
      <c r="J31" s="752"/>
      <c r="K31" s="754"/>
      <c r="L31" s="180">
        <f t="shared" si="1"/>
        <v>257390</v>
      </c>
      <c r="M31" s="738"/>
    </row>
    <row r="32" spans="1:13">
      <c r="A32" s="413">
        <f t="shared" si="0"/>
        <v>21</v>
      </c>
      <c r="B32" s="738">
        <v>3719</v>
      </c>
      <c r="C32" s="738">
        <v>5640</v>
      </c>
      <c r="D32" s="738" t="s">
        <v>956</v>
      </c>
      <c r="E32" s="749">
        <v>3024</v>
      </c>
      <c r="F32" s="749">
        <v>27753</v>
      </c>
      <c r="G32" s="738" t="s">
        <v>980</v>
      </c>
      <c r="H32" s="9"/>
      <c r="I32" s="752" t="s">
        <v>623</v>
      </c>
      <c r="J32" s="752"/>
      <c r="K32" s="754"/>
      <c r="L32" s="180">
        <f t="shared" si="1"/>
        <v>15388.5</v>
      </c>
      <c r="M32" s="738"/>
    </row>
    <row r="33" spans="1:13">
      <c r="A33" s="413">
        <f t="shared" si="0"/>
        <v>22</v>
      </c>
      <c r="B33" s="738">
        <v>3722</v>
      </c>
      <c r="C33" s="738">
        <v>3491</v>
      </c>
      <c r="D33" s="738" t="s">
        <v>603</v>
      </c>
      <c r="E33" s="749">
        <v>504673</v>
      </c>
      <c r="F33" s="749">
        <v>504815</v>
      </c>
      <c r="G33" s="738" t="s">
        <v>981</v>
      </c>
      <c r="H33" s="9"/>
      <c r="I33" s="752" t="s">
        <v>623</v>
      </c>
      <c r="J33" s="752"/>
      <c r="K33" s="754"/>
      <c r="L33" s="180">
        <f t="shared" si="1"/>
        <v>504744</v>
      </c>
      <c r="M33" s="738"/>
    </row>
    <row r="34" spans="1:13">
      <c r="A34" s="413">
        <f t="shared" si="0"/>
        <v>23</v>
      </c>
      <c r="B34" s="738">
        <v>3724</v>
      </c>
      <c r="C34" s="738">
        <v>3491</v>
      </c>
      <c r="D34" s="738" t="s">
        <v>603</v>
      </c>
      <c r="E34" s="749">
        <v>85133</v>
      </c>
      <c r="F34" s="749">
        <v>85133</v>
      </c>
      <c r="G34" s="738" t="s">
        <v>982</v>
      </c>
      <c r="H34" s="9"/>
      <c r="I34" s="752" t="s">
        <v>623</v>
      </c>
      <c r="J34" s="752"/>
      <c r="K34" s="754"/>
      <c r="L34" s="180">
        <f t="shared" si="1"/>
        <v>85133</v>
      </c>
      <c r="M34" s="738"/>
    </row>
    <row r="35" spans="1:13">
      <c r="A35" s="413">
        <f t="shared" si="0"/>
        <v>24</v>
      </c>
      <c r="B35" s="738">
        <v>3726</v>
      </c>
      <c r="C35" s="738">
        <v>3491</v>
      </c>
      <c r="D35" s="738" t="s">
        <v>603</v>
      </c>
      <c r="E35" s="749">
        <v>66955</v>
      </c>
      <c r="F35" s="749">
        <v>90412</v>
      </c>
      <c r="G35" s="738" t="s">
        <v>983</v>
      </c>
      <c r="H35" s="9"/>
      <c r="I35" s="752" t="s">
        <v>623</v>
      </c>
      <c r="J35" s="752"/>
      <c r="K35" s="754"/>
      <c r="L35" s="180">
        <f t="shared" si="1"/>
        <v>78683.5</v>
      </c>
      <c r="M35" s="738"/>
    </row>
    <row r="36" spans="1:13">
      <c r="A36" s="413">
        <f t="shared" si="0"/>
        <v>25</v>
      </c>
      <c r="B36" s="738">
        <v>3729</v>
      </c>
      <c r="C36" s="738">
        <v>3491</v>
      </c>
      <c r="D36" s="738" t="s">
        <v>603</v>
      </c>
      <c r="E36" s="749">
        <v>17956</v>
      </c>
      <c r="F36" s="749">
        <v>17956</v>
      </c>
      <c r="G36" s="738" t="s">
        <v>984</v>
      </c>
      <c r="H36" s="9"/>
      <c r="I36" s="752" t="s">
        <v>623</v>
      </c>
      <c r="J36" s="752"/>
      <c r="K36" s="754"/>
      <c r="L36" s="180">
        <f t="shared" ref="L36:L43" si="2">IF(K36&gt;0,(E36+F36)/2*K36,(E36+F36)/2)</f>
        <v>17956</v>
      </c>
      <c r="M36" s="738"/>
    </row>
    <row r="37" spans="1:13">
      <c r="A37" s="413">
        <f t="shared" si="0"/>
        <v>26</v>
      </c>
      <c r="B37" s="738">
        <v>3734</v>
      </c>
      <c r="C37" s="738">
        <v>3491</v>
      </c>
      <c r="D37" s="738" t="s">
        <v>603</v>
      </c>
      <c r="E37" s="749">
        <v>10283</v>
      </c>
      <c r="F37" s="749">
        <v>10283</v>
      </c>
      <c r="G37" s="738" t="s">
        <v>985</v>
      </c>
      <c r="H37" s="9"/>
      <c r="I37" s="752" t="s">
        <v>623</v>
      </c>
      <c r="J37" s="752"/>
      <c r="K37" s="754"/>
      <c r="L37" s="180">
        <f t="shared" si="2"/>
        <v>10283</v>
      </c>
      <c r="M37" s="738"/>
    </row>
    <row r="38" spans="1:13">
      <c r="A38" s="413">
        <f t="shared" si="0"/>
        <v>27</v>
      </c>
      <c r="B38" s="738">
        <v>3773</v>
      </c>
      <c r="C38" s="738">
        <v>3491</v>
      </c>
      <c r="D38" s="738" t="s">
        <v>603</v>
      </c>
      <c r="E38" s="749">
        <v>29912</v>
      </c>
      <c r="F38" s="749">
        <v>29912</v>
      </c>
      <c r="G38" s="738" t="s">
        <v>986</v>
      </c>
      <c r="H38" s="9"/>
      <c r="I38" s="752" t="s">
        <v>623</v>
      </c>
      <c r="J38" s="752"/>
      <c r="K38" s="754"/>
      <c r="L38" s="180">
        <f t="shared" si="2"/>
        <v>29912</v>
      </c>
      <c r="M38" s="738"/>
    </row>
    <row r="39" spans="1:13">
      <c r="A39" s="413">
        <f t="shared" si="0"/>
        <v>28</v>
      </c>
      <c r="B39" s="738">
        <v>3774</v>
      </c>
      <c r="C39" s="738">
        <v>3491</v>
      </c>
      <c r="D39" s="738" t="s">
        <v>603</v>
      </c>
      <c r="E39" s="749">
        <v>21216</v>
      </c>
      <c r="F39" s="749">
        <v>21216</v>
      </c>
      <c r="G39" s="738" t="s">
        <v>987</v>
      </c>
      <c r="H39" s="9"/>
      <c r="I39" s="752" t="s">
        <v>623</v>
      </c>
      <c r="J39" s="752"/>
      <c r="K39" s="754"/>
      <c r="L39" s="180">
        <f t="shared" si="2"/>
        <v>21216</v>
      </c>
      <c r="M39" s="738"/>
    </row>
    <row r="40" spans="1:13">
      <c r="A40" s="413">
        <f t="shared" si="0"/>
        <v>29</v>
      </c>
      <c r="B40" s="738">
        <v>3775</v>
      </c>
      <c r="C40" s="738">
        <v>3491</v>
      </c>
      <c r="D40" s="738" t="s">
        <v>603</v>
      </c>
      <c r="E40" s="749">
        <v>286573</v>
      </c>
      <c r="F40" s="749">
        <v>289314</v>
      </c>
      <c r="G40" s="738" t="s">
        <v>988</v>
      </c>
      <c r="H40" s="9"/>
      <c r="I40" s="752" t="s">
        <v>623</v>
      </c>
      <c r="J40" s="752"/>
      <c r="K40" s="754"/>
      <c r="L40" s="180">
        <f t="shared" si="2"/>
        <v>287943.5</v>
      </c>
      <c r="M40" s="738"/>
    </row>
    <row r="41" spans="1:13">
      <c r="A41" s="413">
        <f t="shared" si="0"/>
        <v>30</v>
      </c>
      <c r="B41" s="738">
        <v>3780</v>
      </c>
      <c r="C41" s="738">
        <v>3491</v>
      </c>
      <c r="D41" s="738" t="s">
        <v>603</v>
      </c>
      <c r="E41" s="749">
        <v>31451</v>
      </c>
      <c r="F41" s="749">
        <v>31451</v>
      </c>
      <c r="G41" s="738" t="s">
        <v>989</v>
      </c>
      <c r="H41" s="9"/>
      <c r="I41" s="752" t="s">
        <v>623</v>
      </c>
      <c r="J41" s="752"/>
      <c r="K41" s="754"/>
      <c r="L41" s="180">
        <f t="shared" si="2"/>
        <v>31451</v>
      </c>
      <c r="M41" s="738"/>
    </row>
    <row r="42" spans="1:13">
      <c r="A42" s="413">
        <f t="shared" si="0"/>
        <v>31</v>
      </c>
      <c r="B42" s="738">
        <v>3794</v>
      </c>
      <c r="C42" s="738">
        <v>3491</v>
      </c>
      <c r="D42" s="738" t="s">
        <v>603</v>
      </c>
      <c r="E42" s="749">
        <v>1623</v>
      </c>
      <c r="F42" s="749">
        <v>1623</v>
      </c>
      <c r="G42" s="738" t="s">
        <v>990</v>
      </c>
      <c r="H42" s="9"/>
      <c r="I42" s="752" t="s">
        <v>623</v>
      </c>
      <c r="J42" s="752"/>
      <c r="K42" s="754"/>
      <c r="L42" s="180">
        <f t="shared" si="2"/>
        <v>1623</v>
      </c>
      <c r="M42" s="738"/>
    </row>
    <row r="43" spans="1:13">
      <c r="A43" s="413">
        <f t="shared" si="0"/>
        <v>32</v>
      </c>
      <c r="B43" s="738"/>
      <c r="C43" s="738"/>
      <c r="D43" s="738"/>
      <c r="E43" s="749"/>
      <c r="F43" s="749"/>
      <c r="G43" s="738"/>
      <c r="H43" s="9"/>
      <c r="I43" s="752"/>
      <c r="J43" s="752"/>
      <c r="K43" s="754"/>
      <c r="L43" s="180">
        <f t="shared" si="2"/>
        <v>0</v>
      </c>
      <c r="M43" s="738"/>
    </row>
    <row r="44" spans="1:13">
      <c r="A44" s="413"/>
      <c r="B44" s="9"/>
      <c r="C44" s="9"/>
      <c r="D44" s="9"/>
      <c r="E44" s="9"/>
      <c r="F44" s="9"/>
      <c r="G44" s="9"/>
      <c r="H44" s="9"/>
      <c r="I44" s="9"/>
      <c r="J44" s="9"/>
      <c r="K44" s="9"/>
      <c r="L44" s="569"/>
      <c r="M44" s="9"/>
    </row>
    <row r="45" spans="1:13">
      <c r="A45" s="413">
        <f>A43+1</f>
        <v>33</v>
      </c>
      <c r="B45" s="9"/>
      <c r="C45" s="9"/>
      <c r="D45" s="9" t="s">
        <v>590</v>
      </c>
      <c r="E45" s="9"/>
      <c r="F45" s="9"/>
      <c r="G45" s="9"/>
      <c r="H45" s="9"/>
      <c r="I45" s="9"/>
      <c r="J45" s="9"/>
      <c r="K45" s="9"/>
      <c r="L45" s="570">
        <f>SUM(L12:L43)</f>
        <v>3317262</v>
      </c>
      <c r="M45" s="9"/>
    </row>
    <row r="46" spans="1:13">
      <c r="A46" s="413"/>
      <c r="B46" s="9"/>
      <c r="C46" s="9"/>
      <c r="D46" s="9"/>
      <c r="E46" s="9"/>
      <c r="F46" s="9"/>
      <c r="G46" s="9"/>
      <c r="H46" s="9"/>
      <c r="I46" s="9"/>
      <c r="J46" s="9"/>
      <c r="K46" s="9"/>
      <c r="L46" s="9"/>
      <c r="M46" s="9"/>
    </row>
    <row r="47" spans="1:13">
      <c r="A47" s="413">
        <f>A45+1</f>
        <v>34</v>
      </c>
      <c r="B47" s="216" t="s">
        <v>474</v>
      </c>
      <c r="C47" s="9"/>
      <c r="D47" s="9"/>
      <c r="E47" s="9"/>
      <c r="F47" s="9"/>
      <c r="G47" s="9"/>
      <c r="H47" s="9"/>
      <c r="I47" s="9"/>
      <c r="J47" s="9"/>
      <c r="K47" s="9"/>
      <c r="L47" s="9"/>
      <c r="M47" s="9"/>
    </row>
    <row r="48" spans="1:13">
      <c r="A48" s="413">
        <f>A47+1</f>
        <v>35</v>
      </c>
      <c r="B48" s="9" t="s">
        <v>847</v>
      </c>
      <c r="C48" s="9"/>
      <c r="D48" s="9"/>
      <c r="E48" s="9"/>
      <c r="F48" s="9"/>
      <c r="G48" s="9"/>
      <c r="H48" s="9"/>
      <c r="I48" s="9"/>
      <c r="J48" s="9"/>
      <c r="K48" s="9"/>
      <c r="L48" s="9"/>
      <c r="M48" s="9"/>
    </row>
    <row r="49" spans="1:2">
      <c r="A49" s="413">
        <f>A48+1</f>
        <v>36</v>
      </c>
      <c r="B49" s="698" t="s">
        <v>937</v>
      </c>
    </row>
    <row r="50" spans="1:2">
      <c r="A50" s="413">
        <f>A49+1</f>
        <v>37</v>
      </c>
      <c r="B50" s="698" t="s">
        <v>920</v>
      </c>
    </row>
    <row r="60" spans="1:2">
      <c r="B60" s="217"/>
    </row>
  </sheetData>
  <printOptions horizontalCentered="1"/>
  <pageMargins left="0.7" right="0.7" top="0.75" bottom="0.75" header="0.3" footer="0.3"/>
  <pageSetup scale="55" fitToHeight="0"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workbookViewId="0"/>
  </sheetViews>
  <sheetFormatPr defaultColWidth="8.75" defaultRowHeight="14.25"/>
  <cols>
    <col min="1" max="1" width="8.75" style="194"/>
    <col min="2" max="2" width="41" style="194" bestFit="1" customWidth="1"/>
    <col min="3" max="3" width="15.625" style="194" bestFit="1" customWidth="1"/>
    <col min="4" max="6" width="9.625" style="194" customWidth="1"/>
    <col min="7" max="9" width="12.375" style="194" customWidth="1"/>
    <col min="10" max="10" width="10" style="194" customWidth="1"/>
    <col min="11" max="11" width="17.875" style="194" customWidth="1"/>
    <col min="12" max="12" width="13.625" style="194" customWidth="1"/>
    <col min="13" max="15" width="6.625" style="195" customWidth="1"/>
    <col min="16" max="16" width="8.75" style="195"/>
    <col min="17" max="17" width="40.25" style="195" customWidth="1"/>
    <col min="18" max="16384" width="8.75" style="194"/>
  </cols>
  <sheetData>
    <row r="1" spans="1:17">
      <c r="P1" s="321" t="str">
        <f>'Worksheet Q Compl Not Class'!P1</f>
        <v xml:space="preserve"> </v>
      </c>
      <c r="Q1" s="196"/>
    </row>
    <row r="2" spans="1:17">
      <c r="L2" s="168" t="s">
        <v>836</v>
      </c>
      <c r="P2" s="168"/>
      <c r="Q2" s="197"/>
    </row>
    <row r="3" spans="1:17">
      <c r="L3" s="168" t="s">
        <v>591</v>
      </c>
      <c r="P3" s="168"/>
    </row>
    <row r="4" spans="1:17">
      <c r="B4" s="7"/>
      <c r="C4" s="7"/>
      <c r="D4" s="7"/>
    </row>
    <row r="5" spans="1:17" ht="20.25">
      <c r="B5" s="559" t="str">
        <f>Index!B2</f>
        <v>Tri-State Generation and Transmission Association, Inc.</v>
      </c>
      <c r="C5" s="7"/>
      <c r="D5" s="7"/>
    </row>
    <row r="6" spans="1:17" ht="20.25">
      <c r="B6" s="489"/>
      <c r="C6" s="7"/>
      <c r="D6" s="7"/>
    </row>
    <row r="7" spans="1:17" ht="15">
      <c r="B7" s="538" t="str">
        <f>Index!C28</f>
        <v>Construction Work in Progress</v>
      </c>
      <c r="C7" s="7"/>
      <c r="D7" s="7"/>
    </row>
    <row r="8" spans="1:17" ht="15">
      <c r="B8" s="538" t="str">
        <f>Index!B5</f>
        <v>Year Ending December 31, 2016</v>
      </c>
      <c r="C8" s="7"/>
      <c r="D8" s="7"/>
    </row>
    <row r="9" spans="1:17">
      <c r="B9" s="7"/>
      <c r="C9" s="7"/>
      <c r="D9" s="7"/>
    </row>
    <row r="10" spans="1:17" ht="15">
      <c r="A10" s="4" t="s">
        <v>18</v>
      </c>
      <c r="B10" s="4" t="s">
        <v>19</v>
      </c>
      <c r="C10" s="4" t="s">
        <v>20</v>
      </c>
      <c r="D10" s="4" t="s">
        <v>21</v>
      </c>
      <c r="E10" s="4" t="s">
        <v>22</v>
      </c>
      <c r="F10" s="4" t="s">
        <v>23</v>
      </c>
      <c r="G10" s="4" t="s">
        <v>24</v>
      </c>
      <c r="H10" s="4" t="s">
        <v>25</v>
      </c>
      <c r="I10" s="4" t="s">
        <v>134</v>
      </c>
      <c r="J10" s="4" t="s">
        <v>135</v>
      </c>
      <c r="K10" s="4" t="s">
        <v>369</v>
      </c>
      <c r="L10" s="4" t="s">
        <v>368</v>
      </c>
      <c r="M10" s="107"/>
      <c r="N10" s="107"/>
      <c r="O10" s="107"/>
      <c r="P10" s="107"/>
      <c r="Q10" s="107"/>
    </row>
    <row r="11" spans="1:17" ht="75">
      <c r="A11" s="212" t="s">
        <v>415</v>
      </c>
      <c r="B11" s="198" t="s">
        <v>592</v>
      </c>
      <c r="C11" s="198" t="s">
        <v>593</v>
      </c>
      <c r="D11" s="199" t="s">
        <v>594</v>
      </c>
      <c r="E11" s="269" t="s">
        <v>595</v>
      </c>
      <c r="F11" s="199" t="s">
        <v>596</v>
      </c>
      <c r="G11" s="199" t="s">
        <v>597</v>
      </c>
      <c r="H11" s="630" t="s">
        <v>598</v>
      </c>
      <c r="I11" s="630" t="s">
        <v>599</v>
      </c>
      <c r="J11" s="200" t="s">
        <v>600</v>
      </c>
      <c r="K11" s="630" t="s">
        <v>811</v>
      </c>
      <c r="L11" s="630" t="s">
        <v>629</v>
      </c>
      <c r="M11" s="107"/>
      <c r="N11" s="107"/>
      <c r="O11" s="107"/>
      <c r="P11" s="201"/>
      <c r="Q11" s="202"/>
    </row>
    <row r="12" spans="1:17">
      <c r="A12" s="49">
        <v>1</v>
      </c>
      <c r="B12" s="738" t="s">
        <v>955</v>
      </c>
      <c r="C12" s="738"/>
      <c r="D12" s="203">
        <v>0.5</v>
      </c>
      <c r="E12" s="49" t="s">
        <v>601</v>
      </c>
      <c r="F12" s="738" t="s">
        <v>959</v>
      </c>
      <c r="G12" s="738" t="s">
        <v>1005</v>
      </c>
      <c r="H12" s="738" t="s">
        <v>1005</v>
      </c>
      <c r="I12" s="738">
        <v>9145</v>
      </c>
      <c r="J12" s="756">
        <v>35315</v>
      </c>
      <c r="K12" s="204">
        <f>AVERAGE(I12:J12)/2</f>
        <v>11115</v>
      </c>
      <c r="L12" s="684">
        <f>K12*D12</f>
        <v>5557.5</v>
      </c>
      <c r="M12" s="571"/>
      <c r="N12" s="205"/>
      <c r="O12" s="205"/>
      <c r="P12" s="206"/>
    </row>
    <row r="13" spans="1:17">
      <c r="A13" s="49">
        <f t="shared" ref="A13:A24" si="0">+A12+1</f>
        <v>2</v>
      </c>
      <c r="B13" s="738" t="s">
        <v>957</v>
      </c>
      <c r="C13" s="738"/>
      <c r="D13" s="203">
        <v>0.5</v>
      </c>
      <c r="E13" s="49" t="s">
        <v>601</v>
      </c>
      <c r="F13" s="738" t="s">
        <v>960</v>
      </c>
      <c r="G13" s="785" t="s">
        <v>1004</v>
      </c>
      <c r="H13" s="785" t="s">
        <v>1003</v>
      </c>
      <c r="I13" s="738">
        <v>83072</v>
      </c>
      <c r="J13" s="756">
        <v>165486</v>
      </c>
      <c r="K13" s="204">
        <f t="shared" ref="K13:K25" si="1">AVERAGE(I13:J13)/2</f>
        <v>62139.5</v>
      </c>
      <c r="L13" s="266">
        <f t="shared" ref="L13:L25" si="2">K13*D13</f>
        <v>31069.75</v>
      </c>
      <c r="M13" s="571"/>
      <c r="N13" s="205"/>
      <c r="O13" s="205"/>
      <c r="P13" s="207"/>
    </row>
    <row r="14" spans="1:17">
      <c r="A14" s="49">
        <f t="shared" si="0"/>
        <v>3</v>
      </c>
      <c r="B14" s="738" t="s">
        <v>991</v>
      </c>
      <c r="C14" s="738"/>
      <c r="D14" s="203">
        <v>0.5</v>
      </c>
      <c r="E14" s="49" t="s">
        <v>601</v>
      </c>
      <c r="F14" s="738" t="s">
        <v>994</v>
      </c>
      <c r="G14" s="785">
        <v>42740</v>
      </c>
      <c r="H14" s="785">
        <v>42747</v>
      </c>
      <c r="I14" s="756">
        <v>0</v>
      </c>
      <c r="J14" s="756">
        <v>5083</v>
      </c>
      <c r="K14" s="204">
        <f t="shared" si="1"/>
        <v>1270.75</v>
      </c>
      <c r="L14" s="266">
        <f t="shared" si="2"/>
        <v>635.375</v>
      </c>
      <c r="M14" s="571"/>
      <c r="N14" s="205"/>
      <c r="O14" s="205"/>
      <c r="P14" s="207"/>
    </row>
    <row r="15" spans="1:17">
      <c r="A15" s="49">
        <f t="shared" si="0"/>
        <v>4</v>
      </c>
      <c r="B15" s="738" t="s">
        <v>967</v>
      </c>
      <c r="C15" s="738"/>
      <c r="D15" s="203">
        <v>0.5</v>
      </c>
      <c r="E15" s="49" t="s">
        <v>601</v>
      </c>
      <c r="F15" s="738" t="s">
        <v>995</v>
      </c>
      <c r="G15" s="785" t="s">
        <v>1003</v>
      </c>
      <c r="H15" s="785" t="s">
        <v>1003</v>
      </c>
      <c r="I15" s="738">
        <v>4041</v>
      </c>
      <c r="J15" s="756">
        <v>4236</v>
      </c>
      <c r="K15" s="204">
        <f t="shared" si="1"/>
        <v>2069.25</v>
      </c>
      <c r="L15" s="266">
        <f t="shared" si="2"/>
        <v>1034.625</v>
      </c>
      <c r="M15" s="571"/>
      <c r="N15" s="205"/>
      <c r="O15" s="205"/>
      <c r="P15" s="206"/>
    </row>
    <row r="16" spans="1:17">
      <c r="A16" s="49">
        <f t="shared" si="0"/>
        <v>5</v>
      </c>
      <c r="B16" s="738" t="s">
        <v>967</v>
      </c>
      <c r="C16" s="738"/>
      <c r="D16" s="203">
        <v>0.5</v>
      </c>
      <c r="E16" s="49" t="s">
        <v>601</v>
      </c>
      <c r="F16" s="738" t="s">
        <v>996</v>
      </c>
      <c r="G16" s="785" t="s">
        <v>1003</v>
      </c>
      <c r="H16" s="785" t="s">
        <v>1003</v>
      </c>
      <c r="I16" s="738">
        <v>38710</v>
      </c>
      <c r="J16" s="756">
        <v>45636</v>
      </c>
      <c r="K16" s="204">
        <f t="shared" si="1"/>
        <v>21086.5</v>
      </c>
      <c r="L16" s="266">
        <f t="shared" si="2"/>
        <v>10543.25</v>
      </c>
      <c r="M16" s="571"/>
      <c r="N16" s="205"/>
      <c r="O16" s="205"/>
      <c r="P16" s="206"/>
    </row>
    <row r="17" spans="1:17">
      <c r="A17" s="49">
        <f t="shared" si="0"/>
        <v>6</v>
      </c>
      <c r="B17" s="738" t="s">
        <v>992</v>
      </c>
      <c r="C17" s="738"/>
      <c r="D17" s="203">
        <v>0.5</v>
      </c>
      <c r="E17" s="49" t="s">
        <v>601</v>
      </c>
      <c r="F17" s="738" t="s">
        <v>997</v>
      </c>
      <c r="G17" s="785">
        <v>42445</v>
      </c>
      <c r="H17" s="785" t="s">
        <v>1003</v>
      </c>
      <c r="I17" s="738">
        <v>0</v>
      </c>
      <c r="J17" s="756">
        <v>32198</v>
      </c>
      <c r="K17" s="204">
        <f t="shared" si="1"/>
        <v>8049.5</v>
      </c>
      <c r="L17" s="266">
        <f t="shared" si="2"/>
        <v>4024.75</v>
      </c>
      <c r="M17" s="571"/>
      <c r="N17" s="205"/>
      <c r="O17" s="205"/>
      <c r="P17" s="206"/>
    </row>
    <row r="18" spans="1:17">
      <c r="A18" s="49">
        <f t="shared" si="0"/>
        <v>7</v>
      </c>
      <c r="B18" s="738" t="s">
        <v>993</v>
      </c>
      <c r="C18" s="738"/>
      <c r="D18" s="203">
        <v>0.5</v>
      </c>
      <c r="E18" s="49" t="s">
        <v>601</v>
      </c>
      <c r="F18" s="738" t="s">
        <v>998</v>
      </c>
      <c r="G18" s="785">
        <v>42361</v>
      </c>
      <c r="H18" s="785">
        <v>42832</v>
      </c>
      <c r="I18" s="738">
        <v>0</v>
      </c>
      <c r="J18" s="756">
        <v>2486</v>
      </c>
      <c r="K18" s="204">
        <f t="shared" si="1"/>
        <v>621.5</v>
      </c>
      <c r="L18" s="266">
        <f t="shared" si="2"/>
        <v>310.75</v>
      </c>
      <c r="M18" s="571"/>
      <c r="N18" s="205"/>
      <c r="O18" s="205"/>
      <c r="P18" s="206"/>
    </row>
    <row r="19" spans="1:17">
      <c r="A19" s="49">
        <f t="shared" si="0"/>
        <v>8</v>
      </c>
      <c r="B19" s="738" t="s">
        <v>993</v>
      </c>
      <c r="C19" s="738"/>
      <c r="D19" s="203">
        <v>0.5</v>
      </c>
      <c r="E19" s="49" t="s">
        <v>601</v>
      </c>
      <c r="F19" s="738" t="s">
        <v>999</v>
      </c>
      <c r="G19" s="785">
        <v>42716</v>
      </c>
      <c r="H19" s="785">
        <v>42726</v>
      </c>
      <c r="I19" s="738">
        <v>0</v>
      </c>
      <c r="J19" s="756">
        <v>39076</v>
      </c>
      <c r="K19" s="204">
        <f t="shared" si="1"/>
        <v>9769</v>
      </c>
      <c r="L19" s="266">
        <f t="shared" si="2"/>
        <v>4884.5</v>
      </c>
      <c r="M19" s="571"/>
      <c r="N19" s="205"/>
      <c r="O19" s="205"/>
      <c r="P19" s="206"/>
    </row>
    <row r="20" spans="1:17">
      <c r="A20" s="49">
        <f t="shared" si="0"/>
        <v>9</v>
      </c>
      <c r="B20" s="738"/>
      <c r="C20" s="738"/>
      <c r="D20" s="203">
        <v>0.5</v>
      </c>
      <c r="E20" s="49" t="s">
        <v>601</v>
      </c>
      <c r="F20" s="738"/>
      <c r="G20" s="738"/>
      <c r="H20" s="738"/>
      <c r="I20" s="738"/>
      <c r="J20" s="756">
        <v>0</v>
      </c>
      <c r="K20" s="204">
        <f t="shared" si="1"/>
        <v>0</v>
      </c>
      <c r="L20" s="266">
        <f t="shared" si="2"/>
        <v>0</v>
      </c>
      <c r="M20" s="571"/>
      <c r="N20" s="205"/>
      <c r="O20" s="205"/>
      <c r="P20" s="206"/>
    </row>
    <row r="21" spans="1:17">
      <c r="A21" s="49">
        <f t="shared" si="0"/>
        <v>10</v>
      </c>
      <c r="B21" s="738"/>
      <c r="C21" s="738"/>
      <c r="D21" s="203">
        <v>0.5</v>
      </c>
      <c r="E21" s="49" t="s">
        <v>601</v>
      </c>
      <c r="F21" s="738"/>
      <c r="G21" s="738"/>
      <c r="H21" s="738"/>
      <c r="I21" s="738"/>
      <c r="J21" s="756">
        <v>0</v>
      </c>
      <c r="K21" s="204">
        <f t="shared" si="1"/>
        <v>0</v>
      </c>
      <c r="L21" s="266">
        <f t="shared" si="2"/>
        <v>0</v>
      </c>
      <c r="M21" s="571"/>
      <c r="N21" s="205"/>
      <c r="O21" s="205"/>
      <c r="P21" s="206"/>
    </row>
    <row r="22" spans="1:17">
      <c r="A22" s="49">
        <f t="shared" si="0"/>
        <v>11</v>
      </c>
      <c r="B22" s="738"/>
      <c r="C22" s="738"/>
      <c r="D22" s="203">
        <v>0.5</v>
      </c>
      <c r="E22" s="49" t="s">
        <v>601</v>
      </c>
      <c r="F22" s="738"/>
      <c r="G22" s="738"/>
      <c r="H22" s="738"/>
      <c r="I22" s="738"/>
      <c r="J22" s="756">
        <v>0</v>
      </c>
      <c r="K22" s="204">
        <f t="shared" si="1"/>
        <v>0</v>
      </c>
      <c r="L22" s="266">
        <f t="shared" si="2"/>
        <v>0</v>
      </c>
      <c r="M22" s="571"/>
      <c r="N22" s="205"/>
      <c r="O22" s="205"/>
      <c r="P22" s="206"/>
    </row>
    <row r="23" spans="1:17">
      <c r="A23" s="49">
        <f t="shared" si="0"/>
        <v>12</v>
      </c>
      <c r="B23" s="738"/>
      <c r="C23" s="738"/>
      <c r="D23" s="203">
        <v>0.5</v>
      </c>
      <c r="E23" s="49" t="s">
        <v>601</v>
      </c>
      <c r="F23" s="738"/>
      <c r="G23" s="738"/>
      <c r="H23" s="738"/>
      <c r="I23" s="738"/>
      <c r="J23" s="756">
        <v>0</v>
      </c>
      <c r="K23" s="204">
        <f t="shared" si="1"/>
        <v>0</v>
      </c>
      <c r="L23" s="266">
        <f t="shared" si="2"/>
        <v>0</v>
      </c>
      <c r="M23" s="571"/>
      <c r="N23" s="205"/>
      <c r="O23" s="205"/>
      <c r="P23" s="206"/>
      <c r="Q23" s="10"/>
    </row>
    <row r="24" spans="1:17">
      <c r="A24" s="49">
        <f t="shared" si="0"/>
        <v>13</v>
      </c>
      <c r="B24" s="738"/>
      <c r="C24" s="738"/>
      <c r="D24" s="203">
        <v>0.5</v>
      </c>
      <c r="E24" s="49" t="s">
        <v>601</v>
      </c>
      <c r="F24" s="738"/>
      <c r="G24" s="738"/>
      <c r="H24" s="738"/>
      <c r="I24" s="738"/>
      <c r="J24" s="756">
        <v>0</v>
      </c>
      <c r="K24" s="204">
        <f t="shared" si="1"/>
        <v>0</v>
      </c>
      <c r="L24" s="266">
        <f t="shared" si="2"/>
        <v>0</v>
      </c>
      <c r="M24" s="571"/>
      <c r="N24" s="205"/>
      <c r="O24" s="205"/>
      <c r="P24" s="206"/>
    </row>
    <row r="25" spans="1:17">
      <c r="A25" s="49">
        <f>+A24+1</f>
        <v>14</v>
      </c>
      <c r="B25" s="738"/>
      <c r="C25" s="738"/>
      <c r="D25" s="203">
        <v>0.5</v>
      </c>
      <c r="E25" s="49" t="s">
        <v>601</v>
      </c>
      <c r="F25" s="738"/>
      <c r="G25" s="738"/>
      <c r="H25" s="738"/>
      <c r="I25" s="738"/>
      <c r="J25" s="756">
        <v>0</v>
      </c>
      <c r="K25" s="204">
        <f t="shared" si="1"/>
        <v>0</v>
      </c>
      <c r="L25" s="266">
        <f t="shared" si="2"/>
        <v>0</v>
      </c>
      <c r="M25" s="571"/>
      <c r="N25" s="205"/>
      <c r="O25" s="205"/>
      <c r="P25" s="206"/>
    </row>
    <row r="26" spans="1:17">
      <c r="A26" s="49"/>
      <c r="B26" s="9"/>
      <c r="C26" s="9"/>
      <c r="D26" s="9"/>
      <c r="E26" s="9"/>
      <c r="F26" s="9"/>
      <c r="G26" s="9"/>
      <c r="H26" s="9"/>
      <c r="I26" s="9"/>
      <c r="J26" s="204"/>
      <c r="K26" s="9"/>
      <c r="L26" s="9"/>
      <c r="M26" s="572"/>
      <c r="N26" s="208"/>
      <c r="O26" s="208"/>
      <c r="P26" s="206"/>
    </row>
    <row r="27" spans="1:17">
      <c r="A27" s="49">
        <f>A25+1</f>
        <v>15</v>
      </c>
      <c r="B27" s="9"/>
      <c r="C27" s="9"/>
      <c r="D27" s="9"/>
      <c r="E27" s="9"/>
      <c r="F27" s="9"/>
      <c r="G27" s="9"/>
      <c r="H27" s="9"/>
      <c r="I27" s="204">
        <f>SUM(I12:I25)</f>
        <v>134968</v>
      </c>
      <c r="J27" s="204">
        <f>SUM(J12:J25)</f>
        <v>329516</v>
      </c>
      <c r="K27" s="204">
        <f>SUM(K12:K25)</f>
        <v>116121</v>
      </c>
      <c r="L27" s="573">
        <f>SUM(L12:L25)</f>
        <v>58060.5</v>
      </c>
      <c r="M27" s="572"/>
      <c r="N27" s="208"/>
      <c r="O27" s="208"/>
    </row>
    <row r="28" spans="1:17">
      <c r="A28" s="51"/>
      <c r="B28" s="9"/>
      <c r="C28" s="9"/>
      <c r="D28" s="9"/>
      <c r="E28" s="9"/>
      <c r="F28" s="9"/>
      <c r="G28" s="9"/>
      <c r="H28" s="9"/>
      <c r="I28" s="9"/>
      <c r="J28" s="9"/>
      <c r="K28" s="9"/>
      <c r="L28" s="9"/>
      <c r="M28" s="10"/>
    </row>
    <row r="29" spans="1:17">
      <c r="C29" s="9"/>
      <c r="D29" s="9"/>
      <c r="E29" s="9"/>
      <c r="F29" s="9"/>
      <c r="G29" s="9"/>
      <c r="H29" s="9"/>
      <c r="I29" s="9"/>
      <c r="J29" s="9"/>
      <c r="K29" s="9"/>
      <c r="L29" s="9"/>
      <c r="M29" s="10"/>
    </row>
    <row r="30" spans="1:17">
      <c r="A30" s="49">
        <f>A27+1</f>
        <v>16</v>
      </c>
      <c r="B30" s="209" t="s">
        <v>439</v>
      </c>
      <c r="C30" s="9"/>
      <c r="D30" s="9"/>
      <c r="E30" s="9"/>
      <c r="F30" s="9"/>
      <c r="G30" s="9"/>
      <c r="H30" s="9"/>
      <c r="I30" s="9"/>
      <c r="J30" s="9"/>
      <c r="K30" s="9"/>
      <c r="L30" s="9"/>
      <c r="M30" s="10"/>
    </row>
    <row r="31" spans="1:17">
      <c r="A31" s="49">
        <f>A30+1</f>
        <v>17</v>
      </c>
      <c r="B31" s="164" t="s">
        <v>848</v>
      </c>
      <c r="C31" s="9"/>
      <c r="D31" s="9"/>
      <c r="E31" s="9"/>
      <c r="F31" s="9"/>
      <c r="G31" s="9"/>
      <c r="H31" s="9"/>
      <c r="I31" s="9"/>
      <c r="J31" s="9"/>
      <c r="K31" s="9"/>
      <c r="L31" s="9"/>
      <c r="M31" s="10"/>
    </row>
    <row r="32" spans="1:17">
      <c r="A32" s="49">
        <f t="shared" ref="A32:A37" si="3">A31+1</f>
        <v>18</v>
      </c>
      <c r="B32" s="164" t="s">
        <v>849</v>
      </c>
      <c r="C32" s="9"/>
      <c r="D32" s="9"/>
      <c r="E32" s="9"/>
      <c r="F32" s="9"/>
      <c r="G32" s="9"/>
      <c r="H32" s="9"/>
      <c r="I32" s="9"/>
      <c r="J32" s="9"/>
      <c r="K32" s="9"/>
      <c r="L32" s="9"/>
      <c r="M32" s="10"/>
    </row>
    <row r="33" spans="1:13">
      <c r="A33" s="49">
        <f t="shared" si="3"/>
        <v>19</v>
      </c>
      <c r="B33" s="164" t="s">
        <v>850</v>
      </c>
      <c r="C33" s="9"/>
      <c r="D33" s="9"/>
      <c r="E33" s="9"/>
      <c r="F33" s="9"/>
      <c r="G33" s="9"/>
      <c r="H33" s="9"/>
      <c r="I33" s="9"/>
      <c r="J33" s="9"/>
      <c r="K33" s="9"/>
      <c r="L33" s="9"/>
      <c r="M33" s="10"/>
    </row>
    <row r="34" spans="1:13">
      <c r="A34" s="49">
        <f t="shared" si="3"/>
        <v>20</v>
      </c>
      <c r="B34" s="164" t="s">
        <v>604</v>
      </c>
      <c r="C34" s="9"/>
      <c r="D34" s="9"/>
      <c r="E34" s="9"/>
      <c r="F34" s="9"/>
      <c r="G34" s="9"/>
      <c r="H34" s="9"/>
      <c r="I34" s="9"/>
      <c r="J34" s="9"/>
      <c r="K34" s="9"/>
      <c r="L34" s="9"/>
      <c r="M34" s="10"/>
    </row>
    <row r="35" spans="1:13">
      <c r="A35" s="49">
        <f t="shared" si="3"/>
        <v>21</v>
      </c>
      <c r="B35" s="164" t="s">
        <v>605</v>
      </c>
      <c r="C35" s="9"/>
      <c r="D35" s="9"/>
      <c r="E35" s="9"/>
      <c r="F35" s="9"/>
      <c r="G35" s="9"/>
      <c r="H35" s="9"/>
      <c r="I35" s="9"/>
      <c r="J35" s="9"/>
      <c r="K35" s="9"/>
      <c r="L35" s="9"/>
      <c r="M35" s="10"/>
    </row>
    <row r="36" spans="1:13">
      <c r="A36" s="49">
        <f t="shared" si="3"/>
        <v>22</v>
      </c>
      <c r="B36" s="698" t="s">
        <v>938</v>
      </c>
    </row>
    <row r="37" spans="1:13">
      <c r="A37" s="49">
        <f t="shared" si="3"/>
        <v>23</v>
      </c>
      <c r="B37" s="698" t="s">
        <v>920</v>
      </c>
    </row>
  </sheetData>
  <printOptions horizontalCentered="1"/>
  <pageMargins left="0.7" right="0.7" top="0.75" bottom="0.75" header="0.3" footer="0.3"/>
  <pageSetup scale="62" fitToHeight="0"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workbookViewId="0"/>
  </sheetViews>
  <sheetFormatPr defaultColWidth="7.75" defaultRowHeight="15"/>
  <cols>
    <col min="1" max="1" width="5.5" style="166" customWidth="1"/>
    <col min="2" max="2" width="9.875" style="166" bestFit="1" customWidth="1"/>
    <col min="3" max="3" width="40.875" style="166" customWidth="1"/>
    <col min="4" max="4" width="15.375" style="166" bestFit="1" customWidth="1"/>
    <col min="5" max="5" width="3" style="166" customWidth="1"/>
    <col min="6" max="6" width="11.125" style="166" bestFit="1" customWidth="1"/>
    <col min="7" max="7" width="11.5" style="166" customWidth="1"/>
    <col min="8" max="8" width="10.375" style="166" bestFit="1" customWidth="1"/>
    <col min="9" max="9" width="10.25" style="166" bestFit="1" customWidth="1"/>
    <col min="10" max="10" width="15.75" style="166" customWidth="1"/>
    <col min="11" max="13" width="7.75" style="166"/>
    <col min="14" max="14" width="11.75" style="166" bestFit="1" customWidth="1"/>
    <col min="15" max="16384" width="7.75" style="166"/>
  </cols>
  <sheetData>
    <row r="1" spans="1:15">
      <c r="A1" s="165"/>
      <c r="B1" s="165"/>
      <c r="C1" s="165"/>
      <c r="D1" s="165"/>
      <c r="E1" s="165"/>
      <c r="F1" s="165"/>
      <c r="H1" s="165"/>
      <c r="I1" s="165" t="str">
        <f>'Worksheet R CWIP'!P1</f>
        <v xml:space="preserve"> </v>
      </c>
      <c r="K1" s="165"/>
      <c r="L1" s="167"/>
      <c r="M1" s="165"/>
      <c r="N1" s="165"/>
      <c r="O1" s="165"/>
    </row>
    <row r="2" spans="1:15">
      <c r="A2" s="165"/>
      <c r="B2" s="165"/>
      <c r="C2" s="165"/>
      <c r="D2" s="165"/>
      <c r="E2" s="165"/>
      <c r="F2" s="165"/>
      <c r="G2" s="168" t="s">
        <v>837</v>
      </c>
      <c r="H2" s="165"/>
      <c r="I2" s="168"/>
      <c r="K2" s="165"/>
      <c r="M2" s="165"/>
      <c r="N2" s="165"/>
      <c r="O2" s="165"/>
    </row>
    <row r="3" spans="1:15">
      <c r="D3" s="165"/>
      <c r="E3" s="165"/>
      <c r="F3" s="165"/>
      <c r="G3" s="168" t="s">
        <v>606</v>
      </c>
      <c r="H3" s="165"/>
      <c r="I3" s="168"/>
      <c r="J3" s="167"/>
      <c r="K3" s="165"/>
      <c r="L3" s="165"/>
      <c r="M3" s="165"/>
      <c r="N3" s="165"/>
      <c r="O3" s="165"/>
    </row>
    <row r="4" spans="1:15">
      <c r="D4" s="165"/>
      <c r="E4" s="165"/>
      <c r="F4" s="165"/>
      <c r="G4" s="165" t="s">
        <v>17</v>
      </c>
      <c r="H4" s="165"/>
      <c r="I4" s="165"/>
      <c r="J4" s="167"/>
      <c r="K4" s="165"/>
      <c r="L4" s="165"/>
      <c r="M4" s="165"/>
      <c r="N4" s="165"/>
      <c r="O4" s="165"/>
    </row>
    <row r="5" spans="1:15" ht="20.25">
      <c r="B5" s="559" t="str">
        <f>Index!B2</f>
        <v>Tri-State Generation and Transmission Association, Inc.</v>
      </c>
      <c r="D5" s="165"/>
      <c r="E5" s="165"/>
      <c r="F5" s="165"/>
      <c r="G5" s="165"/>
      <c r="H5" s="165"/>
      <c r="I5" s="165"/>
      <c r="J5" s="167"/>
      <c r="K5" s="165"/>
      <c r="L5" s="165"/>
      <c r="M5" s="165"/>
      <c r="N5" s="165"/>
      <c r="O5" s="165"/>
    </row>
    <row r="6" spans="1:15" ht="20.25">
      <c r="B6" s="489"/>
      <c r="D6" s="165"/>
      <c r="E6" s="165"/>
      <c r="F6" s="165"/>
      <c r="G6" s="165"/>
      <c r="H6" s="165"/>
      <c r="I6" s="165"/>
      <c r="J6" s="165"/>
      <c r="K6" s="165"/>
      <c r="L6" s="165"/>
      <c r="M6" s="165"/>
      <c r="N6" s="165"/>
      <c r="O6" s="165"/>
    </row>
    <row r="7" spans="1:15">
      <c r="A7" s="165"/>
      <c r="B7" s="538" t="s">
        <v>451</v>
      </c>
      <c r="C7" s="165"/>
      <c r="D7" s="165"/>
      <c r="E7" s="165"/>
      <c r="F7" s="165"/>
      <c r="G7" s="165"/>
      <c r="H7" s="165"/>
      <c r="I7" s="165"/>
      <c r="J7" s="165"/>
      <c r="K7" s="165"/>
      <c r="L7" s="165"/>
      <c r="M7" s="165"/>
      <c r="N7" s="165"/>
      <c r="O7" s="165"/>
    </row>
    <row r="8" spans="1:15">
      <c r="A8" s="165"/>
      <c r="B8" s="538" t="str">
        <f>Index!B5</f>
        <v>Year Ending December 31, 2016</v>
      </c>
      <c r="C8" s="169"/>
      <c r="D8" s="170"/>
      <c r="E8" s="170"/>
      <c r="F8" s="170"/>
      <c r="G8" s="170"/>
      <c r="H8" s="170"/>
      <c r="I8" s="170"/>
      <c r="J8" s="170"/>
      <c r="K8" s="165"/>
      <c r="L8" s="165"/>
      <c r="M8" s="165"/>
      <c r="N8" s="165"/>
      <c r="O8" s="165"/>
    </row>
    <row r="9" spans="1:15">
      <c r="A9" s="165"/>
      <c r="B9" s="171"/>
      <c r="C9" s="171"/>
      <c r="D9" s="171"/>
      <c r="E9" s="171"/>
      <c r="F9" s="171"/>
      <c r="G9" s="171"/>
      <c r="H9" s="171"/>
      <c r="I9" s="171"/>
      <c r="J9" s="171"/>
      <c r="K9" s="165"/>
      <c r="L9" s="165"/>
      <c r="M9" s="165"/>
      <c r="N9" s="165"/>
      <c r="O9" s="165"/>
    </row>
    <row r="10" spans="1:15">
      <c r="A10" s="172" t="s">
        <v>18</v>
      </c>
      <c r="B10" s="172" t="s">
        <v>19</v>
      </c>
      <c r="C10" s="172" t="s">
        <v>20</v>
      </c>
      <c r="D10" s="172" t="s">
        <v>21</v>
      </c>
      <c r="E10" s="173"/>
      <c r="F10" s="172" t="s">
        <v>22</v>
      </c>
      <c r="G10" s="172" t="s">
        <v>23</v>
      </c>
      <c r="H10" s="172"/>
      <c r="I10" s="172"/>
      <c r="J10" s="172"/>
      <c r="K10" s="165"/>
      <c r="L10" s="165"/>
      <c r="M10" s="165"/>
      <c r="N10" s="165"/>
      <c r="O10" s="165"/>
    </row>
    <row r="11" spans="1:15" ht="30">
      <c r="A11" s="212" t="s">
        <v>415</v>
      </c>
      <c r="B11" s="174" t="s">
        <v>607</v>
      </c>
      <c r="C11" s="175" t="s">
        <v>0</v>
      </c>
      <c r="D11" s="175" t="s">
        <v>4</v>
      </c>
      <c r="E11" s="175"/>
      <c r="F11" s="174" t="s">
        <v>608</v>
      </c>
      <c r="G11" s="174" t="s">
        <v>609</v>
      </c>
      <c r="H11" s="176"/>
      <c r="I11" s="176"/>
      <c r="J11" s="177"/>
      <c r="K11" s="165"/>
      <c r="L11" s="165"/>
      <c r="M11" s="165"/>
      <c r="N11" s="165"/>
      <c r="O11" s="165"/>
    </row>
    <row r="12" spans="1:15">
      <c r="A12" s="178">
        <v>1</v>
      </c>
      <c r="B12" s="773">
        <v>928</v>
      </c>
      <c r="C12" s="761" t="s">
        <v>1000</v>
      </c>
      <c r="D12" s="774">
        <v>1396645.83</v>
      </c>
      <c r="E12" s="179"/>
      <c r="F12" s="349">
        <v>55795</v>
      </c>
      <c r="G12" s="349">
        <v>1340850.83</v>
      </c>
      <c r="H12" s="181"/>
      <c r="I12" s="181"/>
      <c r="J12" s="180"/>
      <c r="K12" s="165"/>
      <c r="L12" s="182"/>
      <c r="M12" s="183"/>
      <c r="N12" s="182"/>
      <c r="O12" s="165"/>
    </row>
    <row r="13" spans="1:15">
      <c r="A13" s="178">
        <f t="shared" ref="A13:A25" si="0">A12+1</f>
        <v>2</v>
      </c>
      <c r="B13" s="775">
        <v>928</v>
      </c>
      <c r="C13" s="761" t="s">
        <v>1001</v>
      </c>
      <c r="D13" s="774">
        <v>83895.62</v>
      </c>
      <c r="E13" s="179"/>
      <c r="F13" s="350"/>
      <c r="G13" s="350">
        <v>83895.62</v>
      </c>
      <c r="H13" s="180"/>
      <c r="I13" s="180"/>
      <c r="J13" s="180"/>
      <c r="K13" s="165"/>
      <c r="L13" s="185"/>
      <c r="M13" s="184"/>
      <c r="N13" s="186"/>
      <c r="O13" s="182"/>
    </row>
    <row r="14" spans="1:15">
      <c r="A14" s="178">
        <f t="shared" si="0"/>
        <v>3</v>
      </c>
      <c r="B14" s="775">
        <v>928</v>
      </c>
      <c r="C14" s="761" t="s">
        <v>1002</v>
      </c>
      <c r="D14" s="774">
        <v>8029.74</v>
      </c>
      <c r="E14" s="179"/>
      <c r="F14" s="350"/>
      <c r="G14" s="350">
        <v>8029.74</v>
      </c>
      <c r="H14" s="180"/>
      <c r="I14" s="180"/>
      <c r="J14" s="180"/>
      <c r="K14" s="165"/>
      <c r="L14" s="182"/>
      <c r="M14" s="184"/>
      <c r="N14" s="186"/>
      <c r="O14" s="182"/>
    </row>
    <row r="15" spans="1:15">
      <c r="A15" s="178">
        <f t="shared" si="0"/>
        <v>4</v>
      </c>
      <c r="B15" s="775"/>
      <c r="C15" s="761"/>
      <c r="D15" s="774"/>
      <c r="E15" s="179"/>
      <c r="F15" s="349"/>
      <c r="G15" s="349"/>
      <c r="H15" s="179"/>
      <c r="I15" s="181"/>
      <c r="J15" s="180"/>
      <c r="K15" s="165"/>
      <c r="L15" s="182"/>
      <c r="M15" s="184"/>
      <c r="N15" s="187"/>
      <c r="O15" s="182"/>
    </row>
    <row r="16" spans="1:15">
      <c r="A16" s="178">
        <f t="shared" si="0"/>
        <v>5</v>
      </c>
      <c r="B16" s="775"/>
      <c r="C16" s="761"/>
      <c r="D16" s="774"/>
      <c r="E16" s="179"/>
      <c r="F16" s="349"/>
      <c r="G16" s="349"/>
      <c r="H16" s="181"/>
      <c r="I16" s="181"/>
      <c r="J16" s="180"/>
      <c r="K16" s="165"/>
      <c r="L16" s="185"/>
      <c r="M16" s="184"/>
      <c r="N16" s="187"/>
      <c r="O16" s="182"/>
    </row>
    <row r="17" spans="1:15">
      <c r="A17" s="178">
        <f t="shared" si="0"/>
        <v>6</v>
      </c>
      <c r="B17" s="775"/>
      <c r="C17" s="761"/>
      <c r="D17" s="774"/>
      <c r="E17" s="179"/>
      <c r="F17" s="349"/>
      <c r="G17" s="349"/>
      <c r="H17" s="181"/>
      <c r="I17" s="181"/>
      <c r="J17" s="180"/>
      <c r="K17" s="165"/>
      <c r="L17" s="185"/>
      <c r="M17" s="184"/>
      <c r="N17" s="186"/>
      <c r="O17" s="182"/>
    </row>
    <row r="18" spans="1:15">
      <c r="A18" s="178">
        <f t="shared" si="0"/>
        <v>7</v>
      </c>
      <c r="B18" s="775"/>
      <c r="C18" s="761"/>
      <c r="D18" s="774"/>
      <c r="E18" s="179"/>
      <c r="F18" s="349"/>
      <c r="G18" s="349"/>
      <c r="H18" s="181"/>
      <c r="I18" s="181"/>
      <c r="J18" s="180"/>
      <c r="K18" s="165"/>
      <c r="L18" s="182"/>
      <c r="M18" s="184"/>
      <c r="N18" s="187"/>
      <c r="O18" s="182"/>
    </row>
    <row r="19" spans="1:15">
      <c r="A19" s="178">
        <f t="shared" si="0"/>
        <v>8</v>
      </c>
      <c r="B19" s="775"/>
      <c r="C19" s="761"/>
      <c r="D19" s="774"/>
      <c r="E19" s="179"/>
      <c r="F19" s="349"/>
      <c r="G19" s="349"/>
      <c r="H19" s="181"/>
      <c r="I19" s="181"/>
      <c r="J19" s="180"/>
      <c r="K19" s="165"/>
      <c r="L19" s="185"/>
      <c r="M19" s="184"/>
      <c r="N19" s="186"/>
      <c r="O19" s="182"/>
    </row>
    <row r="20" spans="1:15">
      <c r="A20" s="178">
        <f t="shared" si="0"/>
        <v>9</v>
      </c>
      <c r="B20" s="776"/>
      <c r="C20" s="765"/>
      <c r="D20" s="777"/>
      <c r="E20" s="179"/>
      <c r="F20" s="349"/>
      <c r="G20" s="349"/>
      <c r="H20" s="181"/>
      <c r="I20" s="181"/>
      <c r="J20" s="180"/>
      <c r="K20" s="165"/>
      <c r="L20" s="185"/>
      <c r="M20" s="184"/>
      <c r="N20" s="186"/>
      <c r="O20" s="182"/>
    </row>
    <row r="21" spans="1:15">
      <c r="A21" s="178">
        <f t="shared" si="0"/>
        <v>10</v>
      </c>
      <c r="B21" s="188"/>
      <c r="C21" s="189" t="s">
        <v>2</v>
      </c>
      <c r="D21" s="190">
        <f>SUM(D12:D20)</f>
        <v>1488571.1900000002</v>
      </c>
      <c r="E21" s="190"/>
      <c r="F21" s="190">
        <f>SUM(F12:F20)</f>
        <v>55795</v>
      </c>
      <c r="G21" s="190">
        <f>SUM(G12:G20)</f>
        <v>1432776.1900000002</v>
      </c>
      <c r="H21" s="181"/>
      <c r="I21" s="181"/>
      <c r="J21" s="181"/>
      <c r="K21" s="165"/>
      <c r="L21" s="182"/>
      <c r="M21" s="184"/>
      <c r="N21" s="186"/>
      <c r="O21" s="182"/>
    </row>
    <row r="22" spans="1:15">
      <c r="A22" s="178">
        <f t="shared" si="0"/>
        <v>11</v>
      </c>
      <c r="B22" s="188"/>
      <c r="C22" s="189"/>
      <c r="D22" s="181"/>
      <c r="E22" s="181"/>
      <c r="F22" s="181"/>
      <c r="G22" s="181"/>
      <c r="H22" s="181"/>
      <c r="I22" s="181"/>
      <c r="J22" s="181"/>
      <c r="K22" s="165"/>
      <c r="L22" s="182"/>
      <c r="M22" s="184"/>
      <c r="N22" s="186"/>
      <c r="O22" s="182"/>
    </row>
    <row r="23" spans="1:15">
      <c r="A23" s="178">
        <f t="shared" si="0"/>
        <v>12</v>
      </c>
      <c r="B23" s="209" t="s">
        <v>439</v>
      </c>
      <c r="C23" s="170"/>
      <c r="D23" s="191"/>
      <c r="E23" s="191"/>
      <c r="F23" s="192"/>
      <c r="G23" s="192"/>
      <c r="H23" s="192"/>
      <c r="I23" s="192"/>
      <c r="J23" s="191"/>
      <c r="K23" s="165"/>
      <c r="L23" s="182"/>
      <c r="M23" s="184"/>
      <c r="N23" s="186"/>
      <c r="O23" s="182"/>
    </row>
    <row r="24" spans="1:15">
      <c r="A24" s="178">
        <f t="shared" si="0"/>
        <v>13</v>
      </c>
      <c r="B24" s="698" t="s">
        <v>940</v>
      </c>
      <c r="C24" s="170"/>
      <c r="D24" s="191"/>
      <c r="E24" s="191"/>
      <c r="F24" s="192"/>
      <c r="G24" s="192"/>
      <c r="H24" s="192"/>
      <c r="I24" s="192"/>
      <c r="J24" s="191"/>
      <c r="K24" s="165"/>
      <c r="L24" s="165"/>
      <c r="M24" s="165"/>
      <c r="N24" s="165"/>
      <c r="O24" s="165"/>
    </row>
    <row r="25" spans="1:15">
      <c r="A25" s="178">
        <f t="shared" si="0"/>
        <v>14</v>
      </c>
      <c r="B25" s="698" t="s">
        <v>920</v>
      </c>
      <c r="C25" s="170"/>
      <c r="D25" s="191"/>
      <c r="E25" s="191"/>
      <c r="F25" s="192"/>
      <c r="G25" s="192"/>
      <c r="H25" s="192"/>
      <c r="I25" s="192"/>
      <c r="J25" s="191"/>
      <c r="K25" s="165"/>
      <c r="L25" s="165"/>
      <c r="M25" s="165"/>
      <c r="N25" s="165"/>
      <c r="O25" s="165"/>
    </row>
    <row r="26" spans="1:15">
      <c r="A26" s="165"/>
      <c r="B26" s="188"/>
      <c r="C26" s="170"/>
      <c r="D26" s="191"/>
      <c r="E26" s="191"/>
      <c r="F26" s="192"/>
      <c r="G26" s="192"/>
      <c r="H26" s="192"/>
      <c r="I26" s="192"/>
      <c r="J26" s="191"/>
      <c r="K26" s="165"/>
      <c r="L26" s="165"/>
      <c r="M26" s="165"/>
      <c r="N26" s="165"/>
      <c r="O26" s="165"/>
    </row>
    <row r="27" spans="1:15">
      <c r="A27" s="165"/>
      <c r="B27" s="188"/>
      <c r="C27" s="170"/>
      <c r="D27" s="191"/>
      <c r="E27" s="191"/>
      <c r="F27" s="192"/>
      <c r="G27" s="192"/>
      <c r="H27" s="192"/>
      <c r="I27" s="192"/>
      <c r="J27" s="192"/>
      <c r="K27" s="165"/>
      <c r="L27" s="165"/>
      <c r="M27" s="165"/>
      <c r="N27" s="165"/>
      <c r="O27" s="165"/>
    </row>
    <row r="28" spans="1:15">
      <c r="A28" s="165"/>
      <c r="B28" s="188"/>
      <c r="C28" s="170"/>
      <c r="D28" s="191"/>
      <c r="E28" s="191"/>
      <c r="F28" s="192"/>
      <c r="G28" s="192"/>
      <c r="H28" s="192"/>
      <c r="I28" s="192"/>
      <c r="J28" s="192"/>
      <c r="K28" s="165"/>
      <c r="L28" s="165"/>
      <c r="M28" s="165"/>
      <c r="N28" s="165"/>
      <c r="O28" s="165"/>
    </row>
    <row r="29" spans="1:15">
      <c r="A29" s="165"/>
      <c r="B29" s="188"/>
      <c r="C29" s="170"/>
      <c r="D29" s="191"/>
      <c r="E29" s="191"/>
      <c r="F29" s="192"/>
      <c r="G29" s="192"/>
      <c r="H29" s="192"/>
      <c r="I29" s="192"/>
      <c r="J29" s="192"/>
      <c r="K29" s="165"/>
      <c r="L29" s="165"/>
      <c r="M29" s="165"/>
      <c r="N29" s="165"/>
      <c r="O29" s="165"/>
    </row>
    <row r="30" spans="1:15">
      <c r="A30" s="165"/>
      <c r="B30" s="188"/>
      <c r="C30" s="170"/>
      <c r="D30" s="191"/>
      <c r="E30" s="191"/>
      <c r="F30" s="192"/>
      <c r="G30" s="192"/>
      <c r="H30" s="192"/>
      <c r="I30" s="192"/>
      <c r="J30" s="192"/>
      <c r="K30" s="165"/>
      <c r="L30" s="165"/>
      <c r="M30" s="165"/>
      <c r="N30" s="165"/>
      <c r="O30" s="165"/>
    </row>
    <row r="31" spans="1:15">
      <c r="A31" s="165"/>
      <c r="B31" s="188"/>
      <c r="C31" s="170"/>
      <c r="D31" s="191"/>
      <c r="E31" s="191"/>
      <c r="F31" s="192"/>
      <c r="G31" s="192"/>
      <c r="H31" s="192"/>
      <c r="I31" s="192"/>
      <c r="J31" s="192"/>
      <c r="K31" s="165"/>
      <c r="L31" s="165"/>
      <c r="M31" s="165"/>
      <c r="N31" s="165"/>
      <c r="O31" s="165"/>
    </row>
    <row r="32" spans="1:15">
      <c r="A32" s="165"/>
      <c r="B32" s="188"/>
      <c r="C32" s="170"/>
      <c r="D32" s="191"/>
      <c r="E32" s="191"/>
      <c r="F32" s="192"/>
      <c r="G32" s="192"/>
      <c r="H32" s="192"/>
      <c r="I32" s="192"/>
      <c r="J32" s="192"/>
      <c r="K32" s="165"/>
      <c r="L32" s="165"/>
      <c r="M32" s="165"/>
      <c r="N32" s="165"/>
      <c r="O32" s="165"/>
    </row>
    <row r="33" spans="1:15">
      <c r="A33" s="165"/>
      <c r="B33" s="188"/>
      <c r="C33" s="170"/>
      <c r="D33" s="191"/>
      <c r="E33" s="191"/>
      <c r="F33" s="192"/>
      <c r="G33" s="192"/>
      <c r="H33" s="192"/>
      <c r="I33" s="192"/>
      <c r="J33" s="192"/>
      <c r="K33" s="165"/>
      <c r="L33" s="165"/>
      <c r="M33" s="165"/>
      <c r="N33" s="165"/>
      <c r="O33" s="165"/>
    </row>
    <row r="34" spans="1:15">
      <c r="A34" s="165"/>
      <c r="B34" s="188"/>
      <c r="C34" s="170"/>
      <c r="D34" s="191"/>
      <c r="E34" s="191"/>
      <c r="F34" s="192"/>
      <c r="G34" s="192"/>
      <c r="H34" s="192"/>
      <c r="I34" s="192"/>
      <c r="J34" s="192"/>
      <c r="K34" s="165"/>
      <c r="L34" s="165"/>
      <c r="M34" s="165"/>
      <c r="N34" s="165"/>
      <c r="O34" s="165"/>
    </row>
    <row r="35" spans="1:15">
      <c r="A35" s="165"/>
      <c r="B35" s="188"/>
      <c r="C35" s="170"/>
      <c r="D35" s="191"/>
      <c r="E35" s="191"/>
      <c r="F35" s="192"/>
      <c r="G35" s="192"/>
      <c r="H35" s="192"/>
      <c r="I35" s="192"/>
      <c r="J35" s="192"/>
      <c r="K35" s="165"/>
      <c r="L35" s="165"/>
      <c r="M35" s="165"/>
      <c r="N35" s="165"/>
      <c r="O35" s="165"/>
    </row>
    <row r="36" spans="1:15">
      <c r="A36" s="165"/>
      <c r="B36" s="165"/>
      <c r="C36" s="165"/>
      <c r="D36" s="193"/>
      <c r="E36" s="193"/>
      <c r="F36" s="165"/>
      <c r="G36" s="165"/>
      <c r="H36" s="165"/>
      <c r="I36" s="165"/>
      <c r="J36" s="165"/>
      <c r="K36" s="165"/>
      <c r="L36" s="165"/>
      <c r="M36" s="165"/>
      <c r="N36" s="165"/>
      <c r="O36" s="165"/>
    </row>
    <row r="37" spans="1:15">
      <c r="A37" s="165"/>
      <c r="B37" s="165"/>
      <c r="C37" s="165"/>
      <c r="D37" s="193"/>
      <c r="E37" s="193"/>
      <c r="F37" s="193"/>
      <c r="G37" s="193"/>
      <c r="H37" s="193"/>
      <c r="I37" s="193"/>
      <c r="J37" s="193"/>
      <c r="K37" s="165"/>
      <c r="L37" s="165"/>
      <c r="M37" s="165"/>
      <c r="N37" s="165"/>
      <c r="O37" s="165"/>
    </row>
  </sheetData>
  <printOptions horizontalCentered="1"/>
  <pageMargins left="0.7" right="0.7" top="0.75" bottom="0.75" header="0.3" footer="0.3"/>
  <pageSetup scale="71" fitToHeight="0"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5"/>
  <sheetViews>
    <sheetView workbookViewId="0"/>
  </sheetViews>
  <sheetFormatPr defaultColWidth="7.75" defaultRowHeight="15"/>
  <cols>
    <col min="1" max="1" width="5.5" style="166" customWidth="1"/>
    <col min="2" max="2" width="9.875" style="166" bestFit="1" customWidth="1"/>
    <col min="3" max="3" width="23.625" style="166" customWidth="1"/>
    <col min="4" max="4" width="10.25" style="166" bestFit="1" customWidth="1"/>
    <col min="5" max="5" width="37.5" style="166" bestFit="1" customWidth="1"/>
    <col min="6" max="6" width="14.5" style="166" customWidth="1"/>
    <col min="7" max="8" width="12.25" style="166" customWidth="1"/>
    <col min="9" max="9" width="11.5" style="166" customWidth="1"/>
    <col min="10" max="11" width="5.5" style="166" customWidth="1"/>
    <col min="12" max="12" width="12.875" style="166" customWidth="1"/>
    <col min="13" max="13" width="15" style="166" customWidth="1"/>
    <col min="14" max="15" width="7.75" style="166"/>
    <col min="16" max="16" width="11.75" style="166" bestFit="1" customWidth="1"/>
    <col min="17" max="16384" width="7.75" style="166"/>
  </cols>
  <sheetData>
    <row r="1" spans="1:17">
      <c r="A1" s="165"/>
      <c r="B1" s="165"/>
      <c r="C1" s="165"/>
      <c r="D1" s="165"/>
      <c r="E1" s="165"/>
      <c r="F1" s="165"/>
      <c r="G1" s="165"/>
      <c r="H1" s="165"/>
      <c r="I1" s="165"/>
      <c r="J1" s="165"/>
      <c r="K1" s="165"/>
      <c r="N1" s="167"/>
      <c r="O1" s="165"/>
      <c r="P1" s="165" t="str">
        <f>'Worksheet S Reg. &amp; Comm. Exp.'!I1</f>
        <v xml:space="preserve"> </v>
      </c>
      <c r="Q1" s="165"/>
    </row>
    <row r="2" spans="1:17">
      <c r="A2" s="165"/>
      <c r="B2" s="165"/>
      <c r="C2" s="165"/>
      <c r="D2" s="165"/>
      <c r="E2" s="165"/>
      <c r="F2" s="165"/>
      <c r="G2" s="165"/>
      <c r="H2" s="165"/>
      <c r="J2" s="165"/>
      <c r="K2" s="165"/>
      <c r="M2" s="677" t="s">
        <v>838</v>
      </c>
      <c r="O2" s="165"/>
      <c r="P2" s="168"/>
      <c r="Q2" s="165"/>
    </row>
    <row r="3" spans="1:17">
      <c r="D3" s="165"/>
      <c r="E3" s="165"/>
      <c r="F3" s="165"/>
      <c r="G3" s="165"/>
      <c r="H3" s="165"/>
      <c r="J3" s="165"/>
      <c r="K3" s="165"/>
      <c r="L3" s="167"/>
      <c r="M3" s="677" t="s">
        <v>610</v>
      </c>
      <c r="N3" s="165"/>
      <c r="O3" s="165"/>
      <c r="P3" s="168"/>
      <c r="Q3" s="165"/>
    </row>
    <row r="4" spans="1:17">
      <c r="D4" s="165"/>
      <c r="E4" s="165"/>
      <c r="F4" s="165"/>
      <c r="G4" s="165"/>
      <c r="H4" s="165"/>
      <c r="I4" s="165" t="s">
        <v>17</v>
      </c>
      <c r="J4" s="165"/>
      <c r="K4" s="165"/>
      <c r="L4" s="167"/>
      <c r="M4" s="165"/>
      <c r="N4" s="165"/>
      <c r="O4" s="165"/>
      <c r="P4" s="165"/>
      <c r="Q4" s="165"/>
    </row>
    <row r="5" spans="1:17" ht="20.25">
      <c r="B5" s="559" t="str">
        <f>Index!B2</f>
        <v>Tri-State Generation and Transmission Association, Inc.</v>
      </c>
      <c r="D5" s="165"/>
      <c r="E5" s="165"/>
      <c r="F5" s="165"/>
      <c r="G5" s="165"/>
      <c r="H5" s="165"/>
      <c r="I5" s="165"/>
      <c r="J5" s="165"/>
      <c r="K5" s="165"/>
      <c r="L5" s="167"/>
      <c r="M5" s="165"/>
      <c r="N5" s="165"/>
      <c r="O5" s="165"/>
      <c r="P5" s="165"/>
      <c r="Q5" s="165"/>
    </row>
    <row r="6" spans="1:17" ht="20.25">
      <c r="B6" s="489"/>
      <c r="D6" s="165"/>
      <c r="E6" s="165"/>
      <c r="F6" s="165"/>
      <c r="G6" s="165"/>
      <c r="H6" s="165"/>
      <c r="I6" s="165"/>
      <c r="J6" s="165"/>
      <c r="K6" s="165"/>
      <c r="L6" s="165"/>
      <c r="M6" s="165"/>
      <c r="N6" s="165"/>
      <c r="O6" s="165"/>
      <c r="P6" s="165"/>
      <c r="Q6" s="165"/>
    </row>
    <row r="7" spans="1:17">
      <c r="A7" s="165"/>
      <c r="B7" s="538" t="s">
        <v>611</v>
      </c>
      <c r="C7" s="165"/>
      <c r="D7" s="165"/>
      <c r="E7" s="165"/>
      <c r="F7" s="165"/>
      <c r="G7" s="165"/>
      <c r="H7" s="165"/>
      <c r="I7" s="165"/>
      <c r="J7" s="165"/>
      <c r="K7" s="165"/>
      <c r="L7" s="165"/>
      <c r="M7" s="165"/>
      <c r="N7" s="165"/>
      <c r="O7" s="165"/>
      <c r="P7" s="165"/>
      <c r="Q7" s="165"/>
    </row>
    <row r="8" spans="1:17">
      <c r="A8" s="165"/>
      <c r="B8" s="538" t="str">
        <f>Index!B5</f>
        <v>Year Ending December 31, 2016</v>
      </c>
      <c r="C8" s="169"/>
      <c r="D8" s="170"/>
      <c r="E8" s="170"/>
      <c r="F8" s="170"/>
      <c r="G8" s="170"/>
      <c r="H8" s="170"/>
      <c r="I8" s="170"/>
      <c r="J8" s="170"/>
      <c r="K8" s="170"/>
      <c r="L8" s="170"/>
      <c r="M8" s="165"/>
      <c r="N8" s="165"/>
      <c r="O8" s="165"/>
      <c r="P8" s="165"/>
      <c r="Q8" s="165"/>
    </row>
    <row r="9" spans="1:17">
      <c r="A9" s="165"/>
      <c r="B9" s="171"/>
      <c r="C9" s="171"/>
      <c r="D9" s="171"/>
      <c r="E9" s="171"/>
      <c r="F9" s="171"/>
      <c r="G9" s="171"/>
      <c r="H9" s="171"/>
      <c r="I9" s="171"/>
      <c r="J9" s="171"/>
      <c r="K9" s="171"/>
      <c r="L9" s="171"/>
      <c r="M9" s="165"/>
      <c r="N9" s="165"/>
      <c r="O9" s="165"/>
      <c r="P9" s="165"/>
      <c r="Q9" s="165"/>
    </row>
    <row r="10" spans="1:17">
      <c r="A10" s="172" t="s">
        <v>18</v>
      </c>
      <c r="B10" s="172" t="s">
        <v>19</v>
      </c>
      <c r="C10" s="172" t="s">
        <v>20</v>
      </c>
      <c r="D10" s="172" t="s">
        <v>21</v>
      </c>
      <c r="E10" s="172" t="s">
        <v>22</v>
      </c>
      <c r="F10" s="172" t="s">
        <v>23</v>
      </c>
      <c r="G10" s="172" t="s">
        <v>24</v>
      </c>
      <c r="H10" s="172" t="s">
        <v>25</v>
      </c>
      <c r="I10" s="172" t="s">
        <v>134</v>
      </c>
      <c r="J10" s="172" t="s">
        <v>135</v>
      </c>
      <c r="K10" s="172" t="s">
        <v>369</v>
      </c>
      <c r="L10" s="172" t="s">
        <v>368</v>
      </c>
      <c r="M10" s="172" t="s">
        <v>367</v>
      </c>
      <c r="N10" s="165"/>
      <c r="O10" s="165"/>
      <c r="P10" s="165"/>
      <c r="Q10" s="165"/>
    </row>
    <row r="11" spans="1:17" ht="45">
      <c r="A11" s="270" t="s">
        <v>415</v>
      </c>
      <c r="B11" s="270" t="s">
        <v>578</v>
      </c>
      <c r="C11" s="271" t="s">
        <v>620</v>
      </c>
      <c r="D11" s="271" t="s">
        <v>621</v>
      </c>
      <c r="E11" s="271" t="s">
        <v>416</v>
      </c>
      <c r="F11" s="270" t="s">
        <v>637</v>
      </c>
      <c r="G11" s="270" t="s">
        <v>638</v>
      </c>
      <c r="H11" s="270" t="s">
        <v>842</v>
      </c>
      <c r="I11" s="270" t="s">
        <v>581</v>
      </c>
      <c r="J11" s="270" t="s">
        <v>624</v>
      </c>
      <c r="K11" s="270" t="s">
        <v>625</v>
      </c>
      <c r="L11" s="270" t="s">
        <v>626</v>
      </c>
      <c r="M11" s="271" t="s">
        <v>622</v>
      </c>
      <c r="N11" s="165"/>
      <c r="O11" s="165"/>
      <c r="P11" s="165"/>
      <c r="Q11" s="165"/>
    </row>
    <row r="12" spans="1:17">
      <c r="A12" s="178">
        <v>1</v>
      </c>
      <c r="B12" s="757"/>
      <c r="C12" s="757"/>
      <c r="D12" s="734"/>
      <c r="E12" s="734"/>
      <c r="F12" s="758"/>
      <c r="G12" s="759"/>
      <c r="H12" s="27">
        <f>(G12+F12)/2</f>
        <v>0</v>
      </c>
      <c r="I12" s="181"/>
      <c r="J12" s="767"/>
      <c r="K12" s="767"/>
      <c r="L12" s="768">
        <v>0</v>
      </c>
      <c r="M12" s="180">
        <f>IF(J12="X",H12,(L12*H12))</f>
        <v>0</v>
      </c>
      <c r="N12" s="185"/>
      <c r="O12" s="184"/>
      <c r="P12" s="186"/>
      <c r="Q12" s="182"/>
    </row>
    <row r="13" spans="1:17">
      <c r="A13" s="178">
        <f t="shared" ref="A13:A23" si="0">A12+1</f>
        <v>2</v>
      </c>
      <c r="B13" s="757"/>
      <c r="C13" s="757"/>
      <c r="D13" s="757"/>
      <c r="E13" s="757"/>
      <c r="F13" s="758"/>
      <c r="G13" s="759"/>
      <c r="H13" s="27">
        <f t="shared" ref="H13:H19" si="1">(G13+F13)/2</f>
        <v>0</v>
      </c>
      <c r="I13" s="181"/>
      <c r="J13" s="767"/>
      <c r="K13" s="767"/>
      <c r="L13" s="768"/>
      <c r="M13" s="180">
        <f>IF(J13="X",H13,(L13*H13))</f>
        <v>0</v>
      </c>
      <c r="N13" s="182"/>
      <c r="O13" s="184"/>
      <c r="P13" s="186"/>
      <c r="Q13" s="182"/>
    </row>
    <row r="14" spans="1:17">
      <c r="A14" s="178">
        <f t="shared" si="0"/>
        <v>3</v>
      </c>
      <c r="B14" s="757"/>
      <c r="C14" s="757"/>
      <c r="D14" s="757"/>
      <c r="E14" s="757"/>
      <c r="F14" s="757"/>
      <c r="G14" s="759"/>
      <c r="H14" s="27">
        <f t="shared" si="1"/>
        <v>0</v>
      </c>
      <c r="I14" s="180"/>
      <c r="J14" s="769"/>
      <c r="K14" s="770"/>
      <c r="L14" s="768"/>
      <c r="M14" s="180">
        <f t="shared" ref="M14:M19" si="2">IF(J14="X",H14,(L14*H14))</f>
        <v>0</v>
      </c>
      <c r="N14" s="182"/>
      <c r="O14" s="184"/>
      <c r="P14" s="187"/>
      <c r="Q14" s="182"/>
    </row>
    <row r="15" spans="1:17">
      <c r="A15" s="178">
        <f t="shared" si="0"/>
        <v>4</v>
      </c>
      <c r="B15" s="757"/>
      <c r="C15" s="757"/>
      <c r="D15" s="757"/>
      <c r="E15" s="757"/>
      <c r="F15" s="757"/>
      <c r="G15" s="759"/>
      <c r="H15" s="27">
        <f t="shared" si="1"/>
        <v>0</v>
      </c>
      <c r="I15" s="180"/>
      <c r="J15" s="770"/>
      <c r="K15" s="770"/>
      <c r="L15" s="768"/>
      <c r="M15" s="180">
        <f t="shared" si="2"/>
        <v>0</v>
      </c>
      <c r="N15" s="185"/>
      <c r="O15" s="184"/>
      <c r="P15" s="187"/>
      <c r="Q15" s="182"/>
    </row>
    <row r="16" spans="1:17">
      <c r="A16" s="178">
        <f t="shared" si="0"/>
        <v>5</v>
      </c>
      <c r="B16" s="757"/>
      <c r="C16" s="757"/>
      <c r="D16" s="757"/>
      <c r="E16" s="757"/>
      <c r="F16" s="759"/>
      <c r="G16" s="759"/>
      <c r="H16" s="27">
        <f t="shared" si="1"/>
        <v>0</v>
      </c>
      <c r="I16" s="180"/>
      <c r="J16" s="770"/>
      <c r="K16" s="770"/>
      <c r="L16" s="768"/>
      <c r="M16" s="180">
        <f t="shared" si="2"/>
        <v>0</v>
      </c>
      <c r="N16" s="185"/>
      <c r="O16" s="184"/>
      <c r="P16" s="186"/>
      <c r="Q16" s="182"/>
    </row>
    <row r="17" spans="1:17">
      <c r="A17" s="178">
        <f t="shared" si="0"/>
        <v>6</v>
      </c>
      <c r="B17" s="760"/>
      <c r="C17" s="761"/>
      <c r="D17" s="762"/>
      <c r="E17" s="763"/>
      <c r="F17" s="763"/>
      <c r="G17" s="763"/>
      <c r="H17" s="27">
        <f t="shared" si="1"/>
        <v>0</v>
      </c>
      <c r="I17" s="180"/>
      <c r="J17" s="770"/>
      <c r="K17" s="770"/>
      <c r="L17" s="768"/>
      <c r="M17" s="180">
        <f t="shared" si="2"/>
        <v>0</v>
      </c>
      <c r="N17" s="182"/>
      <c r="O17" s="184"/>
      <c r="P17" s="187"/>
      <c r="Q17" s="182"/>
    </row>
    <row r="18" spans="1:17">
      <c r="A18" s="178">
        <f t="shared" si="0"/>
        <v>7</v>
      </c>
      <c r="B18" s="760"/>
      <c r="C18" s="761"/>
      <c r="D18" s="762"/>
      <c r="E18" s="763"/>
      <c r="F18" s="763"/>
      <c r="G18" s="763"/>
      <c r="H18" s="27">
        <f t="shared" si="1"/>
        <v>0</v>
      </c>
      <c r="I18" s="180"/>
      <c r="J18" s="770"/>
      <c r="K18" s="770"/>
      <c r="L18" s="768"/>
      <c r="M18" s="180">
        <f t="shared" si="2"/>
        <v>0</v>
      </c>
      <c r="N18" s="185"/>
      <c r="O18" s="184"/>
      <c r="P18" s="186"/>
      <c r="Q18" s="182"/>
    </row>
    <row r="19" spans="1:17">
      <c r="A19" s="666">
        <f t="shared" si="0"/>
        <v>8</v>
      </c>
      <c r="B19" s="764"/>
      <c r="C19" s="765"/>
      <c r="D19" s="766"/>
      <c r="E19" s="763"/>
      <c r="F19" s="763"/>
      <c r="G19" s="763"/>
      <c r="H19" s="27">
        <f t="shared" si="1"/>
        <v>0</v>
      </c>
      <c r="I19" s="180"/>
      <c r="J19" s="771"/>
      <c r="K19" s="771"/>
      <c r="L19" s="772"/>
      <c r="M19" s="180">
        <f t="shared" si="2"/>
        <v>0</v>
      </c>
      <c r="N19" s="185"/>
      <c r="O19" s="184"/>
      <c r="P19" s="186"/>
      <c r="Q19" s="182"/>
    </row>
    <row r="20" spans="1:17">
      <c r="A20" s="178">
        <f t="shared" si="0"/>
        <v>9</v>
      </c>
      <c r="B20" s="188"/>
      <c r="C20" s="272" t="s">
        <v>2</v>
      </c>
      <c r="D20" s="190"/>
      <c r="E20" s="190"/>
      <c r="F20" s="190">
        <f>SUM(F12:F19)</f>
        <v>0</v>
      </c>
      <c r="G20" s="190">
        <f>SUM(G12:G19)</f>
        <v>0</v>
      </c>
      <c r="H20" s="190">
        <f>SUM(H12:H19)</f>
        <v>0</v>
      </c>
      <c r="I20" s="190"/>
      <c r="J20" s="181"/>
      <c r="K20" s="181"/>
      <c r="L20" s="273"/>
      <c r="M20" s="190">
        <f>SUM(M12:M19)</f>
        <v>0</v>
      </c>
      <c r="N20" s="182"/>
      <c r="O20" s="184"/>
      <c r="P20" s="186"/>
      <c r="Q20" s="182"/>
    </row>
    <row r="21" spans="1:17">
      <c r="A21" s="178">
        <f t="shared" si="0"/>
        <v>10</v>
      </c>
      <c r="B21" s="209" t="s">
        <v>439</v>
      </c>
      <c r="C21" s="170"/>
      <c r="D21" s="191"/>
      <c r="E21" s="191"/>
      <c r="F21" s="191"/>
      <c r="G21" s="192"/>
      <c r="H21" s="192"/>
      <c r="I21" s="192"/>
      <c r="J21" s="192"/>
      <c r="K21" s="192"/>
      <c r="L21" s="191"/>
      <c r="M21" s="165"/>
      <c r="N21" s="182"/>
      <c r="O21" s="184"/>
      <c r="P21" s="186"/>
      <c r="Q21" s="182"/>
    </row>
    <row r="22" spans="1:17">
      <c r="A22" s="178">
        <f t="shared" si="0"/>
        <v>11</v>
      </c>
      <c r="B22" s="698" t="s">
        <v>940</v>
      </c>
      <c r="C22" s="170"/>
      <c r="D22" s="191"/>
      <c r="E22" s="191"/>
      <c r="F22" s="191"/>
      <c r="G22" s="192"/>
      <c r="H22" s="192"/>
      <c r="I22" s="192"/>
      <c r="J22" s="192"/>
      <c r="K22" s="192"/>
      <c r="L22" s="191"/>
      <c r="M22" s="165"/>
      <c r="N22" s="165"/>
      <c r="O22" s="165"/>
      <c r="P22" s="165"/>
      <c r="Q22" s="165"/>
    </row>
    <row r="23" spans="1:17">
      <c r="A23" s="178">
        <f t="shared" si="0"/>
        <v>12</v>
      </c>
      <c r="B23" s="698" t="s">
        <v>920</v>
      </c>
      <c r="C23" s="170"/>
      <c r="D23" s="191"/>
      <c r="E23" s="191"/>
      <c r="F23" s="191"/>
      <c r="G23" s="192"/>
      <c r="H23" s="192"/>
      <c r="I23" s="192"/>
      <c r="J23" s="192"/>
      <c r="K23" s="192"/>
      <c r="L23" s="191"/>
      <c r="M23" s="165"/>
      <c r="N23" s="165"/>
      <c r="O23" s="165"/>
      <c r="P23" s="165"/>
      <c r="Q23" s="165"/>
    </row>
    <row r="24" spans="1:17">
      <c r="A24" s="165"/>
      <c r="B24" s="188"/>
      <c r="C24" s="170"/>
      <c r="D24" s="191"/>
      <c r="E24" s="191"/>
      <c r="F24" s="191"/>
      <c r="G24" s="192"/>
      <c r="H24" s="192"/>
      <c r="I24" s="192"/>
      <c r="J24" s="192"/>
      <c r="K24" s="192"/>
      <c r="L24" s="191"/>
      <c r="M24" s="165"/>
      <c r="N24" s="165"/>
      <c r="O24" s="165"/>
      <c r="P24" s="165"/>
      <c r="Q24" s="165"/>
    </row>
    <row r="25" spans="1:17">
      <c r="A25" s="165"/>
      <c r="B25" s="188"/>
      <c r="C25" s="170"/>
      <c r="D25" s="191"/>
      <c r="E25" s="191"/>
      <c r="F25" s="191"/>
      <c r="G25" s="192"/>
      <c r="H25" s="192"/>
      <c r="I25" s="192"/>
      <c r="J25" s="192"/>
      <c r="K25" s="192"/>
      <c r="L25" s="192"/>
      <c r="M25" s="165"/>
      <c r="N25" s="165"/>
      <c r="O25" s="165"/>
      <c r="P25" s="165"/>
      <c r="Q25" s="165"/>
    </row>
    <row r="26" spans="1:17">
      <c r="A26" s="165"/>
      <c r="B26" s="188"/>
      <c r="C26" s="170"/>
      <c r="D26" s="191"/>
      <c r="E26" s="191"/>
      <c r="F26" s="191"/>
      <c r="G26" s="192"/>
      <c r="H26" s="192"/>
      <c r="I26" s="192"/>
      <c r="J26" s="192"/>
      <c r="K26" s="192"/>
      <c r="L26" s="192"/>
      <c r="M26" s="165"/>
      <c r="N26" s="165"/>
      <c r="O26" s="165"/>
      <c r="P26" s="165"/>
      <c r="Q26" s="165"/>
    </row>
    <row r="27" spans="1:17">
      <c r="A27" s="165"/>
      <c r="B27" s="188"/>
      <c r="C27" s="170"/>
      <c r="D27" s="191"/>
      <c r="E27" s="191"/>
      <c r="F27" s="191"/>
      <c r="G27" s="192"/>
      <c r="H27" s="192"/>
      <c r="I27" s="192"/>
      <c r="J27" s="192"/>
      <c r="K27" s="192"/>
      <c r="L27" s="192"/>
      <c r="M27" s="165"/>
      <c r="N27" s="165"/>
      <c r="O27" s="165"/>
      <c r="P27" s="165"/>
      <c r="Q27" s="165"/>
    </row>
    <row r="28" spans="1:17">
      <c r="A28" s="165"/>
      <c r="B28" s="188"/>
      <c r="C28" s="170"/>
      <c r="D28" s="191"/>
      <c r="E28" s="191"/>
      <c r="F28" s="191"/>
      <c r="G28" s="192"/>
      <c r="H28" s="192"/>
      <c r="I28" s="192"/>
      <c r="J28" s="192"/>
      <c r="K28" s="192"/>
      <c r="L28" s="192"/>
      <c r="M28" s="165"/>
      <c r="N28" s="165"/>
      <c r="O28" s="165"/>
      <c r="P28" s="165"/>
      <c r="Q28" s="165"/>
    </row>
    <row r="29" spans="1:17">
      <c r="A29" s="165"/>
      <c r="B29" s="188"/>
      <c r="C29" s="170"/>
      <c r="D29" s="191"/>
      <c r="E29" s="191"/>
      <c r="F29" s="191"/>
      <c r="G29" s="192"/>
      <c r="H29" s="192"/>
      <c r="I29" s="192"/>
      <c r="J29" s="192"/>
      <c r="K29" s="192"/>
      <c r="L29" s="192"/>
      <c r="M29" s="165"/>
      <c r="N29" s="165"/>
      <c r="O29" s="165"/>
      <c r="P29" s="165"/>
      <c r="Q29" s="165"/>
    </row>
    <row r="30" spans="1:17">
      <c r="A30" s="165"/>
      <c r="B30" s="188"/>
      <c r="C30" s="170"/>
      <c r="D30" s="191"/>
      <c r="E30" s="191"/>
      <c r="F30" s="191"/>
      <c r="G30" s="192"/>
      <c r="H30" s="192"/>
      <c r="I30" s="192"/>
      <c r="J30" s="192"/>
      <c r="K30" s="192"/>
      <c r="L30" s="192"/>
      <c r="M30" s="165"/>
      <c r="N30" s="165"/>
      <c r="O30" s="165"/>
      <c r="P30" s="165"/>
      <c r="Q30" s="165"/>
    </row>
    <row r="31" spans="1:17">
      <c r="A31" s="165"/>
      <c r="B31" s="188"/>
      <c r="C31" s="170"/>
      <c r="D31" s="191"/>
      <c r="E31" s="191"/>
      <c r="F31" s="191"/>
      <c r="G31" s="192"/>
      <c r="H31" s="192"/>
      <c r="I31" s="192"/>
      <c r="J31" s="192"/>
      <c r="K31" s="192"/>
      <c r="L31" s="192"/>
      <c r="M31" s="165"/>
      <c r="N31" s="165"/>
      <c r="O31" s="165"/>
      <c r="P31" s="165"/>
      <c r="Q31" s="165"/>
    </row>
    <row r="32" spans="1:17">
      <c r="A32" s="165"/>
      <c r="B32" s="188"/>
      <c r="C32" s="170"/>
      <c r="D32" s="191"/>
      <c r="E32" s="191"/>
      <c r="F32" s="191"/>
      <c r="G32" s="192"/>
      <c r="H32" s="192"/>
      <c r="I32" s="192"/>
      <c r="J32" s="192"/>
      <c r="K32" s="192"/>
      <c r="L32" s="192"/>
      <c r="M32" s="165"/>
      <c r="N32" s="165"/>
      <c r="O32" s="165"/>
      <c r="P32" s="165"/>
      <c r="Q32" s="165"/>
    </row>
    <row r="33" spans="1:17">
      <c r="A33" s="165"/>
      <c r="B33" s="188"/>
      <c r="C33" s="170"/>
      <c r="D33" s="191"/>
      <c r="E33" s="191"/>
      <c r="F33" s="191"/>
      <c r="G33" s="192"/>
      <c r="H33" s="192"/>
      <c r="I33" s="192"/>
      <c r="J33" s="192"/>
      <c r="K33" s="192"/>
      <c r="L33" s="192"/>
      <c r="M33" s="165"/>
      <c r="N33" s="165"/>
      <c r="O33" s="165"/>
      <c r="P33" s="165"/>
      <c r="Q33" s="165"/>
    </row>
    <row r="34" spans="1:17">
      <c r="A34" s="165"/>
      <c r="B34" s="165"/>
      <c r="C34" s="165"/>
      <c r="D34" s="193"/>
      <c r="E34" s="193"/>
      <c r="F34" s="193"/>
      <c r="G34" s="165"/>
      <c r="H34" s="165"/>
      <c r="I34" s="165"/>
      <c r="J34" s="165"/>
      <c r="K34" s="165"/>
      <c r="L34" s="165"/>
      <c r="M34" s="165"/>
      <c r="N34" s="165"/>
      <c r="O34" s="165"/>
      <c r="P34" s="165"/>
      <c r="Q34" s="165"/>
    </row>
    <row r="35" spans="1:17">
      <c r="A35" s="165"/>
      <c r="B35" s="165"/>
      <c r="C35" s="165"/>
      <c r="D35" s="193"/>
      <c r="E35" s="193"/>
      <c r="F35" s="193"/>
      <c r="G35" s="193"/>
      <c r="H35" s="193"/>
      <c r="I35" s="193"/>
      <c r="J35" s="193"/>
      <c r="K35" s="193"/>
      <c r="L35" s="193"/>
      <c r="M35" s="165"/>
      <c r="N35" s="165"/>
      <c r="O35" s="165"/>
      <c r="P35" s="165"/>
      <c r="Q35" s="165"/>
    </row>
  </sheetData>
  <printOptions horizontalCentered="1"/>
  <pageMargins left="0.7" right="0.7" top="0.75" bottom="0.75" header="0.3" footer="0.3"/>
  <pageSetup scale="63" fitToHeight="0"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733"/>
  <sheetViews>
    <sheetView workbookViewId="0"/>
  </sheetViews>
  <sheetFormatPr defaultColWidth="8.125" defaultRowHeight="12.75"/>
  <cols>
    <col min="1" max="1" width="8.375" style="322" bestFit="1" customWidth="1"/>
    <col min="2" max="2" width="12.75" style="322" bestFit="1" customWidth="1"/>
    <col min="3" max="3" width="33.25" style="322" customWidth="1"/>
    <col min="4" max="4" width="25.75" style="322" customWidth="1"/>
    <col min="5" max="5" width="18.625" style="323" customWidth="1"/>
    <col min="6" max="7" width="16.25" style="323" customWidth="1"/>
    <col min="8" max="8" width="18" style="324" customWidth="1"/>
    <col min="9" max="9" width="18.125" style="324" customWidth="1"/>
    <col min="10" max="10" width="16.5" style="323" customWidth="1"/>
    <col min="11" max="11" width="19.5" style="323" customWidth="1"/>
    <col min="12" max="12" width="18.25" style="324" customWidth="1"/>
    <col min="13" max="13" width="15.625" style="324" customWidth="1"/>
    <col min="14" max="14" width="18.25" style="326" bestFit="1" customWidth="1"/>
    <col min="15" max="15" width="8.125" style="322"/>
    <col min="16" max="16" width="11.25" style="322" customWidth="1"/>
    <col min="17" max="16384" width="8.125" style="322"/>
  </cols>
  <sheetData>
    <row r="2" spans="1:16" ht="14.25">
      <c r="N2" s="694" t="s">
        <v>794</v>
      </c>
    </row>
    <row r="3" spans="1:16" ht="14.25">
      <c r="N3" s="694" t="s">
        <v>631</v>
      </c>
      <c r="P3" s="325"/>
    </row>
    <row r="4" spans="1:16" ht="20.25">
      <c r="B4" s="336" t="str">
        <f>Index!B2</f>
        <v>Tri-State Generation and Transmission Association, Inc.</v>
      </c>
      <c r="C4" s="334"/>
      <c r="D4" s="334"/>
      <c r="E4" s="334"/>
      <c r="F4" s="334"/>
      <c r="G4" s="334"/>
      <c r="H4" s="334"/>
      <c r="I4" s="334"/>
      <c r="J4" s="334"/>
      <c r="K4" s="334"/>
      <c r="L4" s="334"/>
      <c r="M4" s="334"/>
      <c r="N4" s="334"/>
    </row>
    <row r="5" spans="1:16">
      <c r="B5" s="335" t="s">
        <v>17</v>
      </c>
      <c r="C5" s="335"/>
      <c r="D5" s="335"/>
      <c r="E5" s="335"/>
      <c r="F5" s="335"/>
      <c r="G5" s="335"/>
      <c r="H5" s="335"/>
      <c r="I5" s="335"/>
      <c r="J5" s="335"/>
      <c r="K5" s="335"/>
      <c r="L5" s="335"/>
      <c r="M5" s="335"/>
      <c r="N5" s="335"/>
    </row>
    <row r="6" spans="1:16" ht="15">
      <c r="A6" s="574"/>
      <c r="B6" s="575" t="str">
        <f>Index!C31</f>
        <v>SPP Qualified Transmission Substations</v>
      </c>
      <c r="C6" s="576"/>
      <c r="D6" s="576"/>
      <c r="E6" s="576"/>
      <c r="F6" s="576"/>
      <c r="G6" s="576"/>
      <c r="H6" s="576"/>
      <c r="I6" s="576"/>
      <c r="J6" s="576"/>
      <c r="K6" s="576"/>
      <c r="L6" s="576"/>
      <c r="M6" s="576"/>
      <c r="N6" s="576"/>
    </row>
    <row r="7" spans="1:16" s="327" customFormat="1" ht="15">
      <c r="A7" s="577"/>
      <c r="B7" s="575" t="str">
        <f>Index!B5</f>
        <v>Year Ending December 31, 2016</v>
      </c>
      <c r="C7" s="576"/>
      <c r="D7" s="576"/>
      <c r="E7" s="576"/>
      <c r="F7" s="576"/>
      <c r="G7" s="576"/>
      <c r="H7" s="576"/>
      <c r="I7" s="576"/>
      <c r="J7" s="576"/>
      <c r="K7" s="576"/>
      <c r="L7" s="576"/>
      <c r="M7" s="576"/>
      <c r="N7" s="576"/>
    </row>
    <row r="8" spans="1:16" ht="15">
      <c r="A8" s="578"/>
      <c r="B8" s="574"/>
      <c r="C8" s="574"/>
      <c r="D8" s="574"/>
      <c r="E8" s="574"/>
      <c r="F8" s="574"/>
      <c r="G8" s="574"/>
      <c r="H8" s="574"/>
      <c r="I8" s="574"/>
      <c r="J8" s="574"/>
      <c r="K8" s="574"/>
      <c r="L8" s="574"/>
      <c r="M8" s="574"/>
      <c r="N8" s="579"/>
    </row>
    <row r="9" spans="1:16" s="327" customFormat="1" ht="15">
      <c r="A9" s="580"/>
      <c r="B9" s="581"/>
      <c r="C9" s="581"/>
      <c r="D9" s="581"/>
      <c r="E9" s="581"/>
      <c r="F9" s="833" t="s">
        <v>661</v>
      </c>
      <c r="G9" s="834"/>
      <c r="H9" s="834"/>
      <c r="I9" s="835"/>
      <c r="J9" s="833" t="s">
        <v>667</v>
      </c>
      <c r="K9" s="834"/>
      <c r="L9" s="834"/>
      <c r="M9" s="835"/>
      <c r="N9" s="582"/>
    </row>
    <row r="10" spans="1:16" s="337" customFormat="1" ht="15">
      <c r="A10" s="584" t="s">
        <v>18</v>
      </c>
      <c r="B10" s="584" t="s">
        <v>19</v>
      </c>
      <c r="C10" s="584" t="s">
        <v>20</v>
      </c>
      <c r="D10" s="584" t="s">
        <v>21</v>
      </c>
      <c r="E10" s="584" t="s">
        <v>22</v>
      </c>
      <c r="F10" s="583" t="s">
        <v>23</v>
      </c>
      <c r="G10" s="584" t="s">
        <v>24</v>
      </c>
      <c r="H10" s="584" t="s">
        <v>25</v>
      </c>
      <c r="I10" s="664" t="s">
        <v>134</v>
      </c>
      <c r="J10" s="583" t="s">
        <v>135</v>
      </c>
      <c r="K10" s="584" t="s">
        <v>369</v>
      </c>
      <c r="L10" s="584" t="s">
        <v>368</v>
      </c>
      <c r="M10" s="664" t="s">
        <v>367</v>
      </c>
      <c r="N10" s="584" t="s">
        <v>366</v>
      </c>
    </row>
    <row r="11" spans="1:16" ht="45">
      <c r="A11" s="585" t="s">
        <v>415</v>
      </c>
      <c r="B11" s="585" t="s">
        <v>686</v>
      </c>
      <c r="C11" s="585" t="s">
        <v>662</v>
      </c>
      <c r="D11" s="585" t="s">
        <v>663</v>
      </c>
      <c r="E11" s="585" t="s">
        <v>664</v>
      </c>
      <c r="F11" s="598" t="s">
        <v>932</v>
      </c>
      <c r="G11" s="585" t="s">
        <v>924</v>
      </c>
      <c r="H11" s="585" t="s">
        <v>925</v>
      </c>
      <c r="I11" s="597" t="s">
        <v>926</v>
      </c>
      <c r="J11" s="598" t="s">
        <v>927</v>
      </c>
      <c r="K11" s="585" t="s">
        <v>928</v>
      </c>
      <c r="L11" s="585" t="s">
        <v>925</v>
      </c>
      <c r="M11" s="597" t="s">
        <v>929</v>
      </c>
      <c r="N11" s="585" t="s">
        <v>585</v>
      </c>
    </row>
    <row r="12" spans="1:16" ht="15">
      <c r="A12" s="665">
        <v>1</v>
      </c>
      <c r="B12" s="586">
        <v>350</v>
      </c>
      <c r="C12" s="587" t="s">
        <v>687</v>
      </c>
      <c r="D12" s="588" t="s">
        <v>665</v>
      </c>
      <c r="E12" s="728">
        <f>+L12/H12</f>
        <v>0.81719007681594835</v>
      </c>
      <c r="F12" s="589">
        <v>59938.170000000006</v>
      </c>
      <c r="G12" s="589">
        <v>0</v>
      </c>
      <c r="H12" s="589">
        <v>63238.170000000006</v>
      </c>
      <c r="I12" s="589">
        <v>0</v>
      </c>
      <c r="J12" s="589">
        <v>49477.605000000003</v>
      </c>
      <c r="K12" s="589">
        <v>0</v>
      </c>
      <c r="L12" s="589">
        <v>51677.605000000003</v>
      </c>
      <c r="M12" s="589">
        <v>0</v>
      </c>
      <c r="N12" s="590"/>
    </row>
    <row r="13" spans="1:16" ht="15">
      <c r="A13" s="665">
        <f>A12+1</f>
        <v>2</v>
      </c>
      <c r="B13" s="586">
        <v>352</v>
      </c>
      <c r="C13" s="588" t="s">
        <v>692</v>
      </c>
      <c r="D13" s="588" t="s">
        <v>665</v>
      </c>
      <c r="E13" s="728">
        <f t="shared" ref="E13:E16" si="0">+L13/H13</f>
        <v>0.85187653569105981</v>
      </c>
      <c r="F13" s="589">
        <v>685299.49999999988</v>
      </c>
      <c r="G13" s="589">
        <v>263097.84000000003</v>
      </c>
      <c r="H13" s="589">
        <v>706047.49999999988</v>
      </c>
      <c r="I13" s="589">
        <v>259529.62999999998</v>
      </c>
      <c r="J13" s="589">
        <v>580717.29833333346</v>
      </c>
      <c r="K13" s="589">
        <v>204534.23666666669</v>
      </c>
      <c r="L13" s="589">
        <v>601465.29833333346</v>
      </c>
      <c r="M13" s="589">
        <v>240871.1466666667</v>
      </c>
      <c r="N13" s="591"/>
    </row>
    <row r="14" spans="1:16" ht="15">
      <c r="A14" s="665">
        <f t="shared" ref="A14:A22" si="1">A13+1</f>
        <v>3</v>
      </c>
      <c r="B14" s="586">
        <v>353</v>
      </c>
      <c r="C14" s="588" t="s">
        <v>77</v>
      </c>
      <c r="D14" s="588" t="s">
        <v>665</v>
      </c>
      <c r="E14" s="728">
        <f t="shared" si="0"/>
        <v>0.82531034757837274</v>
      </c>
      <c r="F14" s="589">
        <v>18326667.900000006</v>
      </c>
      <c r="G14" s="589">
        <v>10506131.740000002</v>
      </c>
      <c r="H14" s="589">
        <v>18741312.930000007</v>
      </c>
      <c r="I14" s="589">
        <v>9014550.9349999968</v>
      </c>
      <c r="J14" s="589">
        <v>15052754.458333354</v>
      </c>
      <c r="K14" s="589">
        <v>8314137.5099999923</v>
      </c>
      <c r="L14" s="589">
        <v>15467399.488333357</v>
      </c>
      <c r="M14" s="589">
        <v>8837528.485000005</v>
      </c>
      <c r="N14" s="591"/>
    </row>
    <row r="15" spans="1:16" ht="15">
      <c r="A15" s="665">
        <f t="shared" si="1"/>
        <v>4</v>
      </c>
      <c r="B15" s="586">
        <v>355</v>
      </c>
      <c r="C15" s="587" t="s">
        <v>689</v>
      </c>
      <c r="D15" s="588" t="s">
        <v>665</v>
      </c>
      <c r="E15" s="728">
        <f t="shared" si="0"/>
        <v>1</v>
      </c>
      <c r="F15" s="589">
        <v>49971.24</v>
      </c>
      <c r="G15" s="589">
        <v>11889.95</v>
      </c>
      <c r="H15" s="589">
        <v>49971.24</v>
      </c>
      <c r="I15" s="589">
        <v>13765.82</v>
      </c>
      <c r="J15" s="589">
        <v>49971.24</v>
      </c>
      <c r="K15" s="589">
        <v>11889.949999999999</v>
      </c>
      <c r="L15" s="589">
        <v>49971.24</v>
      </c>
      <c r="M15" s="589">
        <v>13765.82</v>
      </c>
      <c r="N15" s="591"/>
    </row>
    <row r="16" spans="1:16" ht="15">
      <c r="A16" s="665">
        <f t="shared" si="1"/>
        <v>5</v>
      </c>
      <c r="B16" s="586">
        <v>356</v>
      </c>
      <c r="C16" s="587" t="s">
        <v>691</v>
      </c>
      <c r="D16" s="588" t="s">
        <v>665</v>
      </c>
      <c r="E16" s="728">
        <f t="shared" si="0"/>
        <v>1</v>
      </c>
      <c r="F16" s="589">
        <v>1312.7</v>
      </c>
      <c r="G16" s="589">
        <v>1285.4100000000001</v>
      </c>
      <c r="H16" s="589">
        <v>1312.7</v>
      </c>
      <c r="I16" s="589">
        <v>1312.7</v>
      </c>
      <c r="J16" s="589">
        <v>1312.7</v>
      </c>
      <c r="K16" s="589">
        <v>1285.4100000000001</v>
      </c>
      <c r="L16" s="589">
        <v>1312.7</v>
      </c>
      <c r="M16" s="589">
        <v>1312.7</v>
      </c>
      <c r="N16" s="591"/>
    </row>
    <row r="17" spans="1:14" ht="15">
      <c r="A17" s="665">
        <f t="shared" si="1"/>
        <v>6</v>
      </c>
      <c r="B17" s="586">
        <v>359</v>
      </c>
      <c r="C17" s="587" t="s">
        <v>690</v>
      </c>
      <c r="D17" s="588" t="s">
        <v>665</v>
      </c>
      <c r="E17" s="681"/>
      <c r="F17" s="592">
        <v>0</v>
      </c>
      <c r="G17" s="592">
        <v>0</v>
      </c>
      <c r="H17" s="592">
        <v>0</v>
      </c>
      <c r="I17" s="592">
        <v>0</v>
      </c>
      <c r="J17" s="589">
        <v>0</v>
      </c>
      <c r="K17" s="589">
        <v>0</v>
      </c>
      <c r="L17" s="589">
        <v>0</v>
      </c>
      <c r="M17" s="589">
        <v>0</v>
      </c>
      <c r="N17" s="591"/>
    </row>
    <row r="18" spans="1:14" ht="15">
      <c r="A18" s="665">
        <f t="shared" si="1"/>
        <v>7</v>
      </c>
      <c r="B18" s="593" t="s">
        <v>473</v>
      </c>
      <c r="C18" s="594"/>
      <c r="D18" s="594"/>
      <c r="E18" s="682"/>
      <c r="F18" s="595">
        <f>SUM(F12:F17)</f>
        <v>19123189.510000005</v>
      </c>
      <c r="G18" s="595">
        <f t="shared" ref="G18:M18" si="2">SUM(G12:G17)</f>
        <v>10782404.940000001</v>
      </c>
      <c r="H18" s="595">
        <f t="shared" si="2"/>
        <v>19561882.540000007</v>
      </c>
      <c r="I18" s="595">
        <f t="shared" si="2"/>
        <v>9289159.0849999972</v>
      </c>
      <c r="J18" s="595">
        <f t="shared" si="2"/>
        <v>15734233.301666688</v>
      </c>
      <c r="K18" s="595">
        <f t="shared" si="2"/>
        <v>8531847.1066666581</v>
      </c>
      <c r="L18" s="595">
        <f t="shared" si="2"/>
        <v>16171826.331666691</v>
      </c>
      <c r="M18" s="595">
        <f t="shared" si="2"/>
        <v>9093478.151666671</v>
      </c>
      <c r="N18" s="596"/>
    </row>
    <row r="19" spans="1:14" ht="14.25">
      <c r="A19" s="665">
        <f t="shared" si="1"/>
        <v>8</v>
      </c>
      <c r="B19" s="327"/>
      <c r="N19" s="328"/>
    </row>
    <row r="20" spans="1:14" ht="14.25">
      <c r="A20" s="665">
        <f t="shared" si="1"/>
        <v>9</v>
      </c>
      <c r="B20" s="209" t="s">
        <v>439</v>
      </c>
      <c r="J20" s="680"/>
      <c r="K20" s="680"/>
      <c r="L20" s="680"/>
      <c r="M20" s="680"/>
      <c r="N20" s="328"/>
    </row>
    <row r="21" spans="1:14" ht="14.25">
      <c r="A21" s="665">
        <f t="shared" si="1"/>
        <v>10</v>
      </c>
      <c r="B21" s="698" t="s">
        <v>940</v>
      </c>
      <c r="J21" s="329"/>
      <c r="N21" s="328"/>
    </row>
    <row r="22" spans="1:14" ht="14.25">
      <c r="A22" s="665">
        <f t="shared" si="1"/>
        <v>11</v>
      </c>
      <c r="B22" s="698" t="s">
        <v>920</v>
      </c>
      <c r="J22" s="725"/>
      <c r="K22" s="725"/>
      <c r="L22" s="725"/>
      <c r="M22" s="725"/>
      <c r="N22" s="328"/>
    </row>
    <row r="23" spans="1:14">
      <c r="J23" s="725"/>
      <c r="K23" s="725"/>
      <c r="L23" s="725"/>
      <c r="M23" s="725"/>
      <c r="N23" s="328"/>
    </row>
    <row r="24" spans="1:14">
      <c r="F24" s="726"/>
      <c r="G24" s="726"/>
      <c r="H24" s="726"/>
      <c r="I24" s="726"/>
      <c r="J24" s="725"/>
      <c r="K24" s="725"/>
      <c r="L24" s="725"/>
      <c r="M24" s="725"/>
      <c r="N24" s="328"/>
    </row>
    <row r="25" spans="1:14">
      <c r="F25" s="726"/>
      <c r="G25" s="726"/>
      <c r="H25" s="726"/>
      <c r="I25" s="726"/>
      <c r="J25" s="725"/>
      <c r="K25" s="725"/>
      <c r="L25" s="725"/>
      <c r="M25" s="725"/>
      <c r="N25" s="328"/>
    </row>
    <row r="26" spans="1:14">
      <c r="F26" s="726"/>
      <c r="G26" s="726"/>
      <c r="H26" s="726"/>
      <c r="I26" s="726"/>
      <c r="J26" s="725"/>
      <c r="K26" s="725"/>
      <c r="L26" s="725"/>
      <c r="M26" s="725"/>
      <c r="N26" s="328"/>
    </row>
    <row r="27" spans="1:14">
      <c r="F27" s="726"/>
      <c r="G27" s="726"/>
      <c r="H27" s="726"/>
      <c r="I27" s="726"/>
      <c r="J27" s="725"/>
      <c r="K27" s="725"/>
      <c r="L27" s="725"/>
      <c r="M27" s="725"/>
      <c r="N27" s="328"/>
    </row>
    <row r="28" spans="1:14">
      <c r="F28" s="726"/>
      <c r="G28" s="726"/>
      <c r="H28" s="726"/>
      <c r="I28" s="726"/>
      <c r="J28" s="725"/>
      <c r="K28" s="725"/>
      <c r="L28" s="725"/>
      <c r="M28" s="725"/>
      <c r="N28" s="328"/>
    </row>
    <row r="29" spans="1:14">
      <c r="J29" s="725"/>
      <c r="K29" s="725"/>
      <c r="L29" s="725"/>
      <c r="N29" s="328"/>
    </row>
    <row r="30" spans="1:14">
      <c r="F30" s="330"/>
      <c r="G30" s="330"/>
      <c r="H30" s="330"/>
      <c r="I30" s="330"/>
      <c r="J30" s="725"/>
      <c r="K30" s="725"/>
      <c r="L30" s="725"/>
      <c r="M30" s="725"/>
      <c r="N30" s="725"/>
    </row>
    <row r="31" spans="1:14">
      <c r="F31" s="330"/>
      <c r="G31" s="330"/>
      <c r="H31" s="330"/>
      <c r="I31" s="330"/>
      <c r="J31" s="725"/>
      <c r="K31" s="725"/>
      <c r="L31" s="725"/>
      <c r="M31" s="725"/>
      <c r="N31" s="725"/>
    </row>
    <row r="32" spans="1:14">
      <c r="F32" s="330"/>
      <c r="G32" s="330"/>
      <c r="H32" s="330"/>
      <c r="I32" s="330"/>
      <c r="J32" s="725"/>
      <c r="K32" s="725"/>
      <c r="L32" s="725"/>
      <c r="M32" s="725"/>
      <c r="N32" s="725"/>
    </row>
    <row r="33" spans="6:14">
      <c r="F33" s="330"/>
      <c r="G33" s="330"/>
      <c r="H33" s="330"/>
      <c r="I33" s="330"/>
      <c r="J33" s="725"/>
      <c r="K33" s="725"/>
      <c r="L33" s="725"/>
      <c r="M33" s="725"/>
      <c r="N33" s="725"/>
    </row>
    <row r="34" spans="6:14">
      <c r="F34" s="330"/>
      <c r="G34" s="330"/>
      <c r="H34" s="330"/>
      <c r="I34" s="330"/>
      <c r="J34" s="725"/>
      <c r="K34" s="725"/>
      <c r="L34" s="725"/>
      <c r="M34" s="725"/>
      <c r="N34" s="725"/>
    </row>
    <row r="35" spans="6:14">
      <c r="F35" s="330"/>
      <c r="G35" s="330"/>
      <c r="H35" s="330"/>
      <c r="I35" s="330"/>
      <c r="J35" s="725"/>
      <c r="K35" s="725"/>
      <c r="L35" s="725"/>
      <c r="M35" s="725"/>
      <c r="N35" s="725"/>
    </row>
    <row r="36" spans="6:14">
      <c r="J36" s="725"/>
      <c r="K36" s="725"/>
      <c r="L36" s="725"/>
      <c r="M36" s="725"/>
      <c r="N36" s="725"/>
    </row>
    <row r="37" spans="6:14">
      <c r="J37" s="725"/>
      <c r="K37" s="725"/>
      <c r="L37" s="725"/>
      <c r="M37" s="725"/>
      <c r="N37" s="725"/>
    </row>
    <row r="38" spans="6:14">
      <c r="J38" s="725"/>
      <c r="K38" s="725"/>
      <c r="L38" s="725"/>
      <c r="M38" s="725"/>
      <c r="N38" s="725"/>
    </row>
    <row r="39" spans="6:14">
      <c r="J39" s="725"/>
      <c r="K39" s="725"/>
      <c r="L39" s="725"/>
      <c r="M39" s="725"/>
      <c r="N39" s="725"/>
    </row>
    <row r="40" spans="6:14">
      <c r="N40" s="328"/>
    </row>
    <row r="41" spans="6:14">
      <c r="N41" s="328"/>
    </row>
    <row r="42" spans="6:14">
      <c r="N42" s="328"/>
    </row>
    <row r="43" spans="6:14">
      <c r="N43" s="328"/>
    </row>
    <row r="44" spans="6:14">
      <c r="N44" s="328"/>
    </row>
    <row r="45" spans="6:14">
      <c r="N45" s="328"/>
    </row>
    <row r="46" spans="6:14">
      <c r="N46" s="328"/>
    </row>
    <row r="47" spans="6:14">
      <c r="N47" s="328"/>
    </row>
    <row r="48" spans="6:14">
      <c r="N48" s="328"/>
    </row>
    <row r="49" spans="14:14">
      <c r="N49" s="328"/>
    </row>
    <row r="50" spans="14:14">
      <c r="N50" s="328"/>
    </row>
    <row r="51" spans="14:14">
      <c r="N51" s="328"/>
    </row>
    <row r="52" spans="14:14">
      <c r="N52" s="328"/>
    </row>
    <row r="53" spans="14:14">
      <c r="N53" s="328"/>
    </row>
    <row r="54" spans="14:14">
      <c r="N54" s="328"/>
    </row>
    <row r="55" spans="14:14">
      <c r="N55" s="328"/>
    </row>
    <row r="56" spans="14:14">
      <c r="N56" s="328"/>
    </row>
    <row r="57" spans="14:14">
      <c r="N57" s="328"/>
    </row>
    <row r="58" spans="14:14">
      <c r="N58" s="328"/>
    </row>
    <row r="59" spans="14:14">
      <c r="N59" s="328"/>
    </row>
    <row r="60" spans="14:14">
      <c r="N60" s="328"/>
    </row>
    <row r="61" spans="14:14">
      <c r="N61" s="328"/>
    </row>
    <row r="62" spans="14:14">
      <c r="N62" s="328"/>
    </row>
    <row r="63" spans="14:14">
      <c r="N63" s="328"/>
    </row>
    <row r="64" spans="14:14">
      <c r="N64" s="328"/>
    </row>
    <row r="65" spans="14:14">
      <c r="N65" s="328"/>
    </row>
    <row r="66" spans="14:14">
      <c r="N66" s="328"/>
    </row>
    <row r="67" spans="14:14">
      <c r="N67" s="328"/>
    </row>
    <row r="68" spans="14:14">
      <c r="N68" s="328"/>
    </row>
    <row r="69" spans="14:14">
      <c r="N69" s="328"/>
    </row>
    <row r="70" spans="14:14">
      <c r="N70" s="328"/>
    </row>
    <row r="71" spans="14:14">
      <c r="N71" s="328"/>
    </row>
    <row r="72" spans="14:14">
      <c r="N72" s="328"/>
    </row>
    <row r="73" spans="14:14">
      <c r="N73" s="328"/>
    </row>
    <row r="74" spans="14:14">
      <c r="N74" s="328"/>
    </row>
    <row r="75" spans="14:14">
      <c r="N75" s="328"/>
    </row>
    <row r="76" spans="14:14">
      <c r="N76" s="328"/>
    </row>
    <row r="77" spans="14:14">
      <c r="N77" s="328"/>
    </row>
    <row r="78" spans="14:14">
      <c r="N78" s="328"/>
    </row>
    <row r="79" spans="14:14">
      <c r="N79" s="328"/>
    </row>
    <row r="80" spans="14:14">
      <c r="N80" s="328"/>
    </row>
    <row r="81" spans="14:14">
      <c r="N81" s="328"/>
    </row>
    <row r="82" spans="14:14">
      <c r="N82" s="328"/>
    </row>
    <row r="83" spans="14:14">
      <c r="N83" s="328"/>
    </row>
    <row r="84" spans="14:14">
      <c r="N84" s="328"/>
    </row>
    <row r="85" spans="14:14">
      <c r="N85" s="328"/>
    </row>
    <row r="86" spans="14:14">
      <c r="N86" s="328"/>
    </row>
    <row r="87" spans="14:14">
      <c r="N87" s="328"/>
    </row>
    <row r="88" spans="14:14">
      <c r="N88" s="328"/>
    </row>
    <row r="89" spans="14:14">
      <c r="N89" s="328"/>
    </row>
    <row r="90" spans="14:14">
      <c r="N90" s="328"/>
    </row>
    <row r="91" spans="14:14">
      <c r="N91" s="328"/>
    </row>
    <row r="92" spans="14:14">
      <c r="N92" s="328"/>
    </row>
    <row r="93" spans="14:14">
      <c r="N93" s="328"/>
    </row>
    <row r="94" spans="14:14">
      <c r="N94" s="328"/>
    </row>
    <row r="95" spans="14:14">
      <c r="N95" s="328"/>
    </row>
    <row r="96" spans="14:14">
      <c r="N96" s="328"/>
    </row>
    <row r="97" spans="14:14">
      <c r="N97" s="328"/>
    </row>
    <row r="98" spans="14:14">
      <c r="N98" s="328"/>
    </row>
    <row r="99" spans="14:14">
      <c r="N99" s="328"/>
    </row>
    <row r="100" spans="14:14">
      <c r="N100" s="328"/>
    </row>
    <row r="101" spans="14:14">
      <c r="N101" s="328"/>
    </row>
    <row r="102" spans="14:14">
      <c r="N102" s="328"/>
    </row>
    <row r="103" spans="14:14">
      <c r="N103" s="328"/>
    </row>
    <row r="104" spans="14:14">
      <c r="N104" s="328"/>
    </row>
    <row r="105" spans="14:14">
      <c r="N105" s="328"/>
    </row>
    <row r="106" spans="14:14">
      <c r="N106" s="328"/>
    </row>
    <row r="107" spans="14:14">
      <c r="N107" s="328"/>
    </row>
    <row r="108" spans="14:14">
      <c r="N108" s="328"/>
    </row>
    <row r="109" spans="14:14">
      <c r="N109" s="328"/>
    </row>
    <row r="110" spans="14:14">
      <c r="N110" s="328"/>
    </row>
    <row r="111" spans="14:14">
      <c r="N111" s="328"/>
    </row>
    <row r="112" spans="14:14">
      <c r="N112" s="328"/>
    </row>
    <row r="113" spans="14:14">
      <c r="N113" s="328"/>
    </row>
    <row r="114" spans="14:14">
      <c r="N114" s="328"/>
    </row>
    <row r="115" spans="14:14">
      <c r="N115" s="328"/>
    </row>
    <row r="116" spans="14:14">
      <c r="N116" s="328"/>
    </row>
    <row r="117" spans="14:14">
      <c r="N117" s="328"/>
    </row>
    <row r="118" spans="14:14">
      <c r="N118" s="328"/>
    </row>
    <row r="119" spans="14:14">
      <c r="N119" s="328"/>
    </row>
    <row r="120" spans="14:14">
      <c r="N120" s="328"/>
    </row>
    <row r="121" spans="14:14">
      <c r="N121" s="328"/>
    </row>
    <row r="122" spans="14:14">
      <c r="N122" s="328"/>
    </row>
    <row r="123" spans="14:14">
      <c r="N123" s="328"/>
    </row>
    <row r="124" spans="14:14">
      <c r="N124" s="328"/>
    </row>
    <row r="125" spans="14:14">
      <c r="N125" s="328"/>
    </row>
    <row r="126" spans="14:14">
      <c r="N126" s="328"/>
    </row>
    <row r="127" spans="14:14">
      <c r="N127" s="328"/>
    </row>
    <row r="128" spans="14:14">
      <c r="N128" s="328"/>
    </row>
    <row r="129" spans="14:14">
      <c r="N129" s="328"/>
    </row>
    <row r="130" spans="14:14">
      <c r="N130" s="328"/>
    </row>
    <row r="131" spans="14:14">
      <c r="N131" s="328"/>
    </row>
    <row r="132" spans="14:14">
      <c r="N132" s="328"/>
    </row>
    <row r="133" spans="14:14">
      <c r="N133" s="328"/>
    </row>
    <row r="134" spans="14:14">
      <c r="N134" s="328"/>
    </row>
    <row r="135" spans="14:14">
      <c r="N135" s="328"/>
    </row>
    <row r="136" spans="14:14">
      <c r="N136" s="328"/>
    </row>
    <row r="137" spans="14:14">
      <c r="N137" s="328"/>
    </row>
    <row r="138" spans="14:14">
      <c r="N138" s="328"/>
    </row>
    <row r="139" spans="14:14">
      <c r="N139" s="328"/>
    </row>
    <row r="140" spans="14:14">
      <c r="N140" s="328"/>
    </row>
    <row r="141" spans="14:14">
      <c r="N141" s="328"/>
    </row>
    <row r="142" spans="14:14">
      <c r="N142" s="328"/>
    </row>
    <row r="143" spans="14:14">
      <c r="N143" s="328"/>
    </row>
    <row r="144" spans="14:14">
      <c r="N144" s="328"/>
    </row>
    <row r="145" spans="14:14">
      <c r="N145" s="328"/>
    </row>
    <row r="146" spans="14:14">
      <c r="N146" s="328"/>
    </row>
    <row r="147" spans="14:14">
      <c r="N147" s="328"/>
    </row>
    <row r="148" spans="14:14">
      <c r="N148" s="328"/>
    </row>
    <row r="149" spans="14:14">
      <c r="N149" s="328"/>
    </row>
    <row r="150" spans="14:14">
      <c r="N150" s="328"/>
    </row>
    <row r="151" spans="14:14">
      <c r="N151" s="328"/>
    </row>
    <row r="152" spans="14:14">
      <c r="N152" s="328"/>
    </row>
    <row r="153" spans="14:14">
      <c r="N153" s="328"/>
    </row>
    <row r="154" spans="14:14">
      <c r="N154" s="328"/>
    </row>
    <row r="155" spans="14:14">
      <c r="N155" s="328"/>
    </row>
    <row r="156" spans="14:14">
      <c r="N156" s="328"/>
    </row>
    <row r="157" spans="14:14">
      <c r="N157" s="328"/>
    </row>
    <row r="158" spans="14:14">
      <c r="N158" s="328"/>
    </row>
    <row r="159" spans="14:14">
      <c r="N159" s="328"/>
    </row>
    <row r="160" spans="14:14">
      <c r="N160" s="328"/>
    </row>
    <row r="161" spans="14:14">
      <c r="N161" s="328"/>
    </row>
    <row r="162" spans="14:14">
      <c r="N162" s="328"/>
    </row>
    <row r="163" spans="14:14">
      <c r="N163" s="328"/>
    </row>
    <row r="164" spans="14:14">
      <c r="N164" s="328"/>
    </row>
    <row r="165" spans="14:14">
      <c r="N165" s="328"/>
    </row>
    <row r="166" spans="14:14">
      <c r="N166" s="328"/>
    </row>
    <row r="167" spans="14:14">
      <c r="N167" s="328"/>
    </row>
    <row r="168" spans="14:14">
      <c r="N168" s="328"/>
    </row>
    <row r="169" spans="14:14">
      <c r="N169" s="328"/>
    </row>
    <row r="170" spans="14:14">
      <c r="N170" s="328"/>
    </row>
    <row r="171" spans="14:14">
      <c r="N171" s="328"/>
    </row>
    <row r="172" spans="14:14">
      <c r="N172" s="328"/>
    </row>
    <row r="173" spans="14:14">
      <c r="N173" s="328"/>
    </row>
    <row r="174" spans="14:14">
      <c r="N174" s="328"/>
    </row>
    <row r="175" spans="14:14">
      <c r="N175" s="328"/>
    </row>
    <row r="176" spans="14:14">
      <c r="N176" s="328"/>
    </row>
    <row r="177" spans="14:14">
      <c r="N177" s="328"/>
    </row>
    <row r="178" spans="14:14">
      <c r="N178" s="328"/>
    </row>
    <row r="179" spans="14:14">
      <c r="N179" s="328"/>
    </row>
    <row r="180" spans="14:14">
      <c r="N180" s="328"/>
    </row>
    <row r="181" spans="14:14">
      <c r="N181" s="328"/>
    </row>
    <row r="182" spans="14:14">
      <c r="N182" s="328"/>
    </row>
    <row r="183" spans="14:14">
      <c r="N183" s="328"/>
    </row>
    <row r="184" spans="14:14">
      <c r="N184" s="328"/>
    </row>
    <row r="185" spans="14:14">
      <c r="N185" s="328"/>
    </row>
    <row r="186" spans="14:14">
      <c r="N186" s="328"/>
    </row>
    <row r="187" spans="14:14">
      <c r="N187" s="328"/>
    </row>
    <row r="188" spans="14:14">
      <c r="N188" s="328"/>
    </row>
    <row r="189" spans="14:14">
      <c r="N189" s="328"/>
    </row>
    <row r="190" spans="14:14">
      <c r="N190" s="328"/>
    </row>
    <row r="191" spans="14:14">
      <c r="N191" s="328"/>
    </row>
    <row r="192" spans="14:14">
      <c r="N192" s="328"/>
    </row>
    <row r="193" spans="14:14">
      <c r="N193" s="328"/>
    </row>
    <row r="194" spans="14:14">
      <c r="N194" s="328"/>
    </row>
    <row r="195" spans="14:14">
      <c r="N195" s="328"/>
    </row>
    <row r="196" spans="14:14">
      <c r="N196" s="328"/>
    </row>
    <row r="197" spans="14:14">
      <c r="N197" s="328"/>
    </row>
    <row r="198" spans="14:14">
      <c r="N198" s="328"/>
    </row>
    <row r="199" spans="14:14">
      <c r="N199" s="328"/>
    </row>
    <row r="200" spans="14:14">
      <c r="N200" s="328"/>
    </row>
    <row r="201" spans="14:14">
      <c r="N201" s="328"/>
    </row>
    <row r="202" spans="14:14">
      <c r="N202" s="328"/>
    </row>
    <row r="203" spans="14:14">
      <c r="N203" s="328"/>
    </row>
    <row r="204" spans="14:14">
      <c r="N204" s="328"/>
    </row>
    <row r="205" spans="14:14">
      <c r="N205" s="328"/>
    </row>
    <row r="206" spans="14:14">
      <c r="N206" s="328"/>
    </row>
    <row r="207" spans="14:14">
      <c r="N207" s="328"/>
    </row>
    <row r="208" spans="14:14">
      <c r="N208" s="328"/>
    </row>
    <row r="209" spans="14:14">
      <c r="N209" s="328"/>
    </row>
    <row r="210" spans="14:14">
      <c r="N210" s="328"/>
    </row>
    <row r="211" spans="14:14">
      <c r="N211" s="328"/>
    </row>
    <row r="212" spans="14:14">
      <c r="N212" s="328"/>
    </row>
    <row r="213" spans="14:14">
      <c r="N213" s="328"/>
    </row>
    <row r="214" spans="14:14">
      <c r="N214" s="328"/>
    </row>
    <row r="215" spans="14:14">
      <c r="N215" s="328"/>
    </row>
    <row r="216" spans="14:14">
      <c r="N216" s="328"/>
    </row>
    <row r="217" spans="14:14">
      <c r="N217" s="328"/>
    </row>
    <row r="218" spans="14:14">
      <c r="N218" s="328"/>
    </row>
    <row r="219" spans="14:14">
      <c r="N219" s="328"/>
    </row>
    <row r="220" spans="14:14">
      <c r="N220" s="328"/>
    </row>
    <row r="221" spans="14:14">
      <c r="N221" s="328"/>
    </row>
    <row r="222" spans="14:14">
      <c r="N222" s="328"/>
    </row>
    <row r="223" spans="14:14">
      <c r="N223" s="328"/>
    </row>
    <row r="224" spans="14:14">
      <c r="N224" s="328"/>
    </row>
    <row r="225" spans="14:14">
      <c r="N225" s="328"/>
    </row>
    <row r="226" spans="14:14">
      <c r="N226" s="328"/>
    </row>
    <row r="227" spans="14:14">
      <c r="N227" s="328"/>
    </row>
    <row r="228" spans="14:14">
      <c r="N228" s="328"/>
    </row>
    <row r="229" spans="14:14">
      <c r="N229" s="328"/>
    </row>
    <row r="230" spans="14:14">
      <c r="N230" s="328"/>
    </row>
    <row r="231" spans="14:14">
      <c r="N231" s="328"/>
    </row>
    <row r="232" spans="14:14">
      <c r="N232" s="328"/>
    </row>
    <row r="233" spans="14:14">
      <c r="N233" s="328"/>
    </row>
    <row r="234" spans="14:14">
      <c r="N234" s="328"/>
    </row>
    <row r="235" spans="14:14">
      <c r="N235" s="328"/>
    </row>
    <row r="236" spans="14:14">
      <c r="N236" s="328"/>
    </row>
    <row r="237" spans="14:14">
      <c r="N237" s="328"/>
    </row>
    <row r="238" spans="14:14">
      <c r="N238" s="328"/>
    </row>
    <row r="239" spans="14:14">
      <c r="N239" s="328"/>
    </row>
    <row r="240" spans="14:14">
      <c r="N240" s="328"/>
    </row>
    <row r="241" spans="14:14">
      <c r="N241" s="328"/>
    </row>
    <row r="242" spans="14:14">
      <c r="N242" s="328"/>
    </row>
    <row r="243" spans="14:14">
      <c r="N243" s="328"/>
    </row>
    <row r="244" spans="14:14">
      <c r="N244" s="328"/>
    </row>
    <row r="245" spans="14:14">
      <c r="N245" s="328"/>
    </row>
    <row r="246" spans="14:14">
      <c r="N246" s="328"/>
    </row>
    <row r="247" spans="14:14">
      <c r="N247" s="328"/>
    </row>
    <row r="248" spans="14:14">
      <c r="N248" s="328"/>
    </row>
    <row r="249" spans="14:14">
      <c r="N249" s="328"/>
    </row>
    <row r="250" spans="14:14">
      <c r="N250" s="328"/>
    </row>
    <row r="251" spans="14:14">
      <c r="N251" s="328"/>
    </row>
    <row r="252" spans="14:14">
      <c r="N252" s="328"/>
    </row>
    <row r="253" spans="14:14">
      <c r="N253" s="328"/>
    </row>
    <row r="254" spans="14:14">
      <c r="N254" s="328"/>
    </row>
    <row r="255" spans="14:14">
      <c r="N255" s="328"/>
    </row>
    <row r="256" spans="14:14">
      <c r="N256" s="328"/>
    </row>
    <row r="257" spans="14:14">
      <c r="N257" s="328"/>
    </row>
    <row r="258" spans="14:14">
      <c r="N258" s="328"/>
    </row>
    <row r="259" spans="14:14">
      <c r="N259" s="328"/>
    </row>
    <row r="260" spans="14:14">
      <c r="N260" s="328"/>
    </row>
    <row r="261" spans="14:14">
      <c r="N261" s="328"/>
    </row>
    <row r="262" spans="14:14">
      <c r="N262" s="328"/>
    </row>
    <row r="263" spans="14:14">
      <c r="N263" s="328"/>
    </row>
    <row r="264" spans="14:14">
      <c r="N264" s="328"/>
    </row>
    <row r="265" spans="14:14">
      <c r="N265" s="328"/>
    </row>
    <row r="266" spans="14:14">
      <c r="N266" s="328"/>
    </row>
    <row r="267" spans="14:14">
      <c r="N267" s="328"/>
    </row>
    <row r="268" spans="14:14">
      <c r="N268" s="328"/>
    </row>
    <row r="269" spans="14:14">
      <c r="N269" s="328"/>
    </row>
    <row r="270" spans="14:14">
      <c r="N270" s="328"/>
    </row>
    <row r="271" spans="14:14">
      <c r="N271" s="328"/>
    </row>
    <row r="272" spans="14:14">
      <c r="N272" s="328"/>
    </row>
    <row r="273" spans="14:14">
      <c r="N273" s="328"/>
    </row>
    <row r="274" spans="14:14">
      <c r="N274" s="328"/>
    </row>
    <row r="275" spans="14:14">
      <c r="N275" s="328"/>
    </row>
    <row r="276" spans="14:14">
      <c r="N276" s="328"/>
    </row>
    <row r="277" spans="14:14">
      <c r="N277" s="328"/>
    </row>
    <row r="278" spans="14:14">
      <c r="N278" s="328"/>
    </row>
    <row r="279" spans="14:14">
      <c r="N279" s="328"/>
    </row>
    <row r="280" spans="14:14">
      <c r="N280" s="328"/>
    </row>
    <row r="281" spans="14:14">
      <c r="N281" s="328"/>
    </row>
    <row r="282" spans="14:14">
      <c r="N282" s="328"/>
    </row>
    <row r="283" spans="14:14">
      <c r="N283" s="328"/>
    </row>
    <row r="284" spans="14:14">
      <c r="N284" s="328"/>
    </row>
    <row r="285" spans="14:14">
      <c r="N285" s="328"/>
    </row>
    <row r="286" spans="14:14">
      <c r="N286" s="328"/>
    </row>
    <row r="287" spans="14:14">
      <c r="N287" s="328"/>
    </row>
    <row r="288" spans="14:14">
      <c r="N288" s="328"/>
    </row>
    <row r="289" spans="14:14">
      <c r="N289" s="328"/>
    </row>
    <row r="290" spans="14:14">
      <c r="N290" s="328"/>
    </row>
    <row r="291" spans="14:14">
      <c r="N291" s="328"/>
    </row>
    <row r="292" spans="14:14">
      <c r="N292" s="328"/>
    </row>
    <row r="293" spans="14:14">
      <c r="N293" s="328"/>
    </row>
    <row r="294" spans="14:14">
      <c r="N294" s="328"/>
    </row>
    <row r="295" spans="14:14">
      <c r="N295" s="328"/>
    </row>
    <row r="296" spans="14:14">
      <c r="N296" s="328"/>
    </row>
    <row r="297" spans="14:14">
      <c r="N297" s="328"/>
    </row>
    <row r="298" spans="14:14">
      <c r="N298" s="328"/>
    </row>
    <row r="299" spans="14:14">
      <c r="N299" s="328"/>
    </row>
    <row r="300" spans="14:14">
      <c r="N300" s="328"/>
    </row>
    <row r="301" spans="14:14">
      <c r="N301" s="328"/>
    </row>
    <row r="302" spans="14:14">
      <c r="N302" s="328"/>
    </row>
    <row r="303" spans="14:14">
      <c r="N303" s="328"/>
    </row>
    <row r="304" spans="14:14">
      <c r="N304" s="328"/>
    </row>
    <row r="305" spans="14:14">
      <c r="N305" s="328"/>
    </row>
    <row r="306" spans="14:14">
      <c r="N306" s="328"/>
    </row>
    <row r="307" spans="14:14">
      <c r="N307" s="328"/>
    </row>
    <row r="308" spans="14:14">
      <c r="N308" s="328"/>
    </row>
    <row r="309" spans="14:14">
      <c r="N309" s="328"/>
    </row>
    <row r="310" spans="14:14">
      <c r="N310" s="328"/>
    </row>
    <row r="311" spans="14:14">
      <c r="N311" s="328"/>
    </row>
    <row r="312" spans="14:14">
      <c r="N312" s="328"/>
    </row>
    <row r="313" spans="14:14">
      <c r="N313" s="328"/>
    </row>
    <row r="314" spans="14:14">
      <c r="N314" s="328"/>
    </row>
    <row r="315" spans="14:14">
      <c r="N315" s="328"/>
    </row>
    <row r="316" spans="14:14">
      <c r="N316" s="328"/>
    </row>
    <row r="317" spans="14:14">
      <c r="N317" s="328"/>
    </row>
    <row r="318" spans="14:14">
      <c r="N318" s="328"/>
    </row>
    <row r="319" spans="14:14">
      <c r="N319" s="328"/>
    </row>
    <row r="320" spans="14:14">
      <c r="N320" s="328"/>
    </row>
    <row r="321" spans="14:14">
      <c r="N321" s="328"/>
    </row>
    <row r="322" spans="14:14">
      <c r="N322" s="328"/>
    </row>
    <row r="323" spans="14:14">
      <c r="N323" s="328"/>
    </row>
    <row r="324" spans="14:14">
      <c r="N324" s="328"/>
    </row>
    <row r="325" spans="14:14">
      <c r="N325" s="328"/>
    </row>
    <row r="326" spans="14:14">
      <c r="N326" s="328"/>
    </row>
    <row r="327" spans="14:14">
      <c r="N327" s="328"/>
    </row>
    <row r="328" spans="14:14">
      <c r="N328" s="328"/>
    </row>
    <row r="329" spans="14:14">
      <c r="N329" s="328"/>
    </row>
    <row r="330" spans="14:14">
      <c r="N330" s="328"/>
    </row>
    <row r="331" spans="14:14">
      <c r="N331" s="328"/>
    </row>
    <row r="332" spans="14:14">
      <c r="N332" s="328"/>
    </row>
    <row r="333" spans="14:14">
      <c r="N333" s="328"/>
    </row>
    <row r="334" spans="14:14">
      <c r="N334" s="328"/>
    </row>
    <row r="335" spans="14:14">
      <c r="N335" s="328"/>
    </row>
    <row r="336" spans="14:14">
      <c r="N336" s="328"/>
    </row>
    <row r="337" spans="14:14">
      <c r="N337" s="328"/>
    </row>
    <row r="338" spans="14:14">
      <c r="N338" s="328"/>
    </row>
    <row r="339" spans="14:14">
      <c r="N339" s="328"/>
    </row>
    <row r="340" spans="14:14">
      <c r="N340" s="328"/>
    </row>
    <row r="341" spans="14:14">
      <c r="N341" s="328"/>
    </row>
    <row r="342" spans="14:14">
      <c r="N342" s="328"/>
    </row>
    <row r="343" spans="14:14">
      <c r="N343" s="328"/>
    </row>
    <row r="344" spans="14:14">
      <c r="N344" s="328"/>
    </row>
    <row r="345" spans="14:14">
      <c r="N345" s="328"/>
    </row>
    <row r="346" spans="14:14">
      <c r="N346" s="328"/>
    </row>
    <row r="347" spans="14:14">
      <c r="N347" s="328"/>
    </row>
    <row r="348" spans="14:14">
      <c r="N348" s="328"/>
    </row>
    <row r="349" spans="14:14">
      <c r="N349" s="328"/>
    </row>
    <row r="350" spans="14:14">
      <c r="N350" s="328"/>
    </row>
    <row r="351" spans="14:14">
      <c r="N351" s="328"/>
    </row>
    <row r="352" spans="14:14">
      <c r="N352" s="328"/>
    </row>
    <row r="353" spans="14:14">
      <c r="N353" s="328"/>
    </row>
    <row r="354" spans="14:14">
      <c r="N354" s="328"/>
    </row>
    <row r="355" spans="14:14">
      <c r="N355" s="328"/>
    </row>
    <row r="356" spans="14:14">
      <c r="N356" s="328"/>
    </row>
    <row r="357" spans="14:14">
      <c r="N357" s="328"/>
    </row>
    <row r="358" spans="14:14">
      <c r="N358" s="328"/>
    </row>
    <row r="359" spans="14:14">
      <c r="N359" s="328"/>
    </row>
    <row r="360" spans="14:14">
      <c r="N360" s="328"/>
    </row>
    <row r="361" spans="14:14">
      <c r="N361" s="328"/>
    </row>
    <row r="362" spans="14:14">
      <c r="N362" s="328"/>
    </row>
    <row r="363" spans="14:14">
      <c r="N363" s="328"/>
    </row>
    <row r="364" spans="14:14">
      <c r="N364" s="328"/>
    </row>
    <row r="365" spans="14:14">
      <c r="N365" s="328"/>
    </row>
    <row r="366" spans="14:14">
      <c r="N366" s="328"/>
    </row>
    <row r="367" spans="14:14">
      <c r="N367" s="328"/>
    </row>
    <row r="368" spans="14:14">
      <c r="N368" s="328"/>
    </row>
    <row r="369" spans="14:14">
      <c r="N369" s="328"/>
    </row>
    <row r="370" spans="14:14">
      <c r="N370" s="328"/>
    </row>
    <row r="371" spans="14:14">
      <c r="N371" s="328"/>
    </row>
    <row r="372" spans="14:14">
      <c r="N372" s="328"/>
    </row>
    <row r="373" spans="14:14">
      <c r="N373" s="328"/>
    </row>
    <row r="374" spans="14:14">
      <c r="N374" s="328"/>
    </row>
    <row r="375" spans="14:14">
      <c r="N375" s="328"/>
    </row>
    <row r="376" spans="14:14">
      <c r="N376" s="328"/>
    </row>
    <row r="377" spans="14:14">
      <c r="N377" s="328"/>
    </row>
    <row r="378" spans="14:14">
      <c r="N378" s="328"/>
    </row>
    <row r="379" spans="14:14">
      <c r="N379" s="328"/>
    </row>
    <row r="380" spans="14:14">
      <c r="N380" s="328"/>
    </row>
    <row r="381" spans="14:14">
      <c r="N381" s="328"/>
    </row>
    <row r="382" spans="14:14">
      <c r="N382" s="328"/>
    </row>
    <row r="383" spans="14:14">
      <c r="N383" s="328"/>
    </row>
    <row r="384" spans="14:14">
      <c r="N384" s="328"/>
    </row>
    <row r="385" spans="14:14">
      <c r="N385" s="328"/>
    </row>
    <row r="386" spans="14:14">
      <c r="N386" s="328"/>
    </row>
    <row r="387" spans="14:14">
      <c r="N387" s="328"/>
    </row>
    <row r="388" spans="14:14">
      <c r="N388" s="328"/>
    </row>
    <row r="389" spans="14:14">
      <c r="N389" s="328"/>
    </row>
    <row r="390" spans="14:14">
      <c r="N390" s="328"/>
    </row>
    <row r="391" spans="14:14">
      <c r="N391" s="328"/>
    </row>
    <row r="392" spans="14:14">
      <c r="N392" s="328"/>
    </row>
    <row r="393" spans="14:14">
      <c r="N393" s="328"/>
    </row>
    <row r="394" spans="14:14">
      <c r="N394" s="328"/>
    </row>
    <row r="395" spans="14:14">
      <c r="N395" s="328"/>
    </row>
    <row r="396" spans="14:14">
      <c r="N396" s="328"/>
    </row>
    <row r="397" spans="14:14">
      <c r="N397" s="328"/>
    </row>
    <row r="398" spans="14:14">
      <c r="N398" s="328"/>
    </row>
    <row r="399" spans="14:14">
      <c r="N399" s="328"/>
    </row>
    <row r="400" spans="14:14">
      <c r="N400" s="328"/>
    </row>
    <row r="401" spans="14:14">
      <c r="N401" s="328"/>
    </row>
    <row r="402" spans="14:14">
      <c r="N402" s="328"/>
    </row>
    <row r="403" spans="14:14">
      <c r="N403" s="328"/>
    </row>
    <row r="404" spans="14:14">
      <c r="N404" s="328"/>
    </row>
    <row r="405" spans="14:14">
      <c r="N405" s="328"/>
    </row>
    <row r="406" spans="14:14">
      <c r="N406" s="328"/>
    </row>
    <row r="407" spans="14:14">
      <c r="N407" s="328"/>
    </row>
    <row r="408" spans="14:14">
      <c r="N408" s="328"/>
    </row>
    <row r="409" spans="14:14">
      <c r="N409" s="328"/>
    </row>
    <row r="410" spans="14:14">
      <c r="N410" s="328"/>
    </row>
    <row r="411" spans="14:14">
      <c r="N411" s="328"/>
    </row>
    <row r="412" spans="14:14">
      <c r="N412" s="328"/>
    </row>
    <row r="413" spans="14:14">
      <c r="N413" s="328"/>
    </row>
    <row r="414" spans="14:14">
      <c r="N414" s="328"/>
    </row>
    <row r="415" spans="14:14">
      <c r="N415" s="328"/>
    </row>
    <row r="416" spans="14:14">
      <c r="N416" s="328"/>
    </row>
    <row r="417" spans="14:14">
      <c r="N417" s="328"/>
    </row>
    <row r="418" spans="14:14">
      <c r="N418" s="328"/>
    </row>
    <row r="419" spans="14:14">
      <c r="N419" s="328"/>
    </row>
    <row r="420" spans="14:14">
      <c r="N420" s="328"/>
    </row>
    <row r="421" spans="14:14">
      <c r="N421" s="328"/>
    </row>
    <row r="422" spans="14:14">
      <c r="N422" s="328"/>
    </row>
    <row r="423" spans="14:14">
      <c r="N423" s="328"/>
    </row>
    <row r="424" spans="14:14">
      <c r="N424" s="328"/>
    </row>
    <row r="425" spans="14:14">
      <c r="N425" s="328"/>
    </row>
    <row r="426" spans="14:14">
      <c r="N426" s="328"/>
    </row>
    <row r="427" spans="14:14">
      <c r="N427" s="328"/>
    </row>
    <row r="428" spans="14:14">
      <c r="N428" s="328"/>
    </row>
    <row r="429" spans="14:14">
      <c r="N429" s="328"/>
    </row>
    <row r="430" spans="14:14">
      <c r="N430" s="328"/>
    </row>
    <row r="431" spans="14:14">
      <c r="N431" s="328"/>
    </row>
    <row r="432" spans="14:14">
      <c r="N432" s="328"/>
    </row>
    <row r="433" spans="14:14">
      <c r="N433" s="328"/>
    </row>
    <row r="434" spans="14:14">
      <c r="N434" s="328"/>
    </row>
    <row r="435" spans="14:14">
      <c r="N435" s="328"/>
    </row>
    <row r="436" spans="14:14">
      <c r="N436" s="328"/>
    </row>
    <row r="437" spans="14:14">
      <c r="N437" s="328"/>
    </row>
    <row r="438" spans="14:14">
      <c r="N438" s="328"/>
    </row>
    <row r="439" spans="14:14">
      <c r="N439" s="328"/>
    </row>
    <row r="440" spans="14:14">
      <c r="N440" s="328"/>
    </row>
    <row r="441" spans="14:14">
      <c r="N441" s="328"/>
    </row>
    <row r="442" spans="14:14">
      <c r="N442" s="328"/>
    </row>
    <row r="443" spans="14:14">
      <c r="N443" s="328"/>
    </row>
    <row r="444" spans="14:14">
      <c r="N444" s="328"/>
    </row>
    <row r="445" spans="14:14">
      <c r="N445" s="328"/>
    </row>
    <row r="446" spans="14:14">
      <c r="N446" s="328"/>
    </row>
    <row r="447" spans="14:14">
      <c r="N447" s="328"/>
    </row>
    <row r="448" spans="14:14">
      <c r="N448" s="328"/>
    </row>
    <row r="449" spans="14:14">
      <c r="N449" s="328"/>
    </row>
    <row r="450" spans="14:14">
      <c r="N450" s="328"/>
    </row>
    <row r="451" spans="14:14">
      <c r="N451" s="328"/>
    </row>
    <row r="452" spans="14:14">
      <c r="N452" s="328"/>
    </row>
    <row r="453" spans="14:14">
      <c r="N453" s="328"/>
    </row>
    <row r="454" spans="14:14">
      <c r="N454" s="328"/>
    </row>
    <row r="455" spans="14:14">
      <c r="N455" s="328"/>
    </row>
    <row r="456" spans="14:14">
      <c r="N456" s="328"/>
    </row>
    <row r="457" spans="14:14">
      <c r="N457" s="328"/>
    </row>
    <row r="458" spans="14:14">
      <c r="N458" s="328"/>
    </row>
    <row r="459" spans="14:14">
      <c r="N459" s="328"/>
    </row>
    <row r="460" spans="14:14">
      <c r="N460" s="328"/>
    </row>
    <row r="461" spans="14:14">
      <c r="N461" s="328"/>
    </row>
    <row r="462" spans="14:14">
      <c r="N462" s="328"/>
    </row>
    <row r="463" spans="14:14">
      <c r="N463" s="328"/>
    </row>
    <row r="464" spans="14:14">
      <c r="N464" s="328"/>
    </row>
    <row r="465" spans="14:14">
      <c r="N465" s="328"/>
    </row>
    <row r="466" spans="14:14">
      <c r="N466" s="328"/>
    </row>
    <row r="467" spans="14:14">
      <c r="N467" s="328"/>
    </row>
    <row r="468" spans="14:14">
      <c r="N468" s="328"/>
    </row>
    <row r="469" spans="14:14">
      <c r="N469" s="328"/>
    </row>
    <row r="470" spans="14:14">
      <c r="N470" s="328"/>
    </row>
    <row r="471" spans="14:14">
      <c r="N471" s="328"/>
    </row>
    <row r="472" spans="14:14">
      <c r="N472" s="328"/>
    </row>
    <row r="473" spans="14:14">
      <c r="N473" s="328"/>
    </row>
    <row r="474" spans="14:14">
      <c r="N474" s="328"/>
    </row>
    <row r="475" spans="14:14">
      <c r="N475" s="328"/>
    </row>
    <row r="476" spans="14:14">
      <c r="N476" s="328"/>
    </row>
    <row r="477" spans="14:14">
      <c r="N477" s="328"/>
    </row>
    <row r="478" spans="14:14">
      <c r="N478" s="328"/>
    </row>
    <row r="479" spans="14:14">
      <c r="N479" s="328"/>
    </row>
    <row r="480" spans="14:14">
      <c r="N480" s="328"/>
    </row>
    <row r="481" spans="14:14">
      <c r="N481" s="328"/>
    </row>
    <row r="482" spans="14:14">
      <c r="N482" s="328"/>
    </row>
    <row r="483" spans="14:14">
      <c r="N483" s="328"/>
    </row>
    <row r="484" spans="14:14">
      <c r="N484" s="328"/>
    </row>
    <row r="485" spans="14:14">
      <c r="N485" s="328"/>
    </row>
    <row r="486" spans="14:14">
      <c r="N486" s="328"/>
    </row>
    <row r="487" spans="14:14">
      <c r="N487" s="328"/>
    </row>
    <row r="488" spans="14:14">
      <c r="N488" s="328"/>
    </row>
    <row r="489" spans="14:14">
      <c r="N489" s="328"/>
    </row>
    <row r="490" spans="14:14">
      <c r="N490" s="328"/>
    </row>
    <row r="491" spans="14:14">
      <c r="N491" s="328"/>
    </row>
    <row r="492" spans="14:14">
      <c r="N492" s="328"/>
    </row>
    <row r="493" spans="14:14">
      <c r="N493" s="328"/>
    </row>
    <row r="494" spans="14:14">
      <c r="N494" s="328"/>
    </row>
    <row r="495" spans="14:14">
      <c r="N495" s="328"/>
    </row>
    <row r="496" spans="14:14">
      <c r="N496" s="328"/>
    </row>
    <row r="497" spans="14:14">
      <c r="N497" s="328"/>
    </row>
    <row r="498" spans="14:14">
      <c r="N498" s="328"/>
    </row>
    <row r="499" spans="14:14">
      <c r="N499" s="328"/>
    </row>
    <row r="500" spans="14:14">
      <c r="N500" s="328"/>
    </row>
    <row r="501" spans="14:14">
      <c r="N501" s="328"/>
    </row>
    <row r="502" spans="14:14">
      <c r="N502" s="328"/>
    </row>
    <row r="503" spans="14:14">
      <c r="N503" s="328"/>
    </row>
    <row r="504" spans="14:14">
      <c r="N504" s="328"/>
    </row>
    <row r="505" spans="14:14">
      <c r="N505" s="328"/>
    </row>
    <row r="506" spans="14:14">
      <c r="N506" s="328"/>
    </row>
    <row r="507" spans="14:14">
      <c r="N507" s="328"/>
    </row>
    <row r="508" spans="14:14">
      <c r="N508" s="328"/>
    </row>
    <row r="509" spans="14:14">
      <c r="N509" s="328"/>
    </row>
    <row r="510" spans="14:14">
      <c r="N510" s="328"/>
    </row>
    <row r="511" spans="14:14">
      <c r="N511" s="328"/>
    </row>
    <row r="512" spans="14:14">
      <c r="N512" s="328"/>
    </row>
    <row r="513" spans="14:14">
      <c r="N513" s="328"/>
    </row>
    <row r="514" spans="14:14">
      <c r="N514" s="328"/>
    </row>
    <row r="515" spans="14:14">
      <c r="N515" s="328"/>
    </row>
    <row r="516" spans="14:14">
      <c r="N516" s="328"/>
    </row>
    <row r="517" spans="14:14">
      <c r="N517" s="328"/>
    </row>
    <row r="518" spans="14:14">
      <c r="N518" s="328"/>
    </row>
    <row r="519" spans="14:14">
      <c r="N519" s="328"/>
    </row>
    <row r="520" spans="14:14">
      <c r="N520" s="328"/>
    </row>
    <row r="521" spans="14:14">
      <c r="N521" s="328"/>
    </row>
    <row r="522" spans="14:14">
      <c r="N522" s="328"/>
    </row>
    <row r="523" spans="14:14">
      <c r="N523" s="328"/>
    </row>
    <row r="524" spans="14:14">
      <c r="N524" s="328"/>
    </row>
    <row r="525" spans="14:14">
      <c r="N525" s="328"/>
    </row>
    <row r="526" spans="14:14">
      <c r="N526" s="328"/>
    </row>
    <row r="527" spans="14:14">
      <c r="N527" s="328"/>
    </row>
    <row r="528" spans="14:14">
      <c r="N528" s="328"/>
    </row>
    <row r="529" spans="14:14">
      <c r="N529" s="328"/>
    </row>
    <row r="530" spans="14:14">
      <c r="N530" s="328"/>
    </row>
    <row r="531" spans="14:14">
      <c r="N531" s="328"/>
    </row>
    <row r="532" spans="14:14">
      <c r="N532" s="328"/>
    </row>
    <row r="533" spans="14:14">
      <c r="N533" s="328"/>
    </row>
    <row r="534" spans="14:14">
      <c r="N534" s="328"/>
    </row>
    <row r="535" spans="14:14">
      <c r="N535" s="328"/>
    </row>
    <row r="536" spans="14:14">
      <c r="N536" s="328"/>
    </row>
    <row r="537" spans="14:14">
      <c r="N537" s="328"/>
    </row>
    <row r="538" spans="14:14">
      <c r="N538" s="328"/>
    </row>
    <row r="539" spans="14:14">
      <c r="N539" s="328"/>
    </row>
    <row r="540" spans="14:14">
      <c r="N540" s="328"/>
    </row>
    <row r="541" spans="14:14">
      <c r="N541" s="328"/>
    </row>
    <row r="542" spans="14:14">
      <c r="N542" s="328"/>
    </row>
    <row r="543" spans="14:14">
      <c r="N543" s="328"/>
    </row>
    <row r="544" spans="14:14">
      <c r="N544" s="328"/>
    </row>
    <row r="545" spans="14:14">
      <c r="N545" s="328"/>
    </row>
    <row r="546" spans="14:14">
      <c r="N546" s="328"/>
    </row>
    <row r="547" spans="14:14">
      <c r="N547" s="328"/>
    </row>
    <row r="548" spans="14:14">
      <c r="N548" s="328"/>
    </row>
    <row r="549" spans="14:14">
      <c r="N549" s="328"/>
    </row>
    <row r="550" spans="14:14">
      <c r="N550" s="328"/>
    </row>
    <row r="551" spans="14:14">
      <c r="N551" s="328"/>
    </row>
    <row r="552" spans="14:14">
      <c r="N552" s="328"/>
    </row>
    <row r="553" spans="14:14">
      <c r="N553" s="328"/>
    </row>
    <row r="554" spans="14:14">
      <c r="N554" s="328"/>
    </row>
    <row r="555" spans="14:14">
      <c r="N555" s="328"/>
    </row>
    <row r="556" spans="14:14">
      <c r="N556" s="328"/>
    </row>
    <row r="557" spans="14:14">
      <c r="N557" s="328"/>
    </row>
    <row r="558" spans="14:14">
      <c r="N558" s="328"/>
    </row>
    <row r="559" spans="14:14">
      <c r="N559" s="328"/>
    </row>
    <row r="560" spans="14:14">
      <c r="N560" s="328"/>
    </row>
    <row r="561" spans="14:14">
      <c r="N561" s="328"/>
    </row>
    <row r="562" spans="14:14">
      <c r="N562" s="328"/>
    </row>
    <row r="563" spans="14:14">
      <c r="N563" s="328"/>
    </row>
    <row r="564" spans="14:14">
      <c r="N564" s="328"/>
    </row>
    <row r="565" spans="14:14">
      <c r="N565" s="328"/>
    </row>
    <row r="566" spans="14:14">
      <c r="N566" s="328"/>
    </row>
    <row r="567" spans="14:14">
      <c r="N567" s="328"/>
    </row>
    <row r="568" spans="14:14">
      <c r="N568" s="328"/>
    </row>
    <row r="569" spans="14:14">
      <c r="N569" s="328"/>
    </row>
    <row r="570" spans="14:14">
      <c r="N570" s="328"/>
    </row>
    <row r="571" spans="14:14">
      <c r="N571" s="328"/>
    </row>
    <row r="572" spans="14:14">
      <c r="N572" s="328"/>
    </row>
    <row r="573" spans="14:14">
      <c r="N573" s="328"/>
    </row>
    <row r="574" spans="14:14">
      <c r="N574" s="328"/>
    </row>
    <row r="575" spans="14:14">
      <c r="N575" s="328"/>
    </row>
    <row r="576" spans="14:14">
      <c r="N576" s="328"/>
    </row>
    <row r="577" spans="14:14">
      <c r="N577" s="328"/>
    </row>
    <row r="578" spans="14:14">
      <c r="N578" s="328"/>
    </row>
    <row r="579" spans="14:14">
      <c r="N579" s="328"/>
    </row>
    <row r="580" spans="14:14">
      <c r="N580" s="328"/>
    </row>
    <row r="581" spans="14:14">
      <c r="N581" s="328"/>
    </row>
    <row r="582" spans="14:14">
      <c r="N582" s="328"/>
    </row>
    <row r="583" spans="14:14">
      <c r="N583" s="328"/>
    </row>
    <row r="584" spans="14:14">
      <c r="N584" s="328"/>
    </row>
    <row r="585" spans="14:14">
      <c r="N585" s="328"/>
    </row>
    <row r="586" spans="14:14">
      <c r="N586" s="328"/>
    </row>
    <row r="587" spans="14:14">
      <c r="N587" s="328"/>
    </row>
    <row r="588" spans="14:14">
      <c r="N588" s="328"/>
    </row>
    <row r="589" spans="14:14">
      <c r="N589" s="328"/>
    </row>
    <row r="590" spans="14:14">
      <c r="N590" s="328"/>
    </row>
    <row r="591" spans="14:14">
      <c r="N591" s="328"/>
    </row>
    <row r="592" spans="14:14">
      <c r="N592" s="328"/>
    </row>
    <row r="593" spans="14:14">
      <c r="N593" s="328"/>
    </row>
    <row r="594" spans="14:14">
      <c r="N594" s="328"/>
    </row>
    <row r="595" spans="14:14">
      <c r="N595" s="328"/>
    </row>
    <row r="596" spans="14:14">
      <c r="N596" s="328"/>
    </row>
    <row r="597" spans="14:14">
      <c r="N597" s="328"/>
    </row>
    <row r="598" spans="14:14">
      <c r="N598" s="328"/>
    </row>
    <row r="599" spans="14:14">
      <c r="N599" s="328"/>
    </row>
    <row r="600" spans="14:14">
      <c r="N600" s="328"/>
    </row>
    <row r="601" spans="14:14">
      <c r="N601" s="328"/>
    </row>
    <row r="602" spans="14:14">
      <c r="N602" s="328"/>
    </row>
    <row r="603" spans="14:14">
      <c r="N603" s="328"/>
    </row>
    <row r="604" spans="14:14">
      <c r="N604" s="328"/>
    </row>
    <row r="605" spans="14:14">
      <c r="N605" s="328"/>
    </row>
    <row r="606" spans="14:14">
      <c r="N606" s="328"/>
    </row>
    <row r="607" spans="14:14">
      <c r="N607" s="328"/>
    </row>
    <row r="608" spans="14:14">
      <c r="N608" s="328"/>
    </row>
    <row r="609" spans="14:14">
      <c r="N609" s="328"/>
    </row>
    <row r="610" spans="14:14">
      <c r="N610" s="328"/>
    </row>
    <row r="611" spans="14:14">
      <c r="N611" s="328"/>
    </row>
    <row r="612" spans="14:14">
      <c r="N612" s="328"/>
    </row>
    <row r="613" spans="14:14">
      <c r="N613" s="328"/>
    </row>
    <row r="614" spans="14:14">
      <c r="N614" s="328"/>
    </row>
    <row r="615" spans="14:14">
      <c r="N615" s="328"/>
    </row>
    <row r="616" spans="14:14">
      <c r="N616" s="328"/>
    </row>
    <row r="617" spans="14:14">
      <c r="N617" s="328"/>
    </row>
    <row r="618" spans="14:14">
      <c r="N618" s="328"/>
    </row>
    <row r="619" spans="14:14">
      <c r="N619" s="328"/>
    </row>
    <row r="620" spans="14:14">
      <c r="N620" s="328"/>
    </row>
    <row r="621" spans="14:14">
      <c r="N621" s="328"/>
    </row>
    <row r="622" spans="14:14">
      <c r="N622" s="328"/>
    </row>
    <row r="623" spans="14:14">
      <c r="N623" s="328"/>
    </row>
    <row r="624" spans="14:14">
      <c r="N624" s="328"/>
    </row>
    <row r="625" spans="14:14">
      <c r="N625" s="328"/>
    </row>
    <row r="626" spans="14:14">
      <c r="N626" s="328"/>
    </row>
    <row r="627" spans="14:14">
      <c r="N627" s="328"/>
    </row>
    <row r="628" spans="14:14">
      <c r="N628" s="328"/>
    </row>
    <row r="629" spans="14:14">
      <c r="N629" s="328"/>
    </row>
    <row r="630" spans="14:14">
      <c r="N630" s="328"/>
    </row>
    <row r="631" spans="14:14">
      <c r="N631" s="328"/>
    </row>
    <row r="632" spans="14:14">
      <c r="N632" s="328"/>
    </row>
    <row r="633" spans="14:14">
      <c r="N633" s="328"/>
    </row>
    <row r="634" spans="14:14">
      <c r="N634" s="328"/>
    </row>
    <row r="635" spans="14:14">
      <c r="N635" s="328"/>
    </row>
    <row r="636" spans="14:14">
      <c r="N636" s="328"/>
    </row>
    <row r="637" spans="14:14">
      <c r="N637" s="328"/>
    </row>
    <row r="638" spans="14:14">
      <c r="N638" s="328"/>
    </row>
    <row r="639" spans="14:14">
      <c r="N639" s="328"/>
    </row>
    <row r="640" spans="14:14">
      <c r="N640" s="328"/>
    </row>
    <row r="641" spans="14:14">
      <c r="N641" s="328"/>
    </row>
    <row r="642" spans="14:14">
      <c r="N642" s="328"/>
    </row>
    <row r="643" spans="14:14">
      <c r="N643" s="328"/>
    </row>
    <row r="644" spans="14:14">
      <c r="N644" s="328"/>
    </row>
    <row r="645" spans="14:14">
      <c r="N645" s="328"/>
    </row>
    <row r="646" spans="14:14">
      <c r="N646" s="328"/>
    </row>
    <row r="647" spans="14:14">
      <c r="N647" s="328"/>
    </row>
    <row r="648" spans="14:14">
      <c r="N648" s="328"/>
    </row>
    <row r="649" spans="14:14">
      <c r="N649" s="328"/>
    </row>
    <row r="650" spans="14:14">
      <c r="N650" s="328"/>
    </row>
    <row r="651" spans="14:14">
      <c r="N651" s="328"/>
    </row>
    <row r="652" spans="14:14">
      <c r="N652" s="328"/>
    </row>
    <row r="653" spans="14:14">
      <c r="N653" s="328"/>
    </row>
    <row r="654" spans="14:14">
      <c r="N654" s="328"/>
    </row>
    <row r="655" spans="14:14">
      <c r="N655" s="328"/>
    </row>
    <row r="656" spans="14:14">
      <c r="N656" s="328"/>
    </row>
    <row r="657" spans="14:14">
      <c r="N657" s="328"/>
    </row>
    <row r="658" spans="14:14">
      <c r="N658" s="328"/>
    </row>
    <row r="659" spans="14:14">
      <c r="N659" s="328"/>
    </row>
    <row r="660" spans="14:14">
      <c r="N660" s="328"/>
    </row>
    <row r="661" spans="14:14">
      <c r="N661" s="328"/>
    </row>
    <row r="662" spans="14:14">
      <c r="N662" s="328"/>
    </row>
    <row r="663" spans="14:14">
      <c r="N663" s="328"/>
    </row>
    <row r="664" spans="14:14">
      <c r="N664" s="328"/>
    </row>
    <row r="665" spans="14:14">
      <c r="N665" s="328"/>
    </row>
    <row r="666" spans="14:14">
      <c r="N666" s="328"/>
    </row>
    <row r="667" spans="14:14">
      <c r="N667" s="328"/>
    </row>
    <row r="668" spans="14:14">
      <c r="N668" s="328"/>
    </row>
    <row r="669" spans="14:14">
      <c r="N669" s="328"/>
    </row>
    <row r="670" spans="14:14">
      <c r="N670" s="328"/>
    </row>
    <row r="671" spans="14:14">
      <c r="N671" s="328"/>
    </row>
    <row r="672" spans="14:14">
      <c r="N672" s="328"/>
    </row>
    <row r="673" spans="14:14">
      <c r="N673" s="328"/>
    </row>
    <row r="674" spans="14:14">
      <c r="N674" s="328"/>
    </row>
    <row r="675" spans="14:14">
      <c r="N675" s="328"/>
    </row>
    <row r="676" spans="14:14">
      <c r="N676" s="328"/>
    </row>
    <row r="677" spans="14:14">
      <c r="N677" s="328"/>
    </row>
    <row r="678" spans="14:14">
      <c r="N678" s="328"/>
    </row>
    <row r="679" spans="14:14">
      <c r="N679" s="328"/>
    </row>
    <row r="680" spans="14:14">
      <c r="N680" s="328"/>
    </row>
    <row r="681" spans="14:14">
      <c r="N681" s="328"/>
    </row>
    <row r="682" spans="14:14">
      <c r="N682" s="328"/>
    </row>
    <row r="683" spans="14:14">
      <c r="N683" s="328"/>
    </row>
    <row r="684" spans="14:14">
      <c r="N684" s="328"/>
    </row>
    <row r="685" spans="14:14">
      <c r="N685" s="328"/>
    </row>
    <row r="686" spans="14:14">
      <c r="N686" s="328"/>
    </row>
    <row r="687" spans="14:14">
      <c r="N687" s="328"/>
    </row>
    <row r="688" spans="14:14">
      <c r="N688" s="328"/>
    </row>
    <row r="689" spans="14:14">
      <c r="N689" s="328"/>
    </row>
    <row r="690" spans="14:14">
      <c r="N690" s="328"/>
    </row>
    <row r="691" spans="14:14">
      <c r="N691" s="328"/>
    </row>
    <row r="692" spans="14:14">
      <c r="N692" s="328"/>
    </row>
    <row r="693" spans="14:14">
      <c r="N693" s="328"/>
    </row>
    <row r="694" spans="14:14">
      <c r="N694" s="328"/>
    </row>
    <row r="695" spans="14:14">
      <c r="N695" s="328"/>
    </row>
    <row r="696" spans="14:14">
      <c r="N696" s="328"/>
    </row>
    <row r="697" spans="14:14">
      <c r="N697" s="328"/>
    </row>
    <row r="698" spans="14:14">
      <c r="N698" s="328"/>
    </row>
    <row r="699" spans="14:14">
      <c r="N699" s="328"/>
    </row>
    <row r="700" spans="14:14">
      <c r="N700" s="328"/>
    </row>
    <row r="701" spans="14:14">
      <c r="N701" s="328"/>
    </row>
    <row r="702" spans="14:14">
      <c r="N702" s="328"/>
    </row>
    <row r="703" spans="14:14">
      <c r="N703" s="328"/>
    </row>
    <row r="704" spans="14:14">
      <c r="N704" s="328"/>
    </row>
    <row r="705" spans="14:14">
      <c r="N705" s="328"/>
    </row>
    <row r="706" spans="14:14">
      <c r="N706" s="328"/>
    </row>
    <row r="707" spans="14:14">
      <c r="N707" s="328"/>
    </row>
    <row r="708" spans="14:14">
      <c r="N708" s="328"/>
    </row>
    <row r="709" spans="14:14">
      <c r="N709" s="328"/>
    </row>
    <row r="710" spans="14:14">
      <c r="N710" s="328"/>
    </row>
    <row r="711" spans="14:14">
      <c r="N711" s="328"/>
    </row>
    <row r="712" spans="14:14">
      <c r="N712" s="328"/>
    </row>
    <row r="713" spans="14:14">
      <c r="N713" s="328"/>
    </row>
    <row r="714" spans="14:14">
      <c r="N714" s="328"/>
    </row>
    <row r="715" spans="14:14">
      <c r="N715" s="328"/>
    </row>
    <row r="716" spans="14:14">
      <c r="N716" s="328"/>
    </row>
    <row r="717" spans="14:14">
      <c r="N717" s="328"/>
    </row>
    <row r="718" spans="14:14">
      <c r="N718" s="328"/>
    </row>
    <row r="719" spans="14:14">
      <c r="N719" s="328"/>
    </row>
    <row r="720" spans="14:14">
      <c r="N720" s="328"/>
    </row>
    <row r="721" spans="14:14">
      <c r="N721" s="328"/>
    </row>
    <row r="722" spans="14:14">
      <c r="N722" s="328"/>
    </row>
    <row r="723" spans="14:14">
      <c r="N723" s="328"/>
    </row>
    <row r="724" spans="14:14">
      <c r="N724" s="328"/>
    </row>
    <row r="725" spans="14:14">
      <c r="N725" s="328"/>
    </row>
    <row r="726" spans="14:14">
      <c r="N726" s="328"/>
    </row>
    <row r="727" spans="14:14">
      <c r="N727" s="328"/>
    </row>
    <row r="728" spans="14:14">
      <c r="N728" s="328"/>
    </row>
    <row r="729" spans="14:14">
      <c r="N729" s="328"/>
    </row>
    <row r="730" spans="14:14">
      <c r="N730" s="328"/>
    </row>
    <row r="731" spans="14:14">
      <c r="N731" s="328"/>
    </row>
    <row r="732" spans="14:14">
      <c r="N732" s="328"/>
    </row>
    <row r="733" spans="14:14">
      <c r="N733" s="328"/>
    </row>
  </sheetData>
  <mergeCells count="2">
    <mergeCell ref="F9:I9"/>
    <mergeCell ref="J9:M9"/>
  </mergeCells>
  <pageMargins left="0.7" right="0.7" top="0.75" bottom="0.75" header="0.3" footer="0.3"/>
  <pageSetup scale="4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274"/>
  <sheetViews>
    <sheetView workbookViewId="0"/>
  </sheetViews>
  <sheetFormatPr defaultColWidth="8.125" defaultRowHeight="12.75"/>
  <cols>
    <col min="1" max="1" width="6" style="327" customWidth="1"/>
    <col min="2" max="2" width="22.75" style="327" bestFit="1" customWidth="1"/>
    <col min="3" max="3" width="31.625" style="331" customWidth="1"/>
    <col min="4" max="4" width="26.75" style="327" customWidth="1"/>
    <col min="5" max="5" width="20.125" style="327" customWidth="1"/>
    <col min="6" max="6" width="18.75" style="327" customWidth="1"/>
    <col min="7" max="7" width="18.25" style="327" customWidth="1"/>
    <col min="8" max="8" width="17.375" style="327" customWidth="1"/>
    <col min="9" max="9" width="19.25" style="327" customWidth="1"/>
    <col min="10" max="10" width="18.75" style="327" customWidth="1"/>
    <col min="11" max="11" width="18.25" style="327" customWidth="1"/>
    <col min="12" max="12" width="17.375" style="327" customWidth="1"/>
    <col min="13" max="13" width="19.25" style="327" customWidth="1"/>
    <col min="14" max="14" width="18.25" style="326" bestFit="1" customWidth="1"/>
    <col min="15" max="15" width="10.5" style="327" bestFit="1" customWidth="1"/>
    <col min="16" max="16" width="11.25" style="327" customWidth="1"/>
    <col min="17" max="16384" width="8.125" style="327"/>
  </cols>
  <sheetData>
    <row r="1" spans="1:16">
      <c r="A1" s="322"/>
      <c r="B1" s="322"/>
      <c r="C1" s="322"/>
      <c r="D1" s="322"/>
      <c r="E1" s="323"/>
      <c r="F1" s="323"/>
      <c r="G1" s="323"/>
      <c r="H1" s="324"/>
      <c r="I1" s="324"/>
      <c r="J1" s="323"/>
      <c r="K1" s="323"/>
      <c r="L1" s="324"/>
      <c r="M1" s="324"/>
    </row>
    <row r="2" spans="1:16" ht="14.25">
      <c r="A2" s="322"/>
      <c r="B2" s="322"/>
      <c r="C2" s="322"/>
      <c r="D2" s="322"/>
      <c r="E2" s="323"/>
      <c r="F2" s="323"/>
      <c r="G2" s="323"/>
      <c r="H2" s="324"/>
      <c r="I2" s="324"/>
      <c r="J2" s="323"/>
      <c r="K2" s="323"/>
      <c r="L2" s="324"/>
      <c r="M2" s="324"/>
      <c r="N2" s="694" t="s">
        <v>795</v>
      </c>
      <c r="P2" s="331"/>
    </row>
    <row r="3" spans="1:16" ht="14.25">
      <c r="A3" s="322"/>
      <c r="B3" s="322"/>
      <c r="C3" s="322"/>
      <c r="D3" s="322"/>
      <c r="E3" s="323"/>
      <c r="F3" s="323"/>
      <c r="G3" s="323"/>
      <c r="H3" s="324"/>
      <c r="I3" s="324"/>
      <c r="J3" s="323"/>
      <c r="K3" s="323"/>
      <c r="L3" s="324"/>
      <c r="M3" s="324"/>
      <c r="N3" s="694" t="s">
        <v>632</v>
      </c>
      <c r="P3" s="331"/>
    </row>
    <row r="4" spans="1:16" ht="20.25">
      <c r="B4" s="336" t="str">
        <f>Index!B2</f>
        <v>Tri-State Generation and Transmission Association, Inc.</v>
      </c>
      <c r="C4" s="334"/>
      <c r="D4" s="334"/>
      <c r="E4" s="334"/>
      <c r="F4" s="334"/>
      <c r="G4" s="334"/>
      <c r="H4" s="334"/>
      <c r="I4" s="334"/>
      <c r="J4" s="334"/>
      <c r="K4" s="334"/>
      <c r="L4" s="334"/>
      <c r="M4" s="334"/>
      <c r="N4" s="334"/>
    </row>
    <row r="5" spans="1:16">
      <c r="B5" s="335" t="s">
        <v>17</v>
      </c>
      <c r="C5" s="335"/>
      <c r="D5" s="335"/>
      <c r="E5" s="335"/>
      <c r="F5" s="335"/>
      <c r="G5" s="335"/>
      <c r="H5" s="335"/>
      <c r="I5" s="335"/>
      <c r="J5" s="335"/>
      <c r="K5" s="335"/>
      <c r="L5" s="335"/>
      <c r="M5" s="335"/>
      <c r="N5" s="335"/>
    </row>
    <row r="6" spans="1:16" ht="15">
      <c r="A6" s="577"/>
      <c r="B6" s="575" t="str">
        <f>Index!C32</f>
        <v>SPP Qualified Transmission Lines</v>
      </c>
      <c r="C6" s="576"/>
      <c r="D6" s="576"/>
      <c r="E6" s="576"/>
      <c r="F6" s="576"/>
      <c r="G6" s="576"/>
      <c r="H6" s="576"/>
      <c r="I6" s="576"/>
      <c r="J6" s="576"/>
      <c r="K6" s="576"/>
      <c r="L6" s="576"/>
      <c r="M6" s="576"/>
      <c r="N6" s="576"/>
    </row>
    <row r="7" spans="1:16" ht="15">
      <c r="A7" s="577"/>
      <c r="B7" s="575" t="str">
        <f>Index!B5</f>
        <v>Year Ending December 31, 2016</v>
      </c>
      <c r="C7" s="576"/>
      <c r="D7" s="576"/>
      <c r="E7" s="576"/>
      <c r="F7" s="576"/>
      <c r="G7" s="576"/>
      <c r="H7" s="576"/>
      <c r="I7" s="576"/>
      <c r="J7" s="576"/>
      <c r="K7" s="576"/>
      <c r="L7" s="576"/>
      <c r="M7" s="576"/>
      <c r="N7" s="576"/>
    </row>
    <row r="8" spans="1:16" ht="14.25">
      <c r="A8" s="599"/>
      <c r="B8" s="599"/>
      <c r="C8" s="599"/>
      <c r="D8" s="599"/>
      <c r="E8" s="599"/>
      <c r="F8" s="599"/>
      <c r="G8" s="599"/>
      <c r="H8" s="599"/>
      <c r="I8" s="599"/>
      <c r="J8" s="599"/>
      <c r="K8" s="599"/>
      <c r="L8" s="599"/>
      <c r="M8" s="599"/>
      <c r="N8" s="599"/>
    </row>
    <row r="9" spans="1:16" ht="22.5" customHeight="1">
      <c r="A9" s="576"/>
      <c r="B9" s="600"/>
      <c r="C9" s="601"/>
      <c r="D9" s="600"/>
      <c r="E9" s="600"/>
      <c r="F9" s="833" t="s">
        <v>694</v>
      </c>
      <c r="G9" s="834"/>
      <c r="H9" s="834"/>
      <c r="I9" s="835"/>
      <c r="J9" s="836" t="s">
        <v>667</v>
      </c>
      <c r="K9" s="837"/>
      <c r="L9" s="837"/>
      <c r="M9" s="838"/>
      <c r="N9" s="582"/>
    </row>
    <row r="10" spans="1:16" s="337" customFormat="1" ht="15">
      <c r="A10" s="584" t="s">
        <v>18</v>
      </c>
      <c r="B10" s="584" t="s">
        <v>19</v>
      </c>
      <c r="C10" s="584" t="s">
        <v>20</v>
      </c>
      <c r="D10" s="584" t="s">
        <v>21</v>
      </c>
      <c r="E10" s="584" t="s">
        <v>22</v>
      </c>
      <c r="F10" s="663" t="s">
        <v>23</v>
      </c>
      <c r="G10" s="584" t="s">
        <v>24</v>
      </c>
      <c r="H10" s="584" t="s">
        <v>25</v>
      </c>
      <c r="I10" s="662" t="s">
        <v>134</v>
      </c>
      <c r="J10" s="584" t="s">
        <v>135</v>
      </c>
      <c r="K10" s="584" t="s">
        <v>369</v>
      </c>
      <c r="L10" s="584" t="s">
        <v>368</v>
      </c>
      <c r="M10" s="662" t="s">
        <v>367</v>
      </c>
      <c r="N10" s="584" t="s">
        <v>366</v>
      </c>
    </row>
    <row r="11" spans="1:16" ht="45">
      <c r="A11" s="585" t="s">
        <v>415</v>
      </c>
      <c r="B11" s="585" t="s">
        <v>686</v>
      </c>
      <c r="C11" s="602" t="s">
        <v>662</v>
      </c>
      <c r="D11" s="585" t="s">
        <v>663</v>
      </c>
      <c r="E11" s="585" t="s">
        <v>664</v>
      </c>
      <c r="F11" s="598" t="s">
        <v>932</v>
      </c>
      <c r="G11" s="585" t="s">
        <v>924</v>
      </c>
      <c r="H11" s="585" t="s">
        <v>925</v>
      </c>
      <c r="I11" s="597" t="s">
        <v>926</v>
      </c>
      <c r="J11" s="598" t="s">
        <v>927</v>
      </c>
      <c r="K11" s="585" t="s">
        <v>928</v>
      </c>
      <c r="L11" s="585" t="s">
        <v>925</v>
      </c>
      <c r="M11" s="597" t="s">
        <v>929</v>
      </c>
      <c r="N11" s="585" t="s">
        <v>585</v>
      </c>
    </row>
    <row r="12" spans="1:16" ht="15">
      <c r="A12" s="581">
        <v>1</v>
      </c>
      <c r="B12" s="603">
        <v>350</v>
      </c>
      <c r="C12" s="604" t="s">
        <v>687</v>
      </c>
      <c r="D12" s="603" t="s">
        <v>666</v>
      </c>
      <c r="E12" s="729">
        <f>+L12/H12</f>
        <v>1.0000000000000002</v>
      </c>
      <c r="F12" s="678">
        <v>1654108.0499999998</v>
      </c>
      <c r="G12" s="678">
        <v>0</v>
      </c>
      <c r="H12" s="678">
        <v>1654108.0499999998</v>
      </c>
      <c r="I12" s="678">
        <v>0</v>
      </c>
      <c r="J12" s="683">
        <v>1654108.05</v>
      </c>
      <c r="K12" s="683">
        <v>0</v>
      </c>
      <c r="L12" s="683">
        <v>1654108.05</v>
      </c>
      <c r="M12" s="683">
        <v>0</v>
      </c>
      <c r="N12" s="590"/>
      <c r="O12" s="330"/>
    </row>
    <row r="13" spans="1:16" ht="15">
      <c r="A13" s="581">
        <f t="shared" ref="A13:A23" si="0">+A12+1</f>
        <v>2</v>
      </c>
      <c r="B13" s="605">
        <v>354</v>
      </c>
      <c r="C13" s="587" t="s">
        <v>688</v>
      </c>
      <c r="D13" s="605" t="s">
        <v>666</v>
      </c>
      <c r="E13" s="729">
        <f t="shared" ref="E13:E18" si="1">+L13/H13</f>
        <v>1</v>
      </c>
      <c r="F13" s="679">
        <v>691861.28</v>
      </c>
      <c r="G13" s="679">
        <v>50778.819999999992</v>
      </c>
      <c r="H13" s="679">
        <v>691861.28</v>
      </c>
      <c r="I13" s="679">
        <v>69820.86</v>
      </c>
      <c r="J13" s="683">
        <v>691861.28</v>
      </c>
      <c r="K13" s="683">
        <v>50778.819999999992</v>
      </c>
      <c r="L13" s="683">
        <v>691861.28</v>
      </c>
      <c r="M13" s="683">
        <v>69820.86</v>
      </c>
      <c r="N13" s="591"/>
      <c r="O13" s="330"/>
    </row>
    <row r="14" spans="1:16" ht="15">
      <c r="A14" s="581">
        <f t="shared" si="0"/>
        <v>3</v>
      </c>
      <c r="B14" s="605">
        <v>355</v>
      </c>
      <c r="C14" s="587" t="s">
        <v>689</v>
      </c>
      <c r="D14" s="605" t="s">
        <v>666</v>
      </c>
      <c r="E14" s="729">
        <f t="shared" si="1"/>
        <v>1</v>
      </c>
      <c r="F14" s="679">
        <v>8490959.3600000031</v>
      </c>
      <c r="G14" s="679">
        <v>5865833.1399999997</v>
      </c>
      <c r="H14" s="679">
        <v>8634429.790000001</v>
      </c>
      <c r="I14" s="679">
        <v>6077620.3100000024</v>
      </c>
      <c r="J14" s="683">
        <v>8490959.3600000013</v>
      </c>
      <c r="K14" s="683">
        <v>5865833.1400000025</v>
      </c>
      <c r="L14" s="683">
        <v>8634429.790000001</v>
      </c>
      <c r="M14" s="683">
        <v>6077620.3100000005</v>
      </c>
      <c r="N14" s="591"/>
      <c r="O14" s="330"/>
    </row>
    <row r="15" spans="1:16" ht="15">
      <c r="A15" s="581">
        <f t="shared" si="0"/>
        <v>4</v>
      </c>
      <c r="B15" s="605">
        <v>356</v>
      </c>
      <c r="C15" s="587" t="s">
        <v>691</v>
      </c>
      <c r="D15" s="605" t="s">
        <v>666</v>
      </c>
      <c r="E15" s="729">
        <f t="shared" si="1"/>
        <v>1.0000000000000002</v>
      </c>
      <c r="F15" s="679">
        <v>6971374.9200000009</v>
      </c>
      <c r="G15" s="679">
        <v>4387539.7399999993</v>
      </c>
      <c r="H15" s="679">
        <v>6975814.2300000014</v>
      </c>
      <c r="I15" s="679">
        <v>4550612.29</v>
      </c>
      <c r="J15" s="683">
        <v>6971374.9200000027</v>
      </c>
      <c r="K15" s="683">
        <v>4387539.7400000012</v>
      </c>
      <c r="L15" s="683">
        <v>6975814.2300000023</v>
      </c>
      <c r="M15" s="683">
        <v>4550612.29</v>
      </c>
      <c r="N15" s="591"/>
      <c r="O15" s="330"/>
    </row>
    <row r="16" spans="1:16" ht="15">
      <c r="A16" s="581">
        <f t="shared" si="0"/>
        <v>5</v>
      </c>
      <c r="B16" s="605">
        <v>357</v>
      </c>
      <c r="C16" s="587" t="s">
        <v>442</v>
      </c>
      <c r="D16" s="605" t="s">
        <v>666</v>
      </c>
      <c r="E16" s="728"/>
      <c r="F16" s="679">
        <v>0</v>
      </c>
      <c r="G16" s="679">
        <v>0</v>
      </c>
      <c r="H16" s="679">
        <v>0</v>
      </c>
      <c r="I16" s="679">
        <v>0</v>
      </c>
      <c r="J16" s="683">
        <v>0</v>
      </c>
      <c r="K16" s="683">
        <v>0</v>
      </c>
      <c r="L16" s="683">
        <v>0</v>
      </c>
      <c r="M16" s="683">
        <v>0</v>
      </c>
      <c r="N16" s="591"/>
      <c r="O16" s="330"/>
    </row>
    <row r="17" spans="1:15" ht="15">
      <c r="A17" s="581">
        <f t="shared" si="0"/>
        <v>6</v>
      </c>
      <c r="B17" s="605">
        <v>358</v>
      </c>
      <c r="C17" s="587" t="s">
        <v>693</v>
      </c>
      <c r="D17" s="605" t="s">
        <v>666</v>
      </c>
      <c r="E17" s="727"/>
      <c r="F17" s="679">
        <v>0</v>
      </c>
      <c r="G17" s="679">
        <v>0</v>
      </c>
      <c r="H17" s="679">
        <v>0</v>
      </c>
      <c r="I17" s="679">
        <v>0</v>
      </c>
      <c r="J17" s="683">
        <v>0</v>
      </c>
      <c r="K17" s="683">
        <v>0</v>
      </c>
      <c r="L17" s="683">
        <v>0</v>
      </c>
      <c r="M17" s="683">
        <v>0</v>
      </c>
      <c r="N17" s="591"/>
      <c r="O17" s="330"/>
    </row>
    <row r="18" spans="1:15" ht="15">
      <c r="A18" s="581">
        <f t="shared" si="0"/>
        <v>7</v>
      </c>
      <c r="B18" s="605">
        <v>359</v>
      </c>
      <c r="C18" s="587" t="s">
        <v>690</v>
      </c>
      <c r="D18" s="605" t="s">
        <v>666</v>
      </c>
      <c r="E18" s="729">
        <f t="shared" si="1"/>
        <v>1</v>
      </c>
      <c r="F18" s="679">
        <v>6093.38</v>
      </c>
      <c r="G18" s="679">
        <v>447.26</v>
      </c>
      <c r="H18" s="679">
        <v>6093.38</v>
      </c>
      <c r="I18" s="679">
        <v>614.96</v>
      </c>
      <c r="J18" s="683">
        <v>6093.38</v>
      </c>
      <c r="K18" s="683">
        <v>447.26</v>
      </c>
      <c r="L18" s="683">
        <v>6093.38</v>
      </c>
      <c r="M18" s="683">
        <v>614.96</v>
      </c>
      <c r="N18" s="591"/>
      <c r="O18" s="330"/>
    </row>
    <row r="19" spans="1:15" ht="15">
      <c r="A19" s="581">
        <f t="shared" si="0"/>
        <v>8</v>
      </c>
      <c r="B19" s="607" t="s">
        <v>473</v>
      </c>
      <c r="C19" s="608"/>
      <c r="D19" s="609"/>
      <c r="E19" s="606"/>
      <c r="F19" s="610">
        <f>SUM(F12:F18)</f>
        <v>17814396.990000002</v>
      </c>
      <c r="G19" s="610">
        <f t="shared" ref="G19:M19" si="2">SUM(G12:G18)</f>
        <v>10304598.959999999</v>
      </c>
      <c r="H19" s="610">
        <f t="shared" si="2"/>
        <v>17962306.73</v>
      </c>
      <c r="I19" s="610">
        <f t="shared" si="2"/>
        <v>10698668.420000004</v>
      </c>
      <c r="J19" s="610">
        <f t="shared" si="2"/>
        <v>17814396.990000002</v>
      </c>
      <c r="K19" s="610">
        <f t="shared" si="2"/>
        <v>10304598.960000003</v>
      </c>
      <c r="L19" s="610">
        <f t="shared" si="2"/>
        <v>17962306.73</v>
      </c>
      <c r="M19" s="610">
        <f t="shared" si="2"/>
        <v>10698668.420000002</v>
      </c>
      <c r="N19" s="611"/>
    </row>
    <row r="20" spans="1:15" ht="14.25">
      <c r="A20" s="581">
        <f t="shared" si="0"/>
        <v>9</v>
      </c>
      <c r="F20" s="332"/>
      <c r="G20" s="332"/>
      <c r="H20" s="332"/>
      <c r="I20" s="332"/>
      <c r="J20" s="332"/>
      <c r="K20" s="332"/>
      <c r="L20" s="332"/>
      <c r="M20" s="332"/>
      <c r="N20" s="332"/>
    </row>
    <row r="21" spans="1:15" ht="14.25">
      <c r="A21" s="581">
        <f t="shared" si="0"/>
        <v>10</v>
      </c>
      <c r="B21" s="209" t="s">
        <v>439</v>
      </c>
      <c r="F21" s="333"/>
      <c r="G21" s="333"/>
      <c r="H21" s="330"/>
      <c r="I21" s="330"/>
      <c r="J21" s="360"/>
      <c r="K21" s="360"/>
      <c r="L21" s="360"/>
      <c r="M21" s="360"/>
      <c r="N21" s="330"/>
    </row>
    <row r="22" spans="1:15" ht="14.25">
      <c r="A22" s="581">
        <f t="shared" si="0"/>
        <v>11</v>
      </c>
      <c r="B22" s="698" t="s">
        <v>940</v>
      </c>
      <c r="F22" s="330"/>
      <c r="G22" s="330"/>
      <c r="H22" s="330"/>
      <c r="I22" s="330"/>
      <c r="J22" s="330"/>
      <c r="K22" s="330"/>
      <c r="L22" s="330"/>
      <c r="M22" s="330"/>
      <c r="N22" s="330"/>
    </row>
    <row r="23" spans="1:15" ht="14.25">
      <c r="A23" s="581">
        <f t="shared" si="0"/>
        <v>12</v>
      </c>
      <c r="B23" s="698" t="s">
        <v>920</v>
      </c>
      <c r="H23" s="330"/>
      <c r="I23" s="330"/>
      <c r="J23" s="330"/>
      <c r="K23" s="330"/>
      <c r="L23" s="330"/>
      <c r="M23" s="330"/>
      <c r="N23" s="330"/>
    </row>
    <row r="24" spans="1:15">
      <c r="H24" s="330"/>
      <c r="I24" s="330"/>
      <c r="J24" s="330"/>
      <c r="K24" s="330"/>
      <c r="L24" s="330"/>
      <c r="M24" s="330"/>
      <c r="N24" s="327"/>
    </row>
    <row r="25" spans="1:15">
      <c r="H25" s="330"/>
      <c r="I25" s="330"/>
      <c r="J25" s="330"/>
      <c r="K25" s="330"/>
      <c r="L25" s="330"/>
      <c r="M25" s="330"/>
      <c r="N25" s="327"/>
    </row>
    <row r="26" spans="1:15">
      <c r="H26" s="330"/>
      <c r="I26" s="330"/>
      <c r="J26" s="330"/>
      <c r="K26" s="330"/>
      <c r="L26" s="330"/>
      <c r="M26" s="330"/>
      <c r="N26" s="327"/>
    </row>
    <row r="27" spans="1:15">
      <c r="H27" s="330"/>
      <c r="I27" s="330"/>
      <c r="J27" s="330"/>
      <c r="K27" s="330"/>
      <c r="L27" s="330"/>
      <c r="M27" s="330"/>
      <c r="N27" s="327"/>
    </row>
    <row r="28" spans="1:15">
      <c r="H28" s="330"/>
      <c r="I28" s="330"/>
      <c r="J28" s="330"/>
      <c r="K28" s="330"/>
      <c r="L28" s="330"/>
      <c r="M28" s="330"/>
      <c r="N28" s="327"/>
    </row>
    <row r="29" spans="1:15">
      <c r="J29" s="330"/>
      <c r="K29" s="330"/>
      <c r="L29" s="330"/>
      <c r="M29" s="330"/>
      <c r="N29" s="327"/>
    </row>
    <row r="30" spans="1:15">
      <c r="J30" s="330"/>
      <c r="K30" s="330"/>
      <c r="L30" s="330"/>
      <c r="M30" s="330"/>
      <c r="N30" s="327"/>
    </row>
    <row r="31" spans="1:15">
      <c r="F31" s="330"/>
      <c r="G31" s="330"/>
      <c r="H31" s="330"/>
      <c r="I31" s="330"/>
      <c r="J31" s="330"/>
      <c r="K31" s="330"/>
      <c r="L31" s="330"/>
      <c r="M31" s="330"/>
      <c r="N31" s="327"/>
    </row>
    <row r="32" spans="1:15">
      <c r="F32" s="330"/>
      <c r="G32" s="330"/>
      <c r="H32" s="330"/>
      <c r="I32" s="330"/>
      <c r="J32" s="330"/>
      <c r="K32" s="330"/>
      <c r="L32" s="330"/>
      <c r="M32" s="330"/>
      <c r="N32" s="327"/>
    </row>
    <row r="33" spans="6:14">
      <c r="F33" s="330"/>
      <c r="G33" s="330"/>
      <c r="H33" s="330"/>
      <c r="I33" s="330"/>
      <c r="J33" s="330"/>
      <c r="K33" s="330"/>
      <c r="L33" s="330"/>
      <c r="M33" s="330"/>
      <c r="N33" s="327"/>
    </row>
    <row r="34" spans="6:14">
      <c r="F34" s="330"/>
      <c r="G34" s="330"/>
      <c r="H34" s="330"/>
      <c r="I34" s="330"/>
      <c r="J34" s="330"/>
      <c r="K34" s="330"/>
      <c r="L34" s="330"/>
      <c r="M34" s="330"/>
      <c r="N34" s="327"/>
    </row>
    <row r="35" spans="6:14">
      <c r="F35" s="330"/>
      <c r="G35" s="330"/>
      <c r="H35" s="330"/>
      <c r="I35" s="330"/>
      <c r="J35" s="330"/>
      <c r="K35" s="330"/>
      <c r="L35" s="330"/>
      <c r="M35" s="330"/>
      <c r="N35" s="327"/>
    </row>
    <row r="36" spans="6:14">
      <c r="F36" s="330"/>
      <c r="G36" s="330"/>
      <c r="H36" s="330"/>
      <c r="I36" s="330"/>
      <c r="J36" s="330"/>
      <c r="K36" s="330"/>
      <c r="L36" s="330"/>
      <c r="M36" s="330"/>
      <c r="N36" s="327"/>
    </row>
    <row r="37" spans="6:14">
      <c r="F37" s="330"/>
      <c r="G37" s="330"/>
      <c r="H37" s="330"/>
      <c r="I37" s="330"/>
      <c r="J37" s="330"/>
      <c r="K37" s="330"/>
      <c r="L37" s="330"/>
      <c r="M37" s="330"/>
      <c r="N37" s="327"/>
    </row>
    <row r="38" spans="6:14">
      <c r="F38" s="330"/>
      <c r="J38" s="330"/>
      <c r="K38" s="330"/>
      <c r="L38" s="330"/>
      <c r="M38" s="330"/>
      <c r="N38" s="327"/>
    </row>
    <row r="39" spans="6:14">
      <c r="F39" s="330"/>
      <c r="J39" s="330"/>
      <c r="K39" s="330"/>
      <c r="L39" s="330"/>
      <c r="M39" s="330"/>
      <c r="N39" s="327"/>
    </row>
    <row r="40" spans="6:14">
      <c r="J40" s="330"/>
      <c r="K40" s="330"/>
      <c r="L40" s="330"/>
      <c r="M40" s="330"/>
      <c r="N40" s="327"/>
    </row>
    <row r="41" spans="6:14">
      <c r="N41" s="327"/>
    </row>
    <row r="42" spans="6:14">
      <c r="N42" s="327"/>
    </row>
    <row r="43" spans="6:14">
      <c r="N43" s="327"/>
    </row>
    <row r="44" spans="6:14">
      <c r="N44" s="327"/>
    </row>
    <row r="45" spans="6:14">
      <c r="N45" s="327"/>
    </row>
    <row r="46" spans="6:14">
      <c r="N46" s="327"/>
    </row>
    <row r="47" spans="6:14">
      <c r="N47" s="327"/>
    </row>
    <row r="48" spans="6:14">
      <c r="N48" s="327"/>
    </row>
    <row r="49" spans="14:14">
      <c r="N49" s="327"/>
    </row>
    <row r="50" spans="14:14">
      <c r="N50" s="327"/>
    </row>
    <row r="51" spans="14:14">
      <c r="N51" s="327"/>
    </row>
    <row r="52" spans="14:14">
      <c r="N52" s="327"/>
    </row>
    <row r="53" spans="14:14">
      <c r="N53" s="327"/>
    </row>
    <row r="54" spans="14:14">
      <c r="N54" s="327"/>
    </row>
    <row r="55" spans="14:14">
      <c r="N55" s="327"/>
    </row>
    <row r="56" spans="14:14">
      <c r="N56" s="327"/>
    </row>
    <row r="57" spans="14:14">
      <c r="N57" s="327"/>
    </row>
    <row r="58" spans="14:14">
      <c r="N58" s="327"/>
    </row>
    <row r="59" spans="14:14">
      <c r="N59" s="327"/>
    </row>
    <row r="60" spans="14:14">
      <c r="N60" s="327"/>
    </row>
    <row r="61" spans="14:14">
      <c r="N61" s="327"/>
    </row>
    <row r="62" spans="14:14">
      <c r="N62" s="327"/>
    </row>
    <row r="63" spans="14:14">
      <c r="N63" s="327"/>
    </row>
    <row r="64" spans="14:14">
      <c r="N64" s="327"/>
    </row>
    <row r="65" spans="14:14">
      <c r="N65" s="327"/>
    </row>
    <row r="66" spans="14:14">
      <c r="N66" s="327"/>
    </row>
    <row r="67" spans="14:14">
      <c r="N67" s="327"/>
    </row>
    <row r="68" spans="14:14">
      <c r="N68" s="327"/>
    </row>
    <row r="69" spans="14:14">
      <c r="N69" s="327"/>
    </row>
    <row r="70" spans="14:14">
      <c r="N70" s="327"/>
    </row>
    <row r="71" spans="14:14">
      <c r="N71" s="327"/>
    </row>
    <row r="72" spans="14:14">
      <c r="N72" s="327"/>
    </row>
    <row r="73" spans="14:14">
      <c r="N73" s="327"/>
    </row>
    <row r="74" spans="14:14">
      <c r="N74" s="327"/>
    </row>
    <row r="75" spans="14:14">
      <c r="N75" s="327"/>
    </row>
    <row r="76" spans="14:14">
      <c r="N76" s="327"/>
    </row>
    <row r="77" spans="14:14">
      <c r="N77" s="327"/>
    </row>
    <row r="78" spans="14:14">
      <c r="N78" s="327"/>
    </row>
    <row r="79" spans="14:14">
      <c r="N79" s="327"/>
    </row>
    <row r="80" spans="14:14">
      <c r="N80" s="327"/>
    </row>
    <row r="81" spans="14:14">
      <c r="N81" s="327"/>
    </row>
    <row r="82" spans="14:14">
      <c r="N82" s="327"/>
    </row>
    <row r="83" spans="14:14">
      <c r="N83" s="327"/>
    </row>
    <row r="84" spans="14:14">
      <c r="N84" s="327"/>
    </row>
    <row r="85" spans="14:14">
      <c r="N85" s="327"/>
    </row>
    <row r="86" spans="14:14">
      <c r="N86" s="327"/>
    </row>
    <row r="87" spans="14:14">
      <c r="N87" s="327"/>
    </row>
    <row r="88" spans="14:14">
      <c r="N88" s="327"/>
    </row>
    <row r="89" spans="14:14">
      <c r="N89" s="327"/>
    </row>
    <row r="90" spans="14:14">
      <c r="N90" s="327"/>
    </row>
    <row r="91" spans="14:14">
      <c r="N91" s="327"/>
    </row>
    <row r="92" spans="14:14">
      <c r="N92" s="327"/>
    </row>
    <row r="93" spans="14:14">
      <c r="N93" s="327"/>
    </row>
    <row r="94" spans="14:14">
      <c r="N94" s="327"/>
    </row>
    <row r="95" spans="14:14">
      <c r="N95" s="327"/>
    </row>
    <row r="96" spans="14:14">
      <c r="N96" s="327"/>
    </row>
    <row r="97" spans="14:14">
      <c r="N97" s="327"/>
    </row>
    <row r="98" spans="14:14">
      <c r="N98" s="327"/>
    </row>
    <row r="99" spans="14:14">
      <c r="N99" s="327"/>
    </row>
    <row r="100" spans="14:14">
      <c r="N100" s="327"/>
    </row>
    <row r="101" spans="14:14">
      <c r="N101" s="327"/>
    </row>
    <row r="102" spans="14:14">
      <c r="N102" s="327"/>
    </row>
    <row r="103" spans="14:14">
      <c r="N103" s="327"/>
    </row>
    <row r="104" spans="14:14">
      <c r="N104" s="327"/>
    </row>
    <row r="105" spans="14:14">
      <c r="N105" s="327"/>
    </row>
    <row r="106" spans="14:14">
      <c r="N106" s="327"/>
    </row>
    <row r="107" spans="14:14">
      <c r="N107" s="327"/>
    </row>
    <row r="108" spans="14:14">
      <c r="N108" s="327"/>
    </row>
    <row r="109" spans="14:14">
      <c r="N109" s="327"/>
    </row>
    <row r="110" spans="14:14">
      <c r="N110" s="327"/>
    </row>
    <row r="111" spans="14:14">
      <c r="N111" s="327"/>
    </row>
    <row r="112" spans="14:14">
      <c r="N112" s="327"/>
    </row>
    <row r="113" spans="14:14">
      <c r="N113" s="327"/>
    </row>
    <row r="114" spans="14:14">
      <c r="N114" s="327"/>
    </row>
    <row r="115" spans="14:14">
      <c r="N115" s="327"/>
    </row>
    <row r="116" spans="14:14">
      <c r="N116" s="327"/>
    </row>
    <row r="117" spans="14:14">
      <c r="N117" s="327"/>
    </row>
    <row r="118" spans="14:14">
      <c r="N118" s="327"/>
    </row>
    <row r="119" spans="14:14">
      <c r="N119" s="327"/>
    </row>
    <row r="120" spans="14:14">
      <c r="N120" s="327"/>
    </row>
    <row r="121" spans="14:14">
      <c r="N121" s="327"/>
    </row>
    <row r="122" spans="14:14">
      <c r="N122" s="327"/>
    </row>
    <row r="123" spans="14:14">
      <c r="N123" s="327"/>
    </row>
    <row r="124" spans="14:14">
      <c r="N124" s="327"/>
    </row>
    <row r="125" spans="14:14">
      <c r="N125" s="327"/>
    </row>
    <row r="126" spans="14:14">
      <c r="N126" s="327"/>
    </row>
    <row r="127" spans="14:14">
      <c r="N127" s="327"/>
    </row>
    <row r="128" spans="14:14">
      <c r="N128" s="327"/>
    </row>
    <row r="129" spans="14:14">
      <c r="N129" s="327"/>
    </row>
    <row r="130" spans="14:14">
      <c r="N130" s="327"/>
    </row>
    <row r="131" spans="14:14">
      <c r="N131" s="327"/>
    </row>
    <row r="132" spans="14:14">
      <c r="N132" s="327"/>
    </row>
    <row r="133" spans="14:14">
      <c r="N133" s="327"/>
    </row>
    <row r="134" spans="14:14">
      <c r="N134" s="327"/>
    </row>
    <row r="135" spans="14:14">
      <c r="N135" s="327"/>
    </row>
    <row r="136" spans="14:14">
      <c r="N136" s="327"/>
    </row>
    <row r="137" spans="14:14">
      <c r="N137" s="327"/>
    </row>
    <row r="138" spans="14:14">
      <c r="N138" s="327"/>
    </row>
    <row r="139" spans="14:14">
      <c r="N139" s="327"/>
    </row>
    <row r="140" spans="14:14">
      <c r="N140" s="327"/>
    </row>
    <row r="141" spans="14:14">
      <c r="N141" s="327"/>
    </row>
    <row r="142" spans="14:14">
      <c r="N142" s="327"/>
    </row>
    <row r="143" spans="14:14">
      <c r="N143" s="327"/>
    </row>
    <row r="144" spans="14:14">
      <c r="N144" s="327"/>
    </row>
    <row r="145" spans="14:14">
      <c r="N145" s="327"/>
    </row>
    <row r="146" spans="14:14">
      <c r="N146" s="327"/>
    </row>
    <row r="147" spans="14:14">
      <c r="N147" s="327"/>
    </row>
    <row r="148" spans="14:14">
      <c r="N148" s="327"/>
    </row>
    <row r="149" spans="14:14">
      <c r="N149" s="327"/>
    </row>
    <row r="150" spans="14:14">
      <c r="N150" s="327"/>
    </row>
    <row r="151" spans="14:14">
      <c r="N151" s="327"/>
    </row>
    <row r="152" spans="14:14">
      <c r="N152" s="327"/>
    </row>
    <row r="153" spans="14:14">
      <c r="N153" s="327"/>
    </row>
    <row r="154" spans="14:14">
      <c r="N154" s="327"/>
    </row>
    <row r="155" spans="14:14">
      <c r="N155" s="327"/>
    </row>
    <row r="156" spans="14:14">
      <c r="N156" s="327"/>
    </row>
    <row r="157" spans="14:14">
      <c r="N157" s="327"/>
    </row>
    <row r="158" spans="14:14">
      <c r="N158" s="327"/>
    </row>
    <row r="159" spans="14:14">
      <c r="N159" s="327"/>
    </row>
    <row r="160" spans="14:14">
      <c r="N160" s="327"/>
    </row>
    <row r="161" spans="14:14">
      <c r="N161" s="327"/>
    </row>
    <row r="162" spans="14:14">
      <c r="N162" s="327"/>
    </row>
    <row r="163" spans="14:14">
      <c r="N163" s="327"/>
    </row>
    <row r="164" spans="14:14">
      <c r="N164" s="327"/>
    </row>
    <row r="165" spans="14:14">
      <c r="N165" s="327"/>
    </row>
    <row r="166" spans="14:14">
      <c r="N166" s="327"/>
    </row>
    <row r="167" spans="14:14">
      <c r="N167" s="327"/>
    </row>
    <row r="168" spans="14:14">
      <c r="N168" s="327"/>
    </row>
    <row r="169" spans="14:14">
      <c r="N169" s="327"/>
    </row>
    <row r="170" spans="14:14">
      <c r="N170" s="327"/>
    </row>
    <row r="171" spans="14:14">
      <c r="N171" s="327"/>
    </row>
    <row r="172" spans="14:14">
      <c r="N172" s="327"/>
    </row>
    <row r="173" spans="14:14">
      <c r="N173" s="327"/>
    </row>
    <row r="174" spans="14:14">
      <c r="N174" s="327"/>
    </row>
    <row r="175" spans="14:14">
      <c r="N175" s="327"/>
    </row>
    <row r="176" spans="14:14">
      <c r="N176" s="327"/>
    </row>
    <row r="177" spans="14:14">
      <c r="N177" s="327"/>
    </row>
    <row r="178" spans="14:14">
      <c r="N178" s="327"/>
    </row>
    <row r="179" spans="14:14">
      <c r="N179" s="327"/>
    </row>
    <row r="180" spans="14:14">
      <c r="N180" s="327"/>
    </row>
    <row r="181" spans="14:14">
      <c r="N181" s="327"/>
    </row>
    <row r="182" spans="14:14">
      <c r="N182" s="327"/>
    </row>
    <row r="183" spans="14:14">
      <c r="N183" s="327"/>
    </row>
    <row r="184" spans="14:14">
      <c r="N184" s="327"/>
    </row>
    <row r="185" spans="14:14">
      <c r="N185" s="327"/>
    </row>
    <row r="186" spans="14:14">
      <c r="N186" s="327"/>
    </row>
    <row r="187" spans="14:14">
      <c r="N187" s="327"/>
    </row>
    <row r="188" spans="14:14">
      <c r="N188" s="327"/>
    </row>
    <row r="189" spans="14:14">
      <c r="N189" s="327"/>
    </row>
    <row r="190" spans="14:14">
      <c r="N190" s="327"/>
    </row>
    <row r="191" spans="14:14">
      <c r="N191" s="327"/>
    </row>
    <row r="192" spans="14:14">
      <c r="N192" s="327"/>
    </row>
    <row r="193" spans="14:14">
      <c r="N193" s="327"/>
    </row>
    <row r="194" spans="14:14">
      <c r="N194" s="327"/>
    </row>
    <row r="195" spans="14:14">
      <c r="N195" s="327"/>
    </row>
    <row r="196" spans="14:14">
      <c r="N196" s="327"/>
    </row>
    <row r="197" spans="14:14">
      <c r="N197" s="327"/>
    </row>
    <row r="198" spans="14:14">
      <c r="N198" s="327"/>
    </row>
    <row r="199" spans="14:14">
      <c r="N199" s="327"/>
    </row>
    <row r="200" spans="14:14">
      <c r="N200" s="327"/>
    </row>
    <row r="201" spans="14:14">
      <c r="N201" s="327"/>
    </row>
    <row r="202" spans="14:14">
      <c r="N202" s="327"/>
    </row>
    <row r="203" spans="14:14">
      <c r="N203" s="327"/>
    </row>
    <row r="204" spans="14:14">
      <c r="N204" s="327"/>
    </row>
    <row r="205" spans="14:14">
      <c r="N205" s="327"/>
    </row>
    <row r="206" spans="14:14">
      <c r="N206" s="327"/>
    </row>
    <row r="207" spans="14:14">
      <c r="N207" s="327"/>
    </row>
    <row r="208" spans="14:14">
      <c r="N208" s="327"/>
    </row>
    <row r="209" spans="14:14">
      <c r="N209" s="327"/>
    </row>
    <row r="210" spans="14:14">
      <c r="N210" s="327"/>
    </row>
    <row r="211" spans="14:14">
      <c r="N211" s="327"/>
    </row>
    <row r="212" spans="14:14">
      <c r="N212" s="327"/>
    </row>
    <row r="213" spans="14:14">
      <c r="N213" s="327"/>
    </row>
    <row r="214" spans="14:14">
      <c r="N214" s="327"/>
    </row>
    <row r="215" spans="14:14">
      <c r="N215" s="327"/>
    </row>
    <row r="216" spans="14:14">
      <c r="N216" s="327"/>
    </row>
    <row r="217" spans="14:14">
      <c r="N217" s="327"/>
    </row>
    <row r="218" spans="14:14">
      <c r="N218" s="327"/>
    </row>
    <row r="219" spans="14:14">
      <c r="N219" s="327"/>
    </row>
    <row r="220" spans="14:14">
      <c r="N220" s="327"/>
    </row>
    <row r="221" spans="14:14">
      <c r="N221" s="327"/>
    </row>
    <row r="222" spans="14:14">
      <c r="N222" s="327"/>
    </row>
    <row r="223" spans="14:14">
      <c r="N223" s="327"/>
    </row>
    <row r="224" spans="14:14">
      <c r="N224" s="327"/>
    </row>
    <row r="225" spans="14:14">
      <c r="N225" s="327"/>
    </row>
    <row r="226" spans="14:14">
      <c r="N226" s="327"/>
    </row>
    <row r="227" spans="14:14">
      <c r="N227" s="327"/>
    </row>
    <row r="228" spans="14:14">
      <c r="N228" s="327"/>
    </row>
    <row r="229" spans="14:14">
      <c r="N229" s="327"/>
    </row>
    <row r="230" spans="14:14">
      <c r="N230" s="327"/>
    </row>
    <row r="231" spans="14:14">
      <c r="N231" s="327"/>
    </row>
    <row r="232" spans="14:14">
      <c r="N232" s="327"/>
    </row>
    <row r="233" spans="14:14">
      <c r="N233" s="327"/>
    </row>
    <row r="234" spans="14:14">
      <c r="N234" s="327"/>
    </row>
    <row r="235" spans="14:14">
      <c r="N235" s="327"/>
    </row>
    <row r="236" spans="14:14">
      <c r="N236" s="327"/>
    </row>
    <row r="237" spans="14:14">
      <c r="N237" s="327"/>
    </row>
    <row r="238" spans="14:14">
      <c r="N238" s="327"/>
    </row>
    <row r="239" spans="14:14">
      <c r="N239" s="327"/>
    </row>
    <row r="240" spans="14:14">
      <c r="N240" s="327"/>
    </row>
    <row r="241" spans="14:14">
      <c r="N241" s="327"/>
    </row>
    <row r="242" spans="14:14">
      <c r="N242" s="327"/>
    </row>
    <row r="243" spans="14:14">
      <c r="N243" s="327"/>
    </row>
    <row r="244" spans="14:14">
      <c r="N244" s="327"/>
    </row>
    <row r="245" spans="14:14">
      <c r="N245" s="327"/>
    </row>
    <row r="246" spans="14:14">
      <c r="N246" s="327"/>
    </row>
    <row r="247" spans="14:14">
      <c r="N247" s="327"/>
    </row>
    <row r="248" spans="14:14">
      <c r="N248" s="327"/>
    </row>
    <row r="249" spans="14:14">
      <c r="N249" s="327"/>
    </row>
    <row r="250" spans="14:14">
      <c r="N250" s="327"/>
    </row>
    <row r="251" spans="14:14">
      <c r="N251" s="327"/>
    </row>
    <row r="252" spans="14:14">
      <c r="N252" s="327"/>
    </row>
    <row r="253" spans="14:14">
      <c r="N253" s="327"/>
    </row>
    <row r="254" spans="14:14">
      <c r="N254" s="327"/>
    </row>
    <row r="255" spans="14:14">
      <c r="N255" s="327"/>
    </row>
    <row r="256" spans="14:14">
      <c r="N256" s="327"/>
    </row>
    <row r="257" spans="14:14">
      <c r="N257" s="327"/>
    </row>
    <row r="258" spans="14:14">
      <c r="N258" s="327"/>
    </row>
    <row r="259" spans="14:14">
      <c r="N259" s="327"/>
    </row>
    <row r="260" spans="14:14">
      <c r="N260" s="327"/>
    </row>
    <row r="261" spans="14:14">
      <c r="N261" s="327"/>
    </row>
    <row r="262" spans="14:14">
      <c r="N262" s="327"/>
    </row>
    <row r="263" spans="14:14">
      <c r="N263" s="327"/>
    </row>
    <row r="264" spans="14:14">
      <c r="N264" s="327"/>
    </row>
    <row r="265" spans="14:14">
      <c r="N265" s="327"/>
    </row>
    <row r="266" spans="14:14">
      <c r="N266" s="327"/>
    </row>
    <row r="267" spans="14:14">
      <c r="N267" s="327"/>
    </row>
    <row r="268" spans="14:14">
      <c r="N268" s="327"/>
    </row>
    <row r="269" spans="14:14">
      <c r="N269" s="327"/>
    </row>
    <row r="270" spans="14:14">
      <c r="N270" s="327"/>
    </row>
    <row r="271" spans="14:14">
      <c r="N271" s="327"/>
    </row>
    <row r="272" spans="14:14">
      <c r="N272" s="327"/>
    </row>
    <row r="273" spans="14:14">
      <c r="N273" s="327"/>
    </row>
    <row r="274" spans="14:14">
      <c r="N274" s="327"/>
    </row>
    <row r="275" spans="14:14">
      <c r="N275" s="327"/>
    </row>
    <row r="276" spans="14:14">
      <c r="N276" s="327"/>
    </row>
    <row r="277" spans="14:14">
      <c r="N277" s="327"/>
    </row>
    <row r="278" spans="14:14">
      <c r="N278" s="327"/>
    </row>
    <row r="279" spans="14:14">
      <c r="N279" s="327"/>
    </row>
    <row r="280" spans="14:14">
      <c r="N280" s="327"/>
    </row>
    <row r="281" spans="14:14">
      <c r="N281" s="327"/>
    </row>
    <row r="282" spans="14:14">
      <c r="N282" s="327"/>
    </row>
    <row r="283" spans="14:14">
      <c r="N283" s="327"/>
    </row>
    <row r="284" spans="14:14">
      <c r="N284" s="327"/>
    </row>
    <row r="285" spans="14:14">
      <c r="N285" s="327"/>
    </row>
    <row r="286" spans="14:14">
      <c r="N286" s="327"/>
    </row>
    <row r="287" spans="14:14">
      <c r="N287" s="327"/>
    </row>
    <row r="288" spans="14:14">
      <c r="N288" s="327"/>
    </row>
    <row r="289" spans="14:14">
      <c r="N289" s="327"/>
    </row>
    <row r="290" spans="14:14">
      <c r="N290" s="327"/>
    </row>
    <row r="291" spans="14:14">
      <c r="N291" s="327"/>
    </row>
    <row r="292" spans="14:14">
      <c r="N292" s="327"/>
    </row>
    <row r="293" spans="14:14">
      <c r="N293" s="327"/>
    </row>
    <row r="294" spans="14:14">
      <c r="N294" s="327"/>
    </row>
    <row r="295" spans="14:14">
      <c r="N295" s="327"/>
    </row>
    <row r="296" spans="14:14">
      <c r="N296" s="327"/>
    </row>
    <row r="297" spans="14:14">
      <c r="N297" s="327"/>
    </row>
    <row r="298" spans="14:14">
      <c r="N298" s="327"/>
    </row>
    <row r="299" spans="14:14">
      <c r="N299" s="327"/>
    </row>
    <row r="300" spans="14:14">
      <c r="N300" s="327"/>
    </row>
    <row r="301" spans="14:14">
      <c r="N301" s="327"/>
    </row>
    <row r="302" spans="14:14">
      <c r="N302" s="327"/>
    </row>
    <row r="303" spans="14:14">
      <c r="N303" s="327"/>
    </row>
    <row r="304" spans="14:14">
      <c r="N304" s="327"/>
    </row>
    <row r="305" spans="14:14">
      <c r="N305" s="327"/>
    </row>
    <row r="306" spans="14:14">
      <c r="N306" s="327"/>
    </row>
    <row r="307" spans="14:14">
      <c r="N307" s="327"/>
    </row>
    <row r="308" spans="14:14">
      <c r="N308" s="327"/>
    </row>
    <row r="309" spans="14:14">
      <c r="N309" s="327"/>
    </row>
    <row r="310" spans="14:14">
      <c r="N310" s="327"/>
    </row>
    <row r="311" spans="14:14">
      <c r="N311" s="327"/>
    </row>
    <row r="312" spans="14:14">
      <c r="N312" s="327"/>
    </row>
    <row r="313" spans="14:14">
      <c r="N313" s="327"/>
    </row>
    <row r="314" spans="14:14">
      <c r="N314" s="327"/>
    </row>
    <row r="315" spans="14:14">
      <c r="N315" s="327"/>
    </row>
    <row r="316" spans="14:14">
      <c r="N316" s="327"/>
    </row>
    <row r="317" spans="14:14">
      <c r="N317" s="327"/>
    </row>
    <row r="318" spans="14:14">
      <c r="N318" s="327"/>
    </row>
    <row r="319" spans="14:14">
      <c r="N319" s="327"/>
    </row>
    <row r="320" spans="14:14">
      <c r="N320" s="327"/>
    </row>
    <row r="321" spans="14:14">
      <c r="N321" s="327"/>
    </row>
    <row r="322" spans="14:14">
      <c r="N322" s="327"/>
    </row>
    <row r="323" spans="14:14">
      <c r="N323" s="327"/>
    </row>
    <row r="324" spans="14:14">
      <c r="N324" s="327"/>
    </row>
    <row r="325" spans="14:14">
      <c r="N325" s="327"/>
    </row>
    <row r="326" spans="14:14">
      <c r="N326" s="327"/>
    </row>
    <row r="327" spans="14:14">
      <c r="N327" s="327"/>
    </row>
    <row r="328" spans="14:14">
      <c r="N328" s="327"/>
    </row>
    <row r="329" spans="14:14">
      <c r="N329" s="327"/>
    </row>
    <row r="330" spans="14:14">
      <c r="N330" s="327"/>
    </row>
    <row r="331" spans="14:14">
      <c r="N331" s="327"/>
    </row>
    <row r="332" spans="14:14">
      <c r="N332" s="327"/>
    </row>
    <row r="333" spans="14:14">
      <c r="N333" s="327"/>
    </row>
    <row r="334" spans="14:14">
      <c r="N334" s="327"/>
    </row>
    <row r="335" spans="14:14">
      <c r="N335" s="327"/>
    </row>
    <row r="336" spans="14:14">
      <c r="N336" s="327"/>
    </row>
    <row r="337" spans="14:14">
      <c r="N337" s="327"/>
    </row>
    <row r="338" spans="14:14">
      <c r="N338" s="327"/>
    </row>
    <row r="339" spans="14:14">
      <c r="N339" s="327"/>
    </row>
    <row r="340" spans="14:14">
      <c r="N340" s="327"/>
    </row>
    <row r="341" spans="14:14">
      <c r="N341" s="327"/>
    </row>
    <row r="342" spans="14:14">
      <c r="N342" s="327"/>
    </row>
    <row r="343" spans="14:14">
      <c r="N343" s="327"/>
    </row>
    <row r="344" spans="14:14">
      <c r="N344" s="327"/>
    </row>
    <row r="345" spans="14:14">
      <c r="N345" s="327"/>
    </row>
    <row r="346" spans="14:14">
      <c r="N346" s="327"/>
    </row>
    <row r="347" spans="14:14">
      <c r="N347" s="327"/>
    </row>
    <row r="348" spans="14:14">
      <c r="N348" s="327"/>
    </row>
    <row r="349" spans="14:14">
      <c r="N349" s="327"/>
    </row>
    <row r="350" spans="14:14">
      <c r="N350" s="327"/>
    </row>
    <row r="351" spans="14:14">
      <c r="N351" s="327"/>
    </row>
    <row r="352" spans="14:14">
      <c r="N352" s="327"/>
    </row>
    <row r="353" spans="14:14">
      <c r="N353" s="327"/>
    </row>
    <row r="354" spans="14:14">
      <c r="N354" s="327"/>
    </row>
    <row r="355" spans="14:14">
      <c r="N355" s="327"/>
    </row>
    <row r="356" spans="14:14">
      <c r="N356" s="327"/>
    </row>
    <row r="357" spans="14:14">
      <c r="N357" s="327"/>
    </row>
    <row r="358" spans="14:14">
      <c r="N358" s="327"/>
    </row>
    <row r="359" spans="14:14">
      <c r="N359" s="327"/>
    </row>
    <row r="360" spans="14:14">
      <c r="N360" s="327"/>
    </row>
    <row r="361" spans="14:14">
      <c r="N361" s="327"/>
    </row>
    <row r="362" spans="14:14">
      <c r="N362" s="327"/>
    </row>
    <row r="363" spans="14:14">
      <c r="N363" s="327"/>
    </row>
    <row r="364" spans="14:14">
      <c r="N364" s="327"/>
    </row>
    <row r="365" spans="14:14">
      <c r="N365" s="327"/>
    </row>
    <row r="366" spans="14:14">
      <c r="N366" s="327"/>
    </row>
    <row r="367" spans="14:14">
      <c r="N367" s="327"/>
    </row>
    <row r="368" spans="14:14">
      <c r="N368" s="327"/>
    </row>
    <row r="369" spans="14:14">
      <c r="N369" s="327"/>
    </row>
    <row r="370" spans="14:14">
      <c r="N370" s="327"/>
    </row>
    <row r="371" spans="14:14">
      <c r="N371" s="327"/>
    </row>
    <row r="372" spans="14:14">
      <c r="N372" s="327"/>
    </row>
    <row r="373" spans="14:14">
      <c r="N373" s="327"/>
    </row>
    <row r="374" spans="14:14">
      <c r="N374" s="327"/>
    </row>
    <row r="375" spans="14:14">
      <c r="N375" s="327"/>
    </row>
    <row r="376" spans="14:14">
      <c r="N376" s="327"/>
    </row>
    <row r="377" spans="14:14">
      <c r="N377" s="327"/>
    </row>
    <row r="378" spans="14:14">
      <c r="N378" s="327"/>
    </row>
    <row r="379" spans="14:14">
      <c r="N379" s="327"/>
    </row>
    <row r="380" spans="14:14">
      <c r="N380" s="327"/>
    </row>
    <row r="381" spans="14:14">
      <c r="N381" s="327"/>
    </row>
    <row r="382" spans="14:14">
      <c r="N382" s="327"/>
    </row>
    <row r="383" spans="14:14">
      <c r="N383" s="327"/>
    </row>
    <row r="384" spans="14:14">
      <c r="N384" s="327"/>
    </row>
    <row r="385" spans="14:14">
      <c r="N385" s="327"/>
    </row>
    <row r="386" spans="14:14">
      <c r="N386" s="327"/>
    </row>
    <row r="387" spans="14:14">
      <c r="N387" s="327"/>
    </row>
    <row r="388" spans="14:14">
      <c r="N388" s="327"/>
    </row>
    <row r="389" spans="14:14">
      <c r="N389" s="327"/>
    </row>
    <row r="390" spans="14:14">
      <c r="N390" s="327"/>
    </row>
    <row r="391" spans="14:14">
      <c r="N391" s="327"/>
    </row>
    <row r="392" spans="14:14">
      <c r="N392" s="327"/>
    </row>
    <row r="393" spans="14:14">
      <c r="N393" s="327"/>
    </row>
    <row r="394" spans="14:14">
      <c r="N394" s="327"/>
    </row>
    <row r="395" spans="14:14">
      <c r="N395" s="327"/>
    </row>
    <row r="396" spans="14:14">
      <c r="N396" s="327"/>
    </row>
    <row r="397" spans="14:14">
      <c r="N397" s="327"/>
    </row>
    <row r="398" spans="14:14">
      <c r="N398" s="327"/>
    </row>
    <row r="399" spans="14:14">
      <c r="N399" s="327"/>
    </row>
    <row r="400" spans="14:14">
      <c r="N400" s="327"/>
    </row>
    <row r="401" spans="14:14">
      <c r="N401" s="327"/>
    </row>
    <row r="402" spans="14:14">
      <c r="N402" s="327"/>
    </row>
    <row r="403" spans="14:14">
      <c r="N403" s="327"/>
    </row>
    <row r="404" spans="14:14">
      <c r="N404" s="327"/>
    </row>
    <row r="405" spans="14:14">
      <c r="N405" s="327"/>
    </row>
    <row r="406" spans="14:14">
      <c r="N406" s="327"/>
    </row>
    <row r="407" spans="14:14">
      <c r="N407" s="327"/>
    </row>
    <row r="408" spans="14:14">
      <c r="N408" s="327"/>
    </row>
    <row r="409" spans="14:14">
      <c r="N409" s="327"/>
    </row>
    <row r="410" spans="14:14">
      <c r="N410" s="327"/>
    </row>
    <row r="411" spans="14:14">
      <c r="N411" s="327"/>
    </row>
    <row r="412" spans="14:14">
      <c r="N412" s="327"/>
    </row>
    <row r="413" spans="14:14">
      <c r="N413" s="327"/>
    </row>
    <row r="414" spans="14:14">
      <c r="N414" s="327"/>
    </row>
    <row r="415" spans="14:14">
      <c r="N415" s="327"/>
    </row>
    <row r="416" spans="14:14">
      <c r="N416" s="327"/>
    </row>
    <row r="417" spans="14:14">
      <c r="N417" s="327"/>
    </row>
    <row r="418" spans="14:14">
      <c r="N418" s="327"/>
    </row>
    <row r="419" spans="14:14">
      <c r="N419" s="327"/>
    </row>
    <row r="420" spans="14:14">
      <c r="N420" s="327"/>
    </row>
    <row r="421" spans="14:14">
      <c r="N421" s="327"/>
    </row>
    <row r="422" spans="14:14">
      <c r="N422" s="327"/>
    </row>
    <row r="423" spans="14:14">
      <c r="N423" s="327"/>
    </row>
    <row r="424" spans="14:14">
      <c r="N424" s="327"/>
    </row>
    <row r="425" spans="14:14">
      <c r="N425" s="327"/>
    </row>
    <row r="426" spans="14:14">
      <c r="N426" s="327"/>
    </row>
    <row r="427" spans="14:14">
      <c r="N427" s="327"/>
    </row>
    <row r="428" spans="14:14">
      <c r="N428" s="327"/>
    </row>
    <row r="429" spans="14:14">
      <c r="N429" s="327"/>
    </row>
    <row r="430" spans="14:14">
      <c r="N430" s="327"/>
    </row>
    <row r="431" spans="14:14">
      <c r="N431" s="327"/>
    </row>
    <row r="432" spans="14:14">
      <c r="N432" s="327"/>
    </row>
    <row r="433" spans="14:14">
      <c r="N433" s="327"/>
    </row>
    <row r="434" spans="14:14">
      <c r="N434" s="327"/>
    </row>
    <row r="435" spans="14:14">
      <c r="N435" s="327"/>
    </row>
    <row r="436" spans="14:14">
      <c r="N436" s="327"/>
    </row>
    <row r="437" spans="14:14">
      <c r="N437" s="327"/>
    </row>
    <row r="438" spans="14:14">
      <c r="N438" s="327"/>
    </row>
    <row r="439" spans="14:14">
      <c r="N439" s="327"/>
    </row>
    <row r="440" spans="14:14">
      <c r="N440" s="327"/>
    </row>
    <row r="441" spans="14:14">
      <c r="N441" s="327"/>
    </row>
    <row r="442" spans="14:14">
      <c r="N442" s="327"/>
    </row>
    <row r="443" spans="14:14">
      <c r="N443" s="327"/>
    </row>
    <row r="444" spans="14:14">
      <c r="N444" s="327"/>
    </row>
    <row r="445" spans="14:14">
      <c r="N445" s="327"/>
    </row>
    <row r="446" spans="14:14">
      <c r="N446" s="327"/>
    </row>
    <row r="447" spans="14:14">
      <c r="N447" s="327"/>
    </row>
    <row r="448" spans="14:14">
      <c r="N448" s="327"/>
    </row>
    <row r="449" spans="14:14">
      <c r="N449" s="327"/>
    </row>
    <row r="450" spans="14:14">
      <c r="N450" s="327"/>
    </row>
    <row r="451" spans="14:14">
      <c r="N451" s="327"/>
    </row>
    <row r="452" spans="14:14">
      <c r="N452" s="327"/>
    </row>
    <row r="453" spans="14:14">
      <c r="N453" s="327"/>
    </row>
    <row r="454" spans="14:14">
      <c r="N454" s="327"/>
    </row>
    <row r="455" spans="14:14">
      <c r="N455" s="327"/>
    </row>
    <row r="456" spans="14:14">
      <c r="N456" s="327"/>
    </row>
    <row r="457" spans="14:14">
      <c r="N457" s="327"/>
    </row>
    <row r="458" spans="14:14">
      <c r="N458" s="327"/>
    </row>
    <row r="459" spans="14:14">
      <c r="N459" s="327"/>
    </row>
    <row r="460" spans="14:14">
      <c r="N460" s="327"/>
    </row>
    <row r="461" spans="14:14">
      <c r="N461" s="327"/>
    </row>
    <row r="462" spans="14:14">
      <c r="N462" s="327"/>
    </row>
    <row r="463" spans="14:14">
      <c r="N463" s="327"/>
    </row>
    <row r="464" spans="14:14">
      <c r="N464" s="327"/>
    </row>
    <row r="465" spans="14:14">
      <c r="N465" s="327"/>
    </row>
    <row r="466" spans="14:14">
      <c r="N466" s="327"/>
    </row>
    <row r="467" spans="14:14">
      <c r="N467" s="327"/>
    </row>
    <row r="468" spans="14:14">
      <c r="N468" s="327"/>
    </row>
    <row r="469" spans="14:14">
      <c r="N469" s="327"/>
    </row>
    <row r="470" spans="14:14">
      <c r="N470" s="327"/>
    </row>
    <row r="471" spans="14:14">
      <c r="N471" s="327"/>
    </row>
    <row r="472" spans="14:14">
      <c r="N472" s="327"/>
    </row>
    <row r="473" spans="14:14">
      <c r="N473" s="327"/>
    </row>
    <row r="474" spans="14:14">
      <c r="N474" s="327"/>
    </row>
    <row r="475" spans="14:14">
      <c r="N475" s="327"/>
    </row>
    <row r="476" spans="14:14">
      <c r="N476" s="327"/>
    </row>
    <row r="477" spans="14:14">
      <c r="N477" s="327"/>
    </row>
    <row r="478" spans="14:14">
      <c r="N478" s="327"/>
    </row>
    <row r="479" spans="14:14">
      <c r="N479" s="327"/>
    </row>
    <row r="480" spans="14:14">
      <c r="N480" s="327"/>
    </row>
    <row r="481" spans="14:14">
      <c r="N481" s="327"/>
    </row>
    <row r="482" spans="14:14">
      <c r="N482" s="327"/>
    </row>
    <row r="483" spans="14:14">
      <c r="N483" s="327"/>
    </row>
    <row r="484" spans="14:14">
      <c r="N484" s="327"/>
    </row>
    <row r="485" spans="14:14">
      <c r="N485" s="327"/>
    </row>
    <row r="486" spans="14:14">
      <c r="N486" s="327"/>
    </row>
    <row r="487" spans="14:14">
      <c r="N487" s="327"/>
    </row>
    <row r="488" spans="14:14">
      <c r="N488" s="327"/>
    </row>
    <row r="489" spans="14:14">
      <c r="N489" s="327"/>
    </row>
    <row r="490" spans="14:14">
      <c r="N490" s="327"/>
    </row>
    <row r="491" spans="14:14">
      <c r="N491" s="327"/>
    </row>
    <row r="492" spans="14:14">
      <c r="N492" s="327"/>
    </row>
    <row r="493" spans="14:14">
      <c r="N493" s="327"/>
    </row>
    <row r="494" spans="14:14">
      <c r="N494" s="327"/>
    </row>
    <row r="495" spans="14:14">
      <c r="N495" s="327"/>
    </row>
    <row r="496" spans="14:14">
      <c r="N496" s="327"/>
    </row>
    <row r="497" spans="14:14">
      <c r="N497" s="327"/>
    </row>
    <row r="498" spans="14:14">
      <c r="N498" s="327"/>
    </row>
    <row r="499" spans="14:14">
      <c r="N499" s="327"/>
    </row>
    <row r="500" spans="14:14">
      <c r="N500" s="327"/>
    </row>
    <row r="501" spans="14:14">
      <c r="N501" s="327"/>
    </row>
    <row r="502" spans="14:14">
      <c r="N502" s="327"/>
    </row>
    <row r="503" spans="14:14">
      <c r="N503" s="327"/>
    </row>
    <row r="504" spans="14:14">
      <c r="N504" s="327"/>
    </row>
    <row r="505" spans="14:14">
      <c r="N505" s="327"/>
    </row>
    <row r="506" spans="14:14">
      <c r="N506" s="327"/>
    </row>
    <row r="507" spans="14:14">
      <c r="N507" s="327"/>
    </row>
    <row r="508" spans="14:14">
      <c r="N508" s="327"/>
    </row>
    <row r="509" spans="14:14">
      <c r="N509" s="327"/>
    </row>
    <row r="510" spans="14:14">
      <c r="N510" s="327"/>
    </row>
    <row r="511" spans="14:14">
      <c r="N511" s="327"/>
    </row>
    <row r="512" spans="14:14">
      <c r="N512" s="327"/>
    </row>
    <row r="513" spans="14:14">
      <c r="N513" s="327"/>
    </row>
    <row r="514" spans="14:14">
      <c r="N514" s="327"/>
    </row>
    <row r="515" spans="14:14">
      <c r="N515" s="327"/>
    </row>
    <row r="516" spans="14:14">
      <c r="N516" s="327"/>
    </row>
    <row r="517" spans="14:14">
      <c r="N517" s="327"/>
    </row>
    <row r="518" spans="14:14">
      <c r="N518" s="327"/>
    </row>
    <row r="519" spans="14:14">
      <c r="N519" s="327"/>
    </row>
    <row r="520" spans="14:14">
      <c r="N520" s="327"/>
    </row>
    <row r="521" spans="14:14">
      <c r="N521" s="327"/>
    </row>
    <row r="522" spans="14:14">
      <c r="N522" s="327"/>
    </row>
    <row r="523" spans="14:14">
      <c r="N523" s="327"/>
    </row>
    <row r="524" spans="14:14">
      <c r="N524" s="327"/>
    </row>
    <row r="525" spans="14:14">
      <c r="N525" s="327"/>
    </row>
    <row r="526" spans="14:14">
      <c r="N526" s="327"/>
    </row>
    <row r="527" spans="14:14">
      <c r="N527" s="327"/>
    </row>
    <row r="528" spans="14:14">
      <c r="N528" s="327"/>
    </row>
    <row r="529" spans="14:14">
      <c r="N529" s="327"/>
    </row>
    <row r="530" spans="14:14">
      <c r="N530" s="327"/>
    </row>
    <row r="531" spans="14:14">
      <c r="N531" s="327"/>
    </row>
    <row r="532" spans="14:14">
      <c r="N532" s="327"/>
    </row>
    <row r="533" spans="14:14">
      <c r="N533" s="327"/>
    </row>
    <row r="534" spans="14:14">
      <c r="N534" s="327"/>
    </row>
    <row r="535" spans="14:14">
      <c r="N535" s="327"/>
    </row>
    <row r="536" spans="14:14">
      <c r="N536" s="327"/>
    </row>
    <row r="537" spans="14:14">
      <c r="N537" s="327"/>
    </row>
    <row r="538" spans="14:14">
      <c r="N538" s="327"/>
    </row>
    <row r="539" spans="14:14">
      <c r="N539" s="327"/>
    </row>
    <row r="540" spans="14:14">
      <c r="N540" s="327"/>
    </row>
    <row r="541" spans="14:14">
      <c r="N541" s="327"/>
    </row>
    <row r="542" spans="14:14">
      <c r="N542" s="327"/>
    </row>
    <row r="543" spans="14:14">
      <c r="N543" s="327"/>
    </row>
    <row r="544" spans="14:14">
      <c r="N544" s="327"/>
    </row>
    <row r="545" spans="14:14">
      <c r="N545" s="327"/>
    </row>
    <row r="546" spans="14:14">
      <c r="N546" s="327"/>
    </row>
    <row r="547" spans="14:14">
      <c r="N547" s="327"/>
    </row>
    <row r="548" spans="14:14">
      <c r="N548" s="327"/>
    </row>
    <row r="549" spans="14:14">
      <c r="N549" s="327"/>
    </row>
    <row r="550" spans="14:14">
      <c r="N550" s="327"/>
    </row>
    <row r="551" spans="14:14">
      <c r="N551" s="327"/>
    </row>
    <row r="552" spans="14:14">
      <c r="N552" s="327"/>
    </row>
    <row r="553" spans="14:14">
      <c r="N553" s="327"/>
    </row>
    <row r="554" spans="14:14">
      <c r="N554" s="327"/>
    </row>
    <row r="555" spans="14:14">
      <c r="N555" s="327"/>
    </row>
    <row r="556" spans="14:14">
      <c r="N556" s="327"/>
    </row>
    <row r="557" spans="14:14">
      <c r="N557" s="327"/>
    </row>
    <row r="558" spans="14:14">
      <c r="N558" s="327"/>
    </row>
    <row r="559" spans="14:14">
      <c r="N559" s="327"/>
    </row>
    <row r="560" spans="14:14">
      <c r="N560" s="327"/>
    </row>
    <row r="561" spans="14:14">
      <c r="N561" s="327"/>
    </row>
    <row r="562" spans="14:14">
      <c r="N562" s="327"/>
    </row>
    <row r="563" spans="14:14">
      <c r="N563" s="327"/>
    </row>
    <row r="564" spans="14:14">
      <c r="N564" s="327"/>
    </row>
    <row r="565" spans="14:14">
      <c r="N565" s="327"/>
    </row>
    <row r="566" spans="14:14">
      <c r="N566" s="327"/>
    </row>
    <row r="567" spans="14:14">
      <c r="N567" s="327"/>
    </row>
    <row r="568" spans="14:14">
      <c r="N568" s="327"/>
    </row>
    <row r="569" spans="14:14">
      <c r="N569" s="327"/>
    </row>
    <row r="570" spans="14:14">
      <c r="N570" s="327"/>
    </row>
    <row r="571" spans="14:14">
      <c r="N571" s="327"/>
    </row>
    <row r="572" spans="14:14">
      <c r="N572" s="327"/>
    </row>
    <row r="573" spans="14:14">
      <c r="N573" s="327"/>
    </row>
    <row r="574" spans="14:14">
      <c r="N574" s="327"/>
    </row>
    <row r="575" spans="14:14">
      <c r="N575" s="327"/>
    </row>
    <row r="576" spans="14:14">
      <c r="N576" s="327"/>
    </row>
    <row r="577" spans="14:14">
      <c r="N577" s="327"/>
    </row>
    <row r="578" spans="14:14">
      <c r="N578" s="327"/>
    </row>
    <row r="579" spans="14:14">
      <c r="N579" s="327"/>
    </row>
    <row r="580" spans="14:14">
      <c r="N580" s="327"/>
    </row>
    <row r="581" spans="14:14">
      <c r="N581" s="327"/>
    </row>
    <row r="582" spans="14:14">
      <c r="N582" s="327"/>
    </row>
    <row r="583" spans="14:14">
      <c r="N583" s="327"/>
    </row>
    <row r="584" spans="14:14">
      <c r="N584" s="327"/>
    </row>
    <row r="585" spans="14:14">
      <c r="N585" s="327"/>
    </row>
    <row r="586" spans="14:14">
      <c r="N586" s="327"/>
    </row>
    <row r="587" spans="14:14">
      <c r="N587" s="327"/>
    </row>
    <row r="588" spans="14:14">
      <c r="N588" s="327"/>
    </row>
    <row r="589" spans="14:14">
      <c r="N589" s="327"/>
    </row>
    <row r="590" spans="14:14">
      <c r="N590" s="327"/>
    </row>
    <row r="591" spans="14:14">
      <c r="N591" s="327"/>
    </row>
    <row r="592" spans="14:14">
      <c r="N592" s="327"/>
    </row>
    <row r="593" spans="14:14">
      <c r="N593" s="327"/>
    </row>
    <row r="594" spans="14:14">
      <c r="N594" s="327"/>
    </row>
    <row r="595" spans="14:14">
      <c r="N595" s="327"/>
    </row>
    <row r="596" spans="14:14">
      <c r="N596" s="327"/>
    </row>
    <row r="597" spans="14:14">
      <c r="N597" s="327"/>
    </row>
    <row r="598" spans="14:14">
      <c r="N598" s="327"/>
    </row>
    <row r="599" spans="14:14">
      <c r="N599" s="327"/>
    </row>
    <row r="600" spans="14:14">
      <c r="N600" s="327"/>
    </row>
    <row r="601" spans="14:14">
      <c r="N601" s="327"/>
    </row>
    <row r="602" spans="14:14">
      <c r="N602" s="327"/>
    </row>
    <row r="603" spans="14:14">
      <c r="N603" s="327"/>
    </row>
    <row r="604" spans="14:14">
      <c r="N604" s="327"/>
    </row>
    <row r="605" spans="14:14">
      <c r="N605" s="327"/>
    </row>
    <row r="606" spans="14:14">
      <c r="N606" s="327"/>
    </row>
    <row r="607" spans="14:14">
      <c r="N607" s="327"/>
    </row>
    <row r="608" spans="14:14">
      <c r="N608" s="327"/>
    </row>
    <row r="609" spans="14:14">
      <c r="N609" s="327"/>
    </row>
    <row r="610" spans="14:14">
      <c r="N610" s="327"/>
    </row>
    <row r="611" spans="14:14">
      <c r="N611" s="327"/>
    </row>
    <row r="612" spans="14:14">
      <c r="N612" s="327"/>
    </row>
    <row r="613" spans="14:14">
      <c r="N613" s="327"/>
    </row>
    <row r="614" spans="14:14">
      <c r="N614" s="327"/>
    </row>
    <row r="615" spans="14:14">
      <c r="N615" s="327"/>
    </row>
    <row r="616" spans="14:14">
      <c r="N616" s="327"/>
    </row>
    <row r="617" spans="14:14">
      <c r="N617" s="327"/>
    </row>
    <row r="618" spans="14:14">
      <c r="N618" s="327"/>
    </row>
    <row r="619" spans="14:14">
      <c r="N619" s="327"/>
    </row>
    <row r="620" spans="14:14">
      <c r="N620" s="327"/>
    </row>
    <row r="621" spans="14:14">
      <c r="N621" s="327"/>
    </row>
    <row r="622" spans="14:14">
      <c r="N622" s="327"/>
    </row>
    <row r="623" spans="14:14">
      <c r="N623" s="327"/>
    </row>
    <row r="624" spans="14:14">
      <c r="N624" s="327"/>
    </row>
    <row r="625" spans="14:14">
      <c r="N625" s="327"/>
    </row>
    <row r="626" spans="14:14">
      <c r="N626" s="327"/>
    </row>
    <row r="627" spans="14:14">
      <c r="N627" s="327"/>
    </row>
    <row r="628" spans="14:14">
      <c r="N628" s="327"/>
    </row>
    <row r="629" spans="14:14">
      <c r="N629" s="327"/>
    </row>
    <row r="630" spans="14:14">
      <c r="N630" s="327"/>
    </row>
    <row r="631" spans="14:14">
      <c r="N631" s="327"/>
    </row>
    <row r="632" spans="14:14">
      <c r="N632" s="327"/>
    </row>
    <row r="633" spans="14:14">
      <c r="N633" s="327"/>
    </row>
    <row r="634" spans="14:14">
      <c r="N634" s="327"/>
    </row>
    <row r="635" spans="14:14">
      <c r="N635" s="327"/>
    </row>
    <row r="636" spans="14:14">
      <c r="N636" s="327"/>
    </row>
    <row r="637" spans="14:14">
      <c r="N637" s="327"/>
    </row>
    <row r="638" spans="14:14">
      <c r="N638" s="327"/>
    </row>
    <row r="639" spans="14:14">
      <c r="N639" s="327"/>
    </row>
    <row r="640" spans="14:14">
      <c r="N640" s="327"/>
    </row>
    <row r="641" spans="14:14">
      <c r="N641" s="327"/>
    </row>
    <row r="642" spans="14:14">
      <c r="N642" s="327"/>
    </row>
    <row r="643" spans="14:14">
      <c r="N643" s="327"/>
    </row>
    <row r="644" spans="14:14">
      <c r="N644" s="327"/>
    </row>
    <row r="645" spans="14:14">
      <c r="N645" s="327"/>
    </row>
    <row r="646" spans="14:14">
      <c r="N646" s="327"/>
    </row>
    <row r="647" spans="14:14">
      <c r="N647" s="327"/>
    </row>
    <row r="648" spans="14:14">
      <c r="N648" s="327"/>
    </row>
    <row r="649" spans="14:14">
      <c r="N649" s="327"/>
    </row>
    <row r="650" spans="14:14">
      <c r="N650" s="327"/>
    </row>
    <row r="651" spans="14:14">
      <c r="N651" s="327"/>
    </row>
    <row r="652" spans="14:14">
      <c r="N652" s="327"/>
    </row>
    <row r="653" spans="14:14">
      <c r="N653" s="327"/>
    </row>
    <row r="654" spans="14:14">
      <c r="N654" s="327"/>
    </row>
    <row r="655" spans="14:14">
      <c r="N655" s="327"/>
    </row>
    <row r="656" spans="14:14">
      <c r="N656" s="327"/>
    </row>
    <row r="657" spans="14:14">
      <c r="N657" s="327"/>
    </row>
    <row r="658" spans="14:14">
      <c r="N658" s="327"/>
    </row>
    <row r="659" spans="14:14">
      <c r="N659" s="327"/>
    </row>
    <row r="660" spans="14:14">
      <c r="N660" s="327"/>
    </row>
    <row r="661" spans="14:14">
      <c r="N661" s="327"/>
    </row>
    <row r="662" spans="14:14">
      <c r="N662" s="327"/>
    </row>
    <row r="663" spans="14:14">
      <c r="N663" s="327"/>
    </row>
    <row r="664" spans="14:14">
      <c r="N664" s="327"/>
    </row>
    <row r="665" spans="14:14">
      <c r="N665" s="327"/>
    </row>
    <row r="666" spans="14:14">
      <c r="N666" s="327"/>
    </row>
    <row r="667" spans="14:14">
      <c r="N667" s="327"/>
    </row>
    <row r="668" spans="14:14">
      <c r="N668" s="327"/>
    </row>
    <row r="669" spans="14:14">
      <c r="N669" s="327"/>
    </row>
    <row r="670" spans="14:14">
      <c r="N670" s="327"/>
    </row>
    <row r="671" spans="14:14">
      <c r="N671" s="327"/>
    </row>
    <row r="672" spans="14:14">
      <c r="N672" s="327"/>
    </row>
    <row r="673" spans="14:14">
      <c r="N673" s="327"/>
    </row>
    <row r="674" spans="14:14">
      <c r="N674" s="327"/>
    </row>
    <row r="675" spans="14:14">
      <c r="N675" s="327"/>
    </row>
    <row r="676" spans="14:14">
      <c r="N676" s="327"/>
    </row>
    <row r="677" spans="14:14">
      <c r="N677" s="327"/>
    </row>
    <row r="678" spans="14:14">
      <c r="N678" s="327"/>
    </row>
    <row r="679" spans="14:14">
      <c r="N679" s="327"/>
    </row>
    <row r="680" spans="14:14">
      <c r="N680" s="327"/>
    </row>
    <row r="681" spans="14:14">
      <c r="N681" s="327"/>
    </row>
    <row r="682" spans="14:14">
      <c r="N682" s="327"/>
    </row>
    <row r="683" spans="14:14">
      <c r="N683" s="327"/>
    </row>
    <row r="684" spans="14:14">
      <c r="N684" s="327"/>
    </row>
    <row r="685" spans="14:14">
      <c r="N685" s="327"/>
    </row>
    <row r="686" spans="14:14">
      <c r="N686" s="327"/>
    </row>
    <row r="687" spans="14:14">
      <c r="N687" s="327"/>
    </row>
    <row r="688" spans="14:14">
      <c r="N688" s="327"/>
    </row>
    <row r="689" spans="14:14">
      <c r="N689" s="327"/>
    </row>
    <row r="690" spans="14:14">
      <c r="N690" s="327"/>
    </row>
    <row r="691" spans="14:14">
      <c r="N691" s="327"/>
    </row>
    <row r="692" spans="14:14">
      <c r="N692" s="327"/>
    </row>
    <row r="693" spans="14:14">
      <c r="N693" s="327"/>
    </row>
    <row r="694" spans="14:14">
      <c r="N694" s="327"/>
    </row>
    <row r="695" spans="14:14">
      <c r="N695" s="327"/>
    </row>
    <row r="696" spans="14:14">
      <c r="N696" s="327"/>
    </row>
    <row r="697" spans="14:14">
      <c r="N697" s="327"/>
    </row>
    <row r="698" spans="14:14">
      <c r="N698" s="327"/>
    </row>
    <row r="699" spans="14:14">
      <c r="N699" s="327"/>
    </row>
    <row r="700" spans="14:14">
      <c r="N700" s="327"/>
    </row>
    <row r="701" spans="14:14">
      <c r="N701" s="327"/>
    </row>
    <row r="702" spans="14:14">
      <c r="N702" s="327"/>
    </row>
    <row r="703" spans="14:14">
      <c r="N703" s="327"/>
    </row>
    <row r="704" spans="14:14">
      <c r="N704" s="327"/>
    </row>
    <row r="705" spans="14:14">
      <c r="N705" s="327"/>
    </row>
    <row r="706" spans="14:14">
      <c r="N706" s="327"/>
    </row>
    <row r="707" spans="14:14">
      <c r="N707" s="327"/>
    </row>
    <row r="708" spans="14:14">
      <c r="N708" s="327"/>
    </row>
    <row r="709" spans="14:14">
      <c r="N709" s="327"/>
    </row>
    <row r="710" spans="14:14">
      <c r="N710" s="327"/>
    </row>
    <row r="711" spans="14:14">
      <c r="N711" s="327"/>
    </row>
    <row r="712" spans="14:14">
      <c r="N712" s="327"/>
    </row>
    <row r="713" spans="14:14">
      <c r="N713" s="327"/>
    </row>
    <row r="714" spans="14:14">
      <c r="N714" s="327"/>
    </row>
    <row r="715" spans="14:14">
      <c r="N715" s="327"/>
    </row>
    <row r="716" spans="14:14">
      <c r="N716" s="327"/>
    </row>
    <row r="717" spans="14:14">
      <c r="N717" s="327"/>
    </row>
    <row r="718" spans="14:14">
      <c r="N718" s="327"/>
    </row>
    <row r="719" spans="14:14">
      <c r="N719" s="327"/>
    </row>
    <row r="720" spans="14:14">
      <c r="N720" s="327"/>
    </row>
    <row r="721" spans="14:14">
      <c r="N721" s="327"/>
    </row>
    <row r="722" spans="14:14">
      <c r="N722" s="327"/>
    </row>
    <row r="723" spans="14:14">
      <c r="N723" s="327"/>
    </row>
    <row r="724" spans="14:14">
      <c r="N724" s="327"/>
    </row>
    <row r="725" spans="14:14">
      <c r="N725" s="327"/>
    </row>
    <row r="726" spans="14:14">
      <c r="N726" s="327"/>
    </row>
    <row r="727" spans="14:14">
      <c r="N727" s="327"/>
    </row>
    <row r="728" spans="14:14">
      <c r="N728" s="327"/>
    </row>
    <row r="729" spans="14:14">
      <c r="N729" s="327"/>
    </row>
    <row r="730" spans="14:14">
      <c r="N730" s="327"/>
    </row>
    <row r="731" spans="14:14">
      <c r="N731" s="327"/>
    </row>
    <row r="732" spans="14:14">
      <c r="N732" s="327"/>
    </row>
    <row r="733" spans="14:14">
      <c r="N733" s="327"/>
    </row>
    <row r="734" spans="14:14">
      <c r="N734" s="327"/>
    </row>
    <row r="735" spans="14:14">
      <c r="N735" s="327"/>
    </row>
    <row r="736" spans="14:14">
      <c r="N736" s="327"/>
    </row>
    <row r="737" spans="14:14">
      <c r="N737" s="327"/>
    </row>
    <row r="738" spans="14:14">
      <c r="N738" s="327"/>
    </row>
    <row r="739" spans="14:14">
      <c r="N739" s="327"/>
    </row>
    <row r="740" spans="14:14">
      <c r="N740" s="327"/>
    </row>
    <row r="741" spans="14:14">
      <c r="N741" s="327"/>
    </row>
    <row r="742" spans="14:14">
      <c r="N742" s="327"/>
    </row>
    <row r="743" spans="14:14">
      <c r="N743" s="327"/>
    </row>
    <row r="744" spans="14:14">
      <c r="N744" s="327"/>
    </row>
    <row r="745" spans="14:14">
      <c r="N745" s="327"/>
    </row>
    <row r="746" spans="14:14">
      <c r="N746" s="327"/>
    </row>
    <row r="747" spans="14:14">
      <c r="N747" s="327"/>
    </row>
    <row r="748" spans="14:14">
      <c r="N748" s="327"/>
    </row>
    <row r="749" spans="14:14">
      <c r="N749" s="327"/>
    </row>
    <row r="750" spans="14:14">
      <c r="N750" s="327"/>
    </row>
    <row r="751" spans="14:14">
      <c r="N751" s="327"/>
    </row>
    <row r="752" spans="14:14">
      <c r="N752" s="327"/>
    </row>
    <row r="753" spans="14:14">
      <c r="N753" s="327"/>
    </row>
    <row r="754" spans="14:14">
      <c r="N754" s="327"/>
    </row>
    <row r="755" spans="14:14">
      <c r="N755" s="327"/>
    </row>
    <row r="756" spans="14:14">
      <c r="N756" s="327"/>
    </row>
    <row r="757" spans="14:14">
      <c r="N757" s="327"/>
    </row>
    <row r="758" spans="14:14">
      <c r="N758" s="327"/>
    </row>
    <row r="759" spans="14:14">
      <c r="N759" s="327"/>
    </row>
    <row r="760" spans="14:14">
      <c r="N760" s="327"/>
    </row>
    <row r="761" spans="14:14">
      <c r="N761" s="327"/>
    </row>
    <row r="762" spans="14:14">
      <c r="N762" s="327"/>
    </row>
    <row r="763" spans="14:14">
      <c r="N763" s="327"/>
    </row>
    <row r="764" spans="14:14">
      <c r="N764" s="327"/>
    </row>
    <row r="765" spans="14:14">
      <c r="N765" s="327"/>
    </row>
    <row r="766" spans="14:14">
      <c r="N766" s="327"/>
    </row>
    <row r="767" spans="14:14">
      <c r="N767" s="327"/>
    </row>
    <row r="768" spans="14:14">
      <c r="N768" s="327"/>
    </row>
    <row r="769" spans="14:14">
      <c r="N769" s="327"/>
    </row>
    <row r="770" spans="14:14">
      <c r="N770" s="327"/>
    </row>
    <row r="771" spans="14:14">
      <c r="N771" s="327"/>
    </row>
    <row r="772" spans="14:14">
      <c r="N772" s="327"/>
    </row>
    <row r="773" spans="14:14">
      <c r="N773" s="327"/>
    </row>
    <row r="774" spans="14:14">
      <c r="N774" s="327"/>
    </row>
    <row r="775" spans="14:14">
      <c r="N775" s="327"/>
    </row>
    <row r="776" spans="14:14">
      <c r="N776" s="327"/>
    </row>
    <row r="777" spans="14:14">
      <c r="N777" s="327"/>
    </row>
    <row r="778" spans="14:14">
      <c r="N778" s="327"/>
    </row>
    <row r="779" spans="14:14">
      <c r="N779" s="327"/>
    </row>
    <row r="780" spans="14:14">
      <c r="N780" s="327"/>
    </row>
    <row r="781" spans="14:14">
      <c r="N781" s="327"/>
    </row>
    <row r="782" spans="14:14">
      <c r="N782" s="327"/>
    </row>
    <row r="783" spans="14:14">
      <c r="N783" s="327"/>
    </row>
    <row r="784" spans="14:14">
      <c r="N784" s="327"/>
    </row>
    <row r="785" spans="14:14">
      <c r="N785" s="327"/>
    </row>
    <row r="786" spans="14:14">
      <c r="N786" s="327"/>
    </row>
    <row r="787" spans="14:14">
      <c r="N787" s="327"/>
    </row>
    <row r="788" spans="14:14">
      <c r="N788" s="327"/>
    </row>
    <row r="789" spans="14:14">
      <c r="N789" s="327"/>
    </row>
    <row r="790" spans="14:14">
      <c r="N790" s="327"/>
    </row>
    <row r="791" spans="14:14">
      <c r="N791" s="327"/>
    </row>
    <row r="792" spans="14:14">
      <c r="N792" s="327"/>
    </row>
    <row r="793" spans="14:14">
      <c r="N793" s="327"/>
    </row>
    <row r="794" spans="14:14">
      <c r="N794" s="327"/>
    </row>
    <row r="795" spans="14:14">
      <c r="N795" s="327"/>
    </row>
    <row r="796" spans="14:14">
      <c r="N796" s="327"/>
    </row>
    <row r="797" spans="14:14">
      <c r="N797" s="327"/>
    </row>
    <row r="798" spans="14:14">
      <c r="N798" s="327"/>
    </row>
    <row r="799" spans="14:14">
      <c r="N799" s="327"/>
    </row>
    <row r="800" spans="14:14">
      <c r="N800" s="327"/>
    </row>
    <row r="801" spans="14:14">
      <c r="N801" s="327"/>
    </row>
    <row r="802" spans="14:14">
      <c r="N802" s="327"/>
    </row>
    <row r="803" spans="14:14">
      <c r="N803" s="327"/>
    </row>
    <row r="804" spans="14:14">
      <c r="N804" s="327"/>
    </row>
    <row r="805" spans="14:14">
      <c r="N805" s="327"/>
    </row>
    <row r="806" spans="14:14">
      <c r="N806" s="327"/>
    </row>
    <row r="807" spans="14:14">
      <c r="N807" s="327"/>
    </row>
    <row r="808" spans="14:14">
      <c r="N808" s="327"/>
    </row>
    <row r="809" spans="14:14">
      <c r="N809" s="327"/>
    </row>
    <row r="810" spans="14:14">
      <c r="N810" s="327"/>
    </row>
    <row r="811" spans="14:14">
      <c r="N811" s="327"/>
    </row>
    <row r="812" spans="14:14">
      <c r="N812" s="327"/>
    </row>
    <row r="813" spans="14:14">
      <c r="N813" s="327"/>
    </row>
    <row r="814" spans="14:14">
      <c r="N814" s="327"/>
    </row>
    <row r="815" spans="14:14">
      <c r="N815" s="327"/>
    </row>
    <row r="816" spans="14:14">
      <c r="N816" s="327"/>
    </row>
    <row r="817" spans="14:14">
      <c r="N817" s="327"/>
    </row>
    <row r="818" spans="14:14">
      <c r="N818" s="327"/>
    </row>
    <row r="819" spans="14:14">
      <c r="N819" s="327"/>
    </row>
    <row r="820" spans="14:14">
      <c r="N820" s="327"/>
    </row>
    <row r="821" spans="14:14">
      <c r="N821" s="327"/>
    </row>
    <row r="822" spans="14:14">
      <c r="N822" s="327"/>
    </row>
    <row r="823" spans="14:14">
      <c r="N823" s="327"/>
    </row>
    <row r="824" spans="14:14">
      <c r="N824" s="327"/>
    </row>
    <row r="825" spans="14:14">
      <c r="N825" s="327"/>
    </row>
    <row r="826" spans="14:14">
      <c r="N826" s="327"/>
    </row>
    <row r="827" spans="14:14">
      <c r="N827" s="327"/>
    </row>
    <row r="828" spans="14:14">
      <c r="N828" s="327"/>
    </row>
    <row r="829" spans="14:14">
      <c r="N829" s="327"/>
    </row>
    <row r="830" spans="14:14">
      <c r="N830" s="327"/>
    </row>
    <row r="831" spans="14:14">
      <c r="N831" s="327"/>
    </row>
    <row r="832" spans="14:14">
      <c r="N832" s="327"/>
    </row>
    <row r="833" spans="14:14">
      <c r="N833" s="327"/>
    </row>
    <row r="834" spans="14:14">
      <c r="N834" s="327"/>
    </row>
    <row r="835" spans="14:14">
      <c r="N835" s="327"/>
    </row>
    <row r="836" spans="14:14">
      <c r="N836" s="327"/>
    </row>
    <row r="837" spans="14:14">
      <c r="N837" s="327"/>
    </row>
    <row r="838" spans="14:14">
      <c r="N838" s="327"/>
    </row>
    <row r="839" spans="14:14">
      <c r="N839" s="327"/>
    </row>
    <row r="840" spans="14:14">
      <c r="N840" s="327"/>
    </row>
    <row r="841" spans="14:14">
      <c r="N841" s="327"/>
    </row>
    <row r="842" spans="14:14">
      <c r="N842" s="327"/>
    </row>
    <row r="843" spans="14:14">
      <c r="N843" s="327"/>
    </row>
    <row r="844" spans="14:14">
      <c r="N844" s="327"/>
    </row>
    <row r="845" spans="14:14">
      <c r="N845" s="327"/>
    </row>
    <row r="846" spans="14:14">
      <c r="N846" s="327"/>
    </row>
    <row r="847" spans="14:14">
      <c r="N847" s="327"/>
    </row>
    <row r="848" spans="14:14">
      <c r="N848" s="327"/>
    </row>
    <row r="849" spans="14:14">
      <c r="N849" s="327"/>
    </row>
    <row r="850" spans="14:14">
      <c r="N850" s="327"/>
    </row>
    <row r="851" spans="14:14">
      <c r="N851" s="327"/>
    </row>
    <row r="852" spans="14:14">
      <c r="N852" s="327"/>
    </row>
    <row r="853" spans="14:14">
      <c r="N853" s="327"/>
    </row>
    <row r="854" spans="14:14">
      <c r="N854" s="327"/>
    </row>
    <row r="855" spans="14:14">
      <c r="N855" s="327"/>
    </row>
    <row r="856" spans="14:14">
      <c r="N856" s="327"/>
    </row>
    <row r="857" spans="14:14">
      <c r="N857" s="327"/>
    </row>
    <row r="858" spans="14:14">
      <c r="N858" s="327"/>
    </row>
    <row r="859" spans="14:14">
      <c r="N859" s="327"/>
    </row>
    <row r="860" spans="14:14">
      <c r="N860" s="327"/>
    </row>
    <row r="861" spans="14:14">
      <c r="N861" s="327"/>
    </row>
    <row r="862" spans="14:14">
      <c r="N862" s="327"/>
    </row>
    <row r="863" spans="14:14">
      <c r="N863" s="327"/>
    </row>
    <row r="864" spans="14:14">
      <c r="N864" s="327"/>
    </row>
    <row r="865" spans="14:14">
      <c r="N865" s="327"/>
    </row>
    <row r="866" spans="14:14">
      <c r="N866" s="327"/>
    </row>
    <row r="867" spans="14:14">
      <c r="N867" s="327"/>
    </row>
    <row r="868" spans="14:14">
      <c r="N868" s="327"/>
    </row>
    <row r="869" spans="14:14">
      <c r="N869" s="327"/>
    </row>
    <row r="870" spans="14:14">
      <c r="N870" s="327"/>
    </row>
    <row r="871" spans="14:14">
      <c r="N871" s="327"/>
    </row>
    <row r="872" spans="14:14">
      <c r="N872" s="327"/>
    </row>
    <row r="873" spans="14:14">
      <c r="N873" s="327"/>
    </row>
    <row r="874" spans="14:14">
      <c r="N874" s="327"/>
    </row>
    <row r="875" spans="14:14">
      <c r="N875" s="327"/>
    </row>
    <row r="876" spans="14:14">
      <c r="N876" s="327"/>
    </row>
    <row r="877" spans="14:14">
      <c r="N877" s="327"/>
    </row>
    <row r="878" spans="14:14">
      <c r="N878" s="327"/>
    </row>
    <row r="879" spans="14:14">
      <c r="N879" s="327"/>
    </row>
    <row r="880" spans="14:14">
      <c r="N880" s="327"/>
    </row>
    <row r="881" spans="14:14">
      <c r="N881" s="327"/>
    </row>
    <row r="882" spans="14:14">
      <c r="N882" s="327"/>
    </row>
    <row r="883" spans="14:14">
      <c r="N883" s="327"/>
    </row>
    <row r="884" spans="14:14">
      <c r="N884" s="327"/>
    </row>
    <row r="885" spans="14:14">
      <c r="N885" s="327"/>
    </row>
    <row r="886" spans="14:14">
      <c r="N886" s="327"/>
    </row>
    <row r="887" spans="14:14">
      <c r="N887" s="327"/>
    </row>
    <row r="888" spans="14:14">
      <c r="N888" s="327"/>
    </row>
    <row r="889" spans="14:14">
      <c r="N889" s="327"/>
    </row>
    <row r="890" spans="14:14">
      <c r="N890" s="327"/>
    </row>
    <row r="891" spans="14:14">
      <c r="N891" s="327"/>
    </row>
    <row r="892" spans="14:14">
      <c r="N892" s="327"/>
    </row>
    <row r="893" spans="14:14">
      <c r="N893" s="327"/>
    </row>
    <row r="894" spans="14:14">
      <c r="N894" s="327"/>
    </row>
    <row r="895" spans="14:14">
      <c r="N895" s="327"/>
    </row>
    <row r="896" spans="14:14">
      <c r="N896" s="327"/>
    </row>
    <row r="897" spans="14:14">
      <c r="N897" s="327"/>
    </row>
    <row r="898" spans="14:14">
      <c r="N898" s="327"/>
    </row>
    <row r="899" spans="14:14">
      <c r="N899" s="327"/>
    </row>
    <row r="900" spans="14:14">
      <c r="N900" s="327"/>
    </row>
    <row r="901" spans="14:14">
      <c r="N901" s="327"/>
    </row>
    <row r="902" spans="14:14">
      <c r="N902" s="327"/>
    </row>
    <row r="903" spans="14:14">
      <c r="N903" s="327"/>
    </row>
    <row r="904" spans="14:14">
      <c r="N904" s="327"/>
    </row>
    <row r="905" spans="14:14">
      <c r="N905" s="327"/>
    </row>
    <row r="906" spans="14:14">
      <c r="N906" s="327"/>
    </row>
    <row r="907" spans="14:14">
      <c r="N907" s="327"/>
    </row>
    <row r="908" spans="14:14">
      <c r="N908" s="327"/>
    </row>
    <row r="909" spans="14:14">
      <c r="N909" s="327"/>
    </row>
    <row r="910" spans="14:14">
      <c r="N910" s="327"/>
    </row>
    <row r="911" spans="14:14">
      <c r="N911" s="327"/>
    </row>
    <row r="912" spans="14:14">
      <c r="N912" s="327"/>
    </row>
    <row r="913" spans="14:14">
      <c r="N913" s="327"/>
    </row>
    <row r="914" spans="14:14">
      <c r="N914" s="327"/>
    </row>
    <row r="915" spans="14:14">
      <c r="N915" s="327"/>
    </row>
    <row r="916" spans="14:14">
      <c r="N916" s="327"/>
    </row>
    <row r="917" spans="14:14">
      <c r="N917" s="327"/>
    </row>
    <row r="918" spans="14:14">
      <c r="N918" s="327"/>
    </row>
    <row r="919" spans="14:14">
      <c r="N919" s="327"/>
    </row>
    <row r="920" spans="14:14">
      <c r="N920" s="327"/>
    </row>
    <row r="921" spans="14:14">
      <c r="N921" s="327"/>
    </row>
    <row r="922" spans="14:14">
      <c r="N922" s="327"/>
    </row>
    <row r="923" spans="14:14">
      <c r="N923" s="327"/>
    </row>
    <row r="924" spans="14:14">
      <c r="N924" s="327"/>
    </row>
    <row r="925" spans="14:14">
      <c r="N925" s="327"/>
    </row>
    <row r="926" spans="14:14">
      <c r="N926" s="327"/>
    </row>
    <row r="927" spans="14:14">
      <c r="N927" s="327"/>
    </row>
    <row r="928" spans="14:14">
      <c r="N928" s="327"/>
    </row>
    <row r="929" spans="14:14">
      <c r="N929" s="327"/>
    </row>
    <row r="930" spans="14:14">
      <c r="N930" s="327"/>
    </row>
    <row r="931" spans="14:14">
      <c r="N931" s="327"/>
    </row>
    <row r="932" spans="14:14">
      <c r="N932" s="327"/>
    </row>
    <row r="933" spans="14:14">
      <c r="N933" s="327"/>
    </row>
    <row r="934" spans="14:14">
      <c r="N934" s="327"/>
    </row>
    <row r="935" spans="14:14">
      <c r="N935" s="327"/>
    </row>
    <row r="936" spans="14:14">
      <c r="N936" s="327"/>
    </row>
    <row r="937" spans="14:14">
      <c r="N937" s="327"/>
    </row>
    <row r="938" spans="14:14">
      <c r="N938" s="327"/>
    </row>
    <row r="939" spans="14:14">
      <c r="N939" s="327"/>
    </row>
    <row r="940" spans="14:14">
      <c r="N940" s="327"/>
    </row>
    <row r="941" spans="14:14">
      <c r="N941" s="327"/>
    </row>
    <row r="942" spans="14:14">
      <c r="N942" s="327"/>
    </row>
    <row r="943" spans="14:14">
      <c r="N943" s="327"/>
    </row>
    <row r="944" spans="14:14">
      <c r="N944" s="327"/>
    </row>
    <row r="945" spans="14:14">
      <c r="N945" s="327"/>
    </row>
    <row r="946" spans="14:14">
      <c r="N946" s="327"/>
    </row>
    <row r="947" spans="14:14">
      <c r="N947" s="327"/>
    </row>
    <row r="948" spans="14:14">
      <c r="N948" s="327"/>
    </row>
    <row r="949" spans="14:14">
      <c r="N949" s="327"/>
    </row>
    <row r="950" spans="14:14">
      <c r="N950" s="327"/>
    </row>
    <row r="951" spans="14:14">
      <c r="N951" s="327"/>
    </row>
    <row r="952" spans="14:14">
      <c r="N952" s="327"/>
    </row>
    <row r="953" spans="14:14">
      <c r="N953" s="327"/>
    </row>
    <row r="954" spans="14:14">
      <c r="N954" s="327"/>
    </row>
    <row r="955" spans="14:14">
      <c r="N955" s="327"/>
    </row>
    <row r="956" spans="14:14">
      <c r="N956" s="327"/>
    </row>
    <row r="957" spans="14:14">
      <c r="N957" s="327"/>
    </row>
    <row r="958" spans="14:14">
      <c r="N958" s="327"/>
    </row>
    <row r="959" spans="14:14">
      <c r="N959" s="327"/>
    </row>
    <row r="960" spans="14:14">
      <c r="N960" s="327"/>
    </row>
    <row r="961" spans="14:14">
      <c r="N961" s="327"/>
    </row>
    <row r="962" spans="14:14">
      <c r="N962" s="327"/>
    </row>
    <row r="963" spans="14:14">
      <c r="N963" s="327"/>
    </row>
    <row r="964" spans="14:14">
      <c r="N964" s="327"/>
    </row>
    <row r="965" spans="14:14">
      <c r="N965" s="327"/>
    </row>
    <row r="966" spans="14:14">
      <c r="N966" s="327"/>
    </row>
    <row r="967" spans="14:14">
      <c r="N967" s="327"/>
    </row>
    <row r="968" spans="14:14">
      <c r="N968" s="327"/>
    </row>
    <row r="969" spans="14:14">
      <c r="N969" s="327"/>
    </row>
    <row r="970" spans="14:14">
      <c r="N970" s="327"/>
    </row>
    <row r="971" spans="14:14">
      <c r="N971" s="327"/>
    </row>
    <row r="972" spans="14:14">
      <c r="N972" s="327"/>
    </row>
    <row r="973" spans="14:14">
      <c r="N973" s="327"/>
    </row>
    <row r="974" spans="14:14">
      <c r="N974" s="327"/>
    </row>
    <row r="975" spans="14:14">
      <c r="N975" s="327"/>
    </row>
    <row r="976" spans="14:14">
      <c r="N976" s="327"/>
    </row>
    <row r="977" spans="14:14">
      <c r="N977" s="327"/>
    </row>
    <row r="978" spans="14:14">
      <c r="N978" s="327"/>
    </row>
    <row r="979" spans="14:14">
      <c r="N979" s="327"/>
    </row>
    <row r="980" spans="14:14">
      <c r="N980" s="327"/>
    </row>
    <row r="981" spans="14:14">
      <c r="N981" s="327"/>
    </row>
    <row r="982" spans="14:14">
      <c r="N982" s="327"/>
    </row>
    <row r="983" spans="14:14">
      <c r="N983" s="327"/>
    </row>
    <row r="984" spans="14:14">
      <c r="N984" s="327"/>
    </row>
    <row r="985" spans="14:14">
      <c r="N985" s="327"/>
    </row>
    <row r="986" spans="14:14">
      <c r="N986" s="327"/>
    </row>
    <row r="987" spans="14:14">
      <c r="N987" s="327"/>
    </row>
    <row r="988" spans="14:14">
      <c r="N988" s="327"/>
    </row>
    <row r="989" spans="14:14">
      <c r="N989" s="327"/>
    </row>
    <row r="990" spans="14:14">
      <c r="N990" s="327"/>
    </row>
    <row r="991" spans="14:14">
      <c r="N991" s="327"/>
    </row>
    <row r="992" spans="14:14">
      <c r="N992" s="327"/>
    </row>
    <row r="993" spans="14:14">
      <c r="N993" s="327"/>
    </row>
    <row r="994" spans="14:14">
      <c r="N994" s="327"/>
    </row>
    <row r="995" spans="14:14">
      <c r="N995" s="327"/>
    </row>
    <row r="996" spans="14:14">
      <c r="N996" s="327"/>
    </row>
    <row r="997" spans="14:14">
      <c r="N997" s="327"/>
    </row>
    <row r="998" spans="14:14">
      <c r="N998" s="327"/>
    </row>
    <row r="999" spans="14:14">
      <c r="N999" s="327"/>
    </row>
    <row r="1000" spans="14:14">
      <c r="N1000" s="327"/>
    </row>
    <row r="1001" spans="14:14">
      <c r="N1001" s="327"/>
    </row>
    <row r="1002" spans="14:14">
      <c r="N1002" s="327"/>
    </row>
    <row r="1003" spans="14:14">
      <c r="N1003" s="327"/>
    </row>
    <row r="1004" spans="14:14">
      <c r="N1004" s="327"/>
    </row>
    <row r="1005" spans="14:14">
      <c r="N1005" s="327"/>
    </row>
    <row r="1006" spans="14:14">
      <c r="N1006" s="327"/>
    </row>
    <row r="1007" spans="14:14">
      <c r="N1007" s="327"/>
    </row>
    <row r="1008" spans="14:14">
      <c r="N1008" s="327"/>
    </row>
    <row r="1009" spans="14:14">
      <c r="N1009" s="327"/>
    </row>
    <row r="1010" spans="14:14">
      <c r="N1010" s="327"/>
    </row>
    <row r="1011" spans="14:14">
      <c r="N1011" s="327"/>
    </row>
    <row r="1012" spans="14:14">
      <c r="N1012" s="327"/>
    </row>
    <row r="1013" spans="14:14">
      <c r="N1013" s="327"/>
    </row>
    <row r="1014" spans="14:14">
      <c r="N1014" s="327"/>
    </row>
    <row r="1015" spans="14:14">
      <c r="N1015" s="327"/>
    </row>
    <row r="1016" spans="14:14">
      <c r="N1016" s="327"/>
    </row>
    <row r="1017" spans="14:14">
      <c r="N1017" s="327"/>
    </row>
    <row r="1018" spans="14:14">
      <c r="N1018" s="327"/>
    </row>
    <row r="1019" spans="14:14">
      <c r="N1019" s="327"/>
    </row>
    <row r="1020" spans="14:14">
      <c r="N1020" s="327"/>
    </row>
    <row r="1021" spans="14:14">
      <c r="N1021" s="327"/>
    </row>
    <row r="1022" spans="14:14">
      <c r="N1022" s="327"/>
    </row>
    <row r="1023" spans="14:14">
      <c r="N1023" s="327"/>
    </row>
    <row r="1024" spans="14:14">
      <c r="N1024" s="327"/>
    </row>
    <row r="1025" spans="14:14">
      <c r="N1025" s="327"/>
    </row>
    <row r="1026" spans="14:14">
      <c r="N1026" s="327"/>
    </row>
    <row r="1027" spans="14:14">
      <c r="N1027" s="327"/>
    </row>
    <row r="1028" spans="14:14">
      <c r="N1028" s="327"/>
    </row>
    <row r="1029" spans="14:14">
      <c r="N1029" s="327"/>
    </row>
    <row r="1030" spans="14:14">
      <c r="N1030" s="327"/>
    </row>
    <row r="1031" spans="14:14">
      <c r="N1031" s="327"/>
    </row>
    <row r="1032" spans="14:14">
      <c r="N1032" s="327"/>
    </row>
    <row r="1033" spans="14:14">
      <c r="N1033" s="327"/>
    </row>
    <row r="1034" spans="14:14">
      <c r="N1034" s="327"/>
    </row>
    <row r="1035" spans="14:14">
      <c r="N1035" s="327"/>
    </row>
    <row r="1036" spans="14:14">
      <c r="N1036" s="327"/>
    </row>
    <row r="1037" spans="14:14">
      <c r="N1037" s="327"/>
    </row>
    <row r="1038" spans="14:14">
      <c r="N1038" s="327"/>
    </row>
    <row r="1039" spans="14:14">
      <c r="N1039" s="327"/>
    </row>
    <row r="1040" spans="14:14">
      <c r="N1040" s="327"/>
    </row>
    <row r="1041" spans="14:14">
      <c r="N1041" s="327"/>
    </row>
    <row r="1042" spans="14:14">
      <c r="N1042" s="327"/>
    </row>
    <row r="1043" spans="14:14">
      <c r="N1043" s="327"/>
    </row>
    <row r="1044" spans="14:14">
      <c r="N1044" s="327"/>
    </row>
    <row r="1045" spans="14:14">
      <c r="N1045" s="327"/>
    </row>
    <row r="1046" spans="14:14">
      <c r="N1046" s="327"/>
    </row>
    <row r="1047" spans="14:14">
      <c r="N1047" s="327"/>
    </row>
    <row r="1048" spans="14:14">
      <c r="N1048" s="327"/>
    </row>
    <row r="1049" spans="14:14">
      <c r="N1049" s="327"/>
    </row>
    <row r="1050" spans="14:14">
      <c r="N1050" s="327"/>
    </row>
    <row r="1051" spans="14:14">
      <c r="N1051" s="327"/>
    </row>
    <row r="1052" spans="14:14">
      <c r="N1052" s="327"/>
    </row>
    <row r="1053" spans="14:14">
      <c r="N1053" s="327"/>
    </row>
    <row r="1054" spans="14:14">
      <c r="N1054" s="327"/>
    </row>
    <row r="1055" spans="14:14">
      <c r="N1055" s="327"/>
    </row>
    <row r="1056" spans="14:14">
      <c r="N1056" s="327"/>
    </row>
    <row r="1057" spans="14:14">
      <c r="N1057" s="327"/>
    </row>
    <row r="1058" spans="14:14">
      <c r="N1058" s="328"/>
    </row>
    <row r="1059" spans="14:14">
      <c r="N1059" s="328"/>
    </row>
    <row r="1060" spans="14:14">
      <c r="N1060" s="328"/>
    </row>
    <row r="1061" spans="14:14">
      <c r="N1061" s="328"/>
    </row>
    <row r="1062" spans="14:14">
      <c r="N1062" s="328"/>
    </row>
    <row r="1063" spans="14:14">
      <c r="N1063" s="328"/>
    </row>
    <row r="1064" spans="14:14">
      <c r="N1064" s="328"/>
    </row>
    <row r="1065" spans="14:14">
      <c r="N1065" s="328"/>
    </row>
    <row r="1066" spans="14:14">
      <c r="N1066" s="328"/>
    </row>
    <row r="1067" spans="14:14">
      <c r="N1067" s="328"/>
    </row>
    <row r="1068" spans="14:14">
      <c r="N1068" s="328"/>
    </row>
    <row r="1069" spans="14:14">
      <c r="N1069" s="328"/>
    </row>
    <row r="1070" spans="14:14">
      <c r="N1070" s="328"/>
    </row>
    <row r="1071" spans="14:14">
      <c r="N1071" s="328"/>
    </row>
    <row r="1072" spans="14:14">
      <c r="N1072" s="328"/>
    </row>
    <row r="1073" spans="14:14">
      <c r="N1073" s="328"/>
    </row>
    <row r="1074" spans="14:14">
      <c r="N1074" s="328"/>
    </row>
    <row r="1075" spans="14:14">
      <c r="N1075" s="328"/>
    </row>
    <row r="1076" spans="14:14">
      <c r="N1076" s="328"/>
    </row>
    <row r="1077" spans="14:14">
      <c r="N1077" s="328"/>
    </row>
    <row r="1078" spans="14:14">
      <c r="N1078" s="328"/>
    </row>
    <row r="1079" spans="14:14">
      <c r="N1079" s="328"/>
    </row>
    <row r="1080" spans="14:14">
      <c r="N1080" s="328"/>
    </row>
    <row r="1081" spans="14:14">
      <c r="N1081" s="328"/>
    </row>
    <row r="1082" spans="14:14">
      <c r="N1082" s="328"/>
    </row>
    <row r="1083" spans="14:14">
      <c r="N1083" s="328"/>
    </row>
    <row r="1084" spans="14:14">
      <c r="N1084" s="328"/>
    </row>
    <row r="1085" spans="14:14">
      <c r="N1085" s="328"/>
    </row>
    <row r="1086" spans="14:14">
      <c r="N1086" s="328"/>
    </row>
    <row r="1087" spans="14:14">
      <c r="N1087" s="328"/>
    </row>
    <row r="1088" spans="14:14">
      <c r="N1088" s="328"/>
    </row>
    <row r="1089" spans="14:14">
      <c r="N1089" s="328"/>
    </row>
    <row r="1090" spans="14:14">
      <c r="N1090" s="328"/>
    </row>
    <row r="1091" spans="14:14">
      <c r="N1091" s="328"/>
    </row>
    <row r="1092" spans="14:14">
      <c r="N1092" s="328"/>
    </row>
    <row r="1093" spans="14:14">
      <c r="N1093" s="328"/>
    </row>
    <row r="1094" spans="14:14">
      <c r="N1094" s="328"/>
    </row>
    <row r="1095" spans="14:14">
      <c r="N1095" s="328"/>
    </row>
    <row r="1096" spans="14:14">
      <c r="N1096" s="328"/>
    </row>
    <row r="1097" spans="14:14">
      <c r="N1097" s="328"/>
    </row>
    <row r="1098" spans="14:14">
      <c r="N1098" s="328"/>
    </row>
    <row r="1099" spans="14:14">
      <c r="N1099" s="328"/>
    </row>
    <row r="1100" spans="14:14">
      <c r="N1100" s="328"/>
    </row>
    <row r="1101" spans="14:14">
      <c r="N1101" s="328"/>
    </row>
    <row r="1102" spans="14:14">
      <c r="N1102" s="328"/>
    </row>
    <row r="1103" spans="14:14">
      <c r="N1103" s="328"/>
    </row>
    <row r="1104" spans="14:14">
      <c r="N1104" s="328"/>
    </row>
    <row r="1105" spans="14:14">
      <c r="N1105" s="328"/>
    </row>
    <row r="1106" spans="14:14">
      <c r="N1106" s="328"/>
    </row>
    <row r="1107" spans="14:14">
      <c r="N1107" s="328"/>
    </row>
    <row r="1108" spans="14:14">
      <c r="N1108" s="328"/>
    </row>
    <row r="1109" spans="14:14">
      <c r="N1109" s="328"/>
    </row>
    <row r="1110" spans="14:14">
      <c r="N1110" s="328"/>
    </row>
    <row r="1111" spans="14:14">
      <c r="N1111" s="328"/>
    </row>
    <row r="1112" spans="14:14">
      <c r="N1112" s="328"/>
    </row>
    <row r="1113" spans="14:14">
      <c r="N1113" s="328"/>
    </row>
    <row r="1114" spans="14:14">
      <c r="N1114" s="328"/>
    </row>
    <row r="1115" spans="14:14">
      <c r="N1115" s="328"/>
    </row>
    <row r="1116" spans="14:14">
      <c r="N1116" s="328"/>
    </row>
    <row r="1117" spans="14:14">
      <c r="N1117" s="328"/>
    </row>
    <row r="1118" spans="14:14">
      <c r="N1118" s="328"/>
    </row>
    <row r="1119" spans="14:14">
      <c r="N1119" s="328"/>
    </row>
    <row r="1120" spans="14:14">
      <c r="N1120" s="328"/>
    </row>
    <row r="1121" spans="14:14">
      <c r="N1121" s="328"/>
    </row>
    <row r="1122" spans="14:14">
      <c r="N1122" s="328"/>
    </row>
    <row r="1123" spans="14:14">
      <c r="N1123" s="328"/>
    </row>
    <row r="1124" spans="14:14">
      <c r="N1124" s="328"/>
    </row>
    <row r="1125" spans="14:14">
      <c r="N1125" s="328"/>
    </row>
    <row r="1126" spans="14:14">
      <c r="N1126" s="328"/>
    </row>
    <row r="1127" spans="14:14">
      <c r="N1127" s="328"/>
    </row>
    <row r="1128" spans="14:14">
      <c r="N1128" s="328"/>
    </row>
    <row r="1129" spans="14:14">
      <c r="N1129" s="328"/>
    </row>
    <row r="1130" spans="14:14">
      <c r="N1130" s="328"/>
    </row>
    <row r="1131" spans="14:14">
      <c r="N1131" s="328"/>
    </row>
    <row r="1132" spans="14:14">
      <c r="N1132" s="328"/>
    </row>
    <row r="1133" spans="14:14">
      <c r="N1133" s="328"/>
    </row>
    <row r="1134" spans="14:14">
      <c r="N1134" s="328"/>
    </row>
    <row r="1135" spans="14:14">
      <c r="N1135" s="328"/>
    </row>
    <row r="1136" spans="14:14">
      <c r="N1136" s="328"/>
    </row>
    <row r="1137" spans="14:14">
      <c r="N1137" s="328"/>
    </row>
    <row r="1138" spans="14:14">
      <c r="N1138" s="328"/>
    </row>
    <row r="1139" spans="14:14">
      <c r="N1139" s="328"/>
    </row>
    <row r="1140" spans="14:14">
      <c r="N1140" s="328"/>
    </row>
    <row r="1141" spans="14:14">
      <c r="N1141" s="328"/>
    </row>
    <row r="1142" spans="14:14">
      <c r="N1142" s="328"/>
    </row>
    <row r="1143" spans="14:14">
      <c r="N1143" s="328"/>
    </row>
    <row r="1144" spans="14:14">
      <c r="N1144" s="328"/>
    </row>
    <row r="1145" spans="14:14">
      <c r="N1145" s="328"/>
    </row>
    <row r="1146" spans="14:14">
      <c r="N1146" s="328"/>
    </row>
    <row r="1147" spans="14:14">
      <c r="N1147" s="328"/>
    </row>
    <row r="1148" spans="14:14">
      <c r="N1148" s="328"/>
    </row>
    <row r="1149" spans="14:14">
      <c r="N1149" s="328"/>
    </row>
    <row r="1150" spans="14:14">
      <c r="N1150" s="328"/>
    </row>
    <row r="1151" spans="14:14">
      <c r="N1151" s="328"/>
    </row>
    <row r="1152" spans="14:14">
      <c r="N1152" s="328"/>
    </row>
    <row r="1153" spans="14:14">
      <c r="N1153" s="328"/>
    </row>
    <row r="1154" spans="14:14">
      <c r="N1154" s="328"/>
    </row>
    <row r="1155" spans="14:14">
      <c r="N1155" s="328"/>
    </row>
    <row r="1156" spans="14:14">
      <c r="N1156" s="328"/>
    </row>
    <row r="1157" spans="14:14">
      <c r="N1157" s="328"/>
    </row>
    <row r="1158" spans="14:14">
      <c r="N1158" s="328"/>
    </row>
    <row r="1159" spans="14:14">
      <c r="N1159" s="328"/>
    </row>
    <row r="1160" spans="14:14">
      <c r="N1160" s="328"/>
    </row>
    <row r="1161" spans="14:14">
      <c r="N1161" s="328"/>
    </row>
    <row r="1162" spans="14:14">
      <c r="N1162" s="328"/>
    </row>
    <row r="1163" spans="14:14">
      <c r="N1163" s="328"/>
    </row>
    <row r="1164" spans="14:14">
      <c r="N1164" s="328"/>
    </row>
    <row r="1165" spans="14:14">
      <c r="N1165" s="328"/>
    </row>
    <row r="1166" spans="14:14">
      <c r="N1166" s="328"/>
    </row>
    <row r="1167" spans="14:14">
      <c r="N1167" s="328"/>
    </row>
    <row r="1168" spans="14:14">
      <c r="N1168" s="328"/>
    </row>
    <row r="1169" spans="14:14">
      <c r="N1169" s="328"/>
    </row>
    <row r="1170" spans="14:14">
      <c r="N1170" s="328"/>
    </row>
    <row r="1171" spans="14:14">
      <c r="N1171" s="328"/>
    </row>
    <row r="1172" spans="14:14">
      <c r="N1172" s="328"/>
    </row>
    <row r="1173" spans="14:14">
      <c r="N1173" s="328"/>
    </row>
    <row r="1174" spans="14:14">
      <c r="N1174" s="328"/>
    </row>
    <row r="1175" spans="14:14">
      <c r="N1175" s="328"/>
    </row>
    <row r="1176" spans="14:14">
      <c r="N1176" s="328"/>
    </row>
    <row r="1177" spans="14:14">
      <c r="N1177" s="328"/>
    </row>
    <row r="1178" spans="14:14">
      <c r="N1178" s="328"/>
    </row>
    <row r="1179" spans="14:14">
      <c r="N1179" s="328"/>
    </row>
    <row r="1180" spans="14:14">
      <c r="N1180" s="328"/>
    </row>
    <row r="1181" spans="14:14">
      <c r="N1181" s="328"/>
    </row>
    <row r="1182" spans="14:14">
      <c r="N1182" s="328"/>
    </row>
    <row r="1183" spans="14:14">
      <c r="N1183" s="328"/>
    </row>
    <row r="1184" spans="14:14">
      <c r="N1184" s="328"/>
    </row>
    <row r="1185" spans="14:14">
      <c r="N1185" s="328"/>
    </row>
    <row r="1186" spans="14:14">
      <c r="N1186" s="328"/>
    </row>
    <row r="1187" spans="14:14">
      <c r="N1187" s="328"/>
    </row>
    <row r="1188" spans="14:14">
      <c r="N1188" s="328"/>
    </row>
    <row r="1189" spans="14:14">
      <c r="N1189" s="328"/>
    </row>
    <row r="1190" spans="14:14">
      <c r="N1190" s="328"/>
    </row>
    <row r="1191" spans="14:14">
      <c r="N1191" s="328"/>
    </row>
    <row r="1192" spans="14:14">
      <c r="N1192" s="328"/>
    </row>
    <row r="1193" spans="14:14">
      <c r="N1193" s="328"/>
    </row>
    <row r="1194" spans="14:14">
      <c r="N1194" s="328"/>
    </row>
    <row r="1195" spans="14:14">
      <c r="N1195" s="328"/>
    </row>
    <row r="1196" spans="14:14">
      <c r="N1196" s="328"/>
    </row>
    <row r="1197" spans="14:14">
      <c r="N1197" s="328"/>
    </row>
    <row r="1198" spans="14:14">
      <c r="N1198" s="328"/>
    </row>
    <row r="1199" spans="14:14">
      <c r="N1199" s="328"/>
    </row>
    <row r="1200" spans="14:14">
      <c r="N1200" s="328"/>
    </row>
    <row r="1201" spans="14:14">
      <c r="N1201" s="328"/>
    </row>
    <row r="1202" spans="14:14">
      <c r="N1202" s="328"/>
    </row>
    <row r="1203" spans="14:14">
      <c r="N1203" s="328"/>
    </row>
    <row r="1204" spans="14:14">
      <c r="N1204" s="328"/>
    </row>
    <row r="1205" spans="14:14">
      <c r="N1205" s="328"/>
    </row>
    <row r="1206" spans="14:14">
      <c r="N1206" s="328"/>
    </row>
    <row r="1207" spans="14:14">
      <c r="N1207" s="328"/>
    </row>
    <row r="1208" spans="14:14">
      <c r="N1208" s="328"/>
    </row>
    <row r="1209" spans="14:14">
      <c r="N1209" s="328"/>
    </row>
    <row r="1210" spans="14:14">
      <c r="N1210" s="328"/>
    </row>
    <row r="1211" spans="14:14">
      <c r="N1211" s="328"/>
    </row>
    <row r="1212" spans="14:14">
      <c r="N1212" s="328"/>
    </row>
    <row r="1213" spans="14:14">
      <c r="N1213" s="328"/>
    </row>
    <row r="1214" spans="14:14">
      <c r="N1214" s="328"/>
    </row>
    <row r="1215" spans="14:14">
      <c r="N1215" s="328"/>
    </row>
    <row r="1216" spans="14:14">
      <c r="N1216" s="328"/>
    </row>
    <row r="1217" spans="14:14">
      <c r="N1217" s="328"/>
    </row>
    <row r="1218" spans="14:14">
      <c r="N1218" s="328"/>
    </row>
    <row r="1219" spans="14:14">
      <c r="N1219" s="328"/>
    </row>
    <row r="1220" spans="14:14">
      <c r="N1220" s="328"/>
    </row>
    <row r="1221" spans="14:14">
      <c r="N1221" s="328"/>
    </row>
    <row r="1222" spans="14:14">
      <c r="N1222" s="328"/>
    </row>
    <row r="1223" spans="14:14">
      <c r="N1223" s="328"/>
    </row>
    <row r="1224" spans="14:14">
      <c r="N1224" s="328"/>
    </row>
    <row r="1225" spans="14:14">
      <c r="N1225" s="328"/>
    </row>
    <row r="1226" spans="14:14">
      <c r="N1226" s="328"/>
    </row>
    <row r="1227" spans="14:14">
      <c r="N1227" s="328"/>
    </row>
    <row r="1228" spans="14:14">
      <c r="N1228" s="328"/>
    </row>
    <row r="1229" spans="14:14">
      <c r="N1229" s="328"/>
    </row>
    <row r="1230" spans="14:14">
      <c r="N1230" s="328"/>
    </row>
    <row r="1231" spans="14:14">
      <c r="N1231" s="328"/>
    </row>
    <row r="1232" spans="14:14">
      <c r="N1232" s="328"/>
    </row>
    <row r="1233" spans="14:14">
      <c r="N1233" s="328"/>
    </row>
    <row r="1234" spans="14:14">
      <c r="N1234" s="328"/>
    </row>
    <row r="1235" spans="14:14">
      <c r="N1235" s="328"/>
    </row>
    <row r="1236" spans="14:14">
      <c r="N1236" s="328"/>
    </row>
    <row r="1237" spans="14:14">
      <c r="N1237" s="328"/>
    </row>
    <row r="1238" spans="14:14">
      <c r="N1238" s="328"/>
    </row>
    <row r="1239" spans="14:14">
      <c r="N1239" s="328"/>
    </row>
    <row r="1240" spans="14:14">
      <c r="N1240" s="328"/>
    </row>
    <row r="1241" spans="14:14">
      <c r="N1241" s="328"/>
    </row>
    <row r="1242" spans="14:14">
      <c r="N1242" s="328"/>
    </row>
    <row r="1243" spans="14:14">
      <c r="N1243" s="328"/>
    </row>
    <row r="1244" spans="14:14">
      <c r="N1244" s="328"/>
    </row>
    <row r="1245" spans="14:14">
      <c r="N1245" s="328"/>
    </row>
    <row r="1246" spans="14:14">
      <c r="N1246" s="328"/>
    </row>
    <row r="1247" spans="14:14">
      <c r="N1247" s="328"/>
    </row>
    <row r="1248" spans="14:14">
      <c r="N1248" s="328"/>
    </row>
    <row r="1249" spans="14:14">
      <c r="N1249" s="328"/>
    </row>
    <row r="1250" spans="14:14">
      <c r="N1250" s="328"/>
    </row>
    <row r="1251" spans="14:14">
      <c r="N1251" s="328"/>
    </row>
    <row r="1252" spans="14:14">
      <c r="N1252" s="328"/>
    </row>
    <row r="1253" spans="14:14">
      <c r="N1253" s="328"/>
    </row>
    <row r="1254" spans="14:14">
      <c r="N1254" s="328"/>
    </row>
    <row r="1255" spans="14:14">
      <c r="N1255" s="328"/>
    </row>
    <row r="1256" spans="14:14">
      <c r="N1256" s="328"/>
    </row>
    <row r="1257" spans="14:14">
      <c r="N1257" s="328"/>
    </row>
    <row r="1258" spans="14:14">
      <c r="N1258" s="328"/>
    </row>
    <row r="1259" spans="14:14">
      <c r="N1259" s="328"/>
    </row>
    <row r="1260" spans="14:14">
      <c r="N1260" s="328"/>
    </row>
    <row r="1261" spans="14:14">
      <c r="N1261" s="328"/>
    </row>
    <row r="1262" spans="14:14">
      <c r="N1262" s="328"/>
    </row>
    <row r="1263" spans="14:14">
      <c r="N1263" s="328"/>
    </row>
    <row r="1264" spans="14:14">
      <c r="N1264" s="328"/>
    </row>
    <row r="1265" spans="14:14">
      <c r="N1265" s="328"/>
    </row>
    <row r="1266" spans="14:14">
      <c r="N1266" s="328"/>
    </row>
    <row r="1267" spans="14:14">
      <c r="N1267" s="328"/>
    </row>
    <row r="1268" spans="14:14">
      <c r="N1268" s="328"/>
    </row>
    <row r="1269" spans="14:14">
      <c r="N1269" s="328"/>
    </row>
    <row r="1270" spans="14:14">
      <c r="N1270" s="328"/>
    </row>
    <row r="1271" spans="14:14">
      <c r="N1271" s="328"/>
    </row>
    <row r="1272" spans="14:14">
      <c r="N1272" s="328"/>
    </row>
    <row r="1273" spans="14:14">
      <c r="N1273" s="328"/>
    </row>
    <row r="1274" spans="14:14">
      <c r="N1274" s="328"/>
    </row>
  </sheetData>
  <mergeCells count="2">
    <mergeCell ref="F9:I9"/>
    <mergeCell ref="J9:M9"/>
  </mergeCells>
  <pageMargins left="0.7" right="0.7" top="0.75" bottom="0.75" header="0.3" footer="0.3"/>
  <pageSetup scale="43"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48"/>
  <sheetViews>
    <sheetView topLeftCell="D1" zoomScaleNormal="100" workbookViewId="0">
      <selection activeCell="D1" sqref="D1"/>
    </sheetView>
  </sheetViews>
  <sheetFormatPr defaultColWidth="8.375" defaultRowHeight="12.75"/>
  <cols>
    <col min="1" max="1" width="5.375" style="361" bestFit="1" customWidth="1"/>
    <col min="2" max="2" width="11.125" style="362" customWidth="1"/>
    <col min="3" max="3" width="69.125" style="362" customWidth="1"/>
    <col min="4" max="4" width="37.75" style="362" bestFit="1" customWidth="1"/>
    <col min="5" max="5" width="15.25" style="362" customWidth="1"/>
    <col min="6" max="6" width="16.25" style="362" bestFit="1" customWidth="1"/>
    <col min="7" max="7" width="12.875" style="362" customWidth="1"/>
    <col min="8" max="8" width="15.375" style="362" customWidth="1"/>
    <col min="9" max="9" width="8.375" style="362"/>
    <col min="10" max="10" width="11.25" style="362" bestFit="1" customWidth="1"/>
    <col min="11" max="16384" width="8.375" style="362"/>
  </cols>
  <sheetData>
    <row r="1" spans="1:8">
      <c r="H1" s="363"/>
    </row>
    <row r="2" spans="1:8">
      <c r="H2" s="363"/>
    </row>
    <row r="4" spans="1:8" ht="20.25">
      <c r="B4" s="419" t="s">
        <v>839</v>
      </c>
      <c r="C4" s="376"/>
      <c r="D4" s="376"/>
      <c r="E4" s="376"/>
      <c r="F4" s="376"/>
      <c r="G4" s="376"/>
      <c r="H4" s="51" t="s">
        <v>262</v>
      </c>
    </row>
    <row r="5" spans="1:8" ht="14.25">
      <c r="B5" s="377"/>
      <c r="C5" s="377"/>
      <c r="D5" s="377"/>
      <c r="E5" s="377"/>
      <c r="F5" s="377"/>
      <c r="G5" s="377"/>
      <c r="H5" s="51" t="s">
        <v>656</v>
      </c>
    </row>
    <row r="6" spans="1:8" ht="15">
      <c r="B6" s="420" t="str">
        <f>Index!C10</f>
        <v>Schedule 1 Revenue Requirements</v>
      </c>
      <c r="C6" s="377"/>
      <c r="D6" s="377"/>
      <c r="E6" s="377"/>
      <c r="F6" s="377"/>
      <c r="G6" s="377"/>
      <c r="H6" s="377"/>
    </row>
    <row r="7" spans="1:8" s="387" customFormat="1" ht="15">
      <c r="B7" s="421" t="str">
        <f>Index!B5</f>
        <v>Year Ending December 31, 2016</v>
      </c>
      <c r="C7" s="378"/>
      <c r="D7" s="378"/>
      <c r="E7" s="378"/>
      <c r="F7" s="378"/>
      <c r="G7" s="378"/>
      <c r="H7" s="378"/>
    </row>
    <row r="8" spans="1:8" s="387" customFormat="1">
      <c r="A8" s="388"/>
    </row>
    <row r="9" spans="1:8" s="387" customFormat="1" ht="15">
      <c r="A9" s="654" t="s">
        <v>18</v>
      </c>
      <c r="B9" s="654" t="s">
        <v>19</v>
      </c>
      <c r="C9" s="654" t="s">
        <v>20</v>
      </c>
      <c r="D9" s="654" t="s">
        <v>21</v>
      </c>
      <c r="E9" s="654" t="s">
        <v>22</v>
      </c>
      <c r="F9" s="654" t="s">
        <v>23</v>
      </c>
      <c r="G9" s="654" t="s">
        <v>24</v>
      </c>
      <c r="H9" s="654" t="s">
        <v>25</v>
      </c>
    </row>
    <row r="10" spans="1:8" s="387" customFormat="1" ht="15">
      <c r="A10" s="613" t="s">
        <v>415</v>
      </c>
      <c r="B10" s="614" t="s">
        <v>459</v>
      </c>
      <c r="C10" s="614" t="s">
        <v>0</v>
      </c>
      <c r="D10" s="614" t="s">
        <v>1</v>
      </c>
      <c r="E10" s="614" t="s">
        <v>4</v>
      </c>
      <c r="F10" s="615" t="s">
        <v>5</v>
      </c>
      <c r="G10" s="613" t="s">
        <v>26</v>
      </c>
      <c r="H10" s="614" t="s">
        <v>796</v>
      </c>
    </row>
    <row r="11" spans="1:8" s="387" customFormat="1" ht="14.25">
      <c r="A11" s="616"/>
      <c r="B11" s="617"/>
      <c r="C11" s="617"/>
      <c r="D11" s="617"/>
      <c r="E11" s="617"/>
      <c r="F11" s="617"/>
      <c r="G11" s="617"/>
      <c r="H11" s="617"/>
    </row>
    <row r="12" spans="1:8" s="387" customFormat="1" ht="15">
      <c r="A12" s="616">
        <v>1</v>
      </c>
      <c r="B12" s="618" t="s">
        <v>714</v>
      </c>
      <c r="C12" s="617"/>
      <c r="D12" s="617"/>
      <c r="E12" s="617"/>
      <c r="F12" s="617"/>
      <c r="G12" s="617"/>
      <c r="H12" s="617"/>
    </row>
    <row r="13" spans="1:8" s="387" customFormat="1" ht="14.25">
      <c r="A13" s="616"/>
      <c r="B13" s="617"/>
      <c r="C13" s="617"/>
      <c r="D13" s="617"/>
      <c r="E13" s="617"/>
      <c r="F13" s="617"/>
      <c r="G13" s="617"/>
      <c r="H13" s="617"/>
    </row>
    <row r="14" spans="1:8" s="387" customFormat="1" ht="14.25">
      <c r="A14" s="616">
        <f>A12+1</f>
        <v>2</v>
      </c>
      <c r="B14" s="616">
        <v>561</v>
      </c>
      <c r="C14" s="617" t="s">
        <v>82</v>
      </c>
      <c r="D14" s="616" t="str">
        <f>'Worksheet G O&amp;M Input'!F3&amp;", Line "&amp;'Worksheet G O&amp;M Input'!A16&amp;", Col "&amp;'Worksheet G O&amp;M Input'!F10</f>
        <v>Worksheet G, Line 2, Col F</v>
      </c>
      <c r="E14" s="619">
        <f>'Worksheet G O&amp;M Input'!F16</f>
        <v>9253409</v>
      </c>
      <c r="F14" s="616" t="s">
        <v>80</v>
      </c>
      <c r="G14" s="620">
        <f>'Worksheet E Alloc. Factor'!G29</f>
        <v>3.1755893953600761E-2</v>
      </c>
      <c r="H14" s="619">
        <f>E14*G14</f>
        <v>293850.27491329488</v>
      </c>
    </row>
    <row r="15" spans="1:8" ht="14.25">
      <c r="A15" s="520"/>
      <c r="B15" s="521"/>
      <c r="C15" s="521"/>
      <c r="D15" s="520"/>
      <c r="E15" s="621"/>
      <c r="F15" s="617"/>
      <c r="G15" s="521"/>
      <c r="H15" s="621"/>
    </row>
    <row r="16" spans="1:8" ht="15">
      <c r="A16" s="520">
        <f>A14+1</f>
        <v>3</v>
      </c>
      <c r="B16" s="622" t="s">
        <v>715</v>
      </c>
      <c r="C16" s="622"/>
      <c r="D16" s="520"/>
      <c r="E16" s="621"/>
      <c r="F16" s="617"/>
      <c r="G16" s="521"/>
      <c r="H16" s="621"/>
    </row>
    <row r="17" spans="1:8" ht="14.25">
      <c r="A17" s="520"/>
      <c r="B17" s="520"/>
      <c r="C17" s="521"/>
      <c r="D17" s="520"/>
      <c r="E17" s="621"/>
      <c r="F17" s="617"/>
      <c r="G17" s="521"/>
      <c r="H17" s="621"/>
    </row>
    <row r="18" spans="1:8" ht="15">
      <c r="A18" s="520">
        <f>A16+1</f>
        <v>4</v>
      </c>
      <c r="B18" s="520"/>
      <c r="C18" s="622" t="s">
        <v>716</v>
      </c>
      <c r="D18" s="520"/>
      <c r="E18" s="621"/>
      <c r="F18" s="617"/>
      <c r="G18" s="521"/>
      <c r="H18" s="621"/>
    </row>
    <row r="19" spans="1:8" ht="14.25">
      <c r="A19" s="520">
        <f>A18+1</f>
        <v>5</v>
      </c>
      <c r="B19" s="520"/>
      <c r="C19" s="521" t="s">
        <v>717</v>
      </c>
      <c r="D19" s="520" t="str">
        <f>'Worksheet B Expenses'!I3&amp;", Line "&amp;'Worksheet B Expenses'!A32&amp;", Col "&amp;'Worksheet B Expenses'!F10</f>
        <v>Worksheet B, Line 19, Col F</v>
      </c>
      <c r="E19" s="621">
        <f>'Worksheet B Expenses'!F32</f>
        <v>772995</v>
      </c>
      <c r="F19" s="616" t="s">
        <v>718</v>
      </c>
      <c r="G19" s="623">
        <f>$H$44</f>
        <v>1.8903667306592114E-3</v>
      </c>
      <c r="H19" s="621">
        <f>E19*G19</f>
        <v>1461.2440309659171</v>
      </c>
    </row>
    <row r="20" spans="1:8" ht="14.25">
      <c r="A20" s="520">
        <f>A19+1</f>
        <v>6</v>
      </c>
      <c r="B20" s="520"/>
      <c r="C20" s="521" t="s">
        <v>719</v>
      </c>
      <c r="D20" s="520" t="str">
        <f>'Worksheet B Expenses'!I3&amp;", Line "&amp;'Worksheet B Expenses'!A42&amp;", Col "&amp;'Worksheet B Expenses'!F10</f>
        <v>Worksheet B, Line 28, Col F</v>
      </c>
      <c r="E20" s="621">
        <f>'Worksheet B Expenses'!F42</f>
        <v>23159339</v>
      </c>
      <c r="F20" s="616" t="s">
        <v>718</v>
      </c>
      <c r="G20" s="623">
        <f>$H$44</f>
        <v>1.8903667306592114E-3</v>
      </c>
      <c r="H20" s="621">
        <f>E20*G20</f>
        <v>43779.64394965837</v>
      </c>
    </row>
    <row r="21" spans="1:8" ht="14.25">
      <c r="A21" s="520">
        <f>A20+1</f>
        <v>7</v>
      </c>
      <c r="B21" s="521"/>
      <c r="C21" s="521" t="s">
        <v>720</v>
      </c>
      <c r="D21" s="616" t="str">
        <f>'Worksheet F Inputs'!F3&amp;", Line "&amp;'Worksheet F Inputs'!A166&amp;", Col "&amp;'Worksheet F Inputs'!F10</f>
        <v>Worksheet F, Line 135, Col F</v>
      </c>
      <c r="E21" s="619">
        <f>'Worksheet F Inputs'!F166</f>
        <v>28353061.309999995</v>
      </c>
      <c r="F21" s="616" t="s">
        <v>718</v>
      </c>
      <c r="G21" s="623">
        <f>$H$44</f>
        <v>1.8903667306592114E-3</v>
      </c>
      <c r="H21" s="621">
        <f>E21*G21</f>
        <v>53597.683812764866</v>
      </c>
    </row>
    <row r="22" spans="1:8" ht="14.25">
      <c r="A22" s="520">
        <f>A21+1</f>
        <v>8</v>
      </c>
      <c r="B22" s="521"/>
      <c r="C22" s="521" t="s">
        <v>721</v>
      </c>
      <c r="D22" s="616" t="str">
        <f>'Worksheet F Inputs'!F3&amp;", Line "&amp;'Worksheet F Inputs'!A177&amp;", Col "&amp;'Worksheet F Inputs'!F10</f>
        <v>Worksheet F, Line 146, Col F</v>
      </c>
      <c r="E22" s="624">
        <f>'Worksheet F Inputs'!F177</f>
        <v>5300001.9399999995</v>
      </c>
      <c r="F22" s="616" t="s">
        <v>718</v>
      </c>
      <c r="G22" s="623">
        <f>$H$44</f>
        <v>1.8903667306592114E-3</v>
      </c>
      <c r="H22" s="625">
        <f>E22*G22</f>
        <v>10018.947339805278</v>
      </c>
    </row>
    <row r="23" spans="1:8" ht="15">
      <c r="A23" s="520">
        <f>A22+1</f>
        <v>9</v>
      </c>
      <c r="B23" s="521"/>
      <c r="C23" s="622" t="s">
        <v>722</v>
      </c>
      <c r="D23" s="520" t="str">
        <f>"Sum Lines "&amp;A19&amp;" thru "&amp;A22</f>
        <v>Sum Lines 5 thru 8</v>
      </c>
      <c r="E23" s="621">
        <f>SUM(E19:E22)</f>
        <v>57585397.249999993</v>
      </c>
      <c r="F23" s="617"/>
      <c r="G23" s="521"/>
      <c r="H23" s="621">
        <f>SUM(H19:H22)</f>
        <v>108857.51913319444</v>
      </c>
    </row>
    <row r="24" spans="1:8" ht="14.25">
      <c r="A24" s="520"/>
      <c r="B24" s="521"/>
      <c r="C24" s="521"/>
      <c r="D24" s="520"/>
      <c r="E24" s="621"/>
      <c r="F24" s="617"/>
      <c r="G24" s="521"/>
      <c r="H24" s="621"/>
    </row>
    <row r="25" spans="1:8" ht="15">
      <c r="A25" s="520">
        <f>A23+1</f>
        <v>10</v>
      </c>
      <c r="B25" s="521"/>
      <c r="C25" s="622" t="s">
        <v>723</v>
      </c>
      <c r="D25" s="520"/>
      <c r="E25" s="621"/>
      <c r="F25" s="617"/>
      <c r="G25" s="521"/>
      <c r="H25" s="621"/>
    </row>
    <row r="26" spans="1:8" ht="14.25">
      <c r="A26" s="520">
        <f>A25+1</f>
        <v>11</v>
      </c>
      <c r="B26" s="521"/>
      <c r="C26" s="521" t="s">
        <v>724</v>
      </c>
      <c r="D26" s="520" t="str">
        <f>'Worksheet A Rate Base'!$I$3&amp;", Line "&amp;'Worksheet A Rate Base'!A55&amp;", Col "&amp;'Worksheet A Rate Base'!$F$10</f>
        <v>Worksheet A, Line 35, Col F</v>
      </c>
      <c r="E26" s="621">
        <f>'Worksheet A Rate Base'!F55</f>
        <v>63640985.5</v>
      </c>
      <c r="F26" s="616" t="s">
        <v>718</v>
      </c>
      <c r="G26" s="623">
        <f>$H$44</f>
        <v>1.8903667306592114E-3</v>
      </c>
      <c r="H26" s="621">
        <f>E26*G26</f>
        <v>120304.80169556527</v>
      </c>
    </row>
    <row r="27" spans="1:8" ht="14.25">
      <c r="A27" s="520">
        <f>A26+1</f>
        <v>12</v>
      </c>
      <c r="B27" s="521"/>
      <c r="C27" s="521" t="s">
        <v>725</v>
      </c>
      <c r="D27" s="520" t="str">
        <f>'Worksheet A Rate Base'!$I$3&amp;", Line "&amp;'Worksheet A Rate Base'!A59&amp;", Col "&amp;'Worksheet A Rate Base'!$F$10</f>
        <v>Worksheet A, Line 39, Col F</v>
      </c>
      <c r="E27" s="625">
        <f>'Worksheet A Rate Base'!F59</f>
        <v>157790346</v>
      </c>
      <c r="F27" s="616" t="s">
        <v>718</v>
      </c>
      <c r="G27" s="623">
        <f>$H$44</f>
        <v>1.8903667306592114E-3</v>
      </c>
      <c r="H27" s="625">
        <f>E27*G27</f>
        <v>298281.62049760576</v>
      </c>
    </row>
    <row r="28" spans="1:8" ht="14.25">
      <c r="A28" s="520">
        <f>A27+1</f>
        <v>13</v>
      </c>
      <c r="B28" s="521"/>
      <c r="C28" s="521" t="s">
        <v>726</v>
      </c>
      <c r="D28" s="520" t="str">
        <f>"Sum Lines "&amp;A26&amp;" and "&amp;A27</f>
        <v>Sum Lines 11 and 12</v>
      </c>
      <c r="E28" s="621">
        <f>SUM(E26:E27)</f>
        <v>221431331.5</v>
      </c>
      <c r="F28" s="521"/>
      <c r="G28" s="521"/>
      <c r="H28" s="621">
        <f>SUM(H26:H27)</f>
        <v>418586.42219317105</v>
      </c>
    </row>
    <row r="29" spans="1:8" ht="14.25">
      <c r="A29" s="520"/>
      <c r="B29" s="521"/>
      <c r="C29" s="521"/>
      <c r="D29" s="520"/>
      <c r="E29" s="621"/>
      <c r="F29" s="521"/>
      <c r="G29" s="521"/>
      <c r="H29" s="621"/>
    </row>
    <row r="30" spans="1:8" ht="14.25">
      <c r="A30" s="520">
        <f>A28+1</f>
        <v>14</v>
      </c>
      <c r="B30" s="521"/>
      <c r="C30" s="521" t="s">
        <v>727</v>
      </c>
      <c r="D30" s="520" t="str">
        <f>'Worksheet C Return'!K3&amp;", Line "&amp;'Worksheet C Return'!A17&amp;", Col "&amp;'Worksheet C Return'!K10</f>
        <v>Worksheet C, Line 5, Col K</v>
      </c>
      <c r="E30" s="621"/>
      <c r="F30" s="521"/>
      <c r="G30" s="521"/>
      <c r="H30" s="623">
        <f>'Worksheet C Return'!K17</f>
        <v>6.3424115331073505E-2</v>
      </c>
    </row>
    <row r="31" spans="1:8" ht="14.25">
      <c r="A31" s="520"/>
      <c r="B31" s="521"/>
      <c r="C31" s="521"/>
      <c r="D31" s="520"/>
      <c r="E31" s="621"/>
      <c r="F31" s="521"/>
      <c r="G31" s="521"/>
      <c r="H31" s="621"/>
    </row>
    <row r="32" spans="1:8" ht="14.25">
      <c r="A32" s="520">
        <f>A30+1</f>
        <v>15</v>
      </c>
      <c r="B32" s="521"/>
      <c r="C32" s="521" t="s">
        <v>723</v>
      </c>
      <c r="D32" s="520" t="str">
        <f>"Line "&amp;A28&amp;" * Line "&amp;A30</f>
        <v>Line 13 * Line 14</v>
      </c>
      <c r="E32" s="621"/>
      <c r="F32" s="521"/>
      <c r="G32" s="521"/>
      <c r="H32" s="621">
        <f>H28*H30</f>
        <v>26548.473517201106</v>
      </c>
    </row>
    <row r="33" spans="1:10" ht="14.25">
      <c r="A33" s="520"/>
      <c r="B33" s="521"/>
      <c r="C33" s="521"/>
      <c r="D33" s="521"/>
      <c r="E33" s="621"/>
      <c r="F33" s="521"/>
      <c r="G33" s="521"/>
      <c r="H33" s="621"/>
    </row>
    <row r="34" spans="1:10" ht="15">
      <c r="A34" s="520">
        <f>A32+1</f>
        <v>16</v>
      </c>
      <c r="B34" s="521"/>
      <c r="C34" s="622" t="s">
        <v>797</v>
      </c>
      <c r="D34" s="520" t="str">
        <f>"Line "&amp;A23&amp;" + Line "&amp;A32</f>
        <v>Line 9 + Line 15</v>
      </c>
      <c r="E34" s="621"/>
      <c r="F34" s="521"/>
      <c r="G34" s="521"/>
      <c r="H34" s="621">
        <f>H23+H32</f>
        <v>135405.99265039555</v>
      </c>
    </row>
    <row r="35" spans="1:10" ht="14.25">
      <c r="A35" s="520"/>
      <c r="B35" s="521"/>
      <c r="C35" s="521"/>
      <c r="D35" s="521"/>
      <c r="E35" s="621"/>
      <c r="F35" s="521"/>
      <c r="G35" s="521"/>
      <c r="H35" s="621"/>
    </row>
    <row r="36" spans="1:10" ht="15">
      <c r="A36" s="520">
        <f>A34+1</f>
        <v>17</v>
      </c>
      <c r="B36" s="622" t="s">
        <v>728</v>
      </c>
      <c r="C36" s="521"/>
      <c r="D36" s="521"/>
      <c r="E36" s="621"/>
      <c r="F36" s="521"/>
      <c r="G36" s="521"/>
      <c r="H36" s="621"/>
    </row>
    <row r="37" spans="1:10" ht="14.25">
      <c r="A37" s="520"/>
      <c r="B37" s="521"/>
      <c r="C37" s="521"/>
      <c r="D37" s="521"/>
      <c r="E37" s="621"/>
      <c r="F37" s="521"/>
      <c r="G37" s="521"/>
      <c r="H37" s="621"/>
    </row>
    <row r="38" spans="1:10" ht="15">
      <c r="A38" s="520">
        <f>A36+1</f>
        <v>18</v>
      </c>
      <c r="B38" s="521"/>
      <c r="C38" s="622" t="s">
        <v>729</v>
      </c>
      <c r="D38" s="520" t="str">
        <f>"Sum Lines "&amp;A14&amp;" and "&amp;A34</f>
        <v>Sum Lines 2 and 16</v>
      </c>
      <c r="E38" s="621"/>
      <c r="F38" s="521"/>
      <c r="G38" s="521"/>
      <c r="H38" s="626">
        <f>H14+H34</f>
        <v>429256.26756369043</v>
      </c>
      <c r="J38" s="369"/>
    </row>
    <row r="39" spans="1:10" ht="14.25">
      <c r="A39" s="520"/>
      <c r="B39" s="521"/>
      <c r="C39" s="521"/>
      <c r="D39" s="521"/>
      <c r="E39" s="621"/>
      <c r="F39" s="521"/>
      <c r="G39" s="521"/>
      <c r="H39" s="621"/>
    </row>
    <row r="40" spans="1:10" ht="14.25">
      <c r="A40" s="521"/>
      <c r="B40" s="521"/>
      <c r="C40" s="521"/>
      <c r="D40" s="520"/>
      <c r="E40" s="621"/>
      <c r="F40" s="521"/>
      <c r="G40" s="521"/>
      <c r="H40" s="621"/>
    </row>
    <row r="41" spans="1:10" ht="14.25">
      <c r="A41" s="520">
        <f>A38+1</f>
        <v>19</v>
      </c>
      <c r="B41" s="521"/>
      <c r="C41" s="521" t="s">
        <v>730</v>
      </c>
      <c r="D41" s="520" t="str">
        <f>'Worksheet E Alloc. Factor'!$G$3&amp;", Line "&amp;'Worksheet E Alloc. Factor'!A14&amp;", Col "&amp;'Worksheet E Alloc. Factor'!$D$10</f>
        <v>Worksheet E, Line 3, Col D</v>
      </c>
      <c r="E41" s="621">
        <f>'Worksheet E Alloc. Factor'!D14</f>
        <v>6301826.4699999997</v>
      </c>
      <c r="F41" s="520" t="s">
        <v>80</v>
      </c>
      <c r="G41" s="627">
        <f>'Worksheet E Alloc. Factor'!G29</f>
        <v>3.1755893953600761E-2</v>
      </c>
      <c r="H41" s="621">
        <f>E41*G41</f>
        <v>200120.13309531423</v>
      </c>
    </row>
    <row r="42" spans="1:10" ht="14.25">
      <c r="A42" s="520">
        <f>A41+1</f>
        <v>20</v>
      </c>
      <c r="B42" s="521"/>
      <c r="C42" s="521" t="s">
        <v>731</v>
      </c>
      <c r="D42" s="520" t="str">
        <f>'Worksheet E Alloc. Factor'!$G$3&amp;", Line "&amp;'Worksheet E Alloc. Factor'!A19&amp;", Col "&amp;'Worksheet E Alloc. Factor'!$D$10</f>
        <v>Worksheet E, Line 8, Col D</v>
      </c>
      <c r="E42" s="621">
        <f>'Worksheet E Alloc. Factor'!D19</f>
        <v>105863126.90000001</v>
      </c>
      <c r="F42" s="520" t="s">
        <v>732</v>
      </c>
      <c r="G42" s="627">
        <f>'Worksheet E Alloc. Factor'!G38</f>
        <v>1</v>
      </c>
      <c r="H42" s="621">
        <f>E42*G42</f>
        <v>105863126.90000001</v>
      </c>
    </row>
    <row r="43" spans="1:10" ht="14.25">
      <c r="A43" s="520"/>
      <c r="B43" s="521"/>
      <c r="C43" s="521"/>
      <c r="D43" s="520"/>
      <c r="E43" s="521"/>
      <c r="F43" s="521"/>
      <c r="G43" s="521"/>
      <c r="H43" s="521"/>
    </row>
    <row r="44" spans="1:10" ht="15">
      <c r="A44" s="520">
        <f>A42+1</f>
        <v>21</v>
      </c>
      <c r="B44" s="521"/>
      <c r="C44" s="521" t="s">
        <v>733</v>
      </c>
      <c r="D44" s="520" t="str">
        <f>"Line "&amp;A41&amp;" / Line "&amp;A42</f>
        <v>Line 19 / Line 20</v>
      </c>
      <c r="E44" s="521"/>
      <c r="F44" s="521"/>
      <c r="G44" s="628" t="s">
        <v>734</v>
      </c>
      <c r="H44" s="629">
        <f>H41/H42</f>
        <v>1.8903667306592114E-3</v>
      </c>
    </row>
    <row r="45" spans="1:10">
      <c r="D45" s="361"/>
    </row>
    <row r="46" spans="1:10">
      <c r="D46" s="361"/>
    </row>
    <row r="47" spans="1:10">
      <c r="D47" s="361"/>
    </row>
    <row r="48" spans="1:10">
      <c r="D48" s="361"/>
    </row>
  </sheetData>
  <pageMargins left="0.7" right="0.7" top="0.75" bottom="0.75" header="0.3" footer="0.3"/>
  <pageSetup scale="61" orientation="landscape"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pageSetUpPr fitToPage="1"/>
  </sheetPr>
  <dimension ref="A1:M134"/>
  <sheetViews>
    <sheetView zoomScaleNormal="100" workbookViewId="0"/>
  </sheetViews>
  <sheetFormatPr defaultColWidth="9.25" defaultRowHeight="14.25"/>
  <cols>
    <col min="1" max="1" width="7.25" style="1" customWidth="1"/>
    <col min="2" max="2" width="48.375" style="1" customWidth="1"/>
    <col min="3" max="3" width="39" style="1" customWidth="1"/>
    <col min="4" max="4" width="16.375" style="1" bestFit="1" customWidth="1"/>
    <col min="5" max="5" width="18" style="1" customWidth="1"/>
    <col min="6" max="6" width="17.875" style="1" customWidth="1"/>
    <col min="7" max="7" width="18.875" style="1" bestFit="1" customWidth="1"/>
    <col min="8" max="8" width="12.875" style="1" customWidth="1"/>
    <col min="9" max="9" width="16.75" style="1" customWidth="1"/>
    <col min="10" max="10" width="3.75" style="1" customWidth="1"/>
    <col min="11" max="11" width="13.5" style="1" customWidth="1"/>
    <col min="12" max="12" width="15.625" style="1" customWidth="1"/>
    <col min="13" max="13" width="14.875" style="1" customWidth="1"/>
    <col min="14" max="16384" width="9.25" style="1"/>
  </cols>
  <sheetData>
    <row r="1" spans="1:12" ht="15">
      <c r="L1" s="100" t="s">
        <v>17</v>
      </c>
    </row>
    <row r="2" spans="1:12" ht="15">
      <c r="A2" s="9"/>
      <c r="B2" s="9"/>
      <c r="C2" s="9"/>
      <c r="D2" s="9"/>
      <c r="E2" s="9"/>
      <c r="F2" s="9"/>
      <c r="G2" s="9"/>
      <c r="H2" s="9"/>
      <c r="I2" s="51" t="s">
        <v>263</v>
      </c>
      <c r="L2" s="100"/>
    </row>
    <row r="3" spans="1:12" ht="15">
      <c r="A3" s="9"/>
      <c r="B3" s="9"/>
      <c r="C3" s="9"/>
      <c r="D3" s="9"/>
      <c r="E3" s="9"/>
      <c r="F3" s="9"/>
      <c r="G3" s="9"/>
      <c r="H3" s="9"/>
      <c r="I3" s="51" t="s">
        <v>6</v>
      </c>
      <c r="L3" s="100"/>
    </row>
    <row r="4" spans="1:12">
      <c r="A4" s="9"/>
      <c r="B4" s="7"/>
      <c r="C4" s="7"/>
      <c r="D4" s="9"/>
      <c r="E4" s="9"/>
      <c r="F4" s="9"/>
      <c r="G4" s="9"/>
      <c r="H4" s="9"/>
      <c r="I4" s="9"/>
    </row>
    <row r="5" spans="1:12" ht="20.25">
      <c r="A5" s="9"/>
      <c r="B5" s="402" t="str">
        <f>Index!B2</f>
        <v>Tri-State Generation and Transmission Association, Inc.</v>
      </c>
      <c r="C5" s="7"/>
      <c r="D5" s="9"/>
      <c r="E5" s="9"/>
      <c r="F5" s="9"/>
      <c r="G5" s="9"/>
      <c r="H5" s="9"/>
      <c r="I5" s="9"/>
    </row>
    <row r="6" spans="1:12" ht="20.25">
      <c r="A6" s="9"/>
      <c r="B6" s="422"/>
      <c r="C6" s="7"/>
      <c r="D6" s="9"/>
      <c r="E6" s="9"/>
      <c r="F6" s="9"/>
      <c r="G6" s="9"/>
      <c r="H6" s="9"/>
      <c r="I6" s="9"/>
    </row>
    <row r="7" spans="1:12" ht="15">
      <c r="A7" s="9"/>
      <c r="B7" s="404" t="str">
        <f>Index!C11</f>
        <v>Rate Base</v>
      </c>
      <c r="C7" s="7"/>
      <c r="D7" s="9"/>
      <c r="E7" s="9"/>
      <c r="F7" s="9"/>
      <c r="G7" s="9"/>
      <c r="H7" s="9"/>
      <c r="I7" s="9"/>
    </row>
    <row r="8" spans="1:12" ht="15">
      <c r="A8" s="9"/>
      <c r="B8" s="405" t="str">
        <f>Index!B5</f>
        <v>Year Ending December 31, 2016</v>
      </c>
      <c r="C8" s="7"/>
      <c r="D8" s="9"/>
      <c r="E8" s="9"/>
      <c r="F8" s="9"/>
      <c r="G8" s="9"/>
      <c r="H8" s="9"/>
      <c r="I8" s="9"/>
    </row>
    <row r="9" spans="1:12">
      <c r="A9" s="9"/>
      <c r="B9" s="7"/>
      <c r="C9" s="7"/>
      <c r="D9" s="9"/>
      <c r="E9" s="9"/>
      <c r="F9" s="9"/>
      <c r="G9" s="9"/>
      <c r="H9" s="9"/>
      <c r="I9" s="9"/>
    </row>
    <row r="10" spans="1:12" ht="15">
      <c r="A10" s="4" t="s">
        <v>18</v>
      </c>
      <c r="B10" s="4" t="s">
        <v>19</v>
      </c>
      <c r="C10" s="4" t="s">
        <v>20</v>
      </c>
      <c r="D10" s="4" t="s">
        <v>21</v>
      </c>
      <c r="E10" s="4" t="s">
        <v>22</v>
      </c>
      <c r="F10" s="4" t="s">
        <v>23</v>
      </c>
      <c r="G10" s="4" t="s">
        <v>24</v>
      </c>
      <c r="H10" s="4" t="s">
        <v>25</v>
      </c>
      <c r="I10" s="4" t="s">
        <v>134</v>
      </c>
      <c r="J10" s="4"/>
    </row>
    <row r="11" spans="1:12" ht="30">
      <c r="A11" s="45" t="s">
        <v>415</v>
      </c>
      <c r="B11" s="45" t="s">
        <v>0</v>
      </c>
      <c r="C11" s="45" t="s">
        <v>1</v>
      </c>
      <c r="D11" s="45" t="s">
        <v>51</v>
      </c>
      <c r="E11" s="45" t="s">
        <v>48</v>
      </c>
      <c r="F11" s="45" t="s">
        <v>4</v>
      </c>
      <c r="G11" s="45" t="s">
        <v>5</v>
      </c>
      <c r="H11" s="45" t="s">
        <v>27</v>
      </c>
      <c r="I11" s="45" t="s">
        <v>8</v>
      </c>
      <c r="J11" s="96"/>
    </row>
    <row r="12" spans="1:12" ht="15.75">
      <c r="A12" s="659">
        <v>1</v>
      </c>
      <c r="B12" s="354" t="s">
        <v>9</v>
      </c>
      <c r="C12" s="424"/>
      <c r="D12" s="396"/>
      <c r="E12" s="396"/>
      <c r="F12" s="58"/>
      <c r="G12" s="58"/>
      <c r="H12" s="58"/>
      <c r="I12" s="58"/>
      <c r="J12" s="283"/>
    </row>
    <row r="13" spans="1:12" ht="15">
      <c r="A13" s="659">
        <f>A12+1</f>
        <v>2</v>
      </c>
      <c r="B13" s="425" t="s">
        <v>52</v>
      </c>
      <c r="C13" s="426" t="str">
        <f>'Worksheet F Inputs'!$F$3&amp;" Line "&amp;'Worksheet F Inputs'!A94&amp;", Col "&amp;'Worksheet F Inputs'!$D$10&amp;" thru "&amp;'Worksheet F Inputs'!$F$10</f>
        <v>Worksheet F Line 72, Col D thru F</v>
      </c>
      <c r="D13" s="427">
        <f>'Worksheet F Inputs'!D94</f>
        <v>146790220</v>
      </c>
      <c r="E13" s="427">
        <f>'Worksheet F Inputs'!E94</f>
        <v>152771585</v>
      </c>
      <c r="F13" s="427">
        <f>'Worksheet F Inputs'!F94</f>
        <v>149780902.5</v>
      </c>
      <c r="G13" s="413" t="s">
        <v>115</v>
      </c>
      <c r="H13" s="411">
        <f>'Worksheet E Alloc. Factor'!$G$20</f>
        <v>1.359222739062114E-2</v>
      </c>
      <c r="I13" s="215">
        <f>H13*F13</f>
        <v>2035856.0855524545</v>
      </c>
      <c r="J13" s="71"/>
      <c r="K13" s="685"/>
    </row>
    <row r="14" spans="1:12" ht="15">
      <c r="A14" s="659"/>
      <c r="B14" s="425"/>
      <c r="C14" s="426"/>
      <c r="D14" s="427"/>
      <c r="E14" s="427"/>
      <c r="F14" s="427"/>
      <c r="G14" s="413"/>
      <c r="H14" s="411"/>
      <c r="I14" s="215"/>
      <c r="J14" s="71"/>
      <c r="K14" s="685"/>
    </row>
    <row r="15" spans="1:12" ht="15">
      <c r="A15" s="659">
        <f>A13+1</f>
        <v>3</v>
      </c>
      <c r="B15" s="428" t="s">
        <v>229</v>
      </c>
      <c r="C15" s="426" t="str">
        <f>'Worksheet F Inputs'!$F$3&amp;" Line "&amp;'Worksheet F Inputs'!A96&amp;", Col "&amp;'Worksheet F Inputs'!$D$10&amp;" thru "&amp;'Worksheet F Inputs'!$F$10</f>
        <v>Worksheet F Line 73, Col D thru F</v>
      </c>
      <c r="D15" s="427">
        <f>'Worksheet F Inputs'!D96</f>
        <v>1957914089</v>
      </c>
      <c r="E15" s="427">
        <f>'Worksheet F Inputs'!E96</f>
        <v>1990832699</v>
      </c>
      <c r="F15" s="427">
        <f>'Worksheet F Inputs'!F96</f>
        <v>1974373394</v>
      </c>
      <c r="G15" s="413" t="s">
        <v>255</v>
      </c>
      <c r="H15" s="411">
        <f>'Worksheet E Alloc. Factor'!G37</f>
        <v>0</v>
      </c>
      <c r="I15" s="215">
        <f>H15*F15</f>
        <v>0</v>
      </c>
      <c r="J15" s="71"/>
      <c r="K15" s="685"/>
    </row>
    <row r="16" spans="1:12" ht="15">
      <c r="A16" s="659">
        <f>A15+1</f>
        <v>4</v>
      </c>
      <c r="B16" s="428" t="s">
        <v>230</v>
      </c>
      <c r="C16" s="426" t="str">
        <f>'Worksheet F Inputs'!$F$3&amp;" Line "&amp;'Worksheet F Inputs'!A97&amp;", Col "&amp;'Worksheet F Inputs'!$D$10&amp;" thru "&amp;'Worksheet F Inputs'!$F$10</f>
        <v>Worksheet F Line 74, Col D thru F</v>
      </c>
      <c r="D16" s="427">
        <f>'Worksheet F Inputs'!D97</f>
        <v>0</v>
      </c>
      <c r="E16" s="427">
        <f>'Worksheet F Inputs'!E97</f>
        <v>0</v>
      </c>
      <c r="F16" s="427">
        <f>'Worksheet F Inputs'!F97</f>
        <v>0</v>
      </c>
      <c r="G16" s="413" t="s">
        <v>255</v>
      </c>
      <c r="H16" s="411">
        <f>'Worksheet E Alloc. Factor'!$G$37</f>
        <v>0</v>
      </c>
      <c r="I16" s="215">
        <f>H16*F16</f>
        <v>0</v>
      </c>
      <c r="J16" s="71"/>
      <c r="K16" s="685"/>
    </row>
    <row r="17" spans="1:13" ht="15">
      <c r="A17" s="659">
        <f>A16+1</f>
        <v>5</v>
      </c>
      <c r="B17" s="428" t="s">
        <v>231</v>
      </c>
      <c r="C17" s="426" t="str">
        <f>'Worksheet F Inputs'!$F$3&amp;" Line "&amp;'Worksheet F Inputs'!A98&amp;", Col "&amp;'Worksheet F Inputs'!$D$10&amp;" thru "&amp;'Worksheet F Inputs'!$F$10</f>
        <v>Worksheet F Line 75, Col D thru F</v>
      </c>
      <c r="D17" s="427">
        <f>'Worksheet F Inputs'!D98</f>
        <v>0</v>
      </c>
      <c r="E17" s="427">
        <f>'Worksheet F Inputs'!E98</f>
        <v>0</v>
      </c>
      <c r="F17" s="427">
        <f>'Worksheet F Inputs'!F98</f>
        <v>0</v>
      </c>
      <c r="G17" s="413" t="s">
        <v>255</v>
      </c>
      <c r="H17" s="411">
        <f>'Worksheet E Alloc. Factor'!$G$37</f>
        <v>0</v>
      </c>
      <c r="I17" s="215">
        <f>H17*F17</f>
        <v>0</v>
      </c>
      <c r="J17" s="71"/>
      <c r="K17" s="685"/>
    </row>
    <row r="18" spans="1:13" ht="15">
      <c r="A18" s="659">
        <f>A17+1</f>
        <v>6</v>
      </c>
      <c r="B18" s="428" t="s">
        <v>232</v>
      </c>
      <c r="C18" s="426" t="str">
        <f>'Worksheet F Inputs'!$F$3&amp;" Line "&amp;'Worksheet F Inputs'!A99&amp;", Col "&amp;'Worksheet F Inputs'!$D$10&amp;" thru "&amp;'Worksheet F Inputs'!$F$10</f>
        <v>Worksheet F Line 76, Col D thru F</v>
      </c>
      <c r="D18" s="427">
        <f>'Worksheet F Inputs'!D99</f>
        <v>282613405</v>
      </c>
      <c r="E18" s="427">
        <f>'Worksheet F Inputs'!E99</f>
        <v>282817711</v>
      </c>
      <c r="F18" s="427">
        <f>'Worksheet F Inputs'!F99</f>
        <v>282715558</v>
      </c>
      <c r="G18" s="413" t="s">
        <v>255</v>
      </c>
      <c r="H18" s="411">
        <f>'Worksheet E Alloc. Factor'!$G$37</f>
        <v>0</v>
      </c>
      <c r="I18" s="215">
        <f>H18*F18</f>
        <v>0</v>
      </c>
      <c r="J18" s="71"/>
      <c r="K18" s="685"/>
    </row>
    <row r="19" spans="1:13" ht="15">
      <c r="A19" s="659">
        <f>A18+1</f>
        <v>7</v>
      </c>
      <c r="B19" s="425" t="s">
        <v>53</v>
      </c>
      <c r="C19" s="426" t="s">
        <v>16</v>
      </c>
      <c r="D19" s="427">
        <f>SUM(D15:D18)</f>
        <v>2240527494</v>
      </c>
      <c r="E19" s="427">
        <f>SUM(E15:E18)</f>
        <v>2273650410</v>
      </c>
      <c r="F19" s="427">
        <f>SUM(F15:F18)</f>
        <v>2257088952</v>
      </c>
      <c r="G19" s="413"/>
      <c r="H19" s="411"/>
      <c r="I19" s="427">
        <f>SUM(I15:I18)</f>
        <v>0</v>
      </c>
      <c r="J19" s="71"/>
      <c r="K19" s="685"/>
    </row>
    <row r="20" spans="1:13" ht="15">
      <c r="A20" s="659"/>
      <c r="B20" s="425"/>
      <c r="C20" s="429"/>
      <c r="D20" s="427"/>
      <c r="E20" s="427"/>
      <c r="F20" s="162"/>
      <c r="G20" s="413"/>
      <c r="H20" s="411"/>
      <c r="I20" s="215"/>
      <c r="J20" s="71"/>
      <c r="K20" s="685"/>
    </row>
    <row r="21" spans="1:13" ht="15">
      <c r="A21" s="659">
        <f>A19+1</f>
        <v>8</v>
      </c>
      <c r="B21" s="425" t="s">
        <v>54</v>
      </c>
      <c r="C21" s="426" t="str">
        <f>'Worksheet F Inputs'!$F$3&amp;" Line "&amp;'Worksheet F Inputs'!A102&amp;", Col "&amp;'Worksheet F Inputs'!$D$10&amp;" thru "&amp;'Worksheet F Inputs'!$F$10</f>
        <v>Worksheet F Line 78, Col D thru F</v>
      </c>
      <c r="D21" s="427">
        <f>'Worksheet F Inputs'!D102</f>
        <v>96521575</v>
      </c>
      <c r="E21" s="427">
        <f>'Worksheet F Inputs'!E102</f>
        <v>102483522</v>
      </c>
      <c r="F21" s="427">
        <f>'Worksheet F Inputs'!F102</f>
        <v>99502548.5</v>
      </c>
      <c r="G21" s="413" t="s">
        <v>116</v>
      </c>
      <c r="H21" s="411">
        <f>'Worksheet E Alloc. Factor'!$G$23</f>
        <v>2.660025791491619E-2</v>
      </c>
      <c r="I21" s="215">
        <f>H21*F21</f>
        <v>2646793.4532914571</v>
      </c>
      <c r="J21" s="71"/>
      <c r="K21" s="685"/>
    </row>
    <row r="22" spans="1:13" ht="15">
      <c r="A22" s="659">
        <f t="shared" ref="A22:A62" si="0">A21+1</f>
        <v>9</v>
      </c>
      <c r="B22" s="9" t="s">
        <v>55</v>
      </c>
      <c r="C22" s="426" t="str">
        <f>'Worksheet F Inputs'!$F$3&amp;" Line "&amp;'Worksheet F Inputs'!A103&amp;", Col "&amp;'Worksheet F Inputs'!$D$10&amp;" thru "&amp;'Worksheet F Inputs'!$F$10</f>
        <v>Worksheet F Line 79, Col D thru F</v>
      </c>
      <c r="D22" s="430">
        <f>'Worksheet F Inputs'!D103</f>
        <v>32221586</v>
      </c>
      <c r="E22" s="430">
        <f>'Worksheet F Inputs'!E103</f>
        <v>40531406</v>
      </c>
      <c r="F22" s="430">
        <f>'Worksheet F Inputs'!F103</f>
        <v>36376496</v>
      </c>
      <c r="G22" s="413" t="s">
        <v>116</v>
      </c>
      <c r="H22" s="411">
        <f>'Worksheet E Alloc. Factor'!$G$23</f>
        <v>2.660025791491619E-2</v>
      </c>
      <c r="I22" s="215">
        <f>H22*F22</f>
        <v>967624.17564091715</v>
      </c>
      <c r="J22" s="71"/>
      <c r="K22" s="685"/>
    </row>
    <row r="23" spans="1:13" ht="15">
      <c r="A23" s="659">
        <f t="shared" si="0"/>
        <v>10</v>
      </c>
      <c r="B23" s="9" t="s">
        <v>56</v>
      </c>
      <c r="C23" s="426" t="str">
        <f>'Worksheet F Inputs'!$F$3&amp;" Line "&amp;'Worksheet F Inputs'!A104&amp;", Col "&amp;'Worksheet F Inputs'!$D$10&amp;" thru "&amp;'Worksheet F Inputs'!$F$10</f>
        <v>Worksheet F Line 80, Col D thru F</v>
      </c>
      <c r="D23" s="430">
        <f>'Worksheet F Inputs'!D104</f>
        <v>443400198</v>
      </c>
      <c r="E23" s="430">
        <f>'Worksheet F Inputs'!E104</f>
        <v>484306009</v>
      </c>
      <c r="F23" s="430">
        <f>'Worksheet F Inputs'!F104</f>
        <v>463853103.5</v>
      </c>
      <c r="G23" s="413" t="s">
        <v>116</v>
      </c>
      <c r="H23" s="411">
        <f>'Worksheet E Alloc. Factor'!$G$23</f>
        <v>2.660025791491619E-2</v>
      </c>
      <c r="I23" s="215">
        <f>H23*F23</f>
        <v>12338612.187734313</v>
      </c>
      <c r="J23" s="71"/>
      <c r="K23" s="685"/>
      <c r="L23" s="27"/>
      <c r="M23" s="27"/>
    </row>
    <row r="24" spans="1:13" ht="15">
      <c r="A24" s="659">
        <f t="shared" si="0"/>
        <v>11</v>
      </c>
      <c r="B24" s="425" t="s">
        <v>57</v>
      </c>
      <c r="C24" s="426" t="str">
        <f>'Worksheet F Inputs'!$F$3&amp;" Line "&amp;'Worksheet F Inputs'!A105&amp;", Col "&amp;'Worksheet F Inputs'!$D$10&amp;" thru "&amp;'Worksheet F Inputs'!$F$10</f>
        <v>Worksheet F Line 81, Col D thru F</v>
      </c>
      <c r="D24" s="427">
        <f>'Worksheet F Inputs'!D105</f>
        <v>456343037</v>
      </c>
      <c r="E24" s="427">
        <f>'Worksheet F Inputs'!E105</f>
        <v>475537590</v>
      </c>
      <c r="F24" s="427">
        <f>'Worksheet F Inputs'!F105</f>
        <v>465940313.5</v>
      </c>
      <c r="G24" s="49" t="s">
        <v>200</v>
      </c>
      <c r="H24" s="411">
        <f>'Worksheet E Alloc. Factor'!$G$26</f>
        <v>3.8391938498792293E-2</v>
      </c>
      <c r="I24" s="215">
        <f>H24*F24</f>
        <v>17888351.859999999</v>
      </c>
      <c r="J24" s="71"/>
      <c r="K24" s="685"/>
      <c r="L24" s="27"/>
      <c r="M24" s="27"/>
    </row>
    <row r="25" spans="1:13" ht="15">
      <c r="A25" s="659">
        <f t="shared" si="0"/>
        <v>12</v>
      </c>
      <c r="B25" s="425" t="s">
        <v>76</v>
      </c>
      <c r="C25" s="429" t="s">
        <v>143</v>
      </c>
      <c r="D25" s="427">
        <f>SUM(D21:D24)</f>
        <v>1028486396</v>
      </c>
      <c r="E25" s="427">
        <f>SUM(E21:E24)</f>
        <v>1102858527</v>
      </c>
      <c r="F25" s="427">
        <f>SUM(F21:F24)</f>
        <v>1065672461.5</v>
      </c>
      <c r="G25" s="49"/>
      <c r="H25" s="411"/>
      <c r="I25" s="162">
        <f>SUM(I21:I24)</f>
        <v>33841381.676666692</v>
      </c>
      <c r="J25" s="71"/>
      <c r="K25" s="685"/>
      <c r="L25" s="27"/>
      <c r="M25" s="27"/>
    </row>
    <row r="26" spans="1:13" ht="15">
      <c r="A26" s="659"/>
      <c r="B26" s="425"/>
      <c r="C26" s="429"/>
      <c r="D26" s="427"/>
      <c r="E26" s="427"/>
      <c r="F26" s="162"/>
      <c r="G26" s="49"/>
      <c r="H26" s="411"/>
      <c r="I26" s="215"/>
      <c r="J26" s="71"/>
      <c r="K26" s="685"/>
      <c r="L26" s="27"/>
      <c r="M26" s="27"/>
    </row>
    <row r="27" spans="1:13" ht="15">
      <c r="A27" s="659">
        <f>A25+1</f>
        <v>13</v>
      </c>
      <c r="B27" s="428" t="s">
        <v>234</v>
      </c>
      <c r="C27" s="426" t="str">
        <f>'Worksheet F Inputs'!$F$3&amp;" Line "&amp;'Worksheet F Inputs'!A108&amp;", Col "&amp;'Worksheet F Inputs'!$D$10&amp;" thru "&amp;'Worksheet F Inputs'!$F$10</f>
        <v>Worksheet F Line 83, Col D thru F</v>
      </c>
      <c r="D27" s="427">
        <f>'Worksheet F Inputs'!D108</f>
        <v>1574044</v>
      </c>
      <c r="E27" s="427">
        <f>'Worksheet F Inputs'!E108</f>
        <v>1563936</v>
      </c>
      <c r="F27" s="162">
        <f>'Worksheet F Inputs'!F108</f>
        <v>1568990</v>
      </c>
      <c r="G27" s="413" t="s">
        <v>255</v>
      </c>
      <c r="H27" s="411">
        <f>'Worksheet E Alloc. Factor'!$G$37</f>
        <v>0</v>
      </c>
      <c r="I27" s="215">
        <f>H27*F27</f>
        <v>0</v>
      </c>
      <c r="J27" s="71"/>
      <c r="K27" s="685"/>
      <c r="L27" s="27"/>
      <c r="M27" s="27"/>
    </row>
    <row r="28" spans="1:13" ht="15">
      <c r="A28" s="659">
        <f>A27+1</f>
        <v>14</v>
      </c>
      <c r="B28" s="428" t="s">
        <v>235</v>
      </c>
      <c r="C28" s="426" t="str">
        <f>'Worksheet F Inputs'!$F$3&amp;" Line "&amp;'Worksheet F Inputs'!A109&amp;", Col "&amp;'Worksheet F Inputs'!$D$10&amp;" thru "&amp;'Worksheet F Inputs'!$F$10</f>
        <v>Worksheet F Line 84, Col D thru F</v>
      </c>
      <c r="D28" s="427">
        <f>'Worksheet F Inputs'!D109</f>
        <v>9211719</v>
      </c>
      <c r="E28" s="427">
        <f>'Worksheet F Inputs'!E109</f>
        <v>9314357</v>
      </c>
      <c r="F28" s="162">
        <f>'Worksheet F Inputs'!F109</f>
        <v>9263038</v>
      </c>
      <c r="G28" s="413" t="s">
        <v>255</v>
      </c>
      <c r="H28" s="411">
        <f>'Worksheet E Alloc. Factor'!$G$37</f>
        <v>0</v>
      </c>
      <c r="I28" s="215">
        <f>H28*F28</f>
        <v>0</v>
      </c>
      <c r="J28" s="71"/>
      <c r="K28" s="685"/>
      <c r="L28" s="27"/>
      <c r="M28" s="27"/>
    </row>
    <row r="29" spans="1:13" ht="15">
      <c r="A29" s="659">
        <f>A28+1</f>
        <v>15</v>
      </c>
      <c r="B29" s="428" t="s">
        <v>236</v>
      </c>
      <c r="C29" s="426" t="str">
        <f>'Worksheet F Inputs'!$F$3&amp;" Line "&amp;'Worksheet F Inputs'!A110&amp;", Col "&amp;'Worksheet F Inputs'!$D$10&amp;" thru "&amp;'Worksheet F Inputs'!$F$10</f>
        <v>Worksheet F Line 85, Col D thru F</v>
      </c>
      <c r="D29" s="427">
        <f>'Worksheet F Inputs'!D110</f>
        <v>74064910</v>
      </c>
      <c r="E29" s="427">
        <f>'Worksheet F Inputs'!E110</f>
        <v>77779574</v>
      </c>
      <c r="F29" s="162">
        <f>'Worksheet F Inputs'!F110</f>
        <v>75922242</v>
      </c>
      <c r="G29" s="413" t="s">
        <v>255</v>
      </c>
      <c r="H29" s="411">
        <f>'Worksheet E Alloc. Factor'!$G$37</f>
        <v>0</v>
      </c>
      <c r="I29" s="215">
        <f>H29*F29</f>
        <v>0</v>
      </c>
      <c r="J29" s="71"/>
      <c r="K29" s="685"/>
      <c r="L29" s="27"/>
      <c r="M29" s="27"/>
    </row>
    <row r="30" spans="1:13" ht="15">
      <c r="A30" s="659">
        <f>A29+1</f>
        <v>16</v>
      </c>
      <c r="B30" s="428" t="s">
        <v>450</v>
      </c>
      <c r="C30" s="426" t="str">
        <f>'Worksheet F Inputs'!$F$3&amp;" Line "&amp;'Worksheet F Inputs'!A111&amp;", Col "&amp;'Worksheet F Inputs'!$D$10&amp;" thru "&amp;'Worksheet F Inputs'!$F$10</f>
        <v>Worksheet F Line 86, Col D thru F</v>
      </c>
      <c r="D30" s="427">
        <f>'Worksheet F Inputs'!D111</f>
        <v>0</v>
      </c>
      <c r="E30" s="427">
        <f>'Worksheet F Inputs'!E111</f>
        <v>0</v>
      </c>
      <c r="F30" s="162">
        <f>'Worksheet F Inputs'!F111</f>
        <v>0</v>
      </c>
      <c r="G30" s="413" t="s">
        <v>255</v>
      </c>
      <c r="H30" s="411">
        <f>'Worksheet E Alloc. Factor'!$G$37</f>
        <v>0</v>
      </c>
      <c r="I30" s="215">
        <f>H30*F30</f>
        <v>0</v>
      </c>
      <c r="J30" s="71"/>
      <c r="K30" s="685"/>
      <c r="L30" s="27"/>
      <c r="M30" s="27"/>
    </row>
    <row r="31" spans="1:13" ht="15">
      <c r="A31" s="659">
        <f>A30+1</f>
        <v>17</v>
      </c>
      <c r="B31" s="425" t="s">
        <v>32</v>
      </c>
      <c r="C31" s="426" t="s">
        <v>16</v>
      </c>
      <c r="D31" s="427">
        <f>SUM(D27:D30)</f>
        <v>84850673</v>
      </c>
      <c r="E31" s="427">
        <f>SUM(E27:E30)</f>
        <v>88657867</v>
      </c>
      <c r="F31" s="427">
        <f>SUM(F27:F30)</f>
        <v>86754270</v>
      </c>
      <c r="G31" s="413"/>
      <c r="H31" s="411"/>
      <c r="I31" s="427">
        <f>SUM(I27:I30)</f>
        <v>0</v>
      </c>
      <c r="J31" s="71"/>
      <c r="K31" s="685"/>
      <c r="L31" s="27"/>
      <c r="M31" s="27"/>
    </row>
    <row r="32" spans="1:13" ht="15">
      <c r="A32" s="659"/>
      <c r="B32" s="425"/>
      <c r="C32" s="426"/>
      <c r="D32" s="427"/>
      <c r="E32" s="427"/>
      <c r="F32" s="427"/>
      <c r="G32" s="413"/>
      <c r="H32" s="411"/>
      <c r="I32" s="215"/>
      <c r="J32" s="71"/>
      <c r="K32" s="685"/>
      <c r="L32" s="27"/>
      <c r="M32" s="27"/>
    </row>
    <row r="33" spans="1:13" ht="15">
      <c r="A33" s="659">
        <f>A31+1</f>
        <v>18</v>
      </c>
      <c r="B33" s="425" t="str">
        <f>'Worksheet F Inputs'!B114</f>
        <v>380-386 RTO/ISO Plant</v>
      </c>
      <c r="C33" s="426" t="str">
        <f>CONCATENATE('Worksheet F Inputs'!$F$3,", Line ",'Worksheet F Inputs'!A114," Col ",'Worksheet F Inputs'!$F$10)</f>
        <v>Worksheet F, Line 88 Col F</v>
      </c>
      <c r="D33" s="427">
        <f>'Worksheet F Inputs'!D114</f>
        <v>0</v>
      </c>
      <c r="E33" s="427">
        <f>'Worksheet F Inputs'!E114</f>
        <v>0</v>
      </c>
      <c r="F33" s="427">
        <f>'Worksheet F Inputs'!F114</f>
        <v>0</v>
      </c>
      <c r="G33" s="49" t="s">
        <v>80</v>
      </c>
      <c r="H33" s="411">
        <f>'Worksheet E Alloc. Factor'!G29</f>
        <v>3.1755893953600761E-2</v>
      </c>
      <c r="I33" s="215">
        <f>H33*F33</f>
        <v>0</v>
      </c>
      <c r="J33" s="71"/>
      <c r="K33" s="685"/>
      <c r="L33" s="27"/>
      <c r="M33" s="27"/>
    </row>
    <row r="34" spans="1:13" ht="15">
      <c r="A34" s="659">
        <f t="shared" si="0"/>
        <v>19</v>
      </c>
      <c r="B34" s="425" t="s">
        <v>58</v>
      </c>
      <c r="C34" s="426" t="str">
        <f>CONCATENATE('Worksheet F Inputs'!$F$3,", Line ",'Worksheet F Inputs'!A115," Col ",'Worksheet F Inputs'!$F$10)</f>
        <v>Worksheet F, Line 89 Col F</v>
      </c>
      <c r="D34" s="427">
        <f>'Worksheet F Inputs'!D115</f>
        <v>418084246</v>
      </c>
      <c r="E34" s="427">
        <f>'Worksheet F Inputs'!E115</f>
        <v>444946342</v>
      </c>
      <c r="F34" s="427">
        <f>'Worksheet F Inputs'!F115</f>
        <v>431515294</v>
      </c>
      <c r="G34" s="413" t="s">
        <v>10</v>
      </c>
      <c r="H34" s="411">
        <f>'Worksheet E Alloc. Factor'!$G$20</f>
        <v>1.359222739062114E-2</v>
      </c>
      <c r="I34" s="215">
        <f>H34*F34</f>
        <v>5865253.9985787338</v>
      </c>
      <c r="J34" s="71"/>
      <c r="K34" s="685"/>
      <c r="L34" s="27"/>
      <c r="M34" s="27"/>
    </row>
    <row r="35" spans="1:13" ht="34.15" customHeight="1">
      <c r="A35" s="659">
        <f>A34+1</f>
        <v>20</v>
      </c>
      <c r="B35" s="425" t="s">
        <v>60</v>
      </c>
      <c r="C35" s="431" t="s">
        <v>933</v>
      </c>
      <c r="D35" s="427">
        <f>'Worksheet F Inputs'!D121</f>
        <v>226302527</v>
      </c>
      <c r="E35" s="427">
        <f>'Worksheet F Inputs'!E121</f>
        <v>266047723</v>
      </c>
      <c r="F35" s="427">
        <f>'Worksheet F Inputs'!F121</f>
        <v>246175125</v>
      </c>
      <c r="G35" s="49" t="s">
        <v>395</v>
      </c>
      <c r="H35" s="411" t="s">
        <v>17</v>
      </c>
      <c r="I35" s="215">
        <f>'Worksheet Q Compl Not Class'!L45</f>
        <v>3317262</v>
      </c>
      <c r="J35" s="71"/>
      <c r="K35" s="685"/>
      <c r="L35" s="27"/>
      <c r="M35" s="27"/>
    </row>
    <row r="36" spans="1:13" ht="15">
      <c r="A36" s="659">
        <f>A35+1</f>
        <v>21</v>
      </c>
      <c r="B36" s="425" t="s">
        <v>141</v>
      </c>
      <c r="C36" s="429" t="s">
        <v>16</v>
      </c>
      <c r="D36" s="427">
        <f>SUM(D13, D19,D25,D31:D35)</f>
        <v>4145041556</v>
      </c>
      <c r="E36" s="427">
        <f>SUM(E13, E19,E25,E31:E35)</f>
        <v>4328932454</v>
      </c>
      <c r="F36" s="427">
        <f>SUM(F13, F19,F25,F31:F35)</f>
        <v>4236987005</v>
      </c>
      <c r="G36" s="413"/>
      <c r="H36" s="411"/>
      <c r="I36" s="427">
        <f>SUM(I13, I19,I25,I31:I35)</f>
        <v>45059753.760797881</v>
      </c>
      <c r="J36" s="71"/>
      <c r="K36" s="685"/>
      <c r="L36" s="27"/>
      <c r="M36" s="27"/>
    </row>
    <row r="37" spans="1:13" ht="15">
      <c r="A37" s="659"/>
      <c r="B37" s="425"/>
      <c r="C37" s="429"/>
      <c r="D37" s="427"/>
      <c r="E37" s="427"/>
      <c r="F37" s="162"/>
      <c r="G37" s="413"/>
      <c r="H37" s="411"/>
      <c r="I37" s="215"/>
      <c r="J37" s="71"/>
      <c r="K37" s="685"/>
      <c r="L37" s="27"/>
      <c r="M37" s="27"/>
    </row>
    <row r="38" spans="1:13" ht="15">
      <c r="A38" s="659" t="s">
        <v>17</v>
      </c>
      <c r="B38" s="9"/>
      <c r="C38" s="50"/>
      <c r="D38" s="50"/>
      <c r="E38" s="50"/>
      <c r="F38" s="215"/>
      <c r="G38" s="9"/>
      <c r="H38" s="432"/>
      <c r="I38" s="215"/>
      <c r="J38" s="71"/>
      <c r="K38" s="685"/>
      <c r="L38" s="27"/>
      <c r="M38" s="27"/>
    </row>
    <row r="39" spans="1:13" ht="15.75">
      <c r="A39" s="659">
        <f>A36+1</f>
        <v>22</v>
      </c>
      <c r="B39" s="354" t="s">
        <v>11</v>
      </c>
      <c r="C39" s="433"/>
      <c r="D39" s="433"/>
      <c r="E39" s="433"/>
      <c r="F39" s="434" t="s">
        <v>17</v>
      </c>
      <c r="G39" s="58"/>
      <c r="H39" s="435"/>
      <c r="I39" s="434"/>
      <c r="J39" s="71"/>
      <c r="K39" s="685"/>
      <c r="L39" s="27"/>
      <c r="M39" s="27"/>
    </row>
    <row r="40" spans="1:13" ht="15">
      <c r="A40" s="659">
        <f t="shared" si="0"/>
        <v>23</v>
      </c>
      <c r="B40" s="425" t="s">
        <v>387</v>
      </c>
      <c r="C40" s="426" t="str">
        <f>CONCATENATE('Worksheet F Inputs'!$F$3,", Line ",'Worksheet F Inputs'!A129," Col ",'Worksheet F Inputs'!$D$10&amp;" thru "&amp;'Worksheet F Inputs'!$F$10)</f>
        <v>Worksheet F, Line 101 Col D thru F</v>
      </c>
      <c r="D40" s="427">
        <f>'Worksheet F Inputs'!D129</f>
        <v>1006273377</v>
      </c>
      <c r="E40" s="427">
        <f>'Worksheet F Inputs'!E129</f>
        <v>1043827020</v>
      </c>
      <c r="F40" s="427">
        <f>'Worksheet F Inputs'!F129</f>
        <v>1025050198.5</v>
      </c>
      <c r="G40" s="413" t="s">
        <v>255</v>
      </c>
      <c r="H40" s="411">
        <f>'Worksheet E Alloc. Factor'!$G$37</f>
        <v>0</v>
      </c>
      <c r="I40" s="215">
        <f>H40*F40</f>
        <v>0</v>
      </c>
      <c r="J40" s="283"/>
      <c r="K40" s="685"/>
      <c r="L40" s="27"/>
      <c r="M40" s="27"/>
    </row>
    <row r="41" spans="1:13" ht="15">
      <c r="A41" s="659">
        <f t="shared" si="0"/>
        <v>24</v>
      </c>
      <c r="B41" s="425" t="s">
        <v>388</v>
      </c>
      <c r="C41" s="426" t="str">
        <f>CONCATENATE('Worksheet F Inputs'!$F$3,", Line ",'Worksheet F Inputs'!A130," Col ",'Worksheet F Inputs'!$D$10&amp;" thru "&amp;'Worksheet F Inputs'!$F$10)</f>
        <v>Worksheet F, Line 102 Col D thru F</v>
      </c>
      <c r="D41" s="427">
        <f>'Worksheet F Inputs'!D130</f>
        <v>0</v>
      </c>
      <c r="E41" s="427">
        <f>'Worksheet F Inputs'!E130</f>
        <v>0</v>
      </c>
      <c r="F41" s="427">
        <f>'Worksheet F Inputs'!F130</f>
        <v>0</v>
      </c>
      <c r="G41" s="413" t="s">
        <v>255</v>
      </c>
      <c r="H41" s="411">
        <f>'Worksheet E Alloc. Factor'!$G$37</f>
        <v>0</v>
      </c>
      <c r="I41" s="215">
        <f>H41*F41</f>
        <v>0</v>
      </c>
      <c r="J41" s="283"/>
      <c r="K41" s="685"/>
      <c r="L41" s="27"/>
      <c r="M41" s="27"/>
    </row>
    <row r="42" spans="1:13" ht="15">
      <c r="A42" s="659">
        <f t="shared" si="0"/>
        <v>25</v>
      </c>
      <c r="B42" s="425" t="s">
        <v>389</v>
      </c>
      <c r="C42" s="426" t="str">
        <f>CONCATENATE('Worksheet F Inputs'!$F$3,", Line ",'Worksheet F Inputs'!A131," Col ",'Worksheet F Inputs'!$D$10&amp;" thru "&amp;'Worksheet F Inputs'!$F$10)</f>
        <v>Worksheet F, Line 103 Col D thru F</v>
      </c>
      <c r="D42" s="427">
        <f>'Worksheet F Inputs'!D131</f>
        <v>0</v>
      </c>
      <c r="E42" s="427">
        <f>'Worksheet F Inputs'!E131</f>
        <v>0</v>
      </c>
      <c r="F42" s="427">
        <f>'Worksheet F Inputs'!F131</f>
        <v>0</v>
      </c>
      <c r="G42" s="413" t="s">
        <v>255</v>
      </c>
      <c r="H42" s="411">
        <f>'Worksheet E Alloc. Factor'!$G$37</f>
        <v>0</v>
      </c>
      <c r="I42" s="215">
        <f>H42*F42</f>
        <v>0</v>
      </c>
      <c r="J42" s="283"/>
      <c r="K42" s="685"/>
      <c r="L42" s="27"/>
      <c r="M42" s="27"/>
    </row>
    <row r="43" spans="1:13" ht="15">
      <c r="A43" s="659">
        <f t="shared" si="0"/>
        <v>26</v>
      </c>
      <c r="B43" s="425" t="s">
        <v>390</v>
      </c>
      <c r="C43" s="426" t="str">
        <f>CONCATENATE('Worksheet F Inputs'!$F$3,", Line ",'Worksheet F Inputs'!A132," Col ",'Worksheet F Inputs'!$D$10&amp;" thru "&amp;'Worksheet F Inputs'!$F$10)</f>
        <v>Worksheet F, Line 104 Col D thru F</v>
      </c>
      <c r="D43" s="427">
        <f>'Worksheet F Inputs'!D132</f>
        <v>103508386</v>
      </c>
      <c r="E43" s="427">
        <f>'Worksheet F Inputs'!E132</f>
        <v>108736878</v>
      </c>
      <c r="F43" s="427">
        <f>'Worksheet F Inputs'!F132</f>
        <v>106122632</v>
      </c>
      <c r="G43" s="413" t="s">
        <v>255</v>
      </c>
      <c r="H43" s="411">
        <f>'Worksheet E Alloc. Factor'!$G$37</f>
        <v>0</v>
      </c>
      <c r="I43" s="215">
        <f>H43*F43</f>
        <v>0</v>
      </c>
      <c r="J43" s="71"/>
      <c r="K43" s="685"/>
      <c r="L43" s="27"/>
      <c r="M43" s="27"/>
    </row>
    <row r="44" spans="1:13" ht="15">
      <c r="A44" s="659">
        <f t="shared" si="0"/>
        <v>27</v>
      </c>
      <c r="B44" s="425" t="s">
        <v>265</v>
      </c>
      <c r="C44" s="426" t="s">
        <v>144</v>
      </c>
      <c r="D44" s="427">
        <f>SUM(D40:D43)</f>
        <v>1109781763</v>
      </c>
      <c r="E44" s="427">
        <f>SUM(E40:E43)</f>
        <v>1152563898</v>
      </c>
      <c r="F44" s="427">
        <f>SUM(F40:F43)</f>
        <v>1131172830.5</v>
      </c>
      <c r="G44" s="413"/>
      <c r="H44" s="411"/>
      <c r="I44" s="427">
        <f>SUM(I40:I43)</f>
        <v>0</v>
      </c>
      <c r="J44" s="71"/>
      <c r="K44" s="685"/>
      <c r="L44" s="27"/>
      <c r="M44" s="27"/>
    </row>
    <row r="45" spans="1:13" ht="15">
      <c r="A45" s="659"/>
      <c r="B45" s="425"/>
      <c r="C45" s="426"/>
      <c r="D45" s="427"/>
      <c r="E45" s="427"/>
      <c r="F45" s="427"/>
      <c r="G45" s="413"/>
      <c r="H45" s="411"/>
      <c r="I45" s="215"/>
      <c r="J45" s="71"/>
      <c r="K45" s="685"/>
      <c r="L45" s="27"/>
      <c r="M45" s="27"/>
    </row>
    <row r="46" spans="1:13" ht="46.9" customHeight="1">
      <c r="A46" s="659">
        <f>A44+1</f>
        <v>28</v>
      </c>
      <c r="B46" s="425" t="s">
        <v>62</v>
      </c>
      <c r="C46" s="431" t="s">
        <v>855</v>
      </c>
      <c r="D46" s="427">
        <f>'Worksheet F Inputs'!D133</f>
        <v>446515690</v>
      </c>
      <c r="E46" s="427">
        <f>'Worksheet F Inputs'!E133</f>
        <v>473843880</v>
      </c>
      <c r="F46" s="427">
        <f>'Worksheet F Inputs'!F133</f>
        <v>460179785</v>
      </c>
      <c r="G46" s="49" t="s">
        <v>395</v>
      </c>
      <c r="H46" s="411"/>
      <c r="I46" s="215">
        <f>SUM(' Worksheet U Stations'!K18,' Worksheet U Stations'!M18,'Worksheet V Lines'!K19,'Worksheet V Lines'!M19)/2</f>
        <v>19314296.319166668</v>
      </c>
      <c r="J46" s="71"/>
      <c r="K46" s="685"/>
      <c r="L46" s="27"/>
      <c r="M46" s="27"/>
    </row>
    <row r="47" spans="1:13" ht="15">
      <c r="A47" s="659">
        <f t="shared" si="0"/>
        <v>29</v>
      </c>
      <c r="B47" s="425" t="s">
        <v>63</v>
      </c>
      <c r="C47" s="426" t="str">
        <f>CONCATENATE('Worksheet F Inputs'!$F$3,", Line ",'Worksheet F Inputs'!A134," Col ",'Worksheet F Inputs'!$D$10&amp;" thru "&amp;'Worksheet F Inputs'!$F$10)</f>
        <v>Worksheet F, Line 106 Col D thru F</v>
      </c>
      <c r="D47" s="427">
        <f>'Worksheet F Inputs'!D134</f>
        <v>37738500</v>
      </c>
      <c r="E47" s="427">
        <f>'Worksheet F Inputs'!E134</f>
        <v>39641409</v>
      </c>
      <c r="F47" s="427">
        <f>'Worksheet F Inputs'!F134</f>
        <v>38689954.5</v>
      </c>
      <c r="G47" s="413" t="s">
        <v>255</v>
      </c>
      <c r="H47" s="411">
        <f>'Worksheet E Alloc. Factor'!$G$37</f>
        <v>0</v>
      </c>
      <c r="I47" s="215">
        <f>H47*F47</f>
        <v>0</v>
      </c>
      <c r="J47" s="71"/>
      <c r="K47" s="685"/>
      <c r="L47" s="27"/>
      <c r="M47" s="27"/>
    </row>
    <row r="48" spans="1:13" ht="15">
      <c r="A48" s="659">
        <f t="shared" si="0"/>
        <v>30</v>
      </c>
      <c r="B48" s="425" t="s">
        <v>64</v>
      </c>
      <c r="C48" s="426" t="str">
        <f>CONCATENATE('Worksheet F Inputs'!$F$3,", Line ",'Worksheet F Inputs'!A135," Col ",'Worksheet F Inputs'!$D$10&amp;" thru "&amp;'Worksheet F Inputs'!$F$10)</f>
        <v>Worksheet F, Line 107 Col D thru F</v>
      </c>
      <c r="D48" s="427">
        <f>'Worksheet F Inputs'!D135</f>
        <v>260526212</v>
      </c>
      <c r="E48" s="427">
        <f>'Worksheet F Inputs'!E135</f>
        <v>286923684</v>
      </c>
      <c r="F48" s="427">
        <f>'Worksheet F Inputs'!F135</f>
        <v>273724948</v>
      </c>
      <c r="G48" s="436" t="s">
        <v>115</v>
      </c>
      <c r="H48" s="411">
        <f>'Worksheet E Alloc. Factor'!$G$20</f>
        <v>1.359222739062114E-2</v>
      </c>
      <c r="I48" s="215">
        <f>H48*F48</f>
        <v>3720531.735701947</v>
      </c>
      <c r="J48" s="71"/>
      <c r="K48" s="685"/>
      <c r="L48" s="27"/>
      <c r="M48" s="27"/>
    </row>
    <row r="49" spans="1:13" ht="29.25">
      <c r="A49" s="659">
        <f t="shared" si="0"/>
        <v>31</v>
      </c>
      <c r="B49" s="425" t="s">
        <v>65</v>
      </c>
      <c r="C49" s="431" t="s">
        <v>856</v>
      </c>
      <c r="D49" s="437">
        <f>'Worksheet F Inputs'!D136</f>
        <v>-908761</v>
      </c>
      <c r="E49" s="437">
        <f>'Worksheet F Inputs'!E136</f>
        <v>-801347</v>
      </c>
      <c r="F49" s="437">
        <f>'Worksheet F Inputs'!F136</f>
        <v>-855054</v>
      </c>
      <c r="G49" s="49" t="s">
        <v>395</v>
      </c>
      <c r="H49" s="411"/>
      <c r="I49" s="215">
        <f>'Worksheet T RWIP '!M20</f>
        <v>0</v>
      </c>
      <c r="J49" s="80"/>
      <c r="K49" s="685"/>
      <c r="L49" s="27"/>
      <c r="M49" s="27"/>
    </row>
    <row r="50" spans="1:13" ht="15.75">
      <c r="A50" s="659">
        <f t="shared" si="0"/>
        <v>32</v>
      </c>
      <c r="B50" s="425" t="s">
        <v>66</v>
      </c>
      <c r="C50" s="426" t="str">
        <f>CONCATENATE('Worksheet F Inputs'!$F$3,", Line ",'Worksheet F Inputs'!A137," Col ",'Worksheet F Inputs'!$D$10&amp;" thru "&amp;'Worksheet F Inputs'!$F$10)</f>
        <v>Worksheet F, Line 109 Col D thru F</v>
      </c>
      <c r="D50" s="427">
        <f>'Worksheet F Inputs'!D137</f>
        <v>84119245</v>
      </c>
      <c r="E50" s="427">
        <f>'Worksheet F Inputs'!E137</f>
        <v>88160589</v>
      </c>
      <c r="F50" s="427">
        <f>'Worksheet F Inputs'!F137</f>
        <v>86139917</v>
      </c>
      <c r="G50" s="436" t="s">
        <v>115</v>
      </c>
      <c r="H50" s="411">
        <f>'Worksheet E Alloc. Factor'!$G$20</f>
        <v>1.359222739062114E-2</v>
      </c>
      <c r="I50" s="215">
        <f>H50*F50</f>
        <v>1170833.3392732316</v>
      </c>
      <c r="J50" s="80"/>
      <c r="K50" s="685"/>
      <c r="L50" s="27"/>
      <c r="M50" s="27"/>
    </row>
    <row r="51" spans="1:13" ht="15">
      <c r="A51" s="659"/>
      <c r="B51" s="425"/>
      <c r="C51" s="426"/>
      <c r="D51" s="427"/>
      <c r="E51" s="427"/>
      <c r="F51" s="427"/>
      <c r="G51" s="413"/>
      <c r="H51" s="411"/>
      <c r="I51" s="215"/>
      <c r="J51" s="71"/>
      <c r="K51" s="685"/>
      <c r="L51" s="27"/>
      <c r="M51" s="27"/>
    </row>
    <row r="52" spans="1:13" ht="15">
      <c r="A52" s="659">
        <f>A50+1</f>
        <v>33</v>
      </c>
      <c r="B52" s="9" t="s">
        <v>69</v>
      </c>
      <c r="C52" s="438" t="s">
        <v>144</v>
      </c>
      <c r="D52" s="439">
        <f>SUM(D44:D50)</f>
        <v>1937772649</v>
      </c>
      <c r="E52" s="439">
        <f>SUM(E44:E50)</f>
        <v>2040332113</v>
      </c>
      <c r="F52" s="439">
        <f>SUM(F44:F50)</f>
        <v>1989052381</v>
      </c>
      <c r="G52" s="49"/>
      <c r="H52" s="411"/>
      <c r="I52" s="439">
        <f>SUM(I44:I50)</f>
        <v>24205661.394141849</v>
      </c>
      <c r="J52" s="71"/>
      <c r="K52" s="685"/>
      <c r="L52" s="27"/>
      <c r="M52" s="27"/>
    </row>
    <row r="53" spans="1:13" ht="15">
      <c r="A53" s="659"/>
      <c r="B53" s="9"/>
      <c r="C53" s="438"/>
      <c r="D53" s="438"/>
      <c r="E53" s="438"/>
      <c r="F53" s="162"/>
      <c r="G53" s="49"/>
      <c r="H53" s="411"/>
      <c r="I53" s="440"/>
      <c r="J53" s="71"/>
      <c r="K53" s="685"/>
      <c r="L53" s="27"/>
      <c r="M53" s="27"/>
    </row>
    <row r="54" spans="1:13" ht="15.75">
      <c r="A54" s="659">
        <f>+A52+1</f>
        <v>34</v>
      </c>
      <c r="B54" s="232" t="s">
        <v>33</v>
      </c>
      <c r="C54" s="438"/>
      <c r="D54" s="438"/>
      <c r="E54" s="438"/>
      <c r="F54" s="119"/>
      <c r="G54" s="49"/>
      <c r="H54" s="411"/>
      <c r="I54" s="215"/>
      <c r="J54" s="71"/>
      <c r="K54" s="685"/>
      <c r="L54" s="27"/>
      <c r="M54" s="27"/>
    </row>
    <row r="55" spans="1:13" ht="15">
      <c r="A55" s="659">
        <f t="shared" si="0"/>
        <v>35</v>
      </c>
      <c r="B55" s="425" t="s">
        <v>70</v>
      </c>
      <c r="C55" s="50" t="str">
        <f>"Line "&amp;A13&amp;" - Line "&amp;A50</f>
        <v>Line 2 - Line 32</v>
      </c>
      <c r="D55" s="441">
        <f>D13-D50</f>
        <v>62670975</v>
      </c>
      <c r="E55" s="441">
        <f>E13-E50</f>
        <v>64610996</v>
      </c>
      <c r="F55" s="441">
        <f>F13-F50</f>
        <v>63640985.5</v>
      </c>
      <c r="G55" s="9"/>
      <c r="H55" s="432"/>
      <c r="I55" s="441">
        <f>I13-I50</f>
        <v>865022.74627922289</v>
      </c>
      <c r="J55" s="71"/>
      <c r="K55" s="685"/>
      <c r="L55" s="27"/>
      <c r="M55" s="27"/>
    </row>
    <row r="56" spans="1:13" ht="15">
      <c r="A56" s="659">
        <f t="shared" si="0"/>
        <v>36</v>
      </c>
      <c r="B56" s="425" t="s">
        <v>71</v>
      </c>
      <c r="C56" s="50" t="str">
        <f>"Line "&amp;A19&amp;" - Line "&amp;A44</f>
        <v>Line 7 - Line 27</v>
      </c>
      <c r="D56" s="441">
        <f>D19-D44</f>
        <v>1130745731</v>
      </c>
      <c r="E56" s="441">
        <f>E19-E44</f>
        <v>1121086512</v>
      </c>
      <c r="F56" s="441">
        <f>F19-F44</f>
        <v>1125916121.5</v>
      </c>
      <c r="G56" s="430"/>
      <c r="H56" s="432"/>
      <c r="I56" s="441">
        <f>I19-I44</f>
        <v>0</v>
      </c>
      <c r="J56" s="283"/>
      <c r="K56" s="685"/>
      <c r="L56" s="27"/>
      <c r="M56" s="27"/>
    </row>
    <row r="57" spans="1:13" ht="15">
      <c r="A57" s="659">
        <f t="shared" si="0"/>
        <v>37</v>
      </c>
      <c r="B57" s="425" t="s">
        <v>72</v>
      </c>
      <c r="C57" s="50" t="str">
        <f>"Line "&amp;A25&amp;" + Line "&amp;A33&amp;" - Line "&amp;A46</f>
        <v>Line 12 + Line 18 - Line 28</v>
      </c>
      <c r="D57" s="441">
        <f>D25+D33-D46</f>
        <v>581970706</v>
      </c>
      <c r="E57" s="441">
        <f>E25+E33-E46</f>
        <v>629014647</v>
      </c>
      <c r="F57" s="441">
        <f>F25+F33-F46</f>
        <v>605492676.5</v>
      </c>
      <c r="G57" s="9"/>
      <c r="H57" s="432"/>
      <c r="I57" s="441">
        <f>I25+I33-I46</f>
        <v>14527085.357500024</v>
      </c>
      <c r="J57" s="283"/>
      <c r="K57" s="685"/>
      <c r="L57" s="27"/>
      <c r="M57" s="27"/>
    </row>
    <row r="58" spans="1:13" ht="15">
      <c r="A58" s="659">
        <f t="shared" si="0"/>
        <v>38</v>
      </c>
      <c r="B58" s="425" t="s">
        <v>73</v>
      </c>
      <c r="C58" s="50" t="str">
        <f>"Line "&amp;A31&amp;" - Line "&amp;A47</f>
        <v>Line 17 - Line 29</v>
      </c>
      <c r="D58" s="441">
        <f>D31-D47</f>
        <v>47112173</v>
      </c>
      <c r="E58" s="441">
        <f>E31-E47</f>
        <v>49016458</v>
      </c>
      <c r="F58" s="441">
        <f>F31-F47</f>
        <v>48064315.5</v>
      </c>
      <c r="G58" s="9"/>
      <c r="H58" s="432"/>
      <c r="I58" s="441">
        <f>I31-I47</f>
        <v>0</v>
      </c>
      <c r="J58" s="283"/>
      <c r="K58" s="685"/>
      <c r="L58" s="27"/>
      <c r="M58" s="27"/>
    </row>
    <row r="59" spans="1:13" ht="15">
      <c r="A59" s="659">
        <f t="shared" si="0"/>
        <v>39</v>
      </c>
      <c r="B59" s="425" t="s">
        <v>74</v>
      </c>
      <c r="C59" s="50" t="str">
        <f>"Line "&amp;A34&amp;" - Line "&amp;A48</f>
        <v>Line 19 - Line 30</v>
      </c>
      <c r="D59" s="441">
        <f>D34-D48</f>
        <v>157558034</v>
      </c>
      <c r="E59" s="441">
        <f>E34-E48</f>
        <v>158022658</v>
      </c>
      <c r="F59" s="441">
        <f>F34-F48</f>
        <v>157790346</v>
      </c>
      <c r="G59" s="9"/>
      <c r="H59" s="432"/>
      <c r="I59" s="441">
        <f>I34-I48</f>
        <v>2144722.2628767868</v>
      </c>
      <c r="J59" s="283"/>
      <c r="K59" s="685"/>
      <c r="L59" s="27"/>
      <c r="M59" s="27"/>
    </row>
    <row r="60" spans="1:13" ht="15">
      <c r="A60" s="659">
        <f t="shared" si="0"/>
        <v>40</v>
      </c>
      <c r="B60" s="425" t="s">
        <v>246</v>
      </c>
      <c r="C60" s="50" t="str">
        <f>"Line "&amp;A35</f>
        <v>Line 20</v>
      </c>
      <c r="D60" s="441">
        <f>D35</f>
        <v>226302527</v>
      </c>
      <c r="E60" s="441">
        <f>E35</f>
        <v>266047723</v>
      </c>
      <c r="F60" s="441">
        <f>F35</f>
        <v>246175125</v>
      </c>
      <c r="G60" s="9"/>
      <c r="H60" s="432"/>
      <c r="I60" s="441">
        <f>I35</f>
        <v>3317262</v>
      </c>
      <c r="J60" s="283"/>
      <c r="K60" s="685"/>
      <c r="L60" s="27"/>
      <c r="M60" s="27"/>
    </row>
    <row r="61" spans="1:13" ht="15">
      <c r="A61" s="659">
        <f t="shared" si="0"/>
        <v>41</v>
      </c>
      <c r="B61" s="425" t="s">
        <v>65</v>
      </c>
      <c r="C61" s="431" t="str">
        <f>"Line "&amp;A49</f>
        <v>Line 31</v>
      </c>
      <c r="D61" s="437">
        <f>-D49</f>
        <v>908761</v>
      </c>
      <c r="E61" s="437">
        <f>-E49</f>
        <v>801347</v>
      </c>
      <c r="F61" s="437">
        <f>-F49</f>
        <v>855054</v>
      </c>
      <c r="G61" s="442" t="s">
        <v>17</v>
      </c>
      <c r="H61" s="437" t="s">
        <v>17</v>
      </c>
      <c r="I61" s="437">
        <f>-I49</f>
        <v>0</v>
      </c>
      <c r="J61" s="283"/>
      <c r="K61" s="685"/>
      <c r="L61" s="27"/>
      <c r="M61" s="27"/>
    </row>
    <row r="62" spans="1:13" ht="15">
      <c r="A62" s="659">
        <f t="shared" si="0"/>
        <v>42</v>
      </c>
      <c r="B62" s="425" t="s">
        <v>33</v>
      </c>
      <c r="C62" s="50" t="s">
        <v>156</v>
      </c>
      <c r="D62" s="441">
        <f>SUM(D55:D61)</f>
        <v>2207268907</v>
      </c>
      <c r="E62" s="441">
        <f>SUM(E55:E61)</f>
        <v>2288600341</v>
      </c>
      <c r="F62" s="441">
        <f>SUM(F55:F61)</f>
        <v>2247934624</v>
      </c>
      <c r="G62" s="9"/>
      <c r="H62" s="432" t="s">
        <v>17</v>
      </c>
      <c r="I62" s="441">
        <f>SUM(I55:I61)</f>
        <v>20854092.366656035</v>
      </c>
      <c r="J62" s="283"/>
      <c r="K62" s="685"/>
      <c r="L62" s="27"/>
      <c r="M62" s="27"/>
    </row>
    <row r="63" spans="1:13" ht="15">
      <c r="A63" s="659"/>
      <c r="B63" s="412"/>
      <c r="C63" s="438"/>
      <c r="D63" s="438"/>
      <c r="E63" s="443"/>
      <c r="F63" s="119"/>
      <c r="G63" s="9"/>
      <c r="H63" s="432"/>
      <c r="I63" s="407"/>
      <c r="J63" s="71"/>
      <c r="K63" s="685"/>
      <c r="L63" s="27"/>
      <c r="M63" s="27"/>
    </row>
    <row r="64" spans="1:13" ht="15">
      <c r="A64" s="659">
        <f>A62+1</f>
        <v>43</v>
      </c>
      <c r="B64" s="412" t="s">
        <v>142</v>
      </c>
      <c r="C64" s="438"/>
      <c r="D64" s="438"/>
      <c r="E64" s="439"/>
      <c r="F64" s="119"/>
      <c r="G64" s="9"/>
      <c r="H64" s="432"/>
      <c r="I64" s="407"/>
      <c r="J64" s="71"/>
      <c r="K64" s="685"/>
      <c r="L64" s="27"/>
      <c r="M64" s="27"/>
    </row>
    <row r="65" spans="1:13" ht="15">
      <c r="A65" s="659">
        <f t="shared" ref="A65:A70" si="1">A64+1</f>
        <v>44</v>
      </c>
      <c r="B65" s="425" t="s">
        <v>201</v>
      </c>
      <c r="C65" s="426" t="s">
        <v>857</v>
      </c>
      <c r="D65" s="427">
        <f>'Worksheet N Future Use'!E14</f>
        <v>74567532.409999996</v>
      </c>
      <c r="E65" s="427">
        <f>'Worksheet N Future Use'!H14</f>
        <v>74567532.409999996</v>
      </c>
      <c r="F65" s="427">
        <f>(D65+E65)/2</f>
        <v>74567532.409999996</v>
      </c>
      <c r="G65" s="413" t="s">
        <v>255</v>
      </c>
      <c r="H65" s="411">
        <f>'Worksheet E Alloc. Factor'!$G$37</f>
        <v>0</v>
      </c>
      <c r="I65" s="215">
        <f>H65*F65</f>
        <v>0</v>
      </c>
      <c r="J65" s="71"/>
      <c r="K65" s="685"/>
      <c r="L65" s="27"/>
      <c r="M65" s="27"/>
    </row>
    <row r="66" spans="1:13" ht="15">
      <c r="A66" s="659">
        <f t="shared" si="1"/>
        <v>45</v>
      </c>
      <c r="B66" s="425" t="s">
        <v>202</v>
      </c>
      <c r="C66" s="426" t="s">
        <v>858</v>
      </c>
      <c r="D66" s="427">
        <f>'Worksheet N Future Use'!E29</f>
        <v>2656619.4200000004</v>
      </c>
      <c r="E66" s="427">
        <f>'Worksheet N Future Use'!H29</f>
        <v>2656619.4200000004</v>
      </c>
      <c r="F66" s="427">
        <f>(D66+E66)/2</f>
        <v>2656619.4200000004</v>
      </c>
      <c r="G66" s="413" t="s">
        <v>395</v>
      </c>
      <c r="H66" s="411" t="s">
        <v>17</v>
      </c>
      <c r="I66" s="215">
        <f>'Worksheet N Future Use'!M37</f>
        <v>0</v>
      </c>
      <c r="J66" s="71"/>
      <c r="K66" s="685"/>
      <c r="L66" s="27"/>
      <c r="M66" s="27"/>
    </row>
    <row r="67" spans="1:13" ht="15">
      <c r="A67" s="659">
        <f t="shared" si="1"/>
        <v>46</v>
      </c>
      <c r="B67" s="425" t="s">
        <v>203</v>
      </c>
      <c r="C67" s="426" t="s">
        <v>859</v>
      </c>
      <c r="D67" s="427">
        <f>'Worksheet N Future Use'!E31</f>
        <v>0</v>
      </c>
      <c r="E67" s="427">
        <f>'Worksheet N Future Use'!H31</f>
        <v>0</v>
      </c>
      <c r="F67" s="427">
        <f>(D67+E67)/2</f>
        <v>0</v>
      </c>
      <c r="G67" s="413" t="s">
        <v>255</v>
      </c>
      <c r="H67" s="411">
        <f>'Worksheet E Alloc. Factor'!$G$37</f>
        <v>0</v>
      </c>
      <c r="I67" s="215">
        <f>H67*F67</f>
        <v>0</v>
      </c>
      <c r="J67" s="71"/>
      <c r="K67" s="685"/>
      <c r="L67" s="27"/>
      <c r="M67" s="27"/>
    </row>
    <row r="68" spans="1:13" ht="15">
      <c r="A68" s="659">
        <f t="shared" si="1"/>
        <v>47</v>
      </c>
      <c r="B68" s="425" t="s">
        <v>659</v>
      </c>
      <c r="C68" s="426" t="s">
        <v>860</v>
      </c>
      <c r="D68" s="427">
        <f>'Worksheet N Future Use'!E33</f>
        <v>0</v>
      </c>
      <c r="E68" s="427">
        <f>'Worksheet N Future Use'!H33</f>
        <v>0</v>
      </c>
      <c r="F68" s="427">
        <f>(D68+E68)/2</f>
        <v>0</v>
      </c>
      <c r="G68" s="436" t="s">
        <v>115</v>
      </c>
      <c r="H68" s="411">
        <f>'Worksheet E Alloc. Factor'!$G$20</f>
        <v>1.359222739062114E-2</v>
      </c>
      <c r="I68" s="215">
        <f>H68*F68</f>
        <v>0</v>
      </c>
      <c r="J68" s="71"/>
      <c r="K68" s="685"/>
      <c r="L68" s="27"/>
      <c r="M68" s="27"/>
    </row>
    <row r="69" spans="1:13" ht="15">
      <c r="A69" s="659">
        <f t="shared" si="1"/>
        <v>48</v>
      </c>
      <c r="B69" s="425" t="s">
        <v>660</v>
      </c>
      <c r="C69" s="426" t="s">
        <v>861</v>
      </c>
      <c r="D69" s="427">
        <f>'Worksheet N Future Use'!E35</f>
        <v>0</v>
      </c>
      <c r="E69" s="427">
        <f>'Worksheet N Future Use'!H35</f>
        <v>0</v>
      </c>
      <c r="F69" s="427">
        <f>(D69+E69)/2</f>
        <v>0</v>
      </c>
      <c r="G69" s="436" t="s">
        <v>115</v>
      </c>
      <c r="H69" s="411">
        <f>'Worksheet E Alloc. Factor'!$G$20</f>
        <v>1.359222739062114E-2</v>
      </c>
      <c r="I69" s="215">
        <f>H69*F69</f>
        <v>0</v>
      </c>
      <c r="J69" s="71"/>
      <c r="K69" s="685"/>
      <c r="L69" s="27"/>
      <c r="M69" s="27"/>
    </row>
    <row r="70" spans="1:13" ht="29.25">
      <c r="A70" s="659">
        <f t="shared" si="1"/>
        <v>49</v>
      </c>
      <c r="B70" s="425" t="s">
        <v>61</v>
      </c>
      <c r="C70" s="431" t="s">
        <v>934</v>
      </c>
      <c r="D70" s="427">
        <f>'Worksheet F Inputs'!D125</f>
        <v>199319369</v>
      </c>
      <c r="E70" s="427">
        <f>'Worksheet F Inputs'!E125</f>
        <v>208779897</v>
      </c>
      <c r="F70" s="427">
        <f>'Worksheet F Inputs'!F125</f>
        <v>204049633</v>
      </c>
      <c r="G70" s="49" t="s">
        <v>395</v>
      </c>
      <c r="H70" s="411"/>
      <c r="I70" s="215">
        <f>'Worksheet R CWIP'!L27</f>
        <v>58060.5</v>
      </c>
      <c r="J70" s="80"/>
      <c r="K70" s="685"/>
      <c r="L70" s="27"/>
      <c r="M70" s="27"/>
    </row>
    <row r="71" spans="1:13" ht="15">
      <c r="A71" s="659"/>
      <c r="B71" s="412"/>
      <c r="C71" s="50"/>
      <c r="D71" s="441"/>
      <c r="E71" s="441"/>
      <c r="F71" s="441"/>
      <c r="G71" s="9"/>
      <c r="H71" s="432"/>
      <c r="I71" s="441"/>
      <c r="J71" s="283"/>
      <c r="K71" s="685"/>
      <c r="L71" s="27"/>
      <c r="M71" s="27"/>
    </row>
    <row r="72" spans="1:13" ht="15">
      <c r="A72" s="659">
        <f>A70+1</f>
        <v>50</v>
      </c>
      <c r="B72" s="9" t="s">
        <v>42</v>
      </c>
      <c r="C72" s="50"/>
      <c r="D72" s="50"/>
      <c r="E72" s="50"/>
      <c r="F72" s="9"/>
      <c r="G72" s="9"/>
      <c r="H72" s="432"/>
      <c r="I72" s="9"/>
      <c r="J72" s="71"/>
      <c r="K72" s="685"/>
      <c r="L72" s="27"/>
      <c r="M72" s="27"/>
    </row>
    <row r="73" spans="1:13" ht="15">
      <c r="A73" s="659">
        <f>A72+1</f>
        <v>51</v>
      </c>
      <c r="B73" s="412" t="s">
        <v>136</v>
      </c>
      <c r="C73" s="426" t="str">
        <f>'Worksheet B Expenses'!I3&amp;", Line "&amp;'Worksheet B Expenses'!A44&amp;", Col "&amp;'Worksheet B Expenses'!F10&amp;" and "&amp;'Worksheet B Expenses'!I10</f>
        <v>Worksheet B, Line 29, Col F and I</v>
      </c>
      <c r="D73" s="438"/>
      <c r="E73" s="438"/>
      <c r="F73" s="119">
        <f>'Worksheet B Expenses'!F44</f>
        <v>182026732</v>
      </c>
      <c r="G73" s="9"/>
      <c r="H73" s="432"/>
      <c r="I73" s="407">
        <f>'Worksheet B Expenses'!I44</f>
        <v>6364396.7333464343</v>
      </c>
      <c r="J73" s="71"/>
      <c r="K73" s="685"/>
      <c r="L73" s="27"/>
      <c r="M73" s="27"/>
    </row>
    <row r="74" spans="1:13" ht="15">
      <c r="A74" s="659">
        <f>A73+1</f>
        <v>52</v>
      </c>
      <c r="B74" s="412" t="s">
        <v>41</v>
      </c>
      <c r="C74" s="426" t="str">
        <f>CONCATENATE('Worksheet F Inputs'!$F$3,", Line ",'Worksheet F Inputs'!A13," Col ",'Worksheet F Inputs'!$F$10)</f>
        <v>Worksheet F, Line 1 Col F</v>
      </c>
      <c r="D74" s="438"/>
      <c r="E74" s="438"/>
      <c r="F74" s="444">
        <f>'Worksheet F Inputs'!$F$13</f>
        <v>45</v>
      </c>
      <c r="G74" s="445"/>
      <c r="H74" s="432"/>
      <c r="I74" s="444">
        <f>'Worksheet F Inputs'!$F$13</f>
        <v>45</v>
      </c>
      <c r="J74" s="71"/>
      <c r="K74" s="685"/>
      <c r="L74" s="27"/>
      <c r="M74" s="27"/>
    </row>
    <row r="75" spans="1:13" ht="15">
      <c r="A75" s="659">
        <f>A74+1</f>
        <v>53</v>
      </c>
      <c r="B75" s="412" t="s">
        <v>42</v>
      </c>
      <c r="C75" s="438" t="str">
        <f>"Line "&amp;A73&amp;" * Line "&amp;A74&amp;" / 365"</f>
        <v>Line 51 * Line 52 / 365</v>
      </c>
      <c r="D75" s="438"/>
      <c r="E75" s="438"/>
      <c r="F75" s="119">
        <f>F73*F74/365</f>
        <v>22441651.89041096</v>
      </c>
      <c r="G75" s="49"/>
      <c r="H75" s="411"/>
      <c r="I75" s="119">
        <f>I73*I74/365</f>
        <v>784651.65205640974</v>
      </c>
      <c r="J75" s="71"/>
      <c r="K75" s="685"/>
      <c r="L75" s="27"/>
      <c r="M75" s="27"/>
    </row>
    <row r="76" spans="1:13" ht="15">
      <c r="A76" s="659"/>
      <c r="B76" s="412"/>
      <c r="C76" s="438"/>
      <c r="D76" s="438"/>
      <c r="E76" s="438"/>
      <c r="F76" s="119"/>
      <c r="G76" s="9"/>
      <c r="H76" s="432"/>
      <c r="I76" s="119"/>
      <c r="J76" s="71"/>
      <c r="K76" s="685"/>
      <c r="L76" s="27"/>
      <c r="M76" s="27"/>
    </row>
    <row r="77" spans="1:13" ht="15">
      <c r="A77" s="659">
        <f>+A75+1</f>
        <v>54</v>
      </c>
      <c r="B77" s="412" t="s">
        <v>43</v>
      </c>
      <c r="C77" s="426" t="str">
        <f>'Worksheet F Inputs'!F3&amp;", Line "&amp;'Worksheet F Inputs'!A80&amp;", Col "&amp;'Worksheet F Inputs'!D10&amp;" thru "&amp;'Worksheet F Inputs'!F10</f>
        <v>Worksheet F, Line 61, Col D thru F</v>
      </c>
      <c r="D77" s="119">
        <f>'Worksheet F Inputs'!D80</f>
        <v>12158177</v>
      </c>
      <c r="E77" s="119">
        <f>'Worksheet F Inputs'!E80</f>
        <v>15220316</v>
      </c>
      <c r="F77" s="119">
        <f>'Worksheet F Inputs'!F80</f>
        <v>13689246.5</v>
      </c>
      <c r="G77" s="49" t="s">
        <v>132</v>
      </c>
      <c r="H77" s="411">
        <f>'Worksheet E Alloc. Factor'!$G$32</f>
        <v>1.0634857673064277E-2</v>
      </c>
      <c r="I77" s="407">
        <f>H77*F77</f>
        <v>145583.1881789933</v>
      </c>
      <c r="J77" s="283"/>
      <c r="K77" s="685"/>
      <c r="L77" s="27"/>
      <c r="M77" s="27"/>
    </row>
    <row r="78" spans="1:13" ht="15">
      <c r="A78" s="653"/>
      <c r="B78" s="412"/>
      <c r="C78" s="438"/>
      <c r="D78" s="438"/>
      <c r="E78" s="438"/>
      <c r="F78" s="119"/>
      <c r="G78" s="49"/>
      <c r="H78" s="411"/>
      <c r="I78" s="407"/>
      <c r="J78" s="283"/>
      <c r="K78" s="685"/>
      <c r="L78" s="27"/>
      <c r="M78" s="27"/>
    </row>
    <row r="79" spans="1:13" ht="15">
      <c r="A79" s="653">
        <f>+A77+1</f>
        <v>55</v>
      </c>
      <c r="B79" s="446" t="str">
        <f>'Worksheet F Inputs'!B143</f>
        <v>M&amp;S Coal</v>
      </c>
      <c r="C79" s="426" t="str">
        <f>CONCATENATE('Worksheet F Inputs'!$F$3,", Line ",'Worksheet F Inputs'!A143," Col ",'Worksheet F Inputs'!$D$10&amp;" thru "&amp;'Worksheet F Inputs'!$F$10)</f>
        <v>Worksheet F, Line 113 Col D thru F</v>
      </c>
      <c r="D79" s="447">
        <f>'Worksheet F Inputs'!D143</f>
        <v>48600766</v>
      </c>
      <c r="E79" s="447">
        <f>'Worksheet F Inputs'!E143</f>
        <v>56189379</v>
      </c>
      <c r="F79" s="447">
        <f>'Worksheet F Inputs'!F143</f>
        <v>52395072.5</v>
      </c>
      <c r="G79" s="413" t="s">
        <v>255</v>
      </c>
      <c r="H79" s="411">
        <f>'Worksheet E Alloc. Factor'!$G$37</f>
        <v>0</v>
      </c>
      <c r="I79" s="407">
        <f t="shared" ref="I79:I84" si="2">F79*H79</f>
        <v>0</v>
      </c>
      <c r="J79" s="283"/>
      <c r="K79" s="685"/>
      <c r="L79" s="27"/>
      <c r="M79" s="27"/>
    </row>
    <row r="80" spans="1:13" ht="15">
      <c r="A80" s="659">
        <f t="shared" ref="A80:A85" si="3">A79+1</f>
        <v>56</v>
      </c>
      <c r="B80" s="446" t="str">
        <f>'Worksheet F Inputs'!B144</f>
        <v>M&amp;S Other Fuel</v>
      </c>
      <c r="C80" s="426" t="str">
        <f>CONCATENATE('Worksheet F Inputs'!$F$3,", Line ",'Worksheet F Inputs'!A144," Col ",'Worksheet F Inputs'!$D$10&amp;" thru "&amp;'Worksheet F Inputs'!$F$10)</f>
        <v>Worksheet F, Line 114 Col D thru F</v>
      </c>
      <c r="D80" s="447">
        <f>'Worksheet F Inputs'!D144</f>
        <v>5905518</v>
      </c>
      <c r="E80" s="447">
        <f>'Worksheet F Inputs'!E144</f>
        <v>5874682</v>
      </c>
      <c r="F80" s="447">
        <f>'Worksheet F Inputs'!F144</f>
        <v>5890100</v>
      </c>
      <c r="G80" s="413" t="s">
        <v>255</v>
      </c>
      <c r="H80" s="411">
        <f>'Worksheet E Alloc. Factor'!$G$37</f>
        <v>0</v>
      </c>
      <c r="I80" s="407">
        <f t="shared" si="2"/>
        <v>0</v>
      </c>
      <c r="J80" s="283"/>
      <c r="K80" s="685"/>
      <c r="L80" s="27"/>
      <c r="M80" s="27"/>
    </row>
    <row r="81" spans="1:13" ht="15">
      <c r="A81" s="659">
        <f t="shared" si="3"/>
        <v>57</v>
      </c>
      <c r="B81" s="446" t="str">
        <f>'Worksheet F Inputs'!B145</f>
        <v>M&amp;S Production Plant Parts</v>
      </c>
      <c r="C81" s="426" t="str">
        <f>CONCATENATE('Worksheet F Inputs'!$F$3,", Line ",'Worksheet F Inputs'!A145," Col ",'Worksheet F Inputs'!$D$10&amp;" thru "&amp;'Worksheet F Inputs'!$F$10)</f>
        <v>Worksheet F, Line 115 Col D thru F</v>
      </c>
      <c r="D81" s="447">
        <f>'Worksheet F Inputs'!D145</f>
        <v>40036550</v>
      </c>
      <c r="E81" s="447">
        <f>'Worksheet F Inputs'!E145</f>
        <v>42125737</v>
      </c>
      <c r="F81" s="447">
        <f>'Worksheet F Inputs'!F145</f>
        <v>41081143.5</v>
      </c>
      <c r="G81" s="413" t="s">
        <v>255</v>
      </c>
      <c r="H81" s="411">
        <f>'Worksheet E Alloc. Factor'!$G$37</f>
        <v>0</v>
      </c>
      <c r="I81" s="407">
        <f t="shared" si="2"/>
        <v>0</v>
      </c>
      <c r="J81" s="283"/>
      <c r="K81" s="685"/>
      <c r="L81" s="27"/>
      <c r="M81" s="27"/>
    </row>
    <row r="82" spans="1:13" ht="15">
      <c r="A82" s="659">
        <f t="shared" si="3"/>
        <v>58</v>
      </c>
      <c r="B82" s="446" t="str">
        <f>'Worksheet F Inputs'!B146</f>
        <v>M&amp;S Station Transformers &amp; Equipment</v>
      </c>
      <c r="C82" s="426" t="str">
        <f>CONCATENATE('Worksheet F Inputs'!$F$3,", Line ",'Worksheet F Inputs'!A146," Col ",'Worksheet F Inputs'!$D$10&amp;" thru "&amp;'Worksheet F Inputs'!$F$10)</f>
        <v>Worksheet F, Line 116 Col D thru F</v>
      </c>
      <c r="D82" s="447">
        <f>'Worksheet F Inputs'!D146</f>
        <v>18913453</v>
      </c>
      <c r="E82" s="447">
        <f>'Worksheet F Inputs'!E146</f>
        <v>19898164</v>
      </c>
      <c r="F82" s="447">
        <f>'Worksheet F Inputs'!F146</f>
        <v>19405808.5</v>
      </c>
      <c r="G82" s="49" t="s">
        <v>116</v>
      </c>
      <c r="H82" s="411">
        <f>'Worksheet E Alloc. Factor'!$G$23</f>
        <v>2.660025791491619E-2</v>
      </c>
      <c r="I82" s="407">
        <f t="shared" si="2"/>
        <v>516199.51114747289</v>
      </c>
      <c r="J82" s="283"/>
      <c r="K82" s="685"/>
      <c r="L82" s="27"/>
      <c r="M82" s="27"/>
    </row>
    <row r="83" spans="1:13" ht="15">
      <c r="A83" s="659">
        <f t="shared" si="3"/>
        <v>59</v>
      </c>
      <c r="B83" s="446" t="str">
        <f>'Worksheet F Inputs'!B147</f>
        <v>M&amp;S Line Materials &amp; Supplies</v>
      </c>
      <c r="C83" s="426" t="str">
        <f>CONCATENATE('Worksheet F Inputs'!$F$3,", Line ",'Worksheet F Inputs'!A147," Col ",'Worksheet F Inputs'!$D$10&amp;" thru "&amp;'Worksheet F Inputs'!$F$10)</f>
        <v>Worksheet F, Line 117 Col D thru F</v>
      </c>
      <c r="D83" s="447">
        <f>'Worksheet F Inputs'!D147</f>
        <v>5751640</v>
      </c>
      <c r="E83" s="447">
        <f>'Worksheet F Inputs'!E147</f>
        <v>6051093</v>
      </c>
      <c r="F83" s="447">
        <f>'Worksheet F Inputs'!F147</f>
        <v>5901366.5</v>
      </c>
      <c r="G83" s="49" t="s">
        <v>200</v>
      </c>
      <c r="H83" s="411">
        <f>'Worksheet E Alloc. Factor'!$G$26</f>
        <v>3.8391938498792293E-2</v>
      </c>
      <c r="I83" s="407">
        <f t="shared" si="2"/>
        <v>226564.89972683313</v>
      </c>
      <c r="J83" s="283"/>
      <c r="K83" s="685"/>
      <c r="L83" s="27"/>
      <c r="M83" s="27"/>
    </row>
    <row r="84" spans="1:13" ht="15">
      <c r="A84" s="659">
        <f t="shared" si="3"/>
        <v>60</v>
      </c>
      <c r="B84" s="446" t="str">
        <f>'Worksheet F Inputs'!B148</f>
        <v>M&amp;S Other</v>
      </c>
      <c r="C84" s="426" t="str">
        <f>CONCATENATE('Worksheet F Inputs'!$F$3,", Line ",'Worksheet F Inputs'!A148," Col ",'Worksheet F Inputs'!$D$10&amp;" thru "&amp;'Worksheet F Inputs'!$F$10)</f>
        <v>Worksheet F, Line 118 Col D thru F</v>
      </c>
      <c r="D84" s="447">
        <f>'Worksheet F Inputs'!D148</f>
        <v>0</v>
      </c>
      <c r="E84" s="447">
        <f>'Worksheet F Inputs'!E148</f>
        <v>0</v>
      </c>
      <c r="F84" s="447">
        <f>'Worksheet F Inputs'!F148</f>
        <v>0</v>
      </c>
      <c r="G84" s="49" t="s">
        <v>132</v>
      </c>
      <c r="H84" s="411">
        <f>'Worksheet E Alloc. Factor'!G32</f>
        <v>1.0634857673064277E-2</v>
      </c>
      <c r="I84" s="407">
        <f t="shared" si="2"/>
        <v>0</v>
      </c>
      <c r="J84" s="283"/>
      <c r="K84" s="685"/>
      <c r="L84" s="27"/>
      <c r="M84" s="27"/>
    </row>
    <row r="85" spans="1:13" ht="15">
      <c r="A85" s="659">
        <f t="shared" si="3"/>
        <v>61</v>
      </c>
      <c r="B85" s="412" t="s">
        <v>46</v>
      </c>
      <c r="C85" s="50" t="s">
        <v>156</v>
      </c>
      <c r="D85" s="448">
        <f>SUM(D79:D84)</f>
        <v>119207927</v>
      </c>
      <c r="E85" s="448">
        <f>SUM(E79:E84)</f>
        <v>130139055</v>
      </c>
      <c r="F85" s="448">
        <f>SUM(F79:F84)</f>
        <v>124673491</v>
      </c>
      <c r="G85" s="49"/>
      <c r="H85" s="449"/>
      <c r="I85" s="448">
        <f>SUM(I79:I84)</f>
        <v>742764.41087430599</v>
      </c>
      <c r="J85" s="283"/>
      <c r="K85" s="685"/>
      <c r="L85" s="27"/>
      <c r="M85" s="27"/>
    </row>
    <row r="86" spans="1:13" ht="15">
      <c r="A86" s="659"/>
      <c r="B86" s="412"/>
      <c r="C86" s="50"/>
      <c r="D86" s="448"/>
      <c r="E86" s="448"/>
      <c r="F86" s="448"/>
      <c r="G86" s="49"/>
      <c r="H86" s="449"/>
      <c r="I86" s="448"/>
      <c r="J86" s="283"/>
      <c r="K86" s="685"/>
      <c r="L86" s="27"/>
      <c r="M86" s="27"/>
    </row>
    <row r="87" spans="1:13" ht="15">
      <c r="A87" s="659">
        <f>A85+1</f>
        <v>62</v>
      </c>
      <c r="B87" s="412" t="s">
        <v>782</v>
      </c>
      <c r="C87" s="50"/>
      <c r="D87" s="448"/>
      <c r="E87" s="448"/>
      <c r="F87" s="448">
        <f>SUM(F65:F70,F75,F77,F85)</f>
        <v>442078174.22041094</v>
      </c>
      <c r="G87" s="49"/>
      <c r="H87" s="449"/>
      <c r="I87" s="448">
        <f>SUM(I65:I70,I75,I77,I85)</f>
        <v>1731059.751109709</v>
      </c>
      <c r="J87" s="283"/>
      <c r="K87" s="685"/>
      <c r="L87" s="27"/>
      <c r="M87" s="27"/>
    </row>
    <row r="88" spans="1:13" ht="15">
      <c r="A88" s="653">
        <f>A87+1</f>
        <v>63</v>
      </c>
      <c r="B88" s="412" t="s">
        <v>37</v>
      </c>
      <c r="C88" s="438" t="s">
        <v>2</v>
      </c>
      <c r="D88" s="438"/>
      <c r="E88" s="119"/>
      <c r="F88" s="119">
        <f>SUM(F62,F87)</f>
        <v>2690012798.2204108</v>
      </c>
      <c r="G88" s="9"/>
      <c r="H88" s="9"/>
      <c r="I88" s="119">
        <f>SUM(I62,I87)</f>
        <v>22585152.117765743</v>
      </c>
      <c r="J88" s="283"/>
      <c r="K88" s="685"/>
      <c r="L88" s="27"/>
      <c r="M88" s="27"/>
    </row>
    <row r="89" spans="1:13">
      <c r="A89" s="9"/>
      <c r="B89" s="9"/>
      <c r="C89" s="9"/>
      <c r="D89" s="9"/>
      <c r="E89" s="9"/>
      <c r="F89" s="9"/>
      <c r="G89" s="9"/>
      <c r="H89" s="9"/>
      <c r="I89" s="9"/>
      <c r="K89" s="685"/>
      <c r="L89" s="27"/>
      <c r="M89" s="27"/>
    </row>
    <row r="90" spans="1:13">
      <c r="A90" s="9"/>
      <c r="B90" s="9"/>
      <c r="C90" s="9"/>
      <c r="D90" s="9"/>
      <c r="E90" s="9"/>
      <c r="F90" s="59"/>
      <c r="G90" s="9"/>
      <c r="H90" s="9"/>
      <c r="I90" s="9"/>
      <c r="K90" s="685"/>
      <c r="L90" s="27"/>
      <c r="M90" s="27"/>
    </row>
    <row r="91" spans="1:13">
      <c r="A91" s="9"/>
      <c r="B91" s="9"/>
      <c r="C91" s="9"/>
      <c r="D91" s="9"/>
      <c r="E91" s="9"/>
      <c r="F91" s="9"/>
      <c r="G91" s="9"/>
      <c r="H91" s="9"/>
      <c r="I91" s="9"/>
      <c r="K91" s="685"/>
      <c r="L91" s="27"/>
      <c r="M91" s="27"/>
    </row>
    <row r="92" spans="1:13">
      <c r="A92" s="9"/>
      <c r="B92" s="9"/>
      <c r="C92" s="9"/>
      <c r="D92" s="9"/>
      <c r="E92" s="9"/>
      <c r="F92" s="9"/>
      <c r="G92" s="9"/>
      <c r="H92" s="9"/>
      <c r="I92" s="9"/>
      <c r="K92" s="685"/>
      <c r="L92" s="27"/>
      <c r="M92" s="27"/>
    </row>
    <row r="93" spans="1:13">
      <c r="A93" s="9"/>
      <c r="B93" s="9"/>
      <c r="C93" s="9"/>
      <c r="D93" s="9"/>
      <c r="E93" s="9"/>
      <c r="F93" s="9"/>
      <c r="G93" s="9"/>
      <c r="H93" s="9"/>
      <c r="I93" s="9"/>
      <c r="K93" s="685"/>
      <c r="L93" s="27"/>
      <c r="M93" s="27"/>
    </row>
    <row r="94" spans="1:13">
      <c r="A94" s="9"/>
      <c r="B94" s="9"/>
      <c r="C94" s="9"/>
      <c r="D94" s="9"/>
      <c r="E94" s="9"/>
      <c r="F94" s="9"/>
      <c r="G94" s="9"/>
      <c r="H94" s="9"/>
      <c r="I94" s="9"/>
      <c r="K94" s="685"/>
      <c r="L94" s="27"/>
      <c r="M94" s="27"/>
    </row>
    <row r="95" spans="1:13">
      <c r="A95" s="9"/>
      <c r="B95" s="9"/>
      <c r="C95" s="9"/>
      <c r="D95" s="9"/>
      <c r="E95" s="9"/>
      <c r="F95" s="9"/>
      <c r="G95" s="9"/>
      <c r="H95" s="9"/>
      <c r="I95" s="9"/>
      <c r="K95" s="685"/>
      <c r="L95" s="27"/>
      <c r="M95" s="27"/>
    </row>
    <row r="96" spans="1:13">
      <c r="A96" s="9"/>
      <c r="B96" s="9"/>
      <c r="C96" s="9"/>
      <c r="D96" s="9"/>
      <c r="E96" s="9"/>
      <c r="F96" s="9"/>
      <c r="G96" s="9"/>
      <c r="H96" s="9"/>
      <c r="I96" s="9"/>
      <c r="K96" s="685"/>
      <c r="L96" s="27"/>
      <c r="M96" s="27"/>
    </row>
    <row r="97" spans="1:13">
      <c r="A97" s="9"/>
      <c r="B97" s="9"/>
      <c r="C97" s="9"/>
      <c r="D97" s="9"/>
      <c r="E97" s="9"/>
      <c r="F97" s="9"/>
      <c r="G97" s="9"/>
      <c r="H97" s="9"/>
      <c r="I97" s="9"/>
      <c r="K97" s="685"/>
      <c r="L97" s="27"/>
      <c r="M97" s="27"/>
    </row>
    <row r="98" spans="1:13">
      <c r="A98" s="9"/>
      <c r="B98" s="9"/>
      <c r="C98" s="9"/>
      <c r="D98" s="9"/>
      <c r="E98" s="9"/>
      <c r="F98" s="9"/>
      <c r="G98" s="9"/>
      <c r="H98" s="9"/>
      <c r="I98" s="9"/>
      <c r="K98" s="685"/>
      <c r="L98" s="27"/>
      <c r="M98" s="27"/>
    </row>
    <row r="99" spans="1:13">
      <c r="A99" s="9"/>
      <c r="B99" s="9"/>
      <c r="C99" s="9"/>
      <c r="D99" s="9"/>
      <c r="E99" s="9"/>
      <c r="F99" s="9"/>
      <c r="G99" s="9"/>
      <c r="H99" s="9"/>
      <c r="I99" s="9"/>
      <c r="K99" s="685"/>
      <c r="L99" s="27"/>
      <c r="M99" s="27"/>
    </row>
    <row r="100" spans="1:13">
      <c r="A100" s="9"/>
      <c r="B100" s="9"/>
      <c r="C100" s="9"/>
      <c r="D100" s="9"/>
      <c r="E100" s="9"/>
      <c r="F100" s="9"/>
      <c r="G100" s="9"/>
      <c r="H100" s="9"/>
      <c r="I100" s="9"/>
      <c r="K100" s="685"/>
      <c r="L100" s="27"/>
      <c r="M100" s="27"/>
    </row>
    <row r="101" spans="1:13">
      <c r="A101" s="9"/>
      <c r="B101" s="9"/>
      <c r="C101" s="9"/>
      <c r="D101" s="9"/>
      <c r="E101" s="9"/>
      <c r="F101" s="9"/>
      <c r="G101" s="9"/>
      <c r="H101" s="9"/>
      <c r="I101" s="9"/>
      <c r="K101" s="685"/>
      <c r="L101" s="27"/>
      <c r="M101" s="27"/>
    </row>
    <row r="102" spans="1:13">
      <c r="A102" s="9"/>
      <c r="B102" s="9"/>
      <c r="C102" s="9"/>
      <c r="D102" s="9"/>
      <c r="E102" s="9"/>
      <c r="F102" s="9"/>
      <c r="G102" s="9"/>
      <c r="H102" s="9"/>
      <c r="I102" s="9"/>
      <c r="K102" s="685"/>
      <c r="L102" s="27"/>
      <c r="M102" s="27"/>
    </row>
    <row r="103" spans="1:13">
      <c r="A103" s="9"/>
      <c r="B103" s="9"/>
      <c r="C103" s="9"/>
      <c r="D103" s="9"/>
      <c r="E103" s="9"/>
      <c r="F103" s="9"/>
      <c r="G103" s="9"/>
      <c r="H103" s="9"/>
      <c r="I103" s="9"/>
      <c r="L103" s="27"/>
      <c r="M103" s="27"/>
    </row>
    <row r="104" spans="1:13">
      <c r="A104" s="9"/>
      <c r="B104" s="9"/>
      <c r="C104" s="9"/>
      <c r="D104" s="9"/>
      <c r="E104" s="9"/>
      <c r="F104" s="9"/>
      <c r="G104" s="9"/>
      <c r="H104" s="9"/>
      <c r="I104" s="9"/>
      <c r="L104" s="27"/>
      <c r="M104" s="27"/>
    </row>
    <row r="105" spans="1:13">
      <c r="L105" s="27"/>
      <c r="M105" s="27"/>
    </row>
    <row r="106" spans="1:13">
      <c r="L106" s="27"/>
      <c r="M106" s="27"/>
    </row>
    <row r="107" spans="1:13">
      <c r="L107" s="27"/>
      <c r="M107" s="27"/>
    </row>
    <row r="108" spans="1:13">
      <c r="L108" s="27"/>
      <c r="M108" s="27"/>
    </row>
    <row r="109" spans="1:13">
      <c r="L109" s="27"/>
      <c r="M109" s="27"/>
    </row>
    <row r="110" spans="1:13">
      <c r="L110" s="27"/>
      <c r="M110" s="27"/>
    </row>
    <row r="111" spans="1:13">
      <c r="L111" s="27"/>
      <c r="M111" s="27"/>
    </row>
    <row r="112" spans="1:13">
      <c r="L112" s="27"/>
      <c r="M112" s="27"/>
    </row>
    <row r="113" spans="12:13">
      <c r="L113" s="27"/>
      <c r="M113" s="27"/>
    </row>
    <row r="114" spans="12:13">
      <c r="L114" s="27"/>
      <c r="M114" s="27"/>
    </row>
    <row r="115" spans="12:13">
      <c r="L115" s="27"/>
      <c r="M115" s="27"/>
    </row>
    <row r="116" spans="12:13">
      <c r="L116" s="27"/>
      <c r="M116" s="27"/>
    </row>
    <row r="117" spans="12:13">
      <c r="L117" s="27"/>
      <c r="M117" s="27"/>
    </row>
    <row r="118" spans="12:13">
      <c r="L118" s="27"/>
      <c r="M118" s="27"/>
    </row>
    <row r="119" spans="12:13">
      <c r="L119" s="27"/>
      <c r="M119" s="27"/>
    </row>
    <row r="120" spans="12:13">
      <c r="L120" s="27"/>
      <c r="M120" s="27"/>
    </row>
    <row r="121" spans="12:13">
      <c r="L121" s="27"/>
      <c r="M121" s="27"/>
    </row>
    <row r="122" spans="12:13">
      <c r="L122" s="27"/>
      <c r="M122" s="27"/>
    </row>
    <row r="123" spans="12:13">
      <c r="L123" s="27"/>
      <c r="M123" s="27"/>
    </row>
    <row r="124" spans="12:13">
      <c r="L124" s="27"/>
      <c r="M124" s="27"/>
    </row>
    <row r="125" spans="12:13">
      <c r="L125" s="27"/>
      <c r="M125" s="27"/>
    </row>
    <row r="126" spans="12:13">
      <c r="L126" s="27"/>
      <c r="M126" s="27"/>
    </row>
    <row r="127" spans="12:13">
      <c r="L127" s="27"/>
      <c r="M127" s="27"/>
    </row>
    <row r="128" spans="12:13">
      <c r="L128" s="27"/>
      <c r="M128" s="27"/>
    </row>
    <row r="129" spans="12:13">
      <c r="L129" s="27"/>
      <c r="M129" s="27"/>
    </row>
    <row r="130" spans="12:13">
      <c r="L130" s="27"/>
      <c r="M130" s="27"/>
    </row>
    <row r="131" spans="12:13">
      <c r="L131" s="27"/>
      <c r="M131" s="27"/>
    </row>
    <row r="132" spans="12:13">
      <c r="L132" s="27"/>
      <c r="M132" s="27"/>
    </row>
    <row r="133" spans="12:13">
      <c r="L133" s="27"/>
      <c r="M133" s="27"/>
    </row>
    <row r="134" spans="12:13">
      <c r="L134" s="27"/>
      <c r="M134" s="27"/>
    </row>
  </sheetData>
  <customSheetViews>
    <customSheetView guid="{3FBB0C90-C6C1-480D-B078-514EE8852FAF}" scale="115" showPageBreaks="1" fitToPage="1" printArea="1">
      <selection activeCell="K2" sqref="K2"/>
      <pageMargins left="0.7" right="0.7" top="0.75" bottom="0.75" header="0.3" footer="0.3"/>
      <pageSetup scale="51" orientation="landscape" horizontalDpi="1200" verticalDpi="1200" r:id="rId1"/>
      <headerFooter>
        <oddFooter>&amp;L&amp;8&amp;F  &amp;A  &amp;D  &amp;T</oddFooter>
      </headerFooter>
    </customSheetView>
  </customSheetViews>
  <printOptions horizontalCentered="1"/>
  <pageMargins left="0.7" right="0.7" top="0.75" bottom="0.75" header="0.3" footer="0.3"/>
  <pageSetup scale="61"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pageSetUpPr fitToPage="1"/>
  </sheetPr>
  <dimension ref="A1:L121"/>
  <sheetViews>
    <sheetView topLeftCell="A13" zoomScaleNormal="100" workbookViewId="0">
      <selection activeCell="C17" sqref="C17"/>
    </sheetView>
  </sheetViews>
  <sheetFormatPr defaultColWidth="9.25" defaultRowHeight="14.25"/>
  <cols>
    <col min="1" max="1" width="5.5" style="1" customWidth="1"/>
    <col min="2" max="2" width="42.875" style="1" customWidth="1"/>
    <col min="3" max="3" width="33.875" style="1" customWidth="1"/>
    <col min="4" max="4" width="17.25" style="1" customWidth="1"/>
    <col min="5" max="5" width="15.5" style="9" customWidth="1"/>
    <col min="6" max="6" width="15" style="1" customWidth="1"/>
    <col min="7" max="7" width="22.75" style="1" customWidth="1"/>
    <col min="8" max="8" width="14.375" style="1" customWidth="1"/>
    <col min="9" max="9" width="19.25" style="1" customWidth="1"/>
    <col min="10" max="16384" width="9.25" style="1"/>
  </cols>
  <sheetData>
    <row r="1" spans="1:12" ht="15">
      <c r="L1" s="100" t="s">
        <v>17</v>
      </c>
    </row>
    <row r="2" spans="1:12">
      <c r="A2" s="9"/>
      <c r="B2" s="9"/>
      <c r="C2" s="9"/>
      <c r="D2" s="9"/>
      <c r="F2" s="9"/>
      <c r="G2" s="9"/>
      <c r="H2" s="9"/>
      <c r="I2" s="51" t="s">
        <v>260</v>
      </c>
    </row>
    <row r="3" spans="1:12">
      <c r="A3" s="9"/>
      <c r="B3" s="7"/>
      <c r="C3" s="7"/>
      <c r="D3" s="9"/>
      <c r="F3" s="9"/>
      <c r="G3" s="9"/>
      <c r="H3" s="9"/>
      <c r="I3" s="51" t="s">
        <v>12</v>
      </c>
    </row>
    <row r="4" spans="1:12">
      <c r="A4" s="9"/>
      <c r="B4" s="7"/>
      <c r="C4" s="7"/>
      <c r="D4" s="9"/>
      <c r="F4" s="9"/>
      <c r="G4" s="9"/>
      <c r="H4" s="9"/>
      <c r="I4" s="9"/>
    </row>
    <row r="5" spans="1:12" ht="20.25">
      <c r="A5" s="9"/>
      <c r="B5" s="402" t="str">
        <f>Index!B2</f>
        <v>Tri-State Generation and Transmission Association, Inc.</v>
      </c>
      <c r="C5" s="7"/>
      <c r="D5" s="9"/>
      <c r="F5" s="9"/>
      <c r="G5" s="9"/>
      <c r="H5" s="9"/>
      <c r="I5" s="9"/>
    </row>
    <row r="6" spans="1:12">
      <c r="A6" s="9"/>
      <c r="B6" s="7"/>
      <c r="C6" s="7"/>
      <c r="D6" s="9"/>
      <c r="F6" s="9"/>
      <c r="G6" s="9"/>
      <c r="H6" s="9"/>
      <c r="I6" s="9" t="s">
        <v>17</v>
      </c>
    </row>
    <row r="7" spans="1:12" ht="15">
      <c r="A7" s="9"/>
      <c r="B7" s="404" t="str">
        <f>Index!C12</f>
        <v>O&amp;M, Depreciation, and Return Expenses</v>
      </c>
      <c r="C7" s="7"/>
      <c r="D7" s="9"/>
      <c r="F7" s="9"/>
      <c r="G7" s="9"/>
      <c r="H7" s="9"/>
      <c r="I7" s="9"/>
    </row>
    <row r="8" spans="1:12" ht="15">
      <c r="A8" s="9"/>
      <c r="B8" s="405" t="str">
        <f>Index!B5</f>
        <v>Year Ending December 31, 2016</v>
      </c>
      <c r="C8" s="7"/>
      <c r="D8" s="9"/>
      <c r="F8" s="9"/>
      <c r="G8" s="9"/>
      <c r="H8" s="9"/>
      <c r="I8" s="9"/>
    </row>
    <row r="9" spans="1:12">
      <c r="A9" s="9"/>
      <c r="B9" s="9"/>
      <c r="C9" s="9"/>
      <c r="D9" s="9"/>
      <c r="F9" s="9"/>
      <c r="G9" s="9"/>
      <c r="H9" s="9"/>
      <c r="I9" s="9"/>
    </row>
    <row r="10" spans="1:12" ht="15">
      <c r="A10" s="4" t="s">
        <v>18</v>
      </c>
      <c r="B10" s="4" t="s">
        <v>19</v>
      </c>
      <c r="C10" s="4" t="s">
        <v>20</v>
      </c>
      <c r="D10" s="4" t="s">
        <v>21</v>
      </c>
      <c r="E10" s="4" t="s">
        <v>22</v>
      </c>
      <c r="F10" s="4" t="s">
        <v>23</v>
      </c>
      <c r="G10" s="4" t="s">
        <v>24</v>
      </c>
      <c r="H10" s="4" t="s">
        <v>25</v>
      </c>
      <c r="I10" s="4" t="s">
        <v>134</v>
      </c>
    </row>
    <row r="11" spans="1:12" ht="30">
      <c r="A11" s="45" t="s">
        <v>415</v>
      </c>
      <c r="B11" s="45" t="s">
        <v>0</v>
      </c>
      <c r="C11" s="45" t="s">
        <v>1</v>
      </c>
      <c r="D11" s="45" t="s">
        <v>4</v>
      </c>
      <c r="E11" s="45" t="s">
        <v>4</v>
      </c>
      <c r="F11" s="45" t="s">
        <v>4</v>
      </c>
      <c r="G11" s="45" t="s">
        <v>5</v>
      </c>
      <c r="H11" s="45" t="s">
        <v>26</v>
      </c>
      <c r="I11" s="45" t="s">
        <v>198</v>
      </c>
    </row>
    <row r="12" spans="1:12" ht="15">
      <c r="A12" s="703">
        <v>1</v>
      </c>
      <c r="B12" s="424" t="s">
        <v>3</v>
      </c>
      <c r="C12" s="424"/>
      <c r="D12" s="704" t="s">
        <v>49</v>
      </c>
      <c r="E12" s="6" t="s">
        <v>50</v>
      </c>
      <c r="F12" s="705"/>
      <c r="G12" s="9"/>
      <c r="H12" s="9"/>
      <c r="I12" s="58"/>
    </row>
    <row r="13" spans="1:12" ht="15">
      <c r="A13" s="703"/>
      <c r="B13" s="424"/>
      <c r="C13" s="424"/>
      <c r="D13" s="424"/>
      <c r="F13" s="705"/>
      <c r="G13" s="9"/>
      <c r="H13" s="9"/>
      <c r="I13" s="58"/>
    </row>
    <row r="14" spans="1:12">
      <c r="A14" s="703">
        <f>A12+1</f>
        <v>2</v>
      </c>
      <c r="B14" s="353" t="s">
        <v>396</v>
      </c>
      <c r="C14" s="353" t="str">
        <f>CONCATENATE('Worksheet G O&amp;M Input'!$F$3,", Line ",'Worksheet G O&amp;M Input'!A15," Cols ",'Worksheet G O&amp;M Input'!D10," Thru ",'Worksheet G O&amp;M Input'!F10)</f>
        <v>Worksheet G, Line 1 Cols D Thru F</v>
      </c>
      <c r="D14" s="706">
        <f>'Worksheet G O&amp;M Input'!D15</f>
        <v>6405346</v>
      </c>
      <c r="E14" s="707">
        <f>'Worksheet G O&amp;M Input'!E15</f>
        <v>11895643</v>
      </c>
      <c r="F14" s="707">
        <f t="shared" ref="F14:F29" si="0">SUM(D14:E14)</f>
        <v>18300989</v>
      </c>
      <c r="G14" s="49" t="s">
        <v>80</v>
      </c>
      <c r="H14" s="411">
        <f>'Worksheet E Alloc. Factor'!$G$29</f>
        <v>3.1755893953600761E-2</v>
      </c>
      <c r="I14" s="707">
        <f t="shared" ref="I14:I29" si="1">F14*H14</f>
        <v>581164.26593001408</v>
      </c>
    </row>
    <row r="15" spans="1:12">
      <c r="A15" s="703">
        <f>A14+1</f>
        <v>3</v>
      </c>
      <c r="B15" s="353" t="s">
        <v>397</v>
      </c>
      <c r="C15" s="353" t="str">
        <f>CONCATENATE('Worksheet G O&amp;M Input'!$F$3,", Line ",'Worksheet G O&amp;M Input'!A16," Cols ",'Worksheet G O&amp;M Input'!D10," and ",'Worksheet G O&amp;M Input'!F10)</f>
        <v>Worksheet G, Line 2 Cols D and F</v>
      </c>
      <c r="D15" s="706">
        <f>'Worksheet G O&amp;M Input'!D16</f>
        <v>9253409</v>
      </c>
      <c r="E15" s="707">
        <f>'Worksheet G O&amp;M Input'!E16</f>
        <v>0</v>
      </c>
      <c r="F15" s="707">
        <f t="shared" si="0"/>
        <v>9253409</v>
      </c>
      <c r="G15" s="49" t="s">
        <v>255</v>
      </c>
      <c r="H15" s="411">
        <f>'Worksheet E Alloc. Factor'!G37</f>
        <v>0</v>
      </c>
      <c r="I15" s="707">
        <f t="shared" si="1"/>
        <v>0</v>
      </c>
    </row>
    <row r="16" spans="1:12">
      <c r="A16" s="703">
        <f t="shared" ref="A16:A30" si="2">A15+1</f>
        <v>4</v>
      </c>
      <c r="B16" s="353" t="s">
        <v>398</v>
      </c>
      <c r="C16" s="353" t="str">
        <f>CONCATENATE('Worksheet G O&amp;M Input'!$F$3,", Line ",'Worksheet G O&amp;M Input'!A17," Cols ",'Worksheet G O&amp;M Input'!E10," Thru ",'Worksheet G O&amp;M Input'!F10)</f>
        <v>Worksheet G, Line 3 Cols E Thru F</v>
      </c>
      <c r="D16" s="706">
        <f>'Worksheet G O&amp;M Input'!D17</f>
        <v>0</v>
      </c>
      <c r="E16" s="707">
        <f>'Worksheet G O&amp;M Input'!E17</f>
        <v>15372051</v>
      </c>
      <c r="F16" s="707">
        <f t="shared" si="0"/>
        <v>15372051</v>
      </c>
      <c r="G16" s="49" t="s">
        <v>116</v>
      </c>
      <c r="H16" s="411">
        <f>'Worksheet E Alloc. Factor'!$G$23</f>
        <v>2.660025791491619E-2</v>
      </c>
      <c r="I16" s="707">
        <f t="shared" si="1"/>
        <v>408900.52128124534</v>
      </c>
    </row>
    <row r="17" spans="1:9">
      <c r="A17" s="703">
        <f t="shared" si="2"/>
        <v>5</v>
      </c>
      <c r="B17" s="353" t="s">
        <v>399</v>
      </c>
      <c r="C17" s="353" t="str">
        <f>CONCATENATE('Worksheet G O&amp;M Input'!$F$3,", Line ",'Worksheet G O&amp;M Input'!A18," Cols ",'Worksheet G O&amp;M Input'!D10," and ",'Worksheet G O&amp;M Input'!F10)</f>
        <v>Worksheet G, Line 4 Cols D and F</v>
      </c>
      <c r="D17" s="706">
        <f>'Worksheet G O&amp;M Input'!D18</f>
        <v>7392584</v>
      </c>
      <c r="E17" s="707">
        <f>'Worksheet G O&amp;M Input'!E18</f>
        <v>0</v>
      </c>
      <c r="F17" s="707">
        <f t="shared" si="0"/>
        <v>7392584</v>
      </c>
      <c r="G17" s="49" t="s">
        <v>200</v>
      </c>
      <c r="H17" s="411">
        <f>'Worksheet E Alloc. Factor'!$G$26</f>
        <v>3.8391938498792293E-2</v>
      </c>
      <c r="I17" s="707">
        <f t="shared" si="1"/>
        <v>283815.63027515594</v>
      </c>
    </row>
    <row r="18" spans="1:9">
      <c r="A18" s="703">
        <f t="shared" si="2"/>
        <v>6</v>
      </c>
      <c r="B18" s="353" t="s">
        <v>400</v>
      </c>
      <c r="C18" s="353" t="str">
        <f>CONCATENATE('Worksheet G O&amp;M Input'!$F$3,", Line ",'Worksheet G O&amp;M Input'!A19," Cols ",'Worksheet G O&amp;M Input'!D10," and ",'Worksheet G O&amp;M Input'!F10)</f>
        <v>Worksheet G, Line 5 Cols D and F</v>
      </c>
      <c r="D18" s="706">
        <f>'Worksheet G O&amp;M Input'!D19</f>
        <v>0</v>
      </c>
      <c r="E18" s="707">
        <f>'Worksheet G O&amp;M Input'!E19</f>
        <v>0</v>
      </c>
      <c r="F18" s="707">
        <f t="shared" si="0"/>
        <v>0</v>
      </c>
      <c r="G18" s="49" t="s">
        <v>200</v>
      </c>
      <c r="H18" s="411">
        <f>'Worksheet E Alloc. Factor'!$G$26</f>
        <v>3.8391938498792293E-2</v>
      </c>
      <c r="I18" s="707">
        <f t="shared" si="1"/>
        <v>0</v>
      </c>
    </row>
    <row r="19" spans="1:9" s="281" customFormat="1" ht="28.5">
      <c r="A19" s="703">
        <f t="shared" si="2"/>
        <v>7</v>
      </c>
      <c r="B19" s="353" t="s">
        <v>402</v>
      </c>
      <c r="C19" s="794" t="str">
        <f>CONCATENATE('Worksheet G O&amp;M Input'!$F$3,", Line ",'Worksheet G O&amp;M Input'!A22," Cols ",'Worksheet G O&amp;M Input'!D10," and ",'Worksheet G O&amp;M Input'!F10)&amp;" and "&amp;'Worksheet O Tran by Others'!E3&amp;", Line "&amp;'Worksheet O Tran by Others'!A27&amp;", Col "&amp;'Worksheet O Tran by Others'!E11</f>
        <v>Worksheet G, Line 8 Cols D and F and Worksheet O, Line 14, Col E</v>
      </c>
      <c r="D19" s="706">
        <f>'Worksheet G O&amp;M Input'!D22</f>
        <v>50949240</v>
      </c>
      <c r="E19" s="706">
        <f>'Worksheet G O&amp;M Input'!E22</f>
        <v>0</v>
      </c>
      <c r="F19" s="708">
        <f t="shared" si="0"/>
        <v>50949240</v>
      </c>
      <c r="G19" s="49" t="s">
        <v>395</v>
      </c>
      <c r="H19" s="709"/>
      <c r="I19" s="708">
        <f>'Worksheet O Tran by Others'!E27</f>
        <v>1643461.0799999998</v>
      </c>
    </row>
    <row r="20" spans="1:9">
      <c r="A20" s="703">
        <f t="shared" si="2"/>
        <v>8</v>
      </c>
      <c r="B20" s="353" t="s">
        <v>401</v>
      </c>
      <c r="C20" s="353" t="str">
        <f>CONCATENATE('Worksheet G O&amp;M Input'!$F$3,", Line ",'Worksheet G O&amp;M Input'!A20," Cols ",'Worksheet G O&amp;M Input'!D10," Thru ",'Worksheet G O&amp;M Input'!F10)</f>
        <v>Worksheet G, Line 6 Cols D Thru F</v>
      </c>
      <c r="D20" s="706">
        <f>'Worksheet G O&amp;M Input'!D20</f>
        <v>7091195</v>
      </c>
      <c r="E20" s="707">
        <f>'Worksheet G O&amp;M Input'!E20</f>
        <v>16365452</v>
      </c>
      <c r="F20" s="707">
        <f t="shared" si="0"/>
        <v>23456647</v>
      </c>
      <c r="G20" s="49" t="s">
        <v>80</v>
      </c>
      <c r="H20" s="411">
        <f>'Worksheet E Alloc. Factor'!$G$29</f>
        <v>3.1755893953600761E-2</v>
      </c>
      <c r="I20" s="707">
        <f t="shared" si="1"/>
        <v>744886.79463904747</v>
      </c>
    </row>
    <row r="21" spans="1:9">
      <c r="A21" s="703">
        <f t="shared" si="2"/>
        <v>9</v>
      </c>
      <c r="B21" s="353" t="s">
        <v>403</v>
      </c>
      <c r="C21" s="353" t="str">
        <f>CONCATENATE('Worksheet G O&amp;M Input'!$F$3,", Line ",'Worksheet G O&amp;M Input'!A23," Cols ",'Worksheet G O&amp;M Input'!D10," Thru ",'Worksheet G O&amp;M Input'!F10)</f>
        <v>Worksheet G, Line 9 Cols D Thru F</v>
      </c>
      <c r="D21" s="706">
        <f>'Worksheet G O&amp;M Input'!D23</f>
        <v>84281</v>
      </c>
      <c r="E21" s="706">
        <f>'Worksheet G O&amp;M Input'!E23</f>
        <v>156522</v>
      </c>
      <c r="F21" s="707">
        <f t="shared" si="0"/>
        <v>240803</v>
      </c>
      <c r="G21" s="49" t="s">
        <v>116</v>
      </c>
      <c r="H21" s="411">
        <f>'Worksheet E Alloc. Factor'!$G$23</f>
        <v>2.660025791491619E-2</v>
      </c>
      <c r="I21" s="707">
        <f t="shared" si="1"/>
        <v>6405.421906685563</v>
      </c>
    </row>
    <row r="22" spans="1:9">
      <c r="A22" s="703">
        <f t="shared" si="2"/>
        <v>10</v>
      </c>
      <c r="B22" s="353" t="s">
        <v>404</v>
      </c>
      <c r="C22" s="353" t="str">
        <f>CONCATENATE('Worksheet G O&amp;M Input'!$F$3,", Line ",'Worksheet G O&amp;M Input'!A26," Cols ",'Worksheet G O&amp;M Input'!D10," Thru ",'Worksheet G O&amp;M Input'!F10)</f>
        <v>Worksheet G, Line 11 Cols D Thru F</v>
      </c>
      <c r="D22" s="706">
        <f>'Worksheet G O&amp;M Input'!D26</f>
        <v>5706710</v>
      </c>
      <c r="E22" s="710">
        <f>'Worksheet G O&amp;M Input'!E26</f>
        <v>10598175</v>
      </c>
      <c r="F22" s="707">
        <f t="shared" si="0"/>
        <v>16304885</v>
      </c>
      <c r="G22" s="49" t="s">
        <v>80</v>
      </c>
      <c r="H22" s="411">
        <f>'Worksheet E Alloc. Factor'!$G$29</f>
        <v>3.1755893953600761E-2</v>
      </c>
      <c r="I22" s="707">
        <f t="shared" si="1"/>
        <v>517776.19898565573</v>
      </c>
    </row>
    <row r="23" spans="1:9">
      <c r="A23" s="703">
        <f t="shared" si="2"/>
        <v>11</v>
      </c>
      <c r="B23" s="353" t="s">
        <v>405</v>
      </c>
      <c r="C23" s="353" t="str">
        <f>CONCATENATE('Worksheet G O&amp;M Input'!$F$3,", Line ",'Worksheet G O&amp;M Input'!A27," Cols ",'Worksheet G O&amp;M Input'!E$10," Thru ",'Worksheet G O&amp;M Input'!F$10)</f>
        <v>Worksheet G, Line 12 Cols E Thru F</v>
      </c>
      <c r="D23" s="706"/>
      <c r="E23" s="710">
        <f>'Worksheet G O&amp;M Input'!E27</f>
        <v>106018</v>
      </c>
      <c r="F23" s="707">
        <f t="shared" si="0"/>
        <v>106018</v>
      </c>
      <c r="G23" s="49" t="s">
        <v>116</v>
      </c>
      <c r="H23" s="411">
        <f>'Worksheet E Alloc. Factor'!$G$23</f>
        <v>2.660025791491619E-2</v>
      </c>
      <c r="I23" s="707">
        <f t="shared" si="1"/>
        <v>2820.1061436235846</v>
      </c>
    </row>
    <row r="24" spans="1:9">
      <c r="A24" s="703">
        <f t="shared" si="2"/>
        <v>12</v>
      </c>
      <c r="B24" s="353" t="s">
        <v>406</v>
      </c>
      <c r="C24" s="353" t="str">
        <f>CONCATENATE('Worksheet G O&amp;M Input'!$F$3,", Line ",'Worksheet G O&amp;M Input'!A28," Cols ",'Worksheet G O&amp;M Input'!E$10," Thru ",'Worksheet G O&amp;M Input'!F$10)</f>
        <v>Worksheet G, Line 13 Cols E Thru F</v>
      </c>
      <c r="D24" s="706"/>
      <c r="E24" s="710">
        <f>'Worksheet G O&amp;M Input'!E28</f>
        <v>7408517</v>
      </c>
      <c r="F24" s="707">
        <f t="shared" si="0"/>
        <v>7408517</v>
      </c>
      <c r="G24" s="49" t="s">
        <v>116</v>
      </c>
      <c r="H24" s="411">
        <f>'Worksheet E Alloc. Factor'!$G$23</f>
        <v>2.660025791491619E-2</v>
      </c>
      <c r="I24" s="707">
        <f t="shared" si="1"/>
        <v>197068.46296704115</v>
      </c>
    </row>
    <row r="25" spans="1:9">
      <c r="A25" s="703">
        <f t="shared" si="2"/>
        <v>13</v>
      </c>
      <c r="B25" s="353" t="s">
        <v>407</v>
      </c>
      <c r="C25" s="353" t="str">
        <f>CONCATENATE('Worksheet G O&amp;M Input'!$F$3,", Line ",'Worksheet G O&amp;M Input'!A29," Cols ",'Worksheet G O&amp;M Input'!D$10," and ",'Worksheet G O&amp;M Input'!F$10)</f>
        <v>Worksheet G, Line 14 Cols D and F</v>
      </c>
      <c r="D25" s="706">
        <f>'Worksheet G O&amp;M Input'!D29</f>
        <v>3195490</v>
      </c>
      <c r="E25" s="710"/>
      <c r="F25" s="707">
        <f t="shared" si="0"/>
        <v>3195490</v>
      </c>
      <c r="G25" s="49" t="s">
        <v>200</v>
      </c>
      <c r="H25" s="411">
        <f>'Worksheet E Alloc. Factor'!$G$26</f>
        <v>3.8391938498792293E-2</v>
      </c>
      <c r="I25" s="707">
        <f t="shared" si="1"/>
        <v>122681.05555350578</v>
      </c>
    </row>
    <row r="26" spans="1:9">
      <c r="A26" s="703">
        <f t="shared" si="2"/>
        <v>14</v>
      </c>
      <c r="B26" s="353" t="s">
        <v>408</v>
      </c>
      <c r="C26" s="353" t="str">
        <f>CONCATENATE('Worksheet G O&amp;M Input'!$F$3,", Line ",'Worksheet G O&amp;M Input'!A30," Cols ",'Worksheet G O&amp;M Input'!D$10," and ",'Worksheet G O&amp;M Input'!F$10)</f>
        <v>Worksheet G, Line 15 Cols D and F</v>
      </c>
      <c r="D26" s="706">
        <f>'Worksheet G O&amp;M Input'!D30</f>
        <v>0</v>
      </c>
      <c r="E26" s="710"/>
      <c r="F26" s="707">
        <f t="shared" si="0"/>
        <v>0</v>
      </c>
      <c r="G26" s="49" t="s">
        <v>200</v>
      </c>
      <c r="H26" s="411">
        <f>'Worksheet E Alloc. Factor'!$G$26</f>
        <v>3.8391938498792293E-2</v>
      </c>
      <c r="I26" s="707">
        <f t="shared" si="1"/>
        <v>0</v>
      </c>
    </row>
    <row r="27" spans="1:9">
      <c r="A27" s="703">
        <f t="shared" si="2"/>
        <v>15</v>
      </c>
      <c r="B27" s="353" t="s">
        <v>409</v>
      </c>
      <c r="C27" s="353" t="str">
        <f>CONCATENATE('Worksheet G O&amp;M Input'!$F$3,", Line ",'Worksheet G O&amp;M Input'!A31," Cols ",'Worksheet G O&amp;M Input'!D10," Thru ",'Worksheet G O&amp;M Input'!F10)</f>
        <v>Worksheet G, Line 16 Cols D Thru F</v>
      </c>
      <c r="D27" s="706">
        <f>'Worksheet G O&amp;M Input'!D31</f>
        <v>1125185</v>
      </c>
      <c r="E27" s="710">
        <f>'Worksheet G O&amp;M Input'!E31</f>
        <v>2601325</v>
      </c>
      <c r="F27" s="707">
        <f t="shared" si="0"/>
        <v>3726510</v>
      </c>
      <c r="G27" s="49" t="s">
        <v>80</v>
      </c>
      <c r="H27" s="411">
        <f>'Worksheet E Alloc. Factor'!$G$29</f>
        <v>3.1755893953600761E-2</v>
      </c>
      <c r="I27" s="707">
        <f t="shared" si="1"/>
        <v>118338.65637703278</v>
      </c>
    </row>
    <row r="28" spans="1:9">
      <c r="A28" s="703">
        <f t="shared" si="2"/>
        <v>16</v>
      </c>
      <c r="B28" s="353" t="s">
        <v>410</v>
      </c>
      <c r="C28" s="353" t="s">
        <v>921</v>
      </c>
      <c r="D28" s="706">
        <f>'Worksheet P 575576 Expense'!F17</f>
        <v>0</v>
      </c>
      <c r="E28" s="706"/>
      <c r="F28" s="707">
        <f t="shared" si="0"/>
        <v>0</v>
      </c>
      <c r="G28" s="49" t="s">
        <v>256</v>
      </c>
      <c r="H28" s="411">
        <f>'Worksheet E Alloc. Factor'!G38</f>
        <v>1</v>
      </c>
      <c r="I28" s="707">
        <f t="shared" si="1"/>
        <v>0</v>
      </c>
    </row>
    <row r="29" spans="1:9">
      <c r="A29" s="703">
        <f t="shared" si="2"/>
        <v>17</v>
      </c>
      <c r="B29" s="353" t="s">
        <v>411</v>
      </c>
      <c r="C29" s="353" t="s">
        <v>922</v>
      </c>
      <c r="D29" s="706">
        <f>'Worksheet P 575576 Expense'!F24</f>
        <v>0</v>
      </c>
      <c r="E29" s="706"/>
      <c r="F29" s="707">
        <f t="shared" si="0"/>
        <v>0</v>
      </c>
      <c r="G29" s="49" t="s">
        <v>256</v>
      </c>
      <c r="H29" s="411">
        <f>'Worksheet E Alloc. Factor'!G38</f>
        <v>1</v>
      </c>
      <c r="I29" s="711">
        <f t="shared" si="1"/>
        <v>0</v>
      </c>
    </row>
    <row r="30" spans="1:9">
      <c r="A30" s="703">
        <f t="shared" si="2"/>
        <v>18</v>
      </c>
      <c r="B30" s="9" t="s">
        <v>7</v>
      </c>
      <c r="C30" s="50" t="s">
        <v>16</v>
      </c>
      <c r="D30" s="710">
        <f>SUM(D14:D29)</f>
        <v>91203440</v>
      </c>
      <c r="E30" s="710">
        <f>SUM(E14:E29)</f>
        <v>64503703</v>
      </c>
      <c r="F30" s="710">
        <f>SUM(F14:F29)</f>
        <v>155707143</v>
      </c>
      <c r="G30" s="712"/>
      <c r="H30" s="449"/>
      <c r="I30" s="713">
        <f>SUM(I14:I29)</f>
        <v>4627318.1940590069</v>
      </c>
    </row>
    <row r="31" spans="1:9">
      <c r="A31" s="703"/>
      <c r="B31" s="9"/>
      <c r="C31" s="49"/>
      <c r="D31" s="49"/>
      <c r="F31" s="58"/>
      <c r="G31" s="712"/>
      <c r="H31" s="449"/>
      <c r="I31" s="707"/>
    </row>
    <row r="32" spans="1:9">
      <c r="A32" s="703">
        <f>A30+1</f>
        <v>19</v>
      </c>
      <c r="B32" s="9" t="s">
        <v>193</v>
      </c>
      <c r="C32" s="50" t="str">
        <f>CONCATENATE('Worksheet F Inputs'!$F$3,", Line ",'Worksheet F Inputs'!A42," Col ",'Worksheet F Inputs'!$F$10)</f>
        <v>Worksheet F, Line 27 Col F</v>
      </c>
      <c r="D32" s="714"/>
      <c r="F32" s="710">
        <f>'Worksheet F Inputs'!$F$42</f>
        <v>772995</v>
      </c>
      <c r="G32" s="49" t="s">
        <v>115</v>
      </c>
      <c r="H32" s="411">
        <f>'Worksheet E Alloc. Factor'!G20</f>
        <v>1.359222739062114E-2</v>
      </c>
      <c r="I32" s="707">
        <f>F32*H32</f>
        <v>10506.723811813188</v>
      </c>
    </row>
    <row r="33" spans="1:9">
      <c r="A33" s="703">
        <f>A32+1</f>
        <v>20</v>
      </c>
      <c r="B33" s="9" t="s">
        <v>252</v>
      </c>
      <c r="C33" s="50" t="str">
        <f>CONCATENATE('Worksheet F Inputs'!$F$3,", Line ",'Worksheet F Inputs'!A43," Col ",'Worksheet F Inputs'!$F$10)</f>
        <v>Worksheet F, Line 28 Col F</v>
      </c>
      <c r="D33" s="714"/>
      <c r="F33" s="710">
        <f>'Worksheet F Inputs'!$F$43</f>
        <v>2387255</v>
      </c>
      <c r="G33" s="413" t="s">
        <v>255</v>
      </c>
      <c r="H33" s="411">
        <f>'Worksheet E Alloc. Factor'!$G$37</f>
        <v>0</v>
      </c>
      <c r="I33" s="707">
        <f>F33*H33</f>
        <v>0</v>
      </c>
    </row>
    <row r="34" spans="1:9">
      <c r="A34" s="703">
        <f>A33+1</f>
        <v>21</v>
      </c>
      <c r="B34" s="9" t="s">
        <v>253</v>
      </c>
      <c r="C34" s="50" t="str">
        <f>CONCATENATE('Worksheet F Inputs'!$F$3,", Line ",'Worksheet F Inputs'!A44," Col ",'Worksheet F Inputs'!$F$10)</f>
        <v>Worksheet F, Line 29 Col F</v>
      </c>
      <c r="D34" s="714"/>
      <c r="F34" s="710">
        <f>'Worksheet F Inputs'!$F$44</f>
        <v>0</v>
      </c>
      <c r="G34" s="413" t="s">
        <v>255</v>
      </c>
      <c r="H34" s="411">
        <f>'Worksheet E Alloc. Factor'!$G$37</f>
        <v>0</v>
      </c>
      <c r="I34" s="711">
        <f>F34*H34</f>
        <v>0</v>
      </c>
    </row>
    <row r="35" spans="1:9">
      <c r="A35" s="703">
        <f>A34+1</f>
        <v>22</v>
      </c>
      <c r="B35" s="9" t="s">
        <v>254</v>
      </c>
      <c r="C35" s="50" t="s">
        <v>16</v>
      </c>
      <c r="D35" s="714"/>
      <c r="E35" s="714"/>
      <c r="F35" s="710">
        <f>SUM(F32:F34)</f>
        <v>3160250</v>
      </c>
      <c r="G35" s="712"/>
      <c r="H35" s="449"/>
      <c r="I35" s="713">
        <f>SUM(I32:I34)</f>
        <v>10506.723811813188</v>
      </c>
    </row>
    <row r="36" spans="1:9">
      <c r="A36" s="703"/>
      <c r="B36" s="9"/>
      <c r="C36" s="49"/>
      <c r="D36" s="49"/>
      <c r="F36" s="58"/>
      <c r="G36" s="712"/>
      <c r="H36" s="449"/>
      <c r="I36" s="707"/>
    </row>
    <row r="37" spans="1:9">
      <c r="A37" s="703">
        <f>A35+1</f>
        <v>23</v>
      </c>
      <c r="B37" s="424" t="s">
        <v>29</v>
      </c>
      <c r="C37" s="704"/>
      <c r="D37" s="704"/>
      <c r="F37" s="407"/>
      <c r="G37" s="712"/>
      <c r="H37" s="449"/>
      <c r="I37" s="706"/>
    </row>
    <row r="38" spans="1:9">
      <c r="A38" s="703">
        <f>A37+1</f>
        <v>24</v>
      </c>
      <c r="B38" s="9" t="s">
        <v>67</v>
      </c>
      <c r="C38" s="50" t="str">
        <f>CONCATENATE('Worksheet F Inputs'!$F$3,", Line ",'Worksheet F Inputs'!A45," Col ",'Worksheet F Inputs'!$F$10)&amp;" Less Line "&amp;A39&amp;" and Line "&amp;A40</f>
        <v>Worksheet F, Line 30 Col F Less Line 25 and Line 26</v>
      </c>
      <c r="D38" s="49"/>
      <c r="F38" s="266">
        <f>'Worksheet F Inputs'!F45-F39-F40</f>
        <v>10869517.810000001</v>
      </c>
      <c r="G38" s="712" t="s">
        <v>115</v>
      </c>
      <c r="H38" s="411">
        <f>'Worksheet E Alloc. Factor'!$G$20</f>
        <v>1.359222739062114E-2</v>
      </c>
      <c r="I38" s="706">
        <f>F38*H38</f>
        <v>147740.95769992631</v>
      </c>
    </row>
    <row r="39" spans="1:9">
      <c r="A39" s="703">
        <f>A38+1</f>
        <v>25</v>
      </c>
      <c r="B39" s="9" t="s">
        <v>454</v>
      </c>
      <c r="C39" s="50" t="str">
        <f>'Worksheet S Reg. &amp; Comm. Exp.'!G3&amp;", Line "&amp;'Worksheet S Reg. &amp; Comm. Exp.'!A21&amp;", Col "&amp;'Worksheet S Reg. &amp; Comm. Exp.'!F10</f>
        <v>Worksheet S, Line 10, Col E</v>
      </c>
      <c r="D39" s="49"/>
      <c r="F39" s="266">
        <f>'Worksheet S Reg. &amp; Comm. Exp.'!F21</f>
        <v>55795</v>
      </c>
      <c r="G39" s="712" t="s">
        <v>255</v>
      </c>
      <c r="H39" s="411">
        <f>'Worksheet E Alloc. Factor'!G37</f>
        <v>0</v>
      </c>
      <c r="I39" s="706">
        <f>F39*H39</f>
        <v>0</v>
      </c>
    </row>
    <row r="40" spans="1:9">
      <c r="A40" s="703">
        <f>A39+1</f>
        <v>26</v>
      </c>
      <c r="B40" s="9" t="s">
        <v>453</v>
      </c>
      <c r="C40" s="50" t="str">
        <f>'Worksheet S Reg. &amp; Comm. Exp.'!G3&amp;", Line "&amp;'Worksheet S Reg. &amp; Comm. Exp.'!A21&amp;", Col "&amp;'Worksheet S Reg. &amp; Comm. Exp.'!G10</f>
        <v>Worksheet S, Line 10, Col F</v>
      </c>
      <c r="D40" s="49"/>
      <c r="F40" s="266">
        <f>'Worksheet S Reg. &amp; Comm. Exp.'!D21</f>
        <v>1488571.1900000002</v>
      </c>
      <c r="G40" s="712" t="s">
        <v>395</v>
      </c>
      <c r="H40" s="411"/>
      <c r="I40" s="706">
        <f>'Worksheet S Reg. &amp; Comm. Exp.'!G21</f>
        <v>1432776.1900000002</v>
      </c>
    </row>
    <row r="41" spans="1:9">
      <c r="A41" s="703">
        <f>A40+1</f>
        <v>27</v>
      </c>
      <c r="B41" s="9" t="s">
        <v>68</v>
      </c>
      <c r="C41" s="50" t="str">
        <f>CONCATENATE('Worksheet F Inputs'!$F$3,", Line ",'Worksheet F Inputs'!A53," Col ",'Worksheet F Inputs'!$F$10)</f>
        <v>Worksheet F, Line 37 Col F</v>
      </c>
      <c r="D41" s="49"/>
      <c r="F41" s="266">
        <f>'Worksheet F Inputs'!F53</f>
        <v>10745455</v>
      </c>
      <c r="G41" s="712" t="s">
        <v>115</v>
      </c>
      <c r="H41" s="411">
        <f>'Worksheet E Alloc. Factor'!$G$20</f>
        <v>1.359222739062114E-2</v>
      </c>
      <c r="I41" s="715">
        <f>F41*H41</f>
        <v>146054.66777568689</v>
      </c>
    </row>
    <row r="42" spans="1:9">
      <c r="A42" s="703">
        <f>A41+1</f>
        <v>28</v>
      </c>
      <c r="B42" s="9" t="s">
        <v>145</v>
      </c>
      <c r="C42" s="438" t="s">
        <v>16</v>
      </c>
      <c r="D42" s="416"/>
      <c r="F42" s="407">
        <f>SUM(F38:F41)</f>
        <v>23159339</v>
      </c>
      <c r="G42" s="712"/>
      <c r="H42" s="449"/>
      <c r="I42" s="713">
        <f>SUM(I38:I41)</f>
        <v>1726571.8154756133</v>
      </c>
    </row>
    <row r="43" spans="1:9">
      <c r="A43" s="716"/>
      <c r="B43" s="9"/>
      <c r="C43" s="9"/>
      <c r="D43" s="9"/>
      <c r="F43" s="266"/>
      <c r="G43" s="49"/>
      <c r="H43" s="9"/>
      <c r="I43" s="715"/>
    </row>
    <row r="44" spans="1:9">
      <c r="A44" s="716">
        <f>A42+1</f>
        <v>29</v>
      </c>
      <c r="B44" s="9" t="s">
        <v>133</v>
      </c>
      <c r="C44" s="9"/>
      <c r="D44" s="9"/>
      <c r="F44" s="266">
        <f>F30+F35+F42</f>
        <v>182026732</v>
      </c>
      <c r="G44" s="49"/>
      <c r="H44" s="9"/>
      <c r="I44" s="713">
        <f>I30+I35+I42</f>
        <v>6364396.7333464343</v>
      </c>
    </row>
    <row r="45" spans="1:9">
      <c r="A45" s="716"/>
      <c r="B45" s="9"/>
      <c r="C45" s="9"/>
      <c r="D45" s="9"/>
      <c r="F45" s="266"/>
      <c r="G45" s="49"/>
      <c r="H45" s="9"/>
      <c r="I45" s="706"/>
    </row>
    <row r="46" spans="1:9">
      <c r="A46" s="716"/>
      <c r="B46" s="9"/>
      <c r="C46" s="9"/>
      <c r="D46" s="9"/>
      <c r="F46" s="266"/>
      <c r="G46" s="49"/>
      <c r="H46" s="9"/>
      <c r="I46" s="706"/>
    </row>
    <row r="47" spans="1:9">
      <c r="A47" s="716"/>
      <c r="B47" s="9"/>
      <c r="C47" s="9"/>
      <c r="D47" s="717" t="s">
        <v>4</v>
      </c>
      <c r="E47" s="717" t="s">
        <v>122</v>
      </c>
      <c r="F47" s="717" t="s">
        <v>123</v>
      </c>
      <c r="G47" s="49"/>
      <c r="H47" s="9"/>
      <c r="I47" s="706"/>
    </row>
    <row r="48" spans="1:9">
      <c r="A48" s="716">
        <f>A44+1</f>
        <v>30</v>
      </c>
      <c r="B48" s="216" t="s">
        <v>153</v>
      </c>
      <c r="C48" s="9"/>
      <c r="D48" s="9"/>
      <c r="F48" s="266"/>
      <c r="G48" s="49"/>
      <c r="H48" s="9"/>
      <c r="I48" s="706"/>
    </row>
    <row r="49" spans="1:9">
      <c r="A49" s="716">
        <f>A48+1</f>
        <v>31</v>
      </c>
      <c r="B49" s="9" t="s">
        <v>781</v>
      </c>
      <c r="C49" s="472" t="str">
        <f>'Worksheet L Depreciation Exp'!J3&amp;", Line "&amp;'Worksheet L Depreciation Exp'!A23&amp;" Col "&amp;'Worksheet L Depreciation Exp'!H9</f>
        <v>Worksheet L, Line 11 Col H</v>
      </c>
      <c r="D49" s="9"/>
      <c r="E49" s="426"/>
      <c r="F49" s="407"/>
      <c r="G49" s="49" t="s">
        <v>395</v>
      </c>
      <c r="H49" s="411"/>
      <c r="I49" s="407">
        <f>'Worksheet L Depreciation Exp'!$H$23</f>
        <v>551639.55989950045</v>
      </c>
    </row>
    <row r="50" spans="1:9">
      <c r="A50" s="716">
        <f>A49+1</f>
        <v>32</v>
      </c>
      <c r="B50" s="9" t="s">
        <v>119</v>
      </c>
      <c r="C50" s="9" t="str">
        <f>'Worksheet L Depreciation Exp'!$J$3&amp;", Line "&amp;'Worksheet L Depreciation Exp'!A61&amp;" Col "&amp;'Worksheet L Depreciation Exp'!$J$27</f>
        <v>Worksheet L, Line 42 Col J</v>
      </c>
      <c r="D50" s="407"/>
      <c r="E50" s="426"/>
      <c r="F50" s="407"/>
      <c r="G50" s="49" t="s">
        <v>395</v>
      </c>
      <c r="H50" s="411"/>
      <c r="I50" s="706">
        <f>'Worksheet L Depreciation Exp'!J61</f>
        <v>779044.56601988664</v>
      </c>
    </row>
    <row r="51" spans="1:9">
      <c r="A51" s="716">
        <f>A50+1</f>
        <v>33</v>
      </c>
      <c r="B51" s="9" t="s">
        <v>197</v>
      </c>
      <c r="C51" s="9" t="str">
        <f>'Worksheet L Depreciation Exp'!$J$3&amp;", Line "&amp;'Worksheet L Depreciation Exp'!A65&amp;" Col "&amp;'Worksheet L Depreciation Exp'!$J$27</f>
        <v>Worksheet L, Line 45 Col J</v>
      </c>
      <c r="D51" s="407"/>
      <c r="E51" s="426"/>
      <c r="F51" s="407"/>
      <c r="G51" s="49" t="s">
        <v>395</v>
      </c>
      <c r="H51" s="411"/>
      <c r="I51" s="715">
        <f>'Worksheet L Depreciation Exp'!J65</f>
        <v>55985.032122454802</v>
      </c>
    </row>
    <row r="52" spans="1:9" ht="15">
      <c r="A52" s="716">
        <f>A51+1</f>
        <v>34</v>
      </c>
      <c r="B52" s="9" t="s">
        <v>120</v>
      </c>
      <c r="C52" s="9" t="s">
        <v>16</v>
      </c>
      <c r="D52" s="718"/>
      <c r="E52" s="426"/>
      <c r="F52" s="407"/>
      <c r="G52" s="49"/>
      <c r="H52" s="449"/>
      <c r="I52" s="713">
        <f>SUM(I49:I51)</f>
        <v>1386669.158041842</v>
      </c>
    </row>
    <row r="53" spans="1:9">
      <c r="A53" s="716"/>
      <c r="B53" s="9"/>
      <c r="C53" s="9"/>
      <c r="D53" s="407"/>
      <c r="E53" s="426"/>
      <c r="F53" s="407"/>
      <c r="G53" s="49"/>
      <c r="H53" s="449"/>
      <c r="I53" s="706"/>
    </row>
    <row r="54" spans="1:9">
      <c r="A54" s="716">
        <f>A52+1</f>
        <v>35</v>
      </c>
      <c r="B54" s="381" t="str">
        <f>'Worksheet F Inputs'!$B$58</f>
        <v>Taxes</v>
      </c>
      <c r="C54" s="50" t="str">
        <f>CONCATENATE('Worksheet F Inputs'!$F$3,", Line ",'Worksheet F Inputs'!A58," Col ",'Worksheet F Inputs'!$F$10)</f>
        <v>Worksheet F, Line 41 Col F</v>
      </c>
      <c r="D54" s="215">
        <f>'Worksheet F Inputs'!F58</f>
        <v>-1371998</v>
      </c>
      <c r="F54" s="719"/>
      <c r="G54" s="651" t="s">
        <v>125</v>
      </c>
      <c r="H54" s="411">
        <f>'Worksheet E Alloc. Factor'!G35</f>
        <v>9.2770012721935975E-3</v>
      </c>
      <c r="I54" s="706">
        <f>H54*D54</f>
        <v>-12728.027191447072</v>
      </c>
    </row>
    <row r="55" spans="1:9">
      <c r="A55" s="716">
        <f>A54+1</f>
        <v>36</v>
      </c>
      <c r="B55" s="9" t="s">
        <v>40</v>
      </c>
      <c r="C55" s="9" t="str">
        <f>CONCATENATE('Worksheet C Return'!$K$3,", Line ",'Worksheet C Return'!A20,", Col ",'Worksheet C Return'!K10)</f>
        <v>Worksheet C, Line 7, Col K</v>
      </c>
      <c r="D55" s="9"/>
      <c r="F55" s="9"/>
      <c r="G55" s="9"/>
      <c r="H55" s="9"/>
      <c r="I55" s="706">
        <f>'Worksheet C Return'!K20</f>
        <v>1432443.2926870135</v>
      </c>
    </row>
    <row r="56" spans="1:9">
      <c r="A56" s="720"/>
      <c r="B56" s="9"/>
      <c r="C56" s="9"/>
      <c r="D56" s="9"/>
      <c r="F56" s="9"/>
      <c r="G56" s="9"/>
      <c r="H56" s="9"/>
      <c r="I56" s="353"/>
    </row>
    <row r="57" spans="1:9">
      <c r="A57" s="721">
        <f>A55+1</f>
        <v>37</v>
      </c>
      <c r="B57" s="9" t="s">
        <v>268</v>
      </c>
      <c r="C57" s="9"/>
      <c r="D57" s="9"/>
      <c r="F57" s="9"/>
      <c r="G57" s="9"/>
      <c r="H57" s="9"/>
      <c r="I57" s="722">
        <f>SUM(I44,I52,I54:I55)</f>
        <v>9170781.1568838432</v>
      </c>
    </row>
    <row r="58" spans="1:9">
      <c r="A58" s="9"/>
      <c r="B58" s="9"/>
      <c r="C58" s="9"/>
      <c r="D58" s="9"/>
      <c r="F58" s="9"/>
      <c r="G58" s="9"/>
      <c r="H58" s="9"/>
      <c r="I58" s="9"/>
    </row>
    <row r="59" spans="1:9">
      <c r="A59" s="9"/>
      <c r="B59" s="9"/>
      <c r="C59" s="9"/>
      <c r="D59" s="9"/>
      <c r="F59" s="9"/>
      <c r="G59" s="9"/>
      <c r="H59" s="9"/>
      <c r="I59" s="9"/>
    </row>
    <row r="60" spans="1:9">
      <c r="A60" s="9"/>
      <c r="B60" s="9"/>
      <c r="C60" s="9"/>
      <c r="D60" s="9"/>
      <c r="F60" s="9"/>
      <c r="G60" s="9"/>
      <c r="H60" s="9"/>
      <c r="I60" s="9"/>
    </row>
    <row r="61" spans="1:9">
      <c r="A61" s="9"/>
      <c r="B61" s="9"/>
      <c r="C61" s="9"/>
      <c r="D61" s="9"/>
      <c r="F61" s="9"/>
      <c r="G61" s="9"/>
      <c r="H61" s="9"/>
      <c r="I61" s="9"/>
    </row>
    <row r="62" spans="1:9">
      <c r="A62" s="9"/>
      <c r="B62" s="9"/>
      <c r="C62" s="9"/>
      <c r="D62" s="9"/>
      <c r="F62" s="9"/>
      <c r="G62" s="9"/>
      <c r="H62" s="9"/>
      <c r="I62" s="9"/>
    </row>
    <row r="63" spans="1:9">
      <c r="A63" s="9"/>
      <c r="B63" s="9"/>
      <c r="C63" s="9"/>
      <c r="D63" s="9"/>
      <c r="F63" s="9"/>
      <c r="G63" s="9"/>
      <c r="H63" s="9"/>
      <c r="I63" s="9"/>
    </row>
    <row r="64" spans="1:9">
      <c r="A64" s="9"/>
      <c r="B64" s="9"/>
      <c r="C64" s="9"/>
      <c r="D64" s="9"/>
      <c r="F64" s="9"/>
      <c r="G64" s="9"/>
      <c r="H64" s="9"/>
      <c r="I64" s="9"/>
    </row>
    <row r="65" spans="1:9">
      <c r="A65" s="9"/>
      <c r="B65" s="9"/>
      <c r="C65" s="9"/>
      <c r="D65" s="9"/>
      <c r="F65" s="9"/>
      <c r="G65" s="9"/>
      <c r="H65" s="9"/>
      <c r="I65" s="9"/>
    </row>
    <row r="66" spans="1:9">
      <c r="A66" s="9"/>
      <c r="B66" s="9"/>
      <c r="C66" s="9"/>
      <c r="D66" s="9"/>
      <c r="F66" s="9"/>
      <c r="G66" s="9"/>
      <c r="H66" s="9"/>
      <c r="I66" s="9"/>
    </row>
    <row r="67" spans="1:9">
      <c r="A67" s="9"/>
      <c r="B67" s="9"/>
      <c r="C67" s="9"/>
      <c r="D67" s="9"/>
      <c r="F67" s="9"/>
      <c r="G67" s="9"/>
      <c r="H67" s="9"/>
      <c r="I67" s="9"/>
    </row>
    <row r="68" spans="1:9">
      <c r="A68" s="9"/>
      <c r="B68" s="9"/>
      <c r="C68" s="9"/>
      <c r="D68" s="9"/>
      <c r="F68" s="9"/>
      <c r="G68" s="9"/>
      <c r="H68" s="9"/>
      <c r="I68" s="9"/>
    </row>
    <row r="69" spans="1:9">
      <c r="A69" s="9"/>
      <c r="B69" s="9"/>
      <c r="C69" s="9"/>
      <c r="D69" s="9"/>
      <c r="F69" s="9"/>
      <c r="G69" s="9"/>
      <c r="H69" s="9"/>
      <c r="I69" s="9"/>
    </row>
    <row r="70" spans="1:9">
      <c r="A70" s="9"/>
      <c r="B70" s="9"/>
      <c r="C70" s="9"/>
      <c r="D70" s="9"/>
      <c r="F70" s="9"/>
      <c r="G70" s="9"/>
      <c r="H70" s="9"/>
      <c r="I70" s="9"/>
    </row>
    <row r="71" spans="1:9">
      <c r="A71" s="9"/>
      <c r="B71" s="9"/>
      <c r="C71" s="9"/>
      <c r="D71" s="9"/>
      <c r="F71" s="9"/>
      <c r="G71" s="9"/>
      <c r="H71" s="9"/>
      <c r="I71" s="9"/>
    </row>
    <row r="72" spans="1:9">
      <c r="A72" s="9"/>
      <c r="B72" s="9"/>
      <c r="C72" s="9"/>
      <c r="D72" s="9"/>
      <c r="F72" s="9"/>
      <c r="G72" s="9"/>
      <c r="H72" s="9"/>
      <c r="I72" s="9"/>
    </row>
    <row r="73" spans="1:9">
      <c r="A73" s="9"/>
      <c r="B73" s="9"/>
      <c r="C73" s="9"/>
      <c r="D73" s="9"/>
      <c r="F73" s="9"/>
      <c r="G73" s="9"/>
      <c r="H73" s="9"/>
      <c r="I73" s="9"/>
    </row>
    <row r="74" spans="1:9">
      <c r="A74" s="9"/>
      <c r="B74" s="9"/>
      <c r="C74" s="9"/>
      <c r="D74" s="9"/>
      <c r="F74" s="9"/>
      <c r="G74" s="9"/>
      <c r="H74" s="9"/>
      <c r="I74" s="9"/>
    </row>
    <row r="75" spans="1:9">
      <c r="A75" s="9"/>
      <c r="B75" s="9"/>
      <c r="C75" s="9"/>
      <c r="D75" s="9"/>
      <c r="F75" s="9"/>
      <c r="G75" s="9"/>
      <c r="H75" s="9"/>
      <c r="I75" s="9"/>
    </row>
    <row r="76" spans="1:9">
      <c r="A76" s="9"/>
      <c r="B76" s="9"/>
      <c r="C76" s="9"/>
      <c r="D76" s="9"/>
      <c r="F76" s="9"/>
      <c r="G76" s="9"/>
      <c r="H76" s="9"/>
      <c r="I76" s="9"/>
    </row>
    <row r="77" spans="1:9">
      <c r="A77" s="9"/>
      <c r="B77" s="9"/>
      <c r="C77" s="9"/>
      <c r="D77" s="9"/>
      <c r="F77" s="9"/>
      <c r="G77" s="9"/>
      <c r="H77" s="9"/>
      <c r="I77" s="9"/>
    </row>
    <row r="78" spans="1:9">
      <c r="A78" s="9"/>
      <c r="B78" s="9"/>
      <c r="C78" s="9"/>
      <c r="D78" s="9"/>
      <c r="F78" s="9"/>
      <c r="G78" s="9"/>
      <c r="H78" s="9"/>
      <c r="I78" s="9"/>
    </row>
    <row r="79" spans="1:9">
      <c r="A79" s="9"/>
      <c r="B79" s="9"/>
      <c r="C79" s="9"/>
      <c r="D79" s="9"/>
      <c r="F79" s="9"/>
      <c r="G79" s="9"/>
      <c r="H79" s="9"/>
      <c r="I79" s="9"/>
    </row>
    <row r="80" spans="1:9">
      <c r="A80" s="9"/>
      <c r="B80" s="9"/>
      <c r="C80" s="9"/>
      <c r="D80" s="9"/>
      <c r="F80" s="9"/>
      <c r="G80" s="9"/>
      <c r="H80" s="9"/>
      <c r="I80" s="9"/>
    </row>
    <row r="81" spans="1:9">
      <c r="A81" s="9"/>
      <c r="B81" s="9"/>
      <c r="C81" s="9"/>
      <c r="D81" s="9"/>
      <c r="F81" s="9"/>
      <c r="G81" s="9"/>
      <c r="H81" s="9"/>
      <c r="I81" s="9"/>
    </row>
    <row r="82" spans="1:9">
      <c r="A82" s="9"/>
      <c r="B82" s="9"/>
      <c r="C82" s="9"/>
      <c r="D82" s="9"/>
      <c r="F82" s="9"/>
      <c r="G82" s="9"/>
      <c r="H82" s="9"/>
      <c r="I82" s="9"/>
    </row>
    <row r="83" spans="1:9">
      <c r="A83" s="9"/>
      <c r="B83" s="9"/>
      <c r="C83" s="9"/>
      <c r="D83" s="9"/>
      <c r="F83" s="9"/>
      <c r="G83" s="9"/>
      <c r="H83" s="9"/>
      <c r="I83" s="9"/>
    </row>
    <row r="84" spans="1:9">
      <c r="A84" s="9"/>
      <c r="B84" s="9"/>
      <c r="C84" s="9"/>
      <c r="D84" s="9"/>
      <c r="F84" s="9"/>
      <c r="G84" s="9"/>
      <c r="H84" s="9"/>
      <c r="I84" s="9"/>
    </row>
    <row r="85" spans="1:9">
      <c r="A85" s="9"/>
      <c r="B85" s="9"/>
      <c r="C85" s="9"/>
      <c r="D85" s="9"/>
      <c r="F85" s="9"/>
      <c r="G85" s="9"/>
      <c r="H85" s="9"/>
      <c r="I85" s="9"/>
    </row>
    <row r="86" spans="1:9">
      <c r="A86" s="9"/>
      <c r="B86" s="9"/>
      <c r="C86" s="9"/>
      <c r="D86" s="9"/>
      <c r="F86" s="9"/>
      <c r="G86" s="9"/>
      <c r="H86" s="9"/>
      <c r="I86" s="9"/>
    </row>
    <row r="87" spans="1:9">
      <c r="A87" s="9"/>
      <c r="B87" s="9"/>
      <c r="C87" s="9"/>
      <c r="D87" s="9"/>
      <c r="F87" s="9"/>
      <c r="G87" s="9"/>
      <c r="H87" s="9"/>
      <c r="I87" s="9"/>
    </row>
    <row r="88" spans="1:9">
      <c r="A88" s="9"/>
      <c r="B88" s="9"/>
      <c r="C88" s="9"/>
      <c r="D88" s="9"/>
      <c r="F88" s="9"/>
      <c r="G88" s="9"/>
      <c r="H88" s="9"/>
      <c r="I88" s="9"/>
    </row>
    <row r="89" spans="1:9">
      <c r="A89" s="9"/>
      <c r="B89" s="9"/>
      <c r="C89" s="9"/>
      <c r="D89" s="9"/>
      <c r="F89" s="9"/>
      <c r="G89" s="9"/>
      <c r="H89" s="9"/>
      <c r="I89" s="9"/>
    </row>
    <row r="90" spans="1:9">
      <c r="A90" s="9"/>
      <c r="B90" s="9"/>
      <c r="C90" s="9"/>
      <c r="D90" s="9"/>
      <c r="F90" s="9"/>
      <c r="G90" s="9"/>
      <c r="H90" s="9"/>
      <c r="I90" s="9"/>
    </row>
    <row r="91" spans="1:9">
      <c r="A91" s="9"/>
      <c r="B91" s="9"/>
      <c r="C91" s="9"/>
      <c r="D91" s="9"/>
      <c r="F91" s="9"/>
      <c r="G91" s="9"/>
      <c r="H91" s="9"/>
      <c r="I91" s="9"/>
    </row>
    <row r="92" spans="1:9">
      <c r="A92" s="9"/>
      <c r="B92" s="9"/>
      <c r="C92" s="9"/>
      <c r="D92" s="9"/>
      <c r="F92" s="9"/>
      <c r="G92" s="9"/>
      <c r="H92" s="9"/>
      <c r="I92" s="9"/>
    </row>
    <row r="93" spans="1:9">
      <c r="A93" s="9"/>
      <c r="B93" s="9"/>
      <c r="C93" s="9"/>
      <c r="D93" s="9"/>
      <c r="F93" s="9"/>
      <c r="G93" s="9"/>
      <c r="H93" s="9"/>
      <c r="I93" s="9"/>
    </row>
    <row r="94" spans="1:9">
      <c r="A94" s="9"/>
      <c r="B94" s="9"/>
      <c r="C94" s="9"/>
      <c r="D94" s="9"/>
      <c r="F94" s="9"/>
      <c r="G94" s="9"/>
      <c r="H94" s="9"/>
      <c r="I94" s="9"/>
    </row>
    <row r="95" spans="1:9">
      <c r="A95" s="9"/>
      <c r="B95" s="9"/>
      <c r="C95" s="9"/>
      <c r="D95" s="9"/>
      <c r="F95" s="9"/>
      <c r="G95" s="9"/>
      <c r="H95" s="9"/>
      <c r="I95" s="9"/>
    </row>
    <row r="96" spans="1:9">
      <c r="A96" s="9"/>
      <c r="B96" s="9"/>
      <c r="C96" s="9"/>
      <c r="D96" s="9"/>
      <c r="F96" s="9"/>
      <c r="G96" s="9"/>
      <c r="H96" s="9"/>
      <c r="I96" s="9"/>
    </row>
    <row r="97" spans="1:9">
      <c r="A97" s="9"/>
      <c r="B97" s="9"/>
      <c r="C97" s="9"/>
      <c r="D97" s="9"/>
      <c r="F97" s="9"/>
      <c r="G97" s="9"/>
      <c r="H97" s="9"/>
      <c r="I97" s="9"/>
    </row>
    <row r="98" spans="1:9">
      <c r="A98" s="9"/>
      <c r="B98" s="9"/>
      <c r="C98" s="9"/>
      <c r="D98" s="9"/>
      <c r="F98" s="9"/>
      <c r="G98" s="9"/>
      <c r="H98" s="9"/>
      <c r="I98" s="9"/>
    </row>
    <row r="99" spans="1:9">
      <c r="A99" s="9"/>
      <c r="B99" s="9"/>
      <c r="C99" s="9"/>
      <c r="D99" s="9"/>
      <c r="F99" s="9"/>
      <c r="G99" s="9"/>
      <c r="H99" s="9"/>
      <c r="I99" s="9"/>
    </row>
    <row r="100" spans="1:9">
      <c r="A100" s="9"/>
      <c r="B100" s="9"/>
      <c r="C100" s="9"/>
      <c r="D100" s="9"/>
      <c r="F100" s="9"/>
      <c r="G100" s="9"/>
      <c r="H100" s="9"/>
      <c r="I100" s="9"/>
    </row>
    <row r="101" spans="1:9">
      <c r="A101" s="9"/>
      <c r="B101" s="9"/>
      <c r="C101" s="9"/>
      <c r="D101" s="9"/>
      <c r="F101" s="9"/>
      <c r="G101" s="9"/>
      <c r="H101" s="9"/>
      <c r="I101" s="9"/>
    </row>
    <row r="102" spans="1:9">
      <c r="A102" s="9"/>
      <c r="B102" s="9"/>
      <c r="C102" s="9"/>
      <c r="D102" s="9"/>
      <c r="F102" s="9"/>
      <c r="G102" s="9"/>
      <c r="H102" s="9"/>
      <c r="I102" s="9"/>
    </row>
    <row r="103" spans="1:9">
      <c r="A103" s="9"/>
      <c r="B103" s="9"/>
      <c r="C103" s="9"/>
      <c r="D103" s="9"/>
      <c r="F103" s="9"/>
      <c r="G103" s="9"/>
      <c r="H103" s="9"/>
      <c r="I103" s="9"/>
    </row>
    <row r="104" spans="1:9">
      <c r="A104" s="9"/>
      <c r="B104" s="9"/>
      <c r="C104" s="9"/>
      <c r="D104" s="9"/>
      <c r="F104" s="9"/>
      <c r="G104" s="9"/>
      <c r="H104" s="9"/>
      <c r="I104" s="9"/>
    </row>
    <row r="105" spans="1:9">
      <c r="A105" s="9"/>
      <c r="B105" s="9"/>
      <c r="C105" s="9"/>
      <c r="D105" s="9"/>
      <c r="F105" s="9"/>
      <c r="G105" s="9"/>
      <c r="H105" s="9"/>
      <c r="I105" s="9"/>
    </row>
    <row r="106" spans="1:9">
      <c r="A106" s="9"/>
      <c r="B106" s="9"/>
      <c r="C106" s="9"/>
      <c r="D106" s="9"/>
      <c r="F106" s="9"/>
      <c r="G106" s="9"/>
      <c r="H106" s="9"/>
      <c r="I106" s="9"/>
    </row>
    <row r="107" spans="1:9">
      <c r="A107" s="9"/>
      <c r="B107" s="9"/>
      <c r="C107" s="9"/>
      <c r="D107" s="9"/>
      <c r="F107" s="9"/>
      <c r="G107" s="9"/>
      <c r="H107" s="9"/>
      <c r="I107" s="9"/>
    </row>
    <row r="108" spans="1:9">
      <c r="A108" s="9"/>
      <c r="B108" s="9"/>
      <c r="C108" s="9"/>
      <c r="D108" s="9"/>
      <c r="F108" s="9"/>
      <c r="G108" s="9"/>
      <c r="H108" s="9"/>
      <c r="I108" s="9"/>
    </row>
    <row r="109" spans="1:9">
      <c r="A109" s="9"/>
      <c r="B109" s="9"/>
      <c r="C109" s="9"/>
      <c r="D109" s="9"/>
      <c r="F109" s="9"/>
      <c r="G109" s="9"/>
      <c r="H109" s="9"/>
      <c r="I109" s="9"/>
    </row>
    <row r="110" spans="1:9">
      <c r="A110" s="9"/>
      <c r="B110" s="9"/>
      <c r="C110" s="9"/>
      <c r="D110" s="9"/>
      <c r="F110" s="9"/>
      <c r="G110" s="9"/>
      <c r="H110" s="9"/>
      <c r="I110" s="9"/>
    </row>
    <row r="111" spans="1:9">
      <c r="A111" s="9"/>
      <c r="B111" s="9"/>
      <c r="C111" s="9"/>
      <c r="D111" s="9"/>
      <c r="F111" s="9"/>
      <c r="G111" s="9"/>
      <c r="H111" s="9"/>
      <c r="I111" s="9"/>
    </row>
    <row r="112" spans="1:9">
      <c r="A112" s="9"/>
      <c r="B112" s="9"/>
      <c r="C112" s="9"/>
      <c r="D112" s="9"/>
      <c r="F112" s="9"/>
      <c r="G112" s="9"/>
      <c r="H112" s="9"/>
      <c r="I112" s="9"/>
    </row>
    <row r="113" spans="1:9">
      <c r="A113" s="9"/>
      <c r="B113" s="9"/>
      <c r="C113" s="9"/>
      <c r="D113" s="9"/>
      <c r="F113" s="9"/>
      <c r="G113" s="9"/>
      <c r="H113" s="9"/>
      <c r="I113" s="9"/>
    </row>
    <row r="114" spans="1:9">
      <c r="A114" s="9"/>
      <c r="B114" s="9"/>
      <c r="C114" s="9"/>
      <c r="D114" s="9"/>
      <c r="F114" s="9"/>
      <c r="G114" s="9"/>
      <c r="H114" s="9"/>
      <c r="I114" s="9"/>
    </row>
    <row r="115" spans="1:9">
      <c r="A115" s="9"/>
      <c r="B115" s="9"/>
      <c r="C115" s="9"/>
      <c r="D115" s="9"/>
      <c r="F115" s="9"/>
      <c r="G115" s="9"/>
      <c r="H115" s="9"/>
      <c r="I115" s="9"/>
    </row>
    <row r="116" spans="1:9">
      <c r="A116" s="9"/>
      <c r="B116" s="9"/>
      <c r="C116" s="9"/>
      <c r="D116" s="9"/>
      <c r="F116" s="9"/>
      <c r="G116" s="9"/>
      <c r="H116" s="9"/>
      <c r="I116" s="9"/>
    </row>
    <row r="117" spans="1:9">
      <c r="A117" s="9"/>
      <c r="B117" s="9"/>
      <c r="C117" s="9"/>
      <c r="D117" s="9"/>
      <c r="F117" s="9"/>
      <c r="G117" s="9"/>
      <c r="H117" s="9"/>
      <c r="I117" s="9"/>
    </row>
    <row r="118" spans="1:9">
      <c r="A118" s="9"/>
      <c r="B118" s="9"/>
      <c r="C118" s="9"/>
      <c r="D118" s="9"/>
      <c r="F118" s="9"/>
      <c r="G118" s="9"/>
      <c r="H118" s="9"/>
      <c r="I118" s="9"/>
    </row>
    <row r="119" spans="1:9">
      <c r="A119" s="9"/>
      <c r="B119" s="9"/>
      <c r="C119" s="9"/>
      <c r="D119" s="9"/>
      <c r="F119" s="9"/>
      <c r="G119" s="9"/>
      <c r="H119" s="9"/>
      <c r="I119" s="9"/>
    </row>
    <row r="120" spans="1:9">
      <c r="A120" s="9"/>
      <c r="B120" s="9"/>
      <c r="C120" s="9"/>
      <c r="D120" s="9"/>
      <c r="F120" s="9"/>
      <c r="G120" s="9"/>
      <c r="H120" s="9"/>
      <c r="I120" s="9"/>
    </row>
    <row r="121" spans="1:9">
      <c r="A121" s="9"/>
      <c r="B121" s="9"/>
      <c r="C121" s="9"/>
      <c r="D121" s="9"/>
      <c r="F121" s="9"/>
      <c r="G121" s="9"/>
      <c r="H121" s="9"/>
      <c r="I121" s="9"/>
    </row>
  </sheetData>
  <customSheetViews>
    <customSheetView guid="{3FBB0C90-C6C1-480D-B078-514EE8852FAF}" showPageBreaks="1" fitToPage="1" printArea="1" hiddenColumns="1" topLeftCell="A30">
      <selection activeCell="L45" sqref="L45"/>
      <pageMargins left="0.5" right="0.5" top="0.75" bottom="0.75" header="0.3" footer="0.3"/>
      <pageSetup scale="66" orientation="landscape" horizontalDpi="1200" verticalDpi="1200" r:id="rId1"/>
      <headerFooter>
        <oddFooter>&amp;L&amp;8&amp;F  &amp;A  &amp;D  &amp;T</oddFooter>
      </headerFooter>
    </customSheetView>
  </customSheetViews>
  <printOptions horizontalCentered="1"/>
  <pageMargins left="0.7" right="0.7" top="0.75" bottom="0.75" header="0.3" footer="0.3"/>
  <pageSetup scale="60" fitToHeight="0" orientation="landscape" horizontalDpi="1200" verticalDpi="1200" r:id="rId2"/>
  <rowBreaks count="1" manualBreakCount="1">
    <brk id="4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pageSetUpPr fitToPage="1"/>
  </sheetPr>
  <dimension ref="A1:O34"/>
  <sheetViews>
    <sheetView zoomScaleNormal="100" workbookViewId="0"/>
  </sheetViews>
  <sheetFormatPr defaultColWidth="8.75" defaultRowHeight="14.25"/>
  <cols>
    <col min="1" max="1" width="6.25" style="9" customWidth="1"/>
    <col min="2" max="2" width="36.875" style="9" customWidth="1"/>
    <col min="3" max="3" width="40.625" style="9" customWidth="1"/>
    <col min="4" max="4" width="17" style="9" bestFit="1" customWidth="1"/>
    <col min="5" max="5" width="16.375" style="9" customWidth="1"/>
    <col min="6" max="6" width="10.25" style="9" customWidth="1"/>
    <col min="7" max="7" width="10.875" style="9" customWidth="1"/>
    <col min="8" max="8" width="13.25" style="9" customWidth="1"/>
    <col min="9" max="9" width="15" style="9" customWidth="1"/>
    <col min="10" max="10" width="9" style="9" customWidth="1"/>
    <col min="11" max="11" width="13.5" style="9" customWidth="1"/>
    <col min="12" max="12" width="13" style="9" customWidth="1"/>
    <col min="13" max="13" width="13.5" style="9" customWidth="1"/>
    <col min="14" max="14" width="11.875" style="9" customWidth="1"/>
    <col min="15" max="15" width="10.625" style="9" customWidth="1"/>
    <col min="16" max="16384" width="8.75" style="9"/>
  </cols>
  <sheetData>
    <row r="1" spans="1:15" ht="15">
      <c r="M1" s="100" t="s">
        <v>17</v>
      </c>
    </row>
    <row r="2" spans="1:15">
      <c r="K2" s="51" t="s">
        <v>261</v>
      </c>
    </row>
    <row r="3" spans="1:15">
      <c r="K3" s="51" t="s">
        <v>13</v>
      </c>
    </row>
    <row r="4" spans="1:15">
      <c r="B4" s="7"/>
      <c r="C4" s="7"/>
      <c r="K4" s="51"/>
    </row>
    <row r="5" spans="1:15" ht="20.25">
      <c r="B5" s="402" t="str">
        <f>Index!B2</f>
        <v>Tri-State Generation and Transmission Association, Inc.</v>
      </c>
      <c r="C5" s="7"/>
      <c r="L5" s="3"/>
    </row>
    <row r="6" spans="1:15">
      <c r="B6" s="7"/>
      <c r="C6" s="7"/>
    </row>
    <row r="7" spans="1:15" ht="15">
      <c r="B7" s="404" t="str">
        <f>Index!C13</f>
        <v>Return</v>
      </c>
      <c r="C7" s="7"/>
    </row>
    <row r="8" spans="1:15" ht="15">
      <c r="B8" s="405" t="str">
        <f>Index!B5</f>
        <v>Year Ending December 31, 2016</v>
      </c>
      <c r="C8" s="7"/>
    </row>
    <row r="10" spans="1:15" ht="15">
      <c r="A10" s="4" t="s">
        <v>18</v>
      </c>
      <c r="B10" s="4" t="s">
        <v>19</v>
      </c>
      <c r="C10" s="4" t="s">
        <v>20</v>
      </c>
      <c r="D10" s="4" t="s">
        <v>21</v>
      </c>
      <c r="E10" s="4" t="s">
        <v>22</v>
      </c>
      <c r="F10" s="4" t="s">
        <v>23</v>
      </c>
      <c r="G10" s="4" t="s">
        <v>24</v>
      </c>
      <c r="H10" s="4" t="s">
        <v>671</v>
      </c>
      <c r="I10" s="4" t="s">
        <v>134</v>
      </c>
      <c r="J10" s="4" t="s">
        <v>135</v>
      </c>
      <c r="K10" s="4" t="s">
        <v>369</v>
      </c>
    </row>
    <row r="11" spans="1:15" ht="60">
      <c r="A11" s="45" t="s">
        <v>415</v>
      </c>
      <c r="B11" s="45" t="s">
        <v>0</v>
      </c>
      <c r="C11" s="45" t="s">
        <v>1</v>
      </c>
      <c r="D11" s="45" t="s">
        <v>669</v>
      </c>
      <c r="E11" s="45" t="s">
        <v>676</v>
      </c>
      <c r="F11" s="143" t="s">
        <v>677</v>
      </c>
      <c r="G11" s="143" t="s">
        <v>678</v>
      </c>
      <c r="H11" s="143" t="s">
        <v>679</v>
      </c>
      <c r="I11" s="45" t="s">
        <v>124</v>
      </c>
      <c r="J11" s="45" t="s">
        <v>680</v>
      </c>
      <c r="K11" s="45" t="s">
        <v>681</v>
      </c>
      <c r="N11" s="265"/>
    </row>
    <row r="13" spans="1:15">
      <c r="A13" s="652">
        <v>1</v>
      </c>
      <c r="B13" s="1" t="s">
        <v>38</v>
      </c>
      <c r="C13" s="1"/>
      <c r="D13" s="8"/>
      <c r="E13" s="1"/>
      <c r="F13" s="1"/>
      <c r="G13" s="1"/>
      <c r="H13" s="1"/>
      <c r="I13" s="1"/>
      <c r="J13" s="1"/>
      <c r="K13" s="459"/>
    </row>
    <row r="14" spans="1:15" ht="45" customHeight="1">
      <c r="A14" s="652">
        <f>A13+1</f>
        <v>2</v>
      </c>
      <c r="B14" s="1" t="s">
        <v>34</v>
      </c>
      <c r="C14" s="687" t="str">
        <f>CONCATENATE('Worksheet F Inputs'!$F$3,", Lines ",'Worksheet F Inputs'!A86," and ",'Worksheet F Inputs'!A89,", Col ",'Worksheet F Inputs'!$F$10,CHAR(10)," and Line ",'Worksheet F Inputs'!A59,", Col ",'Worksheet F Inputs'!F10)</f>
        <v>Worksheet F, Lines 66 and 69, Col F
 and Line 42, Col F</v>
      </c>
      <c r="D14" s="27">
        <f>'Worksheet F Inputs'!F86+'Worksheet F Inputs'!F89</f>
        <v>2797370143</v>
      </c>
      <c r="E14" s="460">
        <f>D14/$D$17</f>
        <v>0.72123279398837514</v>
      </c>
      <c r="F14" s="460">
        <f>1-F16</f>
        <v>0.64759999999999995</v>
      </c>
      <c r="G14" s="460">
        <f>1-G16</f>
        <v>0.31140000000000001</v>
      </c>
      <c r="H14" s="460">
        <f>IF(AND($E$16&gt;$F$16,$E$16&lt;$G$16),E14,IF($E$16&lt;$F$16,F14,G14))</f>
        <v>0.64759999999999995</v>
      </c>
      <c r="I14" s="461">
        <f>'Worksheet F Inputs'!$F59</f>
        <v>124788433</v>
      </c>
      <c r="J14" s="462">
        <f>I14/D14</f>
        <v>4.4609196002275343E-2</v>
      </c>
      <c r="K14" s="458">
        <f>H14*J14</f>
        <v>2.888891533107351E-2</v>
      </c>
      <c r="N14" s="215"/>
      <c r="O14" s="215"/>
    </row>
    <row r="15" spans="1:15" ht="28.5">
      <c r="A15" s="652">
        <f>A14+1</f>
        <v>3</v>
      </c>
      <c r="B15" s="1" t="s">
        <v>682</v>
      </c>
      <c r="C15" s="431" t="s">
        <v>853</v>
      </c>
      <c r="D15" s="27">
        <f>'Worksheet F Inputs'!F88</f>
        <v>119900721</v>
      </c>
      <c r="E15" s="460">
        <f>D15/$D$17</f>
        <v>3.091343926167394E-2</v>
      </c>
      <c r="F15" s="460">
        <v>0</v>
      </c>
      <c r="G15" s="460">
        <v>0</v>
      </c>
      <c r="H15" s="460">
        <f>IF(AND($E$16&gt;$F$16,$E$16&lt;$G$16),E15,IF($E$16&lt;$F$16,F15,G15))</f>
        <v>0</v>
      </c>
      <c r="I15" s="461">
        <f>IF(D15&gt;0,'Worksheet F Inputs'!F61,0)</f>
        <v>1310682</v>
      </c>
      <c r="J15" s="460">
        <f>IF(D15&gt;0,I15/D15,0)</f>
        <v>1.0931393815388317E-2</v>
      </c>
      <c r="K15" s="458">
        <f>H15*J15</f>
        <v>0</v>
      </c>
      <c r="N15" s="215"/>
      <c r="O15" s="215"/>
    </row>
    <row r="16" spans="1:15">
      <c r="A16" s="652">
        <f>A15+1</f>
        <v>4</v>
      </c>
      <c r="B16" s="1" t="s">
        <v>35</v>
      </c>
      <c r="C16" s="463" t="str">
        <f>CONCATENATE('Worksheet F Inputs'!$F$3,", Line ",'Worksheet F Inputs'!A85,", Col ",,'Worksheet F Inputs'!$F$10)</f>
        <v>Worksheet F, Line 65, Col F</v>
      </c>
      <c r="D16" s="27">
        <f>'Worksheet F Inputs'!F85</f>
        <v>961324461</v>
      </c>
      <c r="E16" s="460">
        <f>D16/$D$17</f>
        <v>0.24785376674995091</v>
      </c>
      <c r="F16" s="460">
        <v>0.35239999999999999</v>
      </c>
      <c r="G16" s="460">
        <v>0.68859999999999999</v>
      </c>
      <c r="H16" s="460">
        <f>IF(AND($E$16&gt;$F$16,$E$16&lt;$G$16),E16,IF($E$16&lt;$F$16,F16,G16))</f>
        <v>0.35239999999999999</v>
      </c>
      <c r="I16" s="464" t="s">
        <v>670</v>
      </c>
      <c r="J16" s="462">
        <v>9.8000000000000004E-2</v>
      </c>
      <c r="K16" s="458">
        <f>H16*J16</f>
        <v>3.4535200000000002E-2</v>
      </c>
      <c r="N16" s="215"/>
      <c r="O16" s="215"/>
    </row>
    <row r="17" spans="1:15">
      <c r="A17" s="652">
        <f>A16+1</f>
        <v>5</v>
      </c>
      <c r="B17" s="1" t="s">
        <v>36</v>
      </c>
      <c r="C17" s="1" t="s">
        <v>16</v>
      </c>
      <c r="D17" s="27">
        <f t="shared" ref="D17:I17" si="0">SUM(D14:D16)</f>
        <v>3878595325</v>
      </c>
      <c r="E17" s="460">
        <f t="shared" si="0"/>
        <v>1</v>
      </c>
      <c r="F17" s="460">
        <f t="shared" si="0"/>
        <v>1</v>
      </c>
      <c r="G17" s="460">
        <f t="shared" si="0"/>
        <v>1</v>
      </c>
      <c r="H17" s="460">
        <f t="shared" si="0"/>
        <v>1</v>
      </c>
      <c r="I17" s="461">
        <f t="shared" si="0"/>
        <v>126099115</v>
      </c>
      <c r="J17" s="465"/>
      <c r="K17" s="458">
        <f>SUM(K14:K16)</f>
        <v>6.3424115331073505E-2</v>
      </c>
      <c r="N17" s="215"/>
      <c r="O17" s="266"/>
    </row>
    <row r="18" spans="1:15">
      <c r="A18" s="652"/>
      <c r="B18" s="1"/>
      <c r="C18" s="1"/>
      <c r="D18" s="8"/>
      <c r="E18" s="1"/>
      <c r="F18" s="1"/>
      <c r="G18" s="1"/>
      <c r="H18" s="1"/>
      <c r="I18" s="1"/>
      <c r="J18" s="1"/>
      <c r="K18" s="459"/>
    </row>
    <row r="19" spans="1:15">
      <c r="A19" s="652">
        <f>A17+1</f>
        <v>6</v>
      </c>
      <c r="B19" s="1" t="s">
        <v>37</v>
      </c>
      <c r="C19" s="1" t="str">
        <f>CONCATENATE('Worksheet A Rate Base'!$I$3, ", Line ",'Worksheet A Rate Base'!A88, ", Col ",'Worksheet A Rate Base'!$I$10)</f>
        <v>Worksheet A, Line 63, Col I</v>
      </c>
      <c r="D19" s="466"/>
      <c r="E19" s="1"/>
      <c r="F19" s="1"/>
      <c r="G19" s="1"/>
      <c r="H19" s="1"/>
      <c r="I19" s="467"/>
      <c r="J19" s="1"/>
      <c r="K19" s="468">
        <f>'Worksheet A Rate Base'!I88</f>
        <v>22585152.117765743</v>
      </c>
    </row>
    <row r="20" spans="1:15">
      <c r="A20" s="652">
        <f>A19+1</f>
        <v>7</v>
      </c>
      <c r="B20" s="1" t="s">
        <v>413</v>
      </c>
      <c r="C20" s="1" t="str">
        <f>"Line "&amp;A17&amp;" * Line "&amp;A19</f>
        <v>Line 5 * Line 6</v>
      </c>
      <c r="D20" s="1"/>
      <c r="E20" s="1"/>
      <c r="F20" s="1"/>
      <c r="G20" s="1"/>
      <c r="H20" s="1"/>
      <c r="I20" s="1"/>
      <c r="J20" s="1"/>
      <c r="K20" s="781">
        <f>K17*K19</f>
        <v>1432443.2926870135</v>
      </c>
    </row>
    <row r="21" spans="1:15">
      <c r="A21" s="653"/>
      <c r="K21" s="375"/>
    </row>
    <row r="22" spans="1:15">
      <c r="A22" s="651">
        <f>A20+1</f>
        <v>8</v>
      </c>
      <c r="B22" s="50" t="s">
        <v>798</v>
      </c>
    </row>
    <row r="23" spans="1:15">
      <c r="A23" s="651">
        <f>A22+1</f>
        <v>9</v>
      </c>
      <c r="B23" s="9" t="s">
        <v>823</v>
      </c>
    </row>
    <row r="24" spans="1:15">
      <c r="A24" s="651">
        <f t="shared" ref="A24:A34" si="1">A23+1</f>
        <v>10</v>
      </c>
      <c r="B24" s="9" t="s">
        <v>944</v>
      </c>
    </row>
    <row r="25" spans="1:15">
      <c r="A25" s="651">
        <f t="shared" si="1"/>
        <v>11</v>
      </c>
      <c r="B25" s="9" t="s">
        <v>942</v>
      </c>
    </row>
    <row r="26" spans="1:15">
      <c r="A26" s="651">
        <f t="shared" si="1"/>
        <v>12</v>
      </c>
      <c r="B26" s="9" t="s">
        <v>943</v>
      </c>
    </row>
    <row r="27" spans="1:15">
      <c r="A27" s="651">
        <f t="shared" si="1"/>
        <v>13</v>
      </c>
      <c r="B27" s="9" t="s">
        <v>672</v>
      </c>
    </row>
    <row r="28" spans="1:15">
      <c r="A28" s="651">
        <f t="shared" si="1"/>
        <v>14</v>
      </c>
      <c r="B28" s="9" t="s">
        <v>673</v>
      </c>
    </row>
    <row r="29" spans="1:15">
      <c r="A29" s="651">
        <f t="shared" si="1"/>
        <v>15</v>
      </c>
      <c r="B29" s="9" t="s">
        <v>945</v>
      </c>
    </row>
    <row r="30" spans="1:15">
      <c r="A30" s="651">
        <f t="shared" si="1"/>
        <v>16</v>
      </c>
      <c r="B30" s="9" t="s">
        <v>674</v>
      </c>
    </row>
    <row r="31" spans="1:15">
      <c r="A31" s="651">
        <f t="shared" si="1"/>
        <v>17</v>
      </c>
      <c r="B31" s="9" t="s">
        <v>675</v>
      </c>
    </row>
    <row r="32" spans="1:15">
      <c r="A32" s="651">
        <f t="shared" si="1"/>
        <v>18</v>
      </c>
      <c r="B32" s="9" t="s">
        <v>824</v>
      </c>
    </row>
    <row r="33" spans="1:2">
      <c r="A33" s="651">
        <f t="shared" si="1"/>
        <v>19</v>
      </c>
      <c r="B33" s="9" t="s">
        <v>825</v>
      </c>
    </row>
    <row r="34" spans="1:2">
      <c r="A34" s="651">
        <f t="shared" si="1"/>
        <v>20</v>
      </c>
      <c r="B34" s="9" t="s">
        <v>826</v>
      </c>
    </row>
  </sheetData>
  <customSheetViews>
    <customSheetView guid="{3FBB0C90-C6C1-480D-B078-514EE8852FAF}" scale="85" showPageBreaks="1" printArea="1" topLeftCell="A3">
      <selection activeCell="C19" sqref="C19"/>
      <pageMargins left="0.7" right="0.7" top="0.75" bottom="0.75" header="0.3" footer="0.3"/>
      <pageSetup scale="63" orientation="landscape" horizontalDpi="1200" verticalDpi="1200" r:id="rId1"/>
    </customSheetView>
  </customSheetViews>
  <printOptions horizontalCentered="1"/>
  <pageMargins left="0.7" right="0.7" top="0.75" bottom="0.75" header="0.3" footer="0.3"/>
  <pageSetup scale="5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I28"/>
  <sheetViews>
    <sheetView zoomScaleNormal="100" workbookViewId="0"/>
  </sheetViews>
  <sheetFormatPr defaultColWidth="10" defaultRowHeight="12.75"/>
  <cols>
    <col min="1" max="1" width="7.375" style="47" customWidth="1"/>
    <col min="2" max="2" width="19.75" style="47" customWidth="1"/>
    <col min="3" max="3" width="11" style="47" customWidth="1"/>
    <col min="4" max="4" width="13.625" style="47" customWidth="1"/>
    <col min="5" max="5" width="10" style="47"/>
    <col min="6" max="6" width="13.375" style="47" customWidth="1"/>
    <col min="7" max="16384" width="10" style="47"/>
  </cols>
  <sheetData>
    <row r="1" spans="1:9" ht="15">
      <c r="I1" s="100"/>
    </row>
    <row r="2" spans="1:9" ht="14.25">
      <c r="A2" s="9"/>
      <c r="B2" s="9"/>
      <c r="C2" s="9"/>
      <c r="D2" s="9"/>
      <c r="E2" s="9"/>
      <c r="G2" s="51" t="s">
        <v>259</v>
      </c>
    </row>
    <row r="3" spans="1:9" ht="14.25">
      <c r="A3" s="9"/>
      <c r="B3" s="9"/>
      <c r="C3" s="9"/>
      <c r="D3" s="9"/>
      <c r="E3" s="9"/>
      <c r="G3" s="51" t="s">
        <v>209</v>
      </c>
    </row>
    <row r="4" spans="1:9" ht="14.25">
      <c r="A4" s="9"/>
      <c r="B4" s="7"/>
      <c r="C4" s="7"/>
      <c r="D4" s="7"/>
      <c r="E4" s="7"/>
      <c r="F4" s="7"/>
    </row>
    <row r="5" spans="1:9" ht="20.25">
      <c r="B5" s="661" t="str">
        <f>Index!B2</f>
        <v>Tri-State Generation and Transmission Association, Inc.</v>
      </c>
      <c r="C5" s="7"/>
      <c r="D5" s="7"/>
      <c r="E5" s="7"/>
      <c r="F5" s="7"/>
    </row>
    <row r="6" spans="1:9" ht="15">
      <c r="B6" s="5"/>
      <c r="C6" s="7"/>
      <c r="D6" s="7"/>
      <c r="E6" s="7"/>
      <c r="F6" s="7"/>
    </row>
    <row r="7" spans="1:9" ht="15">
      <c r="B7" s="404" t="str">
        <f>Index!C14</f>
        <v>Load</v>
      </c>
      <c r="C7" s="5"/>
      <c r="D7" s="5"/>
      <c r="E7" s="5"/>
      <c r="F7" s="5"/>
    </row>
    <row r="8" spans="1:9" ht="15">
      <c r="B8" s="405" t="str">
        <f>Index!B5</f>
        <v>Year Ending December 31, 2016</v>
      </c>
      <c r="C8" s="5"/>
      <c r="D8" s="5"/>
      <c r="E8" s="5"/>
      <c r="F8" s="5"/>
    </row>
    <row r="9" spans="1:9" ht="13.5" customHeight="1">
      <c r="A9" s="232"/>
      <c r="B9" s="5"/>
      <c r="C9" s="5"/>
      <c r="D9" s="5"/>
      <c r="E9" s="5"/>
      <c r="F9" s="5"/>
    </row>
    <row r="10" spans="1:9" ht="15">
      <c r="A10" s="264" t="s">
        <v>18</v>
      </c>
      <c r="B10" s="264" t="s">
        <v>19</v>
      </c>
      <c r="C10" s="264" t="s">
        <v>20</v>
      </c>
      <c r="D10" s="264" t="s">
        <v>21</v>
      </c>
      <c r="E10" s="264" t="s">
        <v>22</v>
      </c>
      <c r="F10" s="264" t="s">
        <v>23</v>
      </c>
    </row>
    <row r="11" spans="1:9" ht="30">
      <c r="A11" s="45" t="s">
        <v>415</v>
      </c>
      <c r="B11" s="143" t="s">
        <v>0</v>
      </c>
      <c r="C11" s="143" t="s">
        <v>630</v>
      </c>
      <c r="D11" s="143" t="s">
        <v>348</v>
      </c>
      <c r="E11" s="143" t="s">
        <v>44</v>
      </c>
      <c r="F11" s="143" t="s">
        <v>211</v>
      </c>
    </row>
    <row r="12" spans="1:9" ht="14.25">
      <c r="A12" s="660">
        <v>1</v>
      </c>
      <c r="B12" s="9" t="s">
        <v>212</v>
      </c>
      <c r="C12" s="450">
        <f>'Worksheet F Inputs'!F16</f>
        <v>51321</v>
      </c>
      <c r="D12" s="451">
        <v>0</v>
      </c>
      <c r="E12" s="451">
        <v>0</v>
      </c>
      <c r="F12" s="452">
        <f t="shared" ref="F12:F23" si="0">SUM(C12:E12)</f>
        <v>51321</v>
      </c>
    </row>
    <row r="13" spans="1:9" ht="14.25">
      <c r="A13" s="660">
        <f>A12+1</f>
        <v>2</v>
      </c>
      <c r="B13" s="9" t="s">
        <v>213</v>
      </c>
      <c r="C13" s="450">
        <f>'Worksheet F Inputs'!F17</f>
        <v>51533</v>
      </c>
      <c r="D13" s="451">
        <v>0</v>
      </c>
      <c r="E13" s="451">
        <v>0</v>
      </c>
      <c r="F13" s="452">
        <f t="shared" si="0"/>
        <v>51533</v>
      </c>
    </row>
    <row r="14" spans="1:9" ht="14.25">
      <c r="A14" s="660">
        <f t="shared" ref="A14:A24" si="1">A13+1</f>
        <v>3</v>
      </c>
      <c r="B14" s="9" t="s">
        <v>214</v>
      </c>
      <c r="C14" s="450">
        <f>'Worksheet F Inputs'!F18</f>
        <v>40741</v>
      </c>
      <c r="D14" s="451">
        <v>0</v>
      </c>
      <c r="E14" s="451">
        <v>0</v>
      </c>
      <c r="F14" s="452">
        <f t="shared" si="0"/>
        <v>40741</v>
      </c>
    </row>
    <row r="15" spans="1:9" ht="14.25">
      <c r="A15" s="660">
        <f t="shared" si="1"/>
        <v>4</v>
      </c>
      <c r="B15" s="9" t="s">
        <v>215</v>
      </c>
      <c r="C15" s="450">
        <f>'Worksheet F Inputs'!F19</f>
        <v>63549</v>
      </c>
      <c r="D15" s="451">
        <v>0</v>
      </c>
      <c r="E15" s="451">
        <v>0</v>
      </c>
      <c r="F15" s="452">
        <f t="shared" si="0"/>
        <v>63549</v>
      </c>
    </row>
    <row r="16" spans="1:9" ht="14.25">
      <c r="A16" s="660">
        <f t="shared" si="1"/>
        <v>5</v>
      </c>
      <c r="B16" s="9" t="s">
        <v>31</v>
      </c>
      <c r="C16" s="450">
        <f>'Worksheet F Inputs'!F20</f>
        <v>74791</v>
      </c>
      <c r="D16" s="451">
        <v>0</v>
      </c>
      <c r="E16" s="451">
        <v>0</v>
      </c>
      <c r="F16" s="452">
        <f t="shared" si="0"/>
        <v>74791</v>
      </c>
    </row>
    <row r="17" spans="1:6" ht="14.25">
      <c r="A17" s="660">
        <f t="shared" si="1"/>
        <v>6</v>
      </c>
      <c r="B17" s="9" t="s">
        <v>216</v>
      </c>
      <c r="C17" s="450">
        <f>'Worksheet F Inputs'!F21</f>
        <v>234819</v>
      </c>
      <c r="D17" s="451">
        <v>0</v>
      </c>
      <c r="E17" s="451">
        <v>0</v>
      </c>
      <c r="F17" s="452">
        <f t="shared" si="0"/>
        <v>234819</v>
      </c>
    </row>
    <row r="18" spans="1:6" ht="14.25">
      <c r="A18" s="660">
        <f t="shared" si="1"/>
        <v>7</v>
      </c>
      <c r="B18" s="9" t="s">
        <v>217</v>
      </c>
      <c r="C18" s="450">
        <f>'Worksheet F Inputs'!F22</f>
        <v>284642</v>
      </c>
      <c r="D18" s="451">
        <v>0</v>
      </c>
      <c r="E18" s="451">
        <v>0</v>
      </c>
      <c r="F18" s="452">
        <f t="shared" si="0"/>
        <v>284642</v>
      </c>
    </row>
    <row r="19" spans="1:6" ht="14.25">
      <c r="A19" s="660">
        <f t="shared" si="1"/>
        <v>8</v>
      </c>
      <c r="B19" s="9" t="s">
        <v>218</v>
      </c>
      <c r="C19" s="450">
        <f>'Worksheet F Inputs'!F23</f>
        <v>283650</v>
      </c>
      <c r="D19" s="451">
        <v>0</v>
      </c>
      <c r="E19" s="451">
        <v>0</v>
      </c>
      <c r="F19" s="452">
        <f t="shared" si="0"/>
        <v>283650</v>
      </c>
    </row>
    <row r="20" spans="1:6" ht="14.25">
      <c r="A20" s="660">
        <f t="shared" si="1"/>
        <v>9</v>
      </c>
      <c r="B20" s="9" t="s">
        <v>219</v>
      </c>
      <c r="C20" s="450">
        <f>'Worksheet F Inputs'!F24</f>
        <v>90809</v>
      </c>
      <c r="D20" s="451">
        <v>0</v>
      </c>
      <c r="E20" s="451">
        <v>0</v>
      </c>
      <c r="F20" s="452">
        <f t="shared" si="0"/>
        <v>90809</v>
      </c>
    </row>
    <row r="21" spans="1:6" ht="14.25">
      <c r="A21" s="660">
        <f t="shared" si="1"/>
        <v>10</v>
      </c>
      <c r="B21" s="9" t="s">
        <v>220</v>
      </c>
      <c r="C21" s="450">
        <f>'Worksheet F Inputs'!F25</f>
        <v>52534</v>
      </c>
      <c r="D21" s="451">
        <v>0</v>
      </c>
      <c r="E21" s="451">
        <v>0</v>
      </c>
      <c r="F21" s="452">
        <f t="shared" si="0"/>
        <v>52534</v>
      </c>
    </row>
    <row r="22" spans="1:6" ht="14.25">
      <c r="A22" s="660">
        <f t="shared" si="1"/>
        <v>11</v>
      </c>
      <c r="B22" s="9" t="s">
        <v>221</v>
      </c>
      <c r="C22" s="450">
        <f>'Worksheet F Inputs'!F26</f>
        <v>44923</v>
      </c>
      <c r="D22" s="451">
        <v>0</v>
      </c>
      <c r="E22" s="451">
        <v>0</v>
      </c>
      <c r="F22" s="452">
        <f t="shared" si="0"/>
        <v>44923</v>
      </c>
    </row>
    <row r="23" spans="1:6" ht="14.25">
      <c r="A23" s="660">
        <f t="shared" si="1"/>
        <v>12</v>
      </c>
      <c r="B23" s="9" t="s">
        <v>222</v>
      </c>
      <c r="C23" s="453">
        <f>'Worksheet F Inputs'!F27</f>
        <v>59755</v>
      </c>
      <c r="D23" s="454">
        <v>0</v>
      </c>
      <c r="E23" s="454">
        <v>0</v>
      </c>
      <c r="F23" s="455">
        <f t="shared" si="0"/>
        <v>59755</v>
      </c>
    </row>
    <row r="24" spans="1:6" ht="14.25">
      <c r="A24" s="660">
        <f t="shared" si="1"/>
        <v>13</v>
      </c>
      <c r="B24" s="412" t="s">
        <v>223</v>
      </c>
      <c r="C24" s="456">
        <f>SUM(C12:C23)</f>
        <v>1333067</v>
      </c>
      <c r="D24" s="457">
        <f>SUM(D12:D23)</f>
        <v>0</v>
      </c>
      <c r="E24" s="457">
        <f>SUM(E12:E23)</f>
        <v>0</v>
      </c>
      <c r="F24" s="452">
        <f>SUM(F12:F23)</f>
        <v>1333067</v>
      </c>
    </row>
    <row r="25" spans="1:6" ht="14.25">
      <c r="A25" s="660"/>
      <c r="B25" s="412"/>
      <c r="C25" s="49"/>
      <c r="D25" s="416"/>
      <c r="E25" s="416"/>
      <c r="F25" s="423"/>
    </row>
    <row r="26" spans="1:6" ht="14.25">
      <c r="A26" s="660">
        <f>A24+1</f>
        <v>14</v>
      </c>
      <c r="B26" s="412" t="s">
        <v>224</v>
      </c>
      <c r="C26" s="374">
        <f>C24/12</f>
        <v>111088.91666666667</v>
      </c>
      <c r="D26" s="423">
        <f>D24/12</f>
        <v>0</v>
      </c>
      <c r="E26" s="423">
        <f>E24/12</f>
        <v>0</v>
      </c>
      <c r="F26" s="452">
        <f>AVERAGE(F12:F23)</f>
        <v>111088.91666666667</v>
      </c>
    </row>
    <row r="27" spans="1:6" ht="15">
      <c r="A27" s="82"/>
      <c r="B27" s="82"/>
      <c r="C27" s="82"/>
      <c r="D27" s="82"/>
      <c r="E27" s="82"/>
      <c r="F27" s="82"/>
    </row>
    <row r="28" spans="1:6" ht="15">
      <c r="A28" s="82"/>
      <c r="B28" s="82"/>
      <c r="C28" s="82"/>
      <c r="D28" s="82"/>
      <c r="E28" s="82"/>
      <c r="F28" s="82"/>
    </row>
  </sheetData>
  <printOptions horizontalCentered="1"/>
  <pageMargins left="0.7" right="0.7" top="0.75" bottom="0.75" header="0.3" footer="0.3"/>
  <pageSetup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pageSetUpPr fitToPage="1"/>
  </sheetPr>
  <dimension ref="A1:J60"/>
  <sheetViews>
    <sheetView zoomScaleNormal="100" workbookViewId="0"/>
  </sheetViews>
  <sheetFormatPr defaultColWidth="9" defaultRowHeight="14.25"/>
  <cols>
    <col min="1" max="1" width="10.375" style="57" customWidth="1"/>
    <col min="2" max="2" width="40.375" style="9" customWidth="1"/>
    <col min="3" max="3" width="43.625" style="9" customWidth="1"/>
    <col min="4" max="4" width="16.375" style="9" bestFit="1" customWidth="1"/>
    <col min="5" max="5" width="19.25" style="9" customWidth="1"/>
    <col min="6" max="6" width="14.625" style="9" customWidth="1"/>
    <col min="7" max="7" width="19.25" style="9" customWidth="1"/>
    <col min="8" max="8" width="9" style="1"/>
    <col min="9" max="9" width="1.5" style="1" customWidth="1"/>
    <col min="10" max="10" width="12.375" style="1" customWidth="1"/>
    <col min="11" max="12" width="9" style="1"/>
    <col min="13" max="13" width="13.875" style="1" customWidth="1"/>
    <col min="14" max="16384" width="9" style="1"/>
  </cols>
  <sheetData>
    <row r="1" spans="1:10">
      <c r="J1" s="51"/>
    </row>
    <row r="2" spans="1:10">
      <c r="G2" s="51" t="s">
        <v>829</v>
      </c>
    </row>
    <row r="3" spans="1:10">
      <c r="G3" s="51" t="s">
        <v>14</v>
      </c>
    </row>
    <row r="4" spans="1:10">
      <c r="B4" s="7"/>
      <c r="C4" s="7"/>
    </row>
    <row r="5" spans="1:10" ht="20.25">
      <c r="B5" s="402" t="str">
        <f>Index!B2</f>
        <v>Tri-State Generation and Transmission Association, Inc.</v>
      </c>
      <c r="C5" s="7"/>
    </row>
    <row r="6" spans="1:10">
      <c r="B6" s="7"/>
      <c r="C6" s="7"/>
    </row>
    <row r="7" spans="1:10" ht="15">
      <c r="B7" s="404" t="s">
        <v>258</v>
      </c>
      <c r="C7" s="7"/>
    </row>
    <row r="8" spans="1:10" ht="15">
      <c r="B8" s="404" t="str">
        <f>Index!B5</f>
        <v>Year Ending December 31, 2016</v>
      </c>
      <c r="C8" s="7"/>
    </row>
    <row r="10" spans="1:10" ht="15">
      <c r="A10" s="43" t="s">
        <v>18</v>
      </c>
      <c r="B10" s="4" t="s">
        <v>19</v>
      </c>
      <c r="C10" s="44" t="s">
        <v>20</v>
      </c>
      <c r="D10" s="44" t="s">
        <v>21</v>
      </c>
      <c r="E10" s="44" t="s">
        <v>22</v>
      </c>
      <c r="F10" s="44" t="s">
        <v>23</v>
      </c>
      <c r="G10" s="44" t="s">
        <v>24</v>
      </c>
    </row>
    <row r="11" spans="1:10" ht="15">
      <c r="A11" s="45" t="s">
        <v>415</v>
      </c>
      <c r="B11" s="45" t="s">
        <v>0</v>
      </c>
      <c r="C11" s="45" t="s">
        <v>1</v>
      </c>
      <c r="D11" s="45" t="s">
        <v>2</v>
      </c>
      <c r="E11" s="143" t="s">
        <v>5</v>
      </c>
      <c r="F11" s="45" t="s">
        <v>199</v>
      </c>
      <c r="G11" s="45" t="s">
        <v>78</v>
      </c>
      <c r="J11" s="9"/>
    </row>
    <row r="12" spans="1:10">
      <c r="A12" s="469">
        <v>1</v>
      </c>
      <c r="B12" s="9" t="s">
        <v>205</v>
      </c>
      <c r="C12" s="9" t="str">
        <f>'Worksheet K Wages Input'!$F$3&amp;", Line "&amp;'Worksheet K Wages Input'!A13&amp;", Col "&amp;'Worksheet K Wages Input'!$F$10</f>
        <v>Worksheet K, Line 2, Col F</v>
      </c>
      <c r="D12" s="374">
        <f>'Worksheet K Wages Input'!F13</f>
        <v>53700499.990000002</v>
      </c>
      <c r="E12" s="374" t="s">
        <v>255</v>
      </c>
      <c r="F12" s="470">
        <f>$G$37</f>
        <v>0</v>
      </c>
      <c r="G12" s="471">
        <f t="shared" ref="G12:G18" si="0">D12*F12</f>
        <v>0</v>
      </c>
      <c r="J12" s="9"/>
    </row>
    <row r="13" spans="1:10">
      <c r="A13" s="469">
        <f>A12+1</f>
        <v>2</v>
      </c>
      <c r="B13" s="9" t="s">
        <v>245</v>
      </c>
      <c r="C13" s="472" t="str">
        <f>'Worksheet K Wages Input'!$F$3&amp;", Line "&amp;'Worksheet K Wages Input'!A14&amp;", Col "&amp;'Worksheet K Wages Input'!$F$10&amp;" Less Line "&amp;'Worksheet K Wages Input'!A26&amp;", Col "&amp;'Worksheet K Wages Input'!F10</f>
        <v>Worksheet K, Line 3, Col F Less Line 14, Col F</v>
      </c>
      <c r="D13" s="374">
        <f>'Worksheet K Wages Input'!F14-'Worksheet K Wages Input'!F23</f>
        <v>44854438.189999998</v>
      </c>
      <c r="E13" s="374" t="s">
        <v>80</v>
      </c>
      <c r="F13" s="470">
        <f>G$29</f>
        <v>3.1755893953600761E-2</v>
      </c>
      <c r="G13" s="471">
        <f t="shared" si="0"/>
        <v>1424392.78250998</v>
      </c>
      <c r="J13" s="9"/>
    </row>
    <row r="14" spans="1:10">
      <c r="A14" s="469">
        <f>A13+1</f>
        <v>3</v>
      </c>
      <c r="B14" s="9" t="s">
        <v>349</v>
      </c>
      <c r="C14" s="9" t="str">
        <f>'Worksheet K Wages Input'!$F$3&amp;", Line "&amp;'Worksheet K Wages Input'!A26&amp;", Col "&amp;'Worksheet K Wages Input'!$F$10</f>
        <v>Worksheet K, Line 14, Col F</v>
      </c>
      <c r="D14" s="374">
        <f>'Worksheet K Wages Input'!F26</f>
        <v>6301826.4699999997</v>
      </c>
      <c r="E14" s="374" t="s">
        <v>255</v>
      </c>
      <c r="F14" s="470">
        <f>$G$37</f>
        <v>0</v>
      </c>
      <c r="G14" s="471">
        <f>D14*F14</f>
        <v>0</v>
      </c>
      <c r="J14" s="9"/>
    </row>
    <row r="15" spans="1:10">
      <c r="A15" s="469">
        <f>A14+1</f>
        <v>4</v>
      </c>
      <c r="B15" s="9" t="s">
        <v>393</v>
      </c>
      <c r="C15" s="9" t="str">
        <f>'Worksheet K Wages Input'!$F$3&amp;", Line "&amp;'Worksheet K Wages Input'!A15&amp;", Col "&amp;'Worksheet K Wages Input'!$F$10</f>
        <v>Worksheet K, Line 4, Col F</v>
      </c>
      <c r="D15" s="374">
        <f>'Worksheet K Wages Input'!F15</f>
        <v>421701.15</v>
      </c>
      <c r="E15" s="374" t="s">
        <v>255</v>
      </c>
      <c r="F15" s="470">
        <f>$G$37</f>
        <v>0</v>
      </c>
      <c r="G15" s="471">
        <f t="shared" si="0"/>
        <v>0</v>
      </c>
      <c r="J15" s="9"/>
    </row>
    <row r="16" spans="1:10" ht="15">
      <c r="A16" s="469">
        <f t="shared" ref="A16:A23" si="1">A15+1</f>
        <v>5</v>
      </c>
      <c r="B16" s="9" t="s">
        <v>207</v>
      </c>
      <c r="C16" s="9" t="str">
        <f>'Worksheet K Wages Input'!$F$3&amp;", Line "&amp;'Worksheet K Wages Input'!A16&amp;", Col "&amp;'Worksheet K Wages Input'!$F$10</f>
        <v>Worksheet K, Line 5, Col F</v>
      </c>
      <c r="D16" s="374">
        <f>'Worksheet K Wages Input'!F16</f>
        <v>457329.61</v>
      </c>
      <c r="E16" s="374" t="s">
        <v>80</v>
      </c>
      <c r="F16" s="470">
        <f>G29</f>
        <v>3.1755893953600761E-2</v>
      </c>
      <c r="G16" s="471">
        <f t="shared" si="0"/>
        <v>14522.910597001593</v>
      </c>
      <c r="H16" s="48"/>
      <c r="J16" s="9"/>
    </row>
    <row r="17" spans="1:10">
      <c r="A17" s="469">
        <f t="shared" si="1"/>
        <v>6</v>
      </c>
      <c r="B17" s="9" t="s">
        <v>194</v>
      </c>
      <c r="C17" s="9" t="str">
        <f>'Worksheet K Wages Input'!$F$3&amp;", Line "&amp;'Worksheet K Wages Input'!A17&amp;", Col "&amp;'Worksheet K Wages Input'!$F$10</f>
        <v>Worksheet K, Line 6, Col F</v>
      </c>
      <c r="D17" s="374">
        <f>'Worksheet K Wages Input'!F17</f>
        <v>127331.49000000002</v>
      </c>
      <c r="E17" s="374" t="s">
        <v>255</v>
      </c>
      <c r="F17" s="470">
        <f>$G$37</f>
        <v>0</v>
      </c>
      <c r="G17" s="471">
        <f t="shared" si="0"/>
        <v>0</v>
      </c>
      <c r="J17" s="9"/>
    </row>
    <row r="18" spans="1:10">
      <c r="A18" s="469">
        <f t="shared" si="1"/>
        <v>7</v>
      </c>
      <c r="B18" s="9" t="s">
        <v>195</v>
      </c>
      <c r="C18" s="9" t="str">
        <f>'Worksheet K Wages Input'!$F$3&amp;", Line "&amp;'Worksheet K Wages Input'!A18&amp;", Col "&amp;'Worksheet K Wages Input'!$F$10</f>
        <v>Worksheet K, Line 7, Col F</v>
      </c>
      <c r="D18" s="374">
        <f>'Worksheet K Wages Input'!F18</f>
        <v>0</v>
      </c>
      <c r="E18" s="374" t="s">
        <v>255</v>
      </c>
      <c r="F18" s="470">
        <f>$G$37</f>
        <v>0</v>
      </c>
      <c r="G18" s="471">
        <f t="shared" si="0"/>
        <v>0</v>
      </c>
      <c r="J18" s="9"/>
    </row>
    <row r="19" spans="1:10">
      <c r="A19" s="469">
        <f t="shared" si="1"/>
        <v>8</v>
      </c>
      <c r="B19" s="412"/>
      <c r="C19" s="412" t="s">
        <v>156</v>
      </c>
      <c r="D19" s="473">
        <f>SUM(D12:D18)</f>
        <v>105863126.90000001</v>
      </c>
      <c r="E19" s="407"/>
      <c r="F19" s="412"/>
      <c r="G19" s="473">
        <f>SUM(G12:G18)</f>
        <v>1438915.6931069817</v>
      </c>
      <c r="J19" s="9"/>
    </row>
    <row r="20" spans="1:10" ht="15">
      <c r="A20" s="469">
        <f t="shared" si="1"/>
        <v>9</v>
      </c>
      <c r="B20" s="474" t="s">
        <v>115</v>
      </c>
      <c r="C20" s="475"/>
      <c r="D20" s="475"/>
      <c r="E20" s="475"/>
      <c r="F20" s="475"/>
      <c r="G20" s="476">
        <f>G19/D19</f>
        <v>1.359222739062114E-2</v>
      </c>
      <c r="J20" s="9"/>
    </row>
    <row r="21" spans="1:10">
      <c r="A21" s="469"/>
      <c r="J21" s="9"/>
    </row>
    <row r="22" spans="1:10" ht="42.6" customHeight="1">
      <c r="A22" s="469">
        <f>+A20+1</f>
        <v>10</v>
      </c>
      <c r="B22" s="9" t="s">
        <v>208</v>
      </c>
      <c r="C22" s="472" t="str">
        <f>'Worksheet F Inputs'!F3&amp;", Sum(Line "&amp;'Worksheet F Inputs'!A102&amp;" thru "&amp;'Worksheet F Inputs'!A104&amp;"), Col "&amp;'Worksheet F Inputs'!F10&amp;" and"&amp;CHAR(10)&amp;' Worksheet U Stations'!N3&amp;", Line "&amp;' Worksheet U Stations'!A18&amp;", (Cols "&amp;' Worksheet U Stations'!J10&amp;" and "&amp;' Worksheet U Stations'!L10&amp;")/2"</f>
        <v>Worksheet F, Sum(Line 78 thru 80), Col F and
Worksheet U, Line 7, (Cols J and L)/2</v>
      </c>
      <c r="D22" s="215">
        <f>SUM('Worksheet F Inputs'!F102:F104)</f>
        <v>599732148</v>
      </c>
      <c r="E22" s="215"/>
      <c r="F22" s="215"/>
      <c r="G22" s="215">
        <f>(' Worksheet U Stations'!J18+' Worksheet U Stations'!L18)/2</f>
        <v>15953029.816666689</v>
      </c>
      <c r="J22" s="9"/>
    </row>
    <row r="23" spans="1:10" ht="15">
      <c r="A23" s="469">
        <f t="shared" si="1"/>
        <v>11</v>
      </c>
      <c r="B23" s="475" t="s">
        <v>116</v>
      </c>
      <c r="G23" s="476">
        <f>G22/D22</f>
        <v>2.660025791491619E-2</v>
      </c>
      <c r="J23" s="9"/>
    </row>
    <row r="24" spans="1:10">
      <c r="A24" s="469"/>
      <c r="J24" s="9"/>
    </row>
    <row r="25" spans="1:10" ht="28.5">
      <c r="A25" s="469">
        <f>A23+1</f>
        <v>12</v>
      </c>
      <c r="B25" s="7" t="s">
        <v>191</v>
      </c>
      <c r="C25" s="477" t="str">
        <f>'Worksheet F Inputs'!F3&amp;", Line "&amp;'Worksheet F Inputs'!A105&amp;", Col "&amp;'Worksheet F Inputs'!F10&amp;" and"&amp;CHAR(10)&amp;'Worksheet V Lines'!N3&amp;", Line "&amp;'Worksheet V Lines'!A19&amp;", (Cols "&amp;'Worksheet V Lines'!J10&amp;" and "&amp;'Worksheet V Lines'!L10&amp;")/2"</f>
        <v>Worksheet F, Line 81, Col F and
Worksheet V, Line 8, (Cols J and L)/2</v>
      </c>
      <c r="D25" s="162">
        <f>'Worksheet F Inputs'!F105</f>
        <v>465940313.5</v>
      </c>
      <c r="E25" s="478"/>
      <c r="F25" s="479"/>
      <c r="G25" s="215">
        <f>('Worksheet V Lines'!J19+'Worksheet V Lines'!L19)/2</f>
        <v>17888351.859999999</v>
      </c>
      <c r="J25" s="9"/>
    </row>
    <row r="26" spans="1:10" ht="15">
      <c r="A26" s="469">
        <f>A25+1</f>
        <v>13</v>
      </c>
      <c r="B26" s="475" t="s">
        <v>200</v>
      </c>
      <c r="G26" s="476">
        <f>G25/D25</f>
        <v>3.8391938498792293E-2</v>
      </c>
      <c r="J26" s="9"/>
    </row>
    <row r="27" spans="1:10">
      <c r="A27" s="469"/>
      <c r="J27" s="9"/>
    </row>
    <row r="28" spans="1:10" ht="28.5">
      <c r="A28" s="469">
        <f>A26+1</f>
        <v>14</v>
      </c>
      <c r="B28" s="9" t="s">
        <v>79</v>
      </c>
      <c r="C28" s="480" t="str">
        <f>"Lines "&amp;A22&amp;" and "&amp;A25&amp;" above and "&amp;CHAR(10)&amp;'Worksheet A Rate Base'!I3&amp;", Line "&amp;'Worksheet A Rate Base'!A25&amp;", Col "&amp;'Worksheet A Rate Base'!I10</f>
        <v>Lines 10 and 12 above and 
Worksheet A, Line 12, Col I</v>
      </c>
      <c r="D28" s="471">
        <f>'Worksheet A Rate Base'!F25</f>
        <v>1065672461.5</v>
      </c>
      <c r="E28" s="471"/>
      <c r="F28" s="438"/>
      <c r="G28" s="471">
        <f>G22+G25</f>
        <v>33841381.676666692</v>
      </c>
      <c r="J28" s="9"/>
    </row>
    <row r="29" spans="1:10" ht="15">
      <c r="A29" s="469">
        <f>A28+1</f>
        <v>15</v>
      </c>
      <c r="B29" s="475" t="s">
        <v>80</v>
      </c>
      <c r="C29" s="481"/>
      <c r="D29" s="481"/>
      <c r="E29" s="481"/>
      <c r="F29" s="481"/>
      <c r="G29" s="476">
        <f>G28/D28</f>
        <v>3.1755893953600761E-2</v>
      </c>
      <c r="J29" s="9"/>
    </row>
    <row r="30" spans="1:10">
      <c r="A30" s="469"/>
      <c r="C30" s="479"/>
      <c r="D30" s="479"/>
      <c r="E30" s="479"/>
      <c r="F30" s="479"/>
      <c r="J30" s="9"/>
    </row>
    <row r="31" spans="1:10">
      <c r="A31" s="469">
        <f>A29+1</f>
        <v>16</v>
      </c>
      <c r="B31" s="9" t="s">
        <v>9</v>
      </c>
      <c r="C31" s="438" t="str">
        <f>'Worksheet A Rate Base'!I$3&amp;", Line "&amp;'Worksheet A Rate Base'!A36&amp;", Col "&amp;'Worksheet A Rate Base'!$F$10&amp;" and "&amp;'Worksheet A Rate Base'!$I$10</f>
        <v>Worksheet A, Line 21, Col F and I</v>
      </c>
      <c r="D31" s="215">
        <f>'Worksheet A Rate Base'!F36</f>
        <v>4236987005</v>
      </c>
      <c r="E31" s="215"/>
      <c r="F31" s="438"/>
      <c r="G31" s="215">
        <f>'Worksheet A Rate Base'!I36</f>
        <v>45059753.760797881</v>
      </c>
      <c r="J31" s="9"/>
    </row>
    <row r="32" spans="1:10" ht="15">
      <c r="A32" s="469">
        <f>A31+1</f>
        <v>17</v>
      </c>
      <c r="B32" s="475" t="s">
        <v>132</v>
      </c>
      <c r="C32" s="481"/>
      <c r="D32" s="481"/>
      <c r="E32" s="481"/>
      <c r="F32" s="481"/>
      <c r="G32" s="476">
        <f>G31/D31</f>
        <v>1.0634857673064277E-2</v>
      </c>
      <c r="J32" s="9"/>
    </row>
    <row r="33" spans="1:10">
      <c r="A33" s="469"/>
      <c r="C33" s="482"/>
      <c r="D33" s="482"/>
      <c r="E33" s="482"/>
      <c r="F33" s="482"/>
      <c r="J33" s="9"/>
    </row>
    <row r="34" spans="1:10">
      <c r="A34" s="469">
        <f>A32+1</f>
        <v>18</v>
      </c>
      <c r="B34" s="9" t="s">
        <v>154</v>
      </c>
      <c r="C34" s="438" t="str">
        <f>'Worksheet A Rate Base'!$I$3&amp;", Line "&amp;'Worksheet A Rate Base'!A62&amp;", Col "&amp;'Worksheet A Rate Base'!$F$10&amp;" and "&amp;'Worksheet A Rate Base'!$I$10</f>
        <v>Worksheet A, Line 42, Col F and I</v>
      </c>
      <c r="D34" s="215">
        <f>'Worksheet A Rate Base'!F62</f>
        <v>2247934624</v>
      </c>
      <c r="E34" s="215"/>
      <c r="F34" s="438"/>
      <c r="G34" s="215">
        <f>'Worksheet A Rate Base'!I62</f>
        <v>20854092.366656035</v>
      </c>
      <c r="H34" s="9"/>
      <c r="J34" s="9"/>
    </row>
    <row r="35" spans="1:10" ht="15">
      <c r="A35" s="469">
        <f>A34+1</f>
        <v>19</v>
      </c>
      <c r="B35" s="475" t="s">
        <v>125</v>
      </c>
      <c r="C35" s="475"/>
      <c r="D35" s="475"/>
      <c r="E35" s="475"/>
      <c r="F35" s="475"/>
      <c r="G35" s="476">
        <f>G34/D34</f>
        <v>9.2770012721935975E-3</v>
      </c>
      <c r="I35" s="1" t="s">
        <v>17</v>
      </c>
      <c r="J35" s="9"/>
    </row>
    <row r="36" spans="1:10">
      <c r="A36" s="483"/>
    </row>
    <row r="37" spans="1:10" ht="15">
      <c r="A37" s="483">
        <f>A35+1</f>
        <v>20</v>
      </c>
      <c r="B37" s="232" t="s">
        <v>255</v>
      </c>
      <c r="G37" s="476">
        <v>0</v>
      </c>
    </row>
    <row r="38" spans="1:10" ht="15">
      <c r="A38" s="484">
        <f>A37+1</f>
        <v>21</v>
      </c>
      <c r="B38" s="232" t="s">
        <v>256</v>
      </c>
      <c r="G38" s="476">
        <v>1</v>
      </c>
    </row>
    <row r="39" spans="1:10">
      <c r="A39" s="485"/>
      <c r="B39" s="10"/>
      <c r="C39" s="10"/>
      <c r="D39" s="10"/>
      <c r="E39" s="10"/>
      <c r="F39" s="10"/>
      <c r="G39" s="486"/>
    </row>
    <row r="40" spans="1:10" ht="15">
      <c r="A40" s="102"/>
      <c r="B40" s="72"/>
      <c r="C40" s="72"/>
      <c r="D40" s="72"/>
      <c r="E40" s="72"/>
      <c r="F40" s="72"/>
      <c r="G40" s="103"/>
    </row>
    <row r="41" spans="1:10" ht="15">
      <c r="A41" s="102"/>
      <c r="B41" s="72"/>
      <c r="C41" s="72"/>
      <c r="D41" s="72"/>
      <c r="E41" s="72"/>
      <c r="F41" s="72"/>
      <c r="G41" s="103"/>
    </row>
    <row r="42" spans="1:10" ht="15">
      <c r="A42" s="102"/>
      <c r="B42" s="72"/>
      <c r="C42" s="72"/>
      <c r="D42" s="72"/>
      <c r="E42" s="72"/>
      <c r="F42" s="72"/>
      <c r="G42" s="103"/>
    </row>
    <row r="43" spans="1:10" ht="15">
      <c r="A43" s="102"/>
      <c r="B43" s="72"/>
      <c r="C43" s="72"/>
      <c r="D43" s="72"/>
      <c r="E43" s="72"/>
      <c r="F43" s="72"/>
      <c r="G43" s="103"/>
    </row>
    <row r="44" spans="1:10" ht="15">
      <c r="A44" s="102"/>
      <c r="B44" s="72"/>
      <c r="C44" s="72"/>
      <c r="D44" s="72"/>
      <c r="E44" s="72"/>
      <c r="F44" s="72"/>
      <c r="G44" s="103"/>
    </row>
    <row r="45" spans="1:10" ht="15">
      <c r="A45" s="102"/>
      <c r="B45" s="72"/>
      <c r="C45" s="72"/>
      <c r="D45" s="72"/>
      <c r="E45" s="72"/>
      <c r="F45" s="72"/>
      <c r="G45" s="103"/>
    </row>
    <row r="46" spans="1:10" ht="15">
      <c r="A46" s="102"/>
      <c r="B46" s="72"/>
      <c r="C46" s="72"/>
      <c r="D46" s="72"/>
      <c r="E46" s="72"/>
      <c r="F46" s="72"/>
      <c r="G46" s="103"/>
    </row>
    <row r="47" spans="1:10" ht="15">
      <c r="A47" s="102"/>
      <c r="B47" s="72"/>
      <c r="C47" s="72"/>
      <c r="D47" s="72"/>
      <c r="E47" s="72"/>
      <c r="F47" s="72"/>
      <c r="G47" s="103"/>
    </row>
    <row r="48" spans="1:10" ht="15">
      <c r="A48" s="102"/>
      <c r="B48" s="72"/>
      <c r="C48" s="72"/>
      <c r="D48" s="72"/>
      <c r="E48" s="72"/>
      <c r="F48" s="72"/>
      <c r="G48" s="103"/>
    </row>
    <row r="49" spans="1:7" ht="15">
      <c r="A49" s="102"/>
      <c r="B49" s="72"/>
      <c r="C49" s="72"/>
      <c r="D49" s="72"/>
      <c r="E49" s="72"/>
      <c r="F49" s="72"/>
      <c r="G49" s="103"/>
    </row>
    <row r="50" spans="1:7" ht="15">
      <c r="A50" s="102"/>
      <c r="B50" s="72"/>
      <c r="C50" s="72"/>
      <c r="D50" s="72"/>
      <c r="E50" s="72"/>
      <c r="F50" s="72"/>
      <c r="G50" s="103"/>
    </row>
    <row r="51" spans="1:7" ht="15">
      <c r="A51" s="102"/>
      <c r="B51" s="72"/>
      <c r="C51" s="72"/>
      <c r="D51" s="72"/>
      <c r="E51" s="72"/>
      <c r="F51" s="72"/>
      <c r="G51" s="103"/>
    </row>
    <row r="52" spans="1:7" ht="15">
      <c r="A52" s="102"/>
      <c r="B52" s="72"/>
      <c r="C52" s="72"/>
      <c r="D52" s="72"/>
      <c r="E52" s="72"/>
      <c r="F52" s="72"/>
      <c r="G52" s="103"/>
    </row>
    <row r="53" spans="1:7" ht="15">
      <c r="A53" s="102"/>
      <c r="B53" s="72"/>
      <c r="C53" s="72"/>
      <c r="D53" s="72"/>
      <c r="E53" s="72"/>
      <c r="F53" s="72"/>
      <c r="G53" s="103"/>
    </row>
    <row r="54" spans="1:7" ht="15">
      <c r="A54" s="102"/>
      <c r="B54" s="72"/>
      <c r="C54" s="72"/>
      <c r="D54" s="72"/>
      <c r="E54" s="72"/>
      <c r="F54" s="72"/>
      <c r="G54" s="103"/>
    </row>
    <row r="55" spans="1:7" ht="15">
      <c r="A55" s="102"/>
      <c r="B55" s="74"/>
      <c r="C55" s="72"/>
      <c r="D55" s="72"/>
      <c r="E55" s="72"/>
      <c r="F55" s="72"/>
      <c r="G55" s="103"/>
    </row>
    <row r="56" spans="1:7" ht="15">
      <c r="A56" s="102"/>
      <c r="B56" s="72"/>
      <c r="C56" s="72"/>
      <c r="D56" s="72"/>
      <c r="E56" s="72"/>
      <c r="F56" s="72"/>
      <c r="G56" s="103"/>
    </row>
    <row r="57" spans="1:7" ht="15">
      <c r="A57" s="102"/>
      <c r="B57" s="72"/>
      <c r="C57" s="72"/>
      <c r="D57" s="72"/>
      <c r="E57" s="72"/>
      <c r="F57" s="72"/>
      <c r="G57" s="103"/>
    </row>
    <row r="58" spans="1:7" ht="15">
      <c r="A58" s="102"/>
      <c r="B58" s="72"/>
      <c r="C58" s="72"/>
      <c r="D58" s="72"/>
      <c r="E58" s="72"/>
      <c r="F58" s="72"/>
      <c r="G58" s="103"/>
    </row>
    <row r="59" spans="1:7" ht="15">
      <c r="A59" s="102"/>
      <c r="B59" s="72"/>
      <c r="C59" s="72"/>
      <c r="D59" s="72"/>
      <c r="E59" s="72"/>
      <c r="F59" s="72"/>
      <c r="G59" s="103"/>
    </row>
    <row r="60" spans="1:7" ht="15">
      <c r="A60" s="102"/>
      <c r="B60" s="72"/>
      <c r="C60" s="72"/>
      <c r="D60" s="72"/>
      <c r="E60" s="72"/>
      <c r="F60" s="72"/>
      <c r="G60" s="103"/>
    </row>
  </sheetData>
  <sortState ref="B104:F126">
    <sortCondition ref="B104:B126"/>
  </sortState>
  <customSheetViews>
    <customSheetView guid="{3FBB0C90-C6C1-480D-B078-514EE8852FAF}" showPageBreaks="1" fitToPage="1" printArea="1">
      <selection activeCell="D50" sqref="D50"/>
      <pageMargins left="0.7" right="0.7" top="0.75" bottom="0.75" header="0.3" footer="0.3"/>
      <pageSetup scale="74" orientation="landscape" horizontalDpi="1200" verticalDpi="1200" r:id="rId1"/>
      <headerFooter>
        <oddFooter>&amp;L&amp;F&amp;A&amp;D&amp;T</oddFooter>
      </headerFooter>
    </customSheetView>
  </customSheetViews>
  <printOptions horizontalCentered="1"/>
  <pageMargins left="0.7" right="0.7" top="0.75" bottom="0.75" header="0.3" footer="0.3"/>
  <pageSetup scale="68" fitToHeight="0"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X651"/>
  <sheetViews>
    <sheetView topLeftCell="A121" zoomScale="50" zoomScaleNormal="50" workbookViewId="0">
      <selection activeCell="E148" sqref="E148"/>
    </sheetView>
  </sheetViews>
  <sheetFormatPr defaultColWidth="9.25" defaultRowHeight="14.25"/>
  <cols>
    <col min="1" max="1" width="5.5" style="281" customWidth="1"/>
    <col min="2" max="2" width="86.25" style="1" bestFit="1" customWidth="1"/>
    <col min="3" max="3" width="51.875" style="1" bestFit="1" customWidth="1"/>
    <col min="4" max="6" width="19.25" style="28" bestFit="1" customWidth="1"/>
    <col min="7" max="7" width="2.875" style="1" customWidth="1"/>
    <col min="8" max="8" width="5.625" style="1" customWidth="1"/>
    <col min="9" max="9" width="26.875" style="1" customWidth="1"/>
    <col min="10" max="10" width="15.5" style="11" customWidth="1"/>
    <col min="11" max="11" width="13.75" style="1" bestFit="1" customWidth="1"/>
    <col min="12" max="12" width="14.25" style="1" customWidth="1"/>
    <col min="13" max="13" width="9.25" style="1"/>
    <col min="14" max="14" width="5.625" style="1" customWidth="1"/>
    <col min="15" max="15" width="12.625" style="1" customWidth="1"/>
    <col min="16" max="16" width="1.625" style="1" customWidth="1"/>
    <col min="17" max="17" width="9.25" style="1"/>
    <col min="18" max="18" width="13.875" style="12" customWidth="1"/>
    <col min="19" max="19" width="9.25" style="1"/>
    <col min="20" max="20" width="11.625" style="1" customWidth="1"/>
    <col min="21" max="21" width="1.625" style="1" customWidth="1"/>
    <col min="22" max="22" width="56.625" style="1" customWidth="1"/>
    <col min="23" max="23" width="9.25" style="1"/>
    <col min="24" max="24" width="11.625" style="1" customWidth="1"/>
    <col min="25" max="25" width="1.625" style="1" customWidth="1"/>
    <col min="26" max="16384" width="9.25" style="1"/>
  </cols>
  <sheetData>
    <row r="1" spans="1:19" ht="15">
      <c r="I1" s="132"/>
    </row>
    <row r="2" spans="1:19" ht="15">
      <c r="A2" s="353"/>
      <c r="B2" s="10"/>
      <c r="C2" s="10"/>
      <c r="F2" s="667" t="s">
        <v>830</v>
      </c>
      <c r="I2" s="117"/>
    </row>
    <row r="3" spans="1:19">
      <c r="A3" s="353"/>
      <c r="B3" s="28"/>
      <c r="C3" s="28"/>
      <c r="F3" s="118" t="s">
        <v>15</v>
      </c>
    </row>
    <row r="4" spans="1:19">
      <c r="A4" s="353"/>
      <c r="B4" s="28"/>
      <c r="C4" s="28"/>
      <c r="F4" s="118"/>
    </row>
    <row r="5" spans="1:19" ht="20.25">
      <c r="B5" s="487" t="str">
        <f>Index!B2</f>
        <v>Tri-State Generation and Transmission Association, Inc.</v>
      </c>
      <c r="C5" s="109"/>
      <c r="D5" s="109"/>
      <c r="E5" s="109"/>
      <c r="F5" s="119"/>
      <c r="G5" s="8"/>
    </row>
    <row r="6" spans="1:19" ht="15">
      <c r="B6" s="110"/>
      <c r="C6" s="109"/>
      <c r="D6" s="109"/>
      <c r="E6" s="109"/>
      <c r="F6" s="119"/>
      <c r="G6" s="8"/>
    </row>
    <row r="7" spans="1:19" ht="15.75">
      <c r="B7" s="488" t="str">
        <f>Index!C16</f>
        <v>Inputs</v>
      </c>
      <c r="C7" s="109"/>
      <c r="D7" s="109"/>
      <c r="E7" s="109"/>
      <c r="F7" s="119"/>
      <c r="G7" s="8"/>
    </row>
    <row r="8" spans="1:19" ht="15.75">
      <c r="B8" s="403" t="str">
        <f>Index!B5</f>
        <v>Year Ending December 31, 2016</v>
      </c>
      <c r="C8" s="28"/>
      <c r="G8" s="8"/>
      <c r="O8" s="8"/>
      <c r="P8" s="8"/>
      <c r="Q8" s="8"/>
      <c r="R8" s="14"/>
      <c r="S8" s="8"/>
    </row>
    <row r="9" spans="1:19">
      <c r="A9" s="353"/>
      <c r="B9" s="10"/>
      <c r="C9" s="10"/>
      <c r="G9" s="8"/>
      <c r="O9" s="8"/>
      <c r="P9" s="8"/>
      <c r="Q9" s="8"/>
      <c r="R9" s="14"/>
      <c r="S9" s="8"/>
    </row>
    <row r="10" spans="1:19" ht="15">
      <c r="A10" s="354" t="s">
        <v>18</v>
      </c>
      <c r="B10" s="107" t="s">
        <v>19</v>
      </c>
      <c r="C10" s="107" t="s">
        <v>20</v>
      </c>
      <c r="D10" s="120" t="s">
        <v>21</v>
      </c>
      <c r="E10" s="120" t="s">
        <v>22</v>
      </c>
      <c r="F10" s="120" t="s">
        <v>23</v>
      </c>
      <c r="G10" s="15"/>
      <c r="O10" s="8"/>
      <c r="P10" s="8"/>
      <c r="Q10" s="8"/>
      <c r="R10" s="14"/>
      <c r="S10" s="8"/>
    </row>
    <row r="11" spans="1:19" ht="15.75">
      <c r="A11" s="355" t="s">
        <v>415</v>
      </c>
      <c r="B11" s="108" t="s">
        <v>0</v>
      </c>
      <c r="C11" s="104" t="s">
        <v>1</v>
      </c>
      <c r="D11" s="282" t="s">
        <v>118</v>
      </c>
      <c r="E11" s="282" t="s">
        <v>117</v>
      </c>
      <c r="F11" s="268" t="s">
        <v>2</v>
      </c>
      <c r="G11" s="64"/>
      <c r="H11" s="65"/>
      <c r="I11" s="65"/>
      <c r="O11" s="8"/>
      <c r="P11" s="8"/>
      <c r="Q11" s="8"/>
      <c r="R11" s="14"/>
      <c r="S11" s="8"/>
    </row>
    <row r="12" spans="1:19" ht="14.25" customHeight="1">
      <c r="A12" s="98"/>
      <c r="B12" s="67"/>
      <c r="C12" s="68"/>
      <c r="G12" s="70"/>
      <c r="H12" s="71"/>
      <c r="I12" s="65"/>
    </row>
    <row r="13" spans="1:19" ht="15">
      <c r="A13" s="98">
        <v>1</v>
      </c>
      <c r="B13" s="73" t="s">
        <v>39</v>
      </c>
      <c r="C13" s="74" t="s">
        <v>371</v>
      </c>
      <c r="D13" s="121"/>
      <c r="E13" s="121"/>
      <c r="F13" s="121">
        <v>45</v>
      </c>
      <c r="G13" s="283"/>
      <c r="H13" s="75"/>
      <c r="I13" s="283"/>
      <c r="J13" s="21"/>
      <c r="O13" s="16"/>
    </row>
    <row r="14" spans="1:19" ht="15">
      <c r="A14" s="98"/>
      <c r="B14" s="76"/>
      <c r="C14" s="72"/>
      <c r="D14" s="121"/>
      <c r="E14" s="121"/>
      <c r="F14" s="356"/>
      <c r="G14" s="283"/>
      <c r="H14" s="71"/>
      <c r="I14" s="283"/>
      <c r="J14" s="283"/>
      <c r="O14" s="16"/>
    </row>
    <row r="15" spans="1:19" ht="15.75">
      <c r="A15" s="98">
        <f>A13+1</f>
        <v>2</v>
      </c>
      <c r="B15" s="97" t="s">
        <v>351</v>
      </c>
      <c r="C15" s="72"/>
      <c r="D15" s="121"/>
      <c r="E15" s="121"/>
      <c r="F15" s="122"/>
      <c r="G15" s="65"/>
      <c r="H15" s="71"/>
      <c r="I15" s="283"/>
      <c r="J15" s="283"/>
      <c r="O15" s="16"/>
    </row>
    <row r="16" spans="1:19" ht="15">
      <c r="A16" s="98">
        <f t="shared" ref="A16:A74" si="0">A15+1</f>
        <v>3</v>
      </c>
      <c r="B16" s="65" t="s">
        <v>352</v>
      </c>
      <c r="C16" s="72" t="s">
        <v>370</v>
      </c>
      <c r="D16" s="730"/>
      <c r="E16" s="121"/>
      <c r="F16" s="338">
        <v>51321</v>
      </c>
      <c r="G16" s="65"/>
      <c r="H16" s="71"/>
      <c r="I16" s="65"/>
      <c r="O16" s="16"/>
    </row>
    <row r="17" spans="1:15" ht="15">
      <c r="A17" s="98">
        <f t="shared" si="0"/>
        <v>4</v>
      </c>
      <c r="B17" s="65" t="s">
        <v>353</v>
      </c>
      <c r="C17" s="72" t="s">
        <v>370</v>
      </c>
      <c r="D17" s="730"/>
      <c r="E17" s="121"/>
      <c r="F17" s="338">
        <v>51533</v>
      </c>
      <c r="G17" s="65"/>
      <c r="H17" s="71"/>
      <c r="I17" s="65"/>
      <c r="O17" s="16"/>
    </row>
    <row r="18" spans="1:15" ht="15">
      <c r="A18" s="98">
        <f t="shared" si="0"/>
        <v>5</v>
      </c>
      <c r="B18" s="65" t="s">
        <v>354</v>
      </c>
      <c r="C18" s="72" t="s">
        <v>370</v>
      </c>
      <c r="D18" s="730"/>
      <c r="E18" s="121"/>
      <c r="F18" s="338">
        <v>40741</v>
      </c>
      <c r="G18" s="65"/>
      <c r="H18" s="71"/>
      <c r="I18" s="65"/>
      <c r="O18" s="16"/>
    </row>
    <row r="19" spans="1:15" ht="15">
      <c r="A19" s="98">
        <f t="shared" si="0"/>
        <v>6</v>
      </c>
      <c r="B19" s="65" t="s">
        <v>355</v>
      </c>
      <c r="C19" s="72" t="s">
        <v>370</v>
      </c>
      <c r="D19" s="730"/>
      <c r="E19" s="121"/>
      <c r="F19" s="338">
        <v>63549</v>
      </c>
      <c r="G19" s="65"/>
      <c r="H19" s="71"/>
      <c r="I19" s="65"/>
      <c r="O19" s="16"/>
    </row>
    <row r="20" spans="1:15" ht="15">
      <c r="A20" s="98">
        <f t="shared" si="0"/>
        <v>7</v>
      </c>
      <c r="B20" s="65" t="s">
        <v>31</v>
      </c>
      <c r="C20" s="72" t="s">
        <v>370</v>
      </c>
      <c r="D20" s="730"/>
      <c r="E20" s="121"/>
      <c r="F20" s="338">
        <v>74791</v>
      </c>
      <c r="G20" s="65"/>
      <c r="H20" s="71"/>
      <c r="I20" s="65"/>
      <c r="O20" s="16"/>
    </row>
    <row r="21" spans="1:15" ht="15">
      <c r="A21" s="98">
        <f t="shared" si="0"/>
        <v>8</v>
      </c>
      <c r="B21" s="65" t="s">
        <v>356</v>
      </c>
      <c r="C21" s="72" t="s">
        <v>370</v>
      </c>
      <c r="D21" s="730"/>
      <c r="E21" s="121"/>
      <c r="F21" s="338">
        <v>234819</v>
      </c>
      <c r="G21" s="65"/>
      <c r="H21" s="71"/>
      <c r="I21" s="65"/>
      <c r="O21" s="16"/>
    </row>
    <row r="22" spans="1:15" ht="15">
      <c r="A22" s="98">
        <f t="shared" si="0"/>
        <v>9</v>
      </c>
      <c r="B22" s="65" t="s">
        <v>357</v>
      </c>
      <c r="C22" s="72" t="s">
        <v>370</v>
      </c>
      <c r="D22" s="730"/>
      <c r="E22" s="121"/>
      <c r="F22" s="338">
        <v>284642</v>
      </c>
      <c r="G22" s="65"/>
      <c r="H22" s="71"/>
      <c r="I22" s="65"/>
      <c r="O22" s="16"/>
    </row>
    <row r="23" spans="1:15" ht="15">
      <c r="A23" s="98">
        <f t="shared" si="0"/>
        <v>10</v>
      </c>
      <c r="B23" s="65" t="s">
        <v>358</v>
      </c>
      <c r="C23" s="72" t="s">
        <v>370</v>
      </c>
      <c r="D23" s="730"/>
      <c r="E23" s="121"/>
      <c r="F23" s="338">
        <v>283650</v>
      </c>
      <c r="G23" s="65"/>
      <c r="H23" s="71"/>
      <c r="I23" s="65"/>
      <c r="O23" s="16"/>
    </row>
    <row r="24" spans="1:15" ht="15">
      <c r="A24" s="98">
        <f t="shared" si="0"/>
        <v>11</v>
      </c>
      <c r="B24" s="65" t="s">
        <v>359</v>
      </c>
      <c r="C24" s="72" t="s">
        <v>370</v>
      </c>
      <c r="D24" s="730"/>
      <c r="E24" s="121"/>
      <c r="F24" s="338">
        <v>90809</v>
      </c>
      <c r="G24" s="65"/>
      <c r="H24" s="71"/>
      <c r="I24" s="65"/>
      <c r="O24" s="16"/>
    </row>
    <row r="25" spans="1:15" ht="15">
      <c r="A25" s="98">
        <f t="shared" si="0"/>
        <v>12</v>
      </c>
      <c r="B25" s="65" t="s">
        <v>360</v>
      </c>
      <c r="C25" s="72" t="s">
        <v>370</v>
      </c>
      <c r="D25" s="730"/>
      <c r="E25" s="121"/>
      <c r="F25" s="338">
        <v>52534</v>
      </c>
      <c r="G25" s="65"/>
      <c r="H25" s="71"/>
      <c r="I25" s="65"/>
      <c r="O25" s="16"/>
    </row>
    <row r="26" spans="1:15" ht="15">
      <c r="A26" s="98">
        <f t="shared" si="0"/>
        <v>13</v>
      </c>
      <c r="B26" s="65" t="s">
        <v>361</v>
      </c>
      <c r="C26" s="72" t="s">
        <v>370</v>
      </c>
      <c r="D26" s="730"/>
      <c r="E26" s="121"/>
      <c r="F26" s="338">
        <v>44923</v>
      </c>
      <c r="G26" s="65"/>
      <c r="H26" s="71"/>
      <c r="I26" s="65"/>
      <c r="O26" s="16"/>
    </row>
    <row r="27" spans="1:15" ht="15">
      <c r="A27" s="98">
        <f t="shared" si="0"/>
        <v>14</v>
      </c>
      <c r="B27" s="65" t="s">
        <v>362</v>
      </c>
      <c r="C27" s="72" t="s">
        <v>370</v>
      </c>
      <c r="D27" s="121"/>
      <c r="E27" s="121"/>
      <c r="F27" s="338">
        <v>59755</v>
      </c>
      <c r="G27" s="65"/>
      <c r="H27" s="71"/>
      <c r="I27" s="65"/>
      <c r="O27" s="16"/>
    </row>
    <row r="28" spans="1:15" ht="15">
      <c r="A28" s="98"/>
      <c r="B28" s="283"/>
      <c r="C28" s="72"/>
      <c r="D28" s="121"/>
      <c r="E28" s="121"/>
      <c r="F28" s="133"/>
      <c r="G28" s="283"/>
      <c r="H28" s="71"/>
      <c r="I28" s="283"/>
      <c r="O28" s="16"/>
    </row>
    <row r="29" spans="1:15" ht="15.75">
      <c r="A29" s="101">
        <f>A27+1</f>
        <v>15</v>
      </c>
      <c r="B29" s="77" t="s">
        <v>350</v>
      </c>
      <c r="C29" s="72"/>
      <c r="D29" s="121"/>
      <c r="E29" s="121"/>
      <c r="F29" s="89"/>
      <c r="G29" s="65"/>
      <c r="H29" s="71"/>
      <c r="I29" s="65"/>
      <c r="O29" s="16"/>
    </row>
    <row r="30" spans="1:15" ht="15">
      <c r="A30" s="101">
        <f>A29+1</f>
        <v>16</v>
      </c>
      <c r="B30" s="73" t="s">
        <v>146</v>
      </c>
      <c r="C30" s="68" t="s">
        <v>269</v>
      </c>
      <c r="D30" s="121"/>
      <c r="E30" s="121"/>
      <c r="F30" s="786">
        <v>1266989410</v>
      </c>
      <c r="G30" s="65"/>
      <c r="H30" s="71"/>
      <c r="I30" s="65"/>
      <c r="O30" s="16"/>
    </row>
    <row r="31" spans="1:15" ht="15">
      <c r="A31" s="101">
        <f>A30+1</f>
        <v>17</v>
      </c>
      <c r="B31" s="73" t="s">
        <v>192</v>
      </c>
      <c r="C31" s="68" t="s">
        <v>270</v>
      </c>
      <c r="D31" s="121"/>
      <c r="E31" s="121"/>
      <c r="F31" s="786">
        <v>0</v>
      </c>
      <c r="G31" s="65"/>
      <c r="H31" s="71"/>
      <c r="I31" s="65"/>
      <c r="O31" s="16"/>
    </row>
    <row r="32" spans="1:15" ht="15">
      <c r="A32" s="98">
        <f>A31+1</f>
        <v>18</v>
      </c>
      <c r="B32" s="73" t="s">
        <v>147</v>
      </c>
      <c r="C32" s="68" t="s">
        <v>271</v>
      </c>
      <c r="D32" s="121"/>
      <c r="E32" s="121"/>
      <c r="F32" s="786">
        <v>32256373</v>
      </c>
      <c r="G32" s="65"/>
      <c r="H32" s="71"/>
      <c r="I32" s="65"/>
      <c r="O32" s="16"/>
    </row>
    <row r="33" spans="1:15" ht="15">
      <c r="A33" s="98">
        <f>A32+1</f>
        <v>19</v>
      </c>
      <c r="B33" s="73" t="s">
        <v>159</v>
      </c>
      <c r="C33" s="68" t="s">
        <v>16</v>
      </c>
      <c r="D33" s="121"/>
      <c r="E33" s="121"/>
      <c r="F33" s="134">
        <f>SUM(F30:F32)</f>
        <v>1299245783</v>
      </c>
      <c r="G33" s="65"/>
      <c r="H33" s="71"/>
      <c r="I33" s="65"/>
      <c r="O33" s="16"/>
    </row>
    <row r="34" spans="1:15" ht="15">
      <c r="A34" s="98"/>
      <c r="B34" s="73"/>
      <c r="C34" s="68"/>
      <c r="D34" s="121"/>
      <c r="E34" s="121"/>
      <c r="F34" s="135"/>
      <c r="G34" s="65"/>
      <c r="H34" s="71"/>
      <c r="I34" s="65"/>
      <c r="O34" s="16"/>
    </row>
    <row r="35" spans="1:15" ht="15.75">
      <c r="A35" s="98">
        <f>A33+1</f>
        <v>20</v>
      </c>
      <c r="B35" s="86" t="s">
        <v>160</v>
      </c>
      <c r="C35" s="68"/>
      <c r="D35" s="121"/>
      <c r="E35" s="121"/>
      <c r="F35" s="135"/>
      <c r="G35" s="65"/>
      <c r="H35" s="71"/>
      <c r="I35" s="65"/>
      <c r="O35" s="16"/>
    </row>
    <row r="36" spans="1:15" ht="15">
      <c r="A36" s="98">
        <f>A35+1</f>
        <v>21</v>
      </c>
      <c r="B36" s="73" t="s">
        <v>372</v>
      </c>
      <c r="C36" s="68" t="s">
        <v>272</v>
      </c>
      <c r="D36" s="121"/>
      <c r="E36" s="121"/>
      <c r="F36" s="786">
        <v>174072882</v>
      </c>
      <c r="G36" s="65"/>
      <c r="H36" s="71"/>
      <c r="I36" s="65"/>
      <c r="O36" s="16"/>
    </row>
    <row r="37" spans="1:15" ht="15">
      <c r="A37" s="98">
        <f t="shared" si="0"/>
        <v>22</v>
      </c>
      <c r="B37" s="73" t="s">
        <v>373</v>
      </c>
      <c r="C37" s="68" t="s">
        <v>273</v>
      </c>
      <c r="D37" s="121"/>
      <c r="E37" s="121"/>
      <c r="F37" s="786">
        <v>262706673</v>
      </c>
      <c r="G37" s="65"/>
      <c r="H37" s="71"/>
      <c r="I37" s="65"/>
      <c r="O37" s="16"/>
    </row>
    <row r="38" spans="1:15" ht="15">
      <c r="A38" s="98">
        <f t="shared" si="0"/>
        <v>23</v>
      </c>
      <c r="B38" s="73" t="s">
        <v>374</v>
      </c>
      <c r="C38" s="68" t="s">
        <v>274</v>
      </c>
      <c r="D38" s="121"/>
      <c r="E38" s="121"/>
      <c r="F38" s="786">
        <v>341288742</v>
      </c>
      <c r="G38" s="65"/>
      <c r="H38" s="71"/>
      <c r="I38" s="65"/>
      <c r="O38" s="16"/>
    </row>
    <row r="39" spans="1:15" ht="15">
      <c r="A39" s="98">
        <f t="shared" si="0"/>
        <v>24</v>
      </c>
      <c r="B39" s="73" t="s">
        <v>375</v>
      </c>
      <c r="C39" s="68" t="s">
        <v>275</v>
      </c>
      <c r="D39" s="121"/>
      <c r="E39" s="121"/>
      <c r="F39" s="786">
        <v>124965723</v>
      </c>
      <c r="G39" s="65"/>
      <c r="H39" s="71"/>
      <c r="I39" s="65"/>
      <c r="O39" s="16"/>
    </row>
    <row r="40" spans="1:15" ht="15">
      <c r="A40" s="98">
        <f t="shared" si="0"/>
        <v>25</v>
      </c>
      <c r="B40" s="73" t="s">
        <v>376</v>
      </c>
      <c r="C40" s="68" t="s">
        <v>276</v>
      </c>
      <c r="D40" s="121"/>
      <c r="E40" s="121"/>
      <c r="F40" s="786">
        <v>0</v>
      </c>
      <c r="G40" s="65"/>
      <c r="H40" s="71"/>
      <c r="I40" s="65"/>
      <c r="O40" s="16"/>
    </row>
    <row r="41" spans="1:15" ht="15">
      <c r="A41" s="98">
        <f t="shared" si="0"/>
        <v>26</v>
      </c>
      <c r="B41" s="67" t="s">
        <v>377</v>
      </c>
      <c r="C41" s="68" t="s">
        <v>277</v>
      </c>
      <c r="D41" s="79"/>
      <c r="E41" s="79"/>
      <c r="F41" s="786">
        <v>990916</v>
      </c>
      <c r="G41" s="70"/>
      <c r="H41" s="71"/>
      <c r="I41" s="65"/>
    </row>
    <row r="42" spans="1:15" ht="15">
      <c r="A42" s="98">
        <f t="shared" si="0"/>
        <v>27</v>
      </c>
      <c r="B42" s="67" t="s">
        <v>378</v>
      </c>
      <c r="C42" s="68" t="s">
        <v>278</v>
      </c>
      <c r="D42" s="79"/>
      <c r="E42" s="79"/>
      <c r="F42" s="786">
        <v>772995</v>
      </c>
      <c r="G42" s="70"/>
      <c r="H42" s="71"/>
      <c r="I42" s="65"/>
    </row>
    <row r="43" spans="1:15" ht="15">
      <c r="A43" s="98">
        <f t="shared" si="0"/>
        <v>28</v>
      </c>
      <c r="B43" s="67" t="s">
        <v>379</v>
      </c>
      <c r="C43" s="68" t="s">
        <v>854</v>
      </c>
      <c r="D43" s="79"/>
      <c r="E43" s="79"/>
      <c r="F43" s="786">
        <v>2387255</v>
      </c>
      <c r="G43" s="70"/>
      <c r="H43" s="71"/>
      <c r="I43" s="65"/>
    </row>
    <row r="44" spans="1:15" ht="15">
      <c r="A44" s="98">
        <f t="shared" si="0"/>
        <v>29</v>
      </c>
      <c r="B44" s="67" t="s">
        <v>380</v>
      </c>
      <c r="C44" s="68" t="s">
        <v>279</v>
      </c>
      <c r="D44" s="79"/>
      <c r="E44" s="79"/>
      <c r="F44" s="786">
        <v>0</v>
      </c>
      <c r="G44" s="70"/>
      <c r="H44" s="71"/>
      <c r="I44" s="65"/>
    </row>
    <row r="45" spans="1:15" ht="15">
      <c r="A45" s="98">
        <f t="shared" si="0"/>
        <v>30</v>
      </c>
      <c r="B45" s="67" t="s">
        <v>381</v>
      </c>
      <c r="C45" s="68" t="s">
        <v>280</v>
      </c>
      <c r="D45" s="79"/>
      <c r="E45" s="79"/>
      <c r="F45" s="786">
        <v>12413884</v>
      </c>
      <c r="G45" s="70"/>
      <c r="H45" s="71"/>
      <c r="I45" s="65"/>
    </row>
    <row r="46" spans="1:15" ht="15">
      <c r="A46" s="98">
        <f t="shared" si="0"/>
        <v>31</v>
      </c>
      <c r="B46" s="67" t="s">
        <v>225</v>
      </c>
      <c r="C46" s="68" t="s">
        <v>16</v>
      </c>
      <c r="D46" s="79"/>
      <c r="E46" s="79"/>
      <c r="F46" s="134">
        <f>SUM(F36:F45)</f>
        <v>919599070</v>
      </c>
      <c r="G46" s="70"/>
      <c r="H46" s="71"/>
      <c r="I46" s="65"/>
    </row>
    <row r="47" spans="1:15" ht="15">
      <c r="A47" s="98"/>
      <c r="B47" s="67"/>
      <c r="C47" s="68"/>
      <c r="D47" s="79"/>
      <c r="E47" s="79"/>
      <c r="F47" s="135"/>
      <c r="G47" s="70"/>
      <c r="H47" s="71"/>
      <c r="I47" s="65"/>
    </row>
    <row r="48" spans="1:15" ht="15.75">
      <c r="A48" s="98">
        <f>A46+1</f>
        <v>32</v>
      </c>
      <c r="B48" s="86" t="s">
        <v>161</v>
      </c>
      <c r="C48" s="68"/>
      <c r="D48" s="79"/>
      <c r="E48" s="79"/>
      <c r="F48" s="135"/>
      <c r="G48" s="70"/>
      <c r="H48" s="71"/>
      <c r="I48" s="65"/>
    </row>
    <row r="49" spans="1:15" ht="15">
      <c r="A49" s="98">
        <f>A48+1</f>
        <v>33</v>
      </c>
      <c r="B49" s="67" t="s">
        <v>382</v>
      </c>
      <c r="C49" s="68" t="s">
        <v>281</v>
      </c>
      <c r="D49" s="79"/>
      <c r="E49" s="79"/>
      <c r="F49" s="786">
        <v>96754185</v>
      </c>
      <c r="G49" s="70"/>
      <c r="H49" s="71"/>
      <c r="I49" s="65"/>
    </row>
    <row r="50" spans="1:15" ht="15">
      <c r="A50" s="98">
        <f t="shared" si="0"/>
        <v>34</v>
      </c>
      <c r="B50" s="67" t="s">
        <v>383</v>
      </c>
      <c r="C50" s="68" t="s">
        <v>282</v>
      </c>
      <c r="D50" s="121"/>
      <c r="E50" s="79"/>
      <c r="F50" s="786">
        <v>30741419</v>
      </c>
      <c r="G50" s="70"/>
      <c r="H50" s="71"/>
      <c r="I50" s="65"/>
    </row>
    <row r="51" spans="1:15" ht="15">
      <c r="A51" s="98">
        <f t="shared" si="0"/>
        <v>35</v>
      </c>
      <c r="B51" s="67" t="s">
        <v>384</v>
      </c>
      <c r="C51" s="68" t="s">
        <v>283</v>
      </c>
      <c r="D51" s="79"/>
      <c r="E51" s="79"/>
      <c r="F51" s="786">
        <v>0</v>
      </c>
      <c r="G51" s="70"/>
      <c r="H51" s="71"/>
      <c r="I51" s="65"/>
    </row>
    <row r="52" spans="1:15" ht="15">
      <c r="A52" s="98">
        <f t="shared" si="0"/>
        <v>36</v>
      </c>
      <c r="B52" s="67" t="s">
        <v>385</v>
      </c>
      <c r="C52" s="68" t="s">
        <v>284</v>
      </c>
      <c r="D52" s="79"/>
      <c r="E52" s="79"/>
      <c r="F52" s="786">
        <v>14921</v>
      </c>
      <c r="G52" s="70"/>
      <c r="H52" s="71"/>
      <c r="I52" s="65"/>
    </row>
    <row r="53" spans="1:15" ht="15">
      <c r="A53" s="98">
        <f t="shared" si="0"/>
        <v>37</v>
      </c>
      <c r="B53" s="67" t="s">
        <v>386</v>
      </c>
      <c r="C53" s="68" t="s">
        <v>285</v>
      </c>
      <c r="D53" s="79"/>
      <c r="E53" s="79"/>
      <c r="F53" s="786">
        <v>10745455</v>
      </c>
      <c r="G53" s="70"/>
      <c r="H53" s="71"/>
      <c r="I53" s="65"/>
    </row>
    <row r="54" spans="1:15" ht="15">
      <c r="A54" s="98">
        <f t="shared" si="0"/>
        <v>38</v>
      </c>
      <c r="B54" s="67" t="s">
        <v>226</v>
      </c>
      <c r="C54" s="68" t="s">
        <v>16</v>
      </c>
      <c r="D54" s="79"/>
      <c r="E54" s="79"/>
      <c r="F54" s="134">
        <f>SUM(F49:F53)</f>
        <v>138255980</v>
      </c>
      <c r="G54" s="70"/>
      <c r="H54" s="71"/>
      <c r="I54" s="65"/>
    </row>
    <row r="55" spans="1:15" ht="15">
      <c r="A55" s="98"/>
      <c r="B55" s="67"/>
      <c r="C55" s="68"/>
      <c r="D55" s="79"/>
      <c r="E55" s="79"/>
      <c r="F55" s="135"/>
      <c r="G55" s="70"/>
      <c r="H55" s="71"/>
      <c r="I55" s="65"/>
    </row>
    <row r="56" spans="1:15" ht="15.75">
      <c r="A56" s="98">
        <f>A54+1</f>
        <v>39</v>
      </c>
      <c r="B56" s="86" t="s">
        <v>162</v>
      </c>
      <c r="C56" s="68"/>
      <c r="D56" s="79"/>
      <c r="E56" s="79"/>
      <c r="F56" s="135"/>
      <c r="G56" s="70"/>
      <c r="H56" s="71"/>
      <c r="I56" s="65"/>
    </row>
    <row r="57" spans="1:15" ht="15">
      <c r="A57" s="98">
        <f>A56+1</f>
        <v>40</v>
      </c>
      <c r="B57" s="82" t="s">
        <v>163</v>
      </c>
      <c r="C57" s="68" t="s">
        <v>286</v>
      </c>
      <c r="D57" s="79"/>
      <c r="E57" s="79"/>
      <c r="F57" s="779">
        <v>127159050</v>
      </c>
      <c r="G57" s="70"/>
      <c r="H57" s="71"/>
      <c r="I57" s="78"/>
      <c r="J57" s="24"/>
      <c r="O57" s="16"/>
    </row>
    <row r="58" spans="1:15" ht="15">
      <c r="A58" s="98">
        <f t="shared" ref="A58:A65" si="1">A57+1</f>
        <v>41</v>
      </c>
      <c r="B58" s="82" t="s">
        <v>164</v>
      </c>
      <c r="C58" s="79" t="s">
        <v>287</v>
      </c>
      <c r="D58" s="79"/>
      <c r="E58" s="79"/>
      <c r="F58" s="779">
        <v>-1371998</v>
      </c>
      <c r="G58" s="70"/>
      <c r="H58" s="71"/>
      <c r="I58" s="65"/>
    </row>
    <row r="59" spans="1:15" ht="15.75">
      <c r="A59" s="98">
        <f t="shared" si="1"/>
        <v>42</v>
      </c>
      <c r="B59" s="82" t="s">
        <v>28</v>
      </c>
      <c r="C59" s="79" t="s">
        <v>288</v>
      </c>
      <c r="D59" s="79"/>
      <c r="E59" s="79"/>
      <c r="F59" s="779">
        <v>124788433</v>
      </c>
      <c r="G59" s="80"/>
      <c r="H59" s="71"/>
      <c r="I59" s="65"/>
    </row>
    <row r="60" spans="1:15" ht="15.75">
      <c r="A60" s="98">
        <f t="shared" si="1"/>
        <v>43</v>
      </c>
      <c r="B60" s="82" t="s">
        <v>165</v>
      </c>
      <c r="C60" s="79" t="s">
        <v>289</v>
      </c>
      <c r="D60" s="79"/>
      <c r="E60" s="79"/>
      <c r="F60" s="779">
        <v>-13559844</v>
      </c>
      <c r="G60" s="80"/>
      <c r="H60" s="71"/>
      <c r="I60" s="65"/>
    </row>
    <row r="61" spans="1:15" ht="15.75">
      <c r="A61" s="98">
        <f t="shared" si="1"/>
        <v>44</v>
      </c>
      <c r="B61" s="82" t="s">
        <v>121</v>
      </c>
      <c r="C61" s="79" t="s">
        <v>290</v>
      </c>
      <c r="D61" s="79"/>
      <c r="E61" s="79"/>
      <c r="F61" s="779">
        <v>1310682</v>
      </c>
      <c r="G61" s="80"/>
      <c r="H61" s="71"/>
      <c r="I61" s="65"/>
    </row>
    <row r="62" spans="1:15" ht="15">
      <c r="A62" s="98">
        <f t="shared" si="1"/>
        <v>45</v>
      </c>
      <c r="B62" s="82" t="s">
        <v>166</v>
      </c>
      <c r="C62" s="79" t="s">
        <v>291</v>
      </c>
      <c r="D62" s="79"/>
      <c r="E62" s="79"/>
      <c r="F62" s="779">
        <v>1527780</v>
      </c>
      <c r="G62" s="70"/>
      <c r="H62" s="71"/>
      <c r="I62" s="65"/>
    </row>
    <row r="63" spans="1:15" ht="15">
      <c r="A63" s="98">
        <f t="shared" si="1"/>
        <v>46</v>
      </c>
      <c r="B63" s="82" t="s">
        <v>149</v>
      </c>
      <c r="C63" s="79" t="s">
        <v>292</v>
      </c>
      <c r="D63" s="79"/>
      <c r="E63" s="79"/>
      <c r="F63" s="779">
        <v>9551695</v>
      </c>
      <c r="G63" s="70"/>
      <c r="H63" s="71"/>
      <c r="I63" s="71"/>
    </row>
    <row r="64" spans="1:15" ht="15">
      <c r="A64" s="98">
        <f t="shared" si="1"/>
        <v>47</v>
      </c>
      <c r="B64" s="76" t="s">
        <v>167</v>
      </c>
      <c r="C64" s="79" t="s">
        <v>16</v>
      </c>
      <c r="D64" s="124"/>
      <c r="E64" s="124"/>
      <c r="F64" s="117">
        <f>SUM(F46,F54,F57:F63)</f>
        <v>1307260848</v>
      </c>
      <c r="G64" s="65"/>
      <c r="H64" s="71"/>
      <c r="I64" s="65"/>
      <c r="O64" s="16"/>
    </row>
    <row r="65" spans="1:15" ht="15">
      <c r="A65" s="98">
        <f t="shared" si="1"/>
        <v>48</v>
      </c>
      <c r="B65" s="76" t="s">
        <v>168</v>
      </c>
      <c r="C65" s="79" t="s">
        <v>227</v>
      </c>
      <c r="D65" s="124"/>
      <c r="E65" s="124"/>
      <c r="F65" s="117">
        <f>F33-F64</f>
        <v>-8015065</v>
      </c>
      <c r="G65" s="65"/>
      <c r="H65" s="71"/>
      <c r="I65" s="65"/>
      <c r="O65" s="16"/>
    </row>
    <row r="66" spans="1:15" ht="15">
      <c r="A66" s="98"/>
      <c r="B66" s="76"/>
      <c r="C66" s="79"/>
      <c r="D66" s="124" t="s">
        <v>17</v>
      </c>
      <c r="E66" s="124"/>
      <c r="F66" s="135"/>
      <c r="G66" s="65"/>
      <c r="H66" s="71"/>
      <c r="I66" s="65"/>
      <c r="O66" s="16"/>
    </row>
    <row r="67" spans="1:15" ht="15">
      <c r="A67" s="98">
        <f>+A65+1</f>
        <v>49</v>
      </c>
      <c r="B67" s="82" t="s">
        <v>148</v>
      </c>
      <c r="C67" s="79" t="s">
        <v>293</v>
      </c>
      <c r="D67" s="79"/>
      <c r="E67" s="79"/>
      <c r="F67" s="779">
        <v>12714516</v>
      </c>
      <c r="G67" s="70"/>
      <c r="H67" s="71"/>
      <c r="I67" s="65"/>
    </row>
    <row r="68" spans="1:15" ht="15">
      <c r="A68" s="98">
        <f t="shared" si="0"/>
        <v>50</v>
      </c>
      <c r="B68" s="82" t="s">
        <v>169</v>
      </c>
      <c r="C68" s="79" t="s">
        <v>294</v>
      </c>
      <c r="D68" s="79"/>
      <c r="E68" s="79"/>
      <c r="F68" s="779">
        <v>0</v>
      </c>
      <c r="G68" s="70"/>
      <c r="H68" s="71"/>
      <c r="I68" s="65"/>
    </row>
    <row r="69" spans="1:15" ht="15">
      <c r="A69" s="98">
        <f t="shared" si="0"/>
        <v>51</v>
      </c>
      <c r="B69" s="82" t="s">
        <v>170</v>
      </c>
      <c r="C69" s="79" t="s">
        <v>295</v>
      </c>
      <c r="D69" s="79"/>
      <c r="E69" s="79"/>
      <c r="F69" s="779">
        <v>1272151</v>
      </c>
      <c r="G69" s="70"/>
      <c r="H69" s="71"/>
      <c r="I69" s="65"/>
    </row>
    <row r="70" spans="1:15" ht="15">
      <c r="A70" s="98">
        <f t="shared" si="0"/>
        <v>52</v>
      </c>
      <c r="B70" s="82" t="s">
        <v>171</v>
      </c>
      <c r="C70" s="79" t="s">
        <v>296</v>
      </c>
      <c r="D70" s="79"/>
      <c r="E70" s="79"/>
      <c r="F70" s="779">
        <v>5439671</v>
      </c>
      <c r="G70" s="70"/>
      <c r="H70" s="71"/>
      <c r="I70" s="65"/>
    </row>
    <row r="71" spans="1:15" ht="15">
      <c r="A71" s="98">
        <f t="shared" si="0"/>
        <v>53</v>
      </c>
      <c r="B71" s="82" t="s">
        <v>172</v>
      </c>
      <c r="C71" s="79" t="s">
        <v>297</v>
      </c>
      <c r="D71" s="79"/>
      <c r="E71" s="79"/>
      <c r="F71" s="779">
        <v>14426029</v>
      </c>
      <c r="G71" s="70"/>
      <c r="H71" s="71"/>
      <c r="I71" s="65"/>
    </row>
    <row r="72" spans="1:15" ht="15">
      <c r="A72" s="98">
        <f t="shared" si="0"/>
        <v>54</v>
      </c>
      <c r="B72" s="82" t="s">
        <v>173</v>
      </c>
      <c r="C72" s="79" t="s">
        <v>298</v>
      </c>
      <c r="D72" s="124"/>
      <c r="E72" s="124"/>
      <c r="F72" s="779">
        <v>5911189</v>
      </c>
      <c r="G72" s="65"/>
      <c r="H72" s="71"/>
      <c r="I72" s="65"/>
      <c r="O72" s="16"/>
    </row>
    <row r="73" spans="1:15" ht="15">
      <c r="A73" s="98">
        <f t="shared" si="0"/>
        <v>55</v>
      </c>
      <c r="B73" s="82" t="s">
        <v>174</v>
      </c>
      <c r="C73" s="79" t="s">
        <v>299</v>
      </c>
      <c r="D73" s="124"/>
      <c r="E73" s="124"/>
      <c r="F73" s="779">
        <v>0</v>
      </c>
      <c r="G73" s="65"/>
      <c r="H73" s="71"/>
      <c r="I73" s="65"/>
      <c r="O73" s="16"/>
    </row>
    <row r="74" spans="1:15" ht="15.75">
      <c r="A74" s="98">
        <f t="shared" si="0"/>
        <v>56</v>
      </c>
      <c r="B74" s="86" t="s">
        <v>228</v>
      </c>
      <c r="C74" s="65" t="s">
        <v>227</v>
      </c>
      <c r="D74" s="121"/>
      <c r="E74" s="121"/>
      <c r="F74" s="89">
        <f>SUM(F65,F67:F73)</f>
        <v>31748491</v>
      </c>
      <c r="G74" s="65"/>
      <c r="H74" s="65"/>
      <c r="I74" s="65"/>
    </row>
    <row r="75" spans="1:15" ht="15">
      <c r="A75" s="98"/>
      <c r="B75" s="76"/>
      <c r="C75" s="79"/>
      <c r="D75" s="124"/>
      <c r="E75" s="124"/>
      <c r="F75" s="121"/>
      <c r="G75" s="65"/>
      <c r="H75" s="71"/>
      <c r="I75" s="65"/>
      <c r="O75" s="16"/>
    </row>
    <row r="76" spans="1:15" ht="15.75">
      <c r="A76" s="98">
        <f>A74+1</f>
        <v>57</v>
      </c>
      <c r="B76" s="262" t="s">
        <v>175</v>
      </c>
      <c r="C76" s="79"/>
      <c r="D76" s="124"/>
      <c r="E76" s="124"/>
      <c r="F76" s="121"/>
      <c r="G76" s="65"/>
      <c r="H76" s="71"/>
      <c r="I76" s="65"/>
      <c r="O76" s="16"/>
    </row>
    <row r="77" spans="1:15" ht="15.75">
      <c r="A77" s="101">
        <f t="shared" ref="A77:A82" si="2">A76+1</f>
        <v>58</v>
      </c>
      <c r="B77" s="86" t="s">
        <v>176</v>
      </c>
      <c r="C77" s="65"/>
      <c r="D77" s="136" t="s">
        <v>118</v>
      </c>
      <c r="E77" s="136" t="s">
        <v>117</v>
      </c>
      <c r="F77" s="123" t="s">
        <v>267</v>
      </c>
      <c r="G77" s="65"/>
      <c r="H77" s="65"/>
      <c r="I77" s="65"/>
    </row>
    <row r="78" spans="1:15" ht="15">
      <c r="A78" s="101">
        <f t="shared" si="2"/>
        <v>59</v>
      </c>
      <c r="B78" s="82" t="s">
        <v>75</v>
      </c>
      <c r="C78" s="263" t="s">
        <v>1006</v>
      </c>
      <c r="D78" s="779">
        <v>199319369</v>
      </c>
      <c r="E78" s="779">
        <v>208779897</v>
      </c>
      <c r="F78" s="117">
        <f>(D78+E78)/2</f>
        <v>204049633</v>
      </c>
      <c r="G78" s="65"/>
      <c r="H78" s="65"/>
      <c r="I78" s="65"/>
    </row>
    <row r="79" spans="1:15" ht="15">
      <c r="A79" s="98">
        <f t="shared" si="2"/>
        <v>60</v>
      </c>
      <c r="B79" s="82" t="s">
        <v>177</v>
      </c>
      <c r="C79" s="81" t="s">
        <v>300</v>
      </c>
      <c r="D79" s="779">
        <v>224491</v>
      </c>
      <c r="E79" s="779">
        <v>218150</v>
      </c>
      <c r="F79" s="117">
        <f>E79</f>
        <v>218150</v>
      </c>
      <c r="G79" s="65"/>
      <c r="H79" s="65"/>
      <c r="I79" s="65"/>
    </row>
    <row r="80" spans="1:15" ht="15">
      <c r="A80" s="98">
        <f t="shared" si="2"/>
        <v>61</v>
      </c>
      <c r="B80" s="82" t="s">
        <v>363</v>
      </c>
      <c r="C80" s="83" t="s">
        <v>301</v>
      </c>
      <c r="D80" s="779">
        <v>12158177</v>
      </c>
      <c r="E80" s="779">
        <v>15220316</v>
      </c>
      <c r="F80" s="117">
        <f>(D80+E80)/2</f>
        <v>13689246.5</v>
      </c>
      <c r="G80" s="65"/>
      <c r="H80" s="71"/>
      <c r="I80" s="65"/>
      <c r="O80" s="16"/>
    </row>
    <row r="81" spans="1:15" ht="15">
      <c r="A81" s="98">
        <f t="shared" si="2"/>
        <v>62</v>
      </c>
      <c r="B81" s="82" t="s">
        <v>178</v>
      </c>
      <c r="C81" s="84" t="s">
        <v>851</v>
      </c>
      <c r="D81" s="779">
        <v>11809851</v>
      </c>
      <c r="E81" s="779">
        <v>12312664</v>
      </c>
      <c r="F81" s="117">
        <f>(D81+E81)/2</f>
        <v>12061257.5</v>
      </c>
      <c r="G81" s="65"/>
      <c r="H81" s="71"/>
      <c r="I81" s="65"/>
      <c r="O81" s="16"/>
    </row>
    <row r="82" spans="1:15" ht="15">
      <c r="A82" s="98">
        <f t="shared" si="2"/>
        <v>63</v>
      </c>
      <c r="B82" s="82" t="s">
        <v>364</v>
      </c>
      <c r="C82" s="84" t="s">
        <v>852</v>
      </c>
      <c r="D82" s="779">
        <v>223579611</v>
      </c>
      <c r="E82" s="779">
        <v>230641351</v>
      </c>
      <c r="F82" s="117">
        <f>(D82+E82)/2</f>
        <v>227110481</v>
      </c>
      <c r="G82" s="65"/>
      <c r="H82" s="71"/>
      <c r="I82" s="65"/>
      <c r="O82" s="16"/>
    </row>
    <row r="83" spans="1:15" ht="15">
      <c r="A83" s="98"/>
      <c r="B83" s="85"/>
      <c r="C83" s="74"/>
      <c r="D83" s="117"/>
      <c r="E83" s="117"/>
      <c r="F83" s="117" t="s">
        <v>17</v>
      </c>
      <c r="G83" s="65"/>
      <c r="H83" s="71"/>
      <c r="I83" s="65"/>
      <c r="O83" s="16"/>
    </row>
    <row r="84" spans="1:15" ht="15.75">
      <c r="A84" s="98">
        <f>A82+1</f>
        <v>64</v>
      </c>
      <c r="B84" s="86" t="s">
        <v>179</v>
      </c>
      <c r="C84" s="74"/>
      <c r="D84" s="117"/>
      <c r="E84" s="117"/>
      <c r="F84" s="69" t="s">
        <v>2</v>
      </c>
      <c r="G84" s="65"/>
      <c r="H84" s="71"/>
      <c r="I84" s="65"/>
      <c r="O84" s="16"/>
    </row>
    <row r="85" spans="1:15" ht="15.75">
      <c r="A85" s="98">
        <f>A84+1</f>
        <v>65</v>
      </c>
      <c r="B85" s="82" t="s">
        <v>180</v>
      </c>
      <c r="C85" s="81" t="s">
        <v>302</v>
      </c>
      <c r="D85" s="117"/>
      <c r="E85" s="779">
        <v>961324461</v>
      </c>
      <c r="F85" s="117">
        <f t="shared" ref="F85:F91" si="3">E85</f>
        <v>961324461</v>
      </c>
      <c r="G85" s="80"/>
      <c r="H85" s="71"/>
      <c r="I85" s="65"/>
      <c r="O85" s="16"/>
    </row>
    <row r="86" spans="1:15" ht="15.75">
      <c r="A86" s="98">
        <f t="shared" ref="A86:A91" si="4">A85+1</f>
        <v>66</v>
      </c>
      <c r="B86" s="82" t="s">
        <v>34</v>
      </c>
      <c r="C86" s="68" t="s">
        <v>303</v>
      </c>
      <c r="D86" s="117"/>
      <c r="E86" s="779">
        <v>2728693056</v>
      </c>
      <c r="F86" s="117">
        <f t="shared" si="3"/>
        <v>2728693056</v>
      </c>
      <c r="G86" s="80"/>
      <c r="H86" s="71"/>
      <c r="I86" s="65"/>
      <c r="O86" s="16"/>
    </row>
    <row r="87" spans="1:15" ht="15.75">
      <c r="A87" s="98">
        <f t="shared" si="4"/>
        <v>67</v>
      </c>
      <c r="B87" s="82" t="s">
        <v>181</v>
      </c>
      <c r="C87" s="68" t="s">
        <v>304</v>
      </c>
      <c r="D87" s="117"/>
      <c r="E87" s="779"/>
      <c r="F87" s="117">
        <f t="shared" si="3"/>
        <v>0</v>
      </c>
      <c r="G87" s="80"/>
      <c r="H87" s="71"/>
      <c r="I87" s="65"/>
      <c r="O87" s="16"/>
    </row>
    <row r="88" spans="1:15" ht="15.75">
      <c r="A88" s="98">
        <f t="shared" si="4"/>
        <v>68</v>
      </c>
      <c r="B88" s="82" t="s">
        <v>45</v>
      </c>
      <c r="C88" s="68" t="s">
        <v>305</v>
      </c>
      <c r="D88" s="117"/>
      <c r="E88" s="779">
        <v>119900721</v>
      </c>
      <c r="F88" s="117">
        <f t="shared" si="3"/>
        <v>119900721</v>
      </c>
      <c r="G88" s="80"/>
      <c r="H88" s="71"/>
      <c r="I88" s="65"/>
      <c r="O88" s="16"/>
    </row>
    <row r="89" spans="1:15" ht="15.75">
      <c r="A89" s="98">
        <f t="shared" si="4"/>
        <v>69</v>
      </c>
      <c r="B89" s="82" t="s">
        <v>182</v>
      </c>
      <c r="C89" s="68" t="s">
        <v>306</v>
      </c>
      <c r="D89" s="117"/>
      <c r="E89" s="779">
        <v>68677087</v>
      </c>
      <c r="F89" s="117">
        <f t="shared" si="3"/>
        <v>68677087</v>
      </c>
      <c r="G89" s="80"/>
      <c r="H89" s="71"/>
      <c r="I89" s="65"/>
      <c r="O89" s="16"/>
    </row>
    <row r="90" spans="1:15" ht="15.75">
      <c r="A90" s="98">
        <f t="shared" si="4"/>
        <v>70</v>
      </c>
      <c r="B90" s="82" t="s">
        <v>183</v>
      </c>
      <c r="C90" s="68" t="s">
        <v>307</v>
      </c>
      <c r="D90" s="117"/>
      <c r="E90" s="779">
        <v>0</v>
      </c>
      <c r="F90" s="117">
        <f t="shared" si="3"/>
        <v>0</v>
      </c>
      <c r="G90" s="80"/>
      <c r="H90" s="71"/>
      <c r="I90" s="65"/>
      <c r="O90" s="16"/>
    </row>
    <row r="91" spans="1:15" ht="15.75">
      <c r="A91" s="98">
        <f t="shared" si="4"/>
        <v>71</v>
      </c>
      <c r="B91" s="82" t="s">
        <v>365</v>
      </c>
      <c r="C91" s="68" t="s">
        <v>308</v>
      </c>
      <c r="D91" s="117"/>
      <c r="E91" s="779">
        <v>282471761</v>
      </c>
      <c r="F91" s="117">
        <f t="shared" si="3"/>
        <v>282471761</v>
      </c>
      <c r="G91" s="80"/>
      <c r="H91" s="71"/>
      <c r="I91" s="65"/>
      <c r="O91" s="16"/>
    </row>
    <row r="92" spans="1:15" ht="15">
      <c r="A92" s="98"/>
      <c r="B92" s="72"/>
      <c r="C92" s="68"/>
      <c r="D92" s="125"/>
      <c r="E92" s="125"/>
      <c r="F92" s="117"/>
      <c r="G92" s="65"/>
      <c r="H92" s="71"/>
      <c r="I92" s="65"/>
      <c r="O92" s="16"/>
    </row>
    <row r="93" spans="1:15" ht="15">
      <c r="A93" s="98"/>
      <c r="B93" s="82"/>
      <c r="C93" s="68"/>
      <c r="D93" s="135" t="s">
        <v>118</v>
      </c>
      <c r="E93" s="135" t="s">
        <v>117</v>
      </c>
      <c r="F93" s="137" t="s">
        <v>47</v>
      </c>
      <c r="G93" s="70"/>
      <c r="H93" s="71"/>
      <c r="I93" s="65"/>
    </row>
    <row r="94" spans="1:15" ht="15">
      <c r="A94" s="98">
        <f>A91+1</f>
        <v>72</v>
      </c>
      <c r="B94" s="67" t="s">
        <v>52</v>
      </c>
      <c r="C94" s="68" t="s">
        <v>309</v>
      </c>
      <c r="D94" s="778">
        <v>146790220</v>
      </c>
      <c r="E94" s="778">
        <v>152771585</v>
      </c>
      <c r="F94" s="117">
        <f>(D94+E94)/2</f>
        <v>149780902.5</v>
      </c>
      <c r="G94" s="70"/>
      <c r="H94" s="71"/>
      <c r="I94" s="65"/>
    </row>
    <row r="95" spans="1:15" ht="15">
      <c r="A95" s="98"/>
      <c r="B95" s="82"/>
      <c r="C95" s="68"/>
      <c r="D95" s="135"/>
      <c r="E95" s="135"/>
      <c r="F95" s="137"/>
      <c r="G95" s="70"/>
      <c r="H95" s="71"/>
      <c r="I95" s="65"/>
    </row>
    <row r="96" spans="1:15" ht="15">
      <c r="A96" s="98">
        <f>A94+1</f>
        <v>73</v>
      </c>
      <c r="B96" s="82" t="s">
        <v>247</v>
      </c>
      <c r="C96" s="68" t="s">
        <v>310</v>
      </c>
      <c r="D96" s="778">
        <v>1957914089</v>
      </c>
      <c r="E96" s="778">
        <v>1990832699</v>
      </c>
      <c r="F96" s="117">
        <f>(D96+E96)/2</f>
        <v>1974373394</v>
      </c>
      <c r="G96" s="70"/>
      <c r="H96" s="71"/>
      <c r="I96" s="65"/>
    </row>
    <row r="97" spans="1:9" ht="15">
      <c r="A97" s="98">
        <f>A96+1</f>
        <v>74</v>
      </c>
      <c r="B97" s="82" t="s">
        <v>248</v>
      </c>
      <c r="C97" s="68" t="s">
        <v>311</v>
      </c>
      <c r="D97" s="778">
        <v>0</v>
      </c>
      <c r="E97" s="778">
        <v>0</v>
      </c>
      <c r="F97" s="117">
        <f>(D97+E97)/2</f>
        <v>0</v>
      </c>
      <c r="G97" s="70"/>
      <c r="H97" s="71"/>
      <c r="I97" s="65"/>
    </row>
    <row r="98" spans="1:9" ht="15">
      <c r="A98" s="98">
        <f>A97+1</f>
        <v>75</v>
      </c>
      <c r="B98" s="82" t="s">
        <v>249</v>
      </c>
      <c r="C98" s="68" t="s">
        <v>312</v>
      </c>
      <c r="D98" s="778">
        <v>0</v>
      </c>
      <c r="E98" s="778">
        <v>0</v>
      </c>
      <c r="F98" s="117">
        <f>(D98+E98)/2</f>
        <v>0</v>
      </c>
      <c r="G98" s="70"/>
      <c r="H98" s="71"/>
      <c r="I98" s="65"/>
    </row>
    <row r="99" spans="1:9" ht="15">
      <c r="A99" s="98">
        <f>A98+1</f>
        <v>76</v>
      </c>
      <c r="B99" s="82" t="s">
        <v>250</v>
      </c>
      <c r="C99" s="68" t="s">
        <v>313</v>
      </c>
      <c r="D99" s="778">
        <v>282613405</v>
      </c>
      <c r="E99" s="778">
        <v>282817711</v>
      </c>
      <c r="F99" s="117">
        <f>(D99+E99)/2</f>
        <v>282715558</v>
      </c>
      <c r="G99" s="70"/>
      <c r="H99" s="71"/>
      <c r="I99" s="65"/>
    </row>
    <row r="100" spans="1:9" ht="15.75">
      <c r="A100" s="98">
        <f>A99+1</f>
        <v>77</v>
      </c>
      <c r="B100" s="86" t="s">
        <v>53</v>
      </c>
      <c r="C100" s="68" t="s">
        <v>16</v>
      </c>
      <c r="D100" s="117">
        <f>SUM(D96:D99)</f>
        <v>2240527494</v>
      </c>
      <c r="E100" s="117">
        <f>SUM(E96:E99)</f>
        <v>2273650410</v>
      </c>
      <c r="F100" s="133">
        <f>SUM(F96:F99)</f>
        <v>2257088952</v>
      </c>
      <c r="G100" s="70"/>
      <c r="H100" s="71"/>
      <c r="I100" s="65"/>
    </row>
    <row r="101" spans="1:9" ht="15">
      <c r="A101" s="98"/>
      <c r="B101" s="82"/>
      <c r="C101" s="68"/>
      <c r="D101" s="117"/>
      <c r="E101" s="117"/>
      <c r="F101" s="137"/>
      <c r="G101" s="70"/>
      <c r="H101" s="71"/>
      <c r="I101" s="65"/>
    </row>
    <row r="102" spans="1:9" ht="15">
      <c r="A102" s="98">
        <f>A100+1</f>
        <v>78</v>
      </c>
      <c r="B102" s="82" t="s">
        <v>251</v>
      </c>
      <c r="C102" s="68" t="s">
        <v>314</v>
      </c>
      <c r="D102" s="778">
        <v>96521575</v>
      </c>
      <c r="E102" s="778">
        <v>102483522</v>
      </c>
      <c r="F102" s="117">
        <f>(D102+E102)/2</f>
        <v>99502548.5</v>
      </c>
      <c r="G102" s="70"/>
      <c r="H102" s="71"/>
      <c r="I102" s="65"/>
    </row>
    <row r="103" spans="1:9" ht="15">
      <c r="A103" s="98">
        <f>A102+1</f>
        <v>79</v>
      </c>
      <c r="B103" s="82" t="s">
        <v>55</v>
      </c>
      <c r="C103" s="68" t="s">
        <v>315</v>
      </c>
      <c r="D103" s="778">
        <v>32221586</v>
      </c>
      <c r="E103" s="778">
        <v>40531406</v>
      </c>
      <c r="F103" s="117">
        <f>(D103+E103)/2</f>
        <v>36376496</v>
      </c>
      <c r="G103" s="70"/>
      <c r="H103" s="71"/>
      <c r="I103" s="65"/>
    </row>
    <row r="104" spans="1:9" ht="15">
      <c r="A104" s="98">
        <f>A103+1</f>
        <v>80</v>
      </c>
      <c r="B104" s="82" t="s">
        <v>56</v>
      </c>
      <c r="C104" s="68" t="s">
        <v>316</v>
      </c>
      <c r="D104" s="778">
        <v>443400198</v>
      </c>
      <c r="E104" s="778">
        <v>484306009</v>
      </c>
      <c r="F104" s="117">
        <f>(D104+E104)/2</f>
        <v>463853103.5</v>
      </c>
      <c r="G104" s="70"/>
      <c r="H104" s="71"/>
      <c r="I104" s="65"/>
    </row>
    <row r="105" spans="1:9" ht="15">
      <c r="A105" s="98">
        <f>A104+1</f>
        <v>81</v>
      </c>
      <c r="B105" s="67" t="s">
        <v>57</v>
      </c>
      <c r="C105" s="68" t="s">
        <v>317</v>
      </c>
      <c r="D105" s="778">
        <v>456343037</v>
      </c>
      <c r="E105" s="778">
        <v>475537590</v>
      </c>
      <c r="F105" s="117">
        <f>(D105+E105)/2</f>
        <v>465940313.5</v>
      </c>
      <c r="G105" s="70"/>
      <c r="H105" s="71"/>
      <c r="I105" s="65"/>
    </row>
    <row r="106" spans="1:9" ht="15.75">
      <c r="A106" s="98">
        <f>A105+1</f>
        <v>82</v>
      </c>
      <c r="B106" s="87" t="s">
        <v>233</v>
      </c>
      <c r="C106" s="68" t="s">
        <v>16</v>
      </c>
      <c r="D106" s="126">
        <f>SUM(D102:D105)</f>
        <v>1028486396</v>
      </c>
      <c r="E106" s="126">
        <f>SUM(E102:E105)</f>
        <v>1102858527</v>
      </c>
      <c r="F106" s="127">
        <f>SUM(F102:F105)</f>
        <v>1065672461.5</v>
      </c>
      <c r="G106" s="70"/>
      <c r="H106" s="71"/>
      <c r="I106" s="65"/>
    </row>
    <row r="107" spans="1:9" ht="15">
      <c r="A107" s="98"/>
      <c r="B107" s="67"/>
      <c r="C107" s="68"/>
      <c r="D107" s="125"/>
      <c r="E107" s="125"/>
      <c r="F107" s="117"/>
      <c r="G107" s="70"/>
      <c r="H107" s="71"/>
      <c r="I107" s="65"/>
    </row>
    <row r="108" spans="1:9" ht="15">
      <c r="A108" s="98">
        <f>A106+1</f>
        <v>83</v>
      </c>
      <c r="B108" s="82" t="s">
        <v>234</v>
      </c>
      <c r="C108" s="68" t="s">
        <v>318</v>
      </c>
      <c r="D108" s="780">
        <v>1574044</v>
      </c>
      <c r="E108" s="780">
        <v>1563936</v>
      </c>
      <c r="F108" s="117">
        <f>(D108+E108)/2</f>
        <v>1568990</v>
      </c>
      <c r="G108" s="70"/>
      <c r="H108" s="71"/>
      <c r="I108" s="65"/>
    </row>
    <row r="109" spans="1:9" ht="15">
      <c r="A109" s="98">
        <f t="shared" ref="A109:A126" si="5">A108+1</f>
        <v>84</v>
      </c>
      <c r="B109" s="82" t="s">
        <v>235</v>
      </c>
      <c r="C109" s="68" t="s">
        <v>319</v>
      </c>
      <c r="D109" s="780">
        <v>9211719</v>
      </c>
      <c r="E109" s="780">
        <v>9314357</v>
      </c>
      <c r="F109" s="117">
        <f>(D109+E109)/2</f>
        <v>9263038</v>
      </c>
      <c r="G109" s="70"/>
      <c r="H109" s="71"/>
      <c r="I109" s="65"/>
    </row>
    <row r="110" spans="1:9" ht="15">
      <c r="A110" s="98">
        <f t="shared" si="5"/>
        <v>85</v>
      </c>
      <c r="B110" s="82" t="s">
        <v>236</v>
      </c>
      <c r="C110" s="68" t="s">
        <v>320</v>
      </c>
      <c r="D110" s="780">
        <v>74064910</v>
      </c>
      <c r="E110" s="780">
        <v>77779574</v>
      </c>
      <c r="F110" s="117">
        <f>(D110+E110)/2</f>
        <v>75922242</v>
      </c>
      <c r="G110" s="70"/>
      <c r="H110" s="71"/>
      <c r="I110" s="65"/>
    </row>
    <row r="111" spans="1:9" ht="15">
      <c r="A111" s="98">
        <f t="shared" si="5"/>
        <v>86</v>
      </c>
      <c r="B111" s="82" t="s">
        <v>450</v>
      </c>
      <c r="C111" s="68" t="s">
        <v>321</v>
      </c>
      <c r="D111" s="780">
        <v>0</v>
      </c>
      <c r="E111" s="780">
        <v>0</v>
      </c>
      <c r="F111" s="117">
        <f>(D111+E111)/2</f>
        <v>0</v>
      </c>
      <c r="G111" s="70"/>
      <c r="H111" s="71"/>
      <c r="I111" s="65"/>
    </row>
    <row r="112" spans="1:9" ht="15.75">
      <c r="A112" s="98">
        <f t="shared" si="5"/>
        <v>87</v>
      </c>
      <c r="B112" s="87" t="s">
        <v>32</v>
      </c>
      <c r="C112" s="68" t="s">
        <v>16</v>
      </c>
      <c r="D112" s="117">
        <f>SUM(D108:D111)</f>
        <v>84850673</v>
      </c>
      <c r="E112" s="117">
        <f>SUM(E108:E111)</f>
        <v>88657867</v>
      </c>
      <c r="F112" s="117">
        <f>SUM(F108:F111)</f>
        <v>86754270</v>
      </c>
      <c r="G112" s="70"/>
      <c r="H112" s="71"/>
      <c r="I112" s="65"/>
    </row>
    <row r="113" spans="1:9" ht="15">
      <c r="A113" s="98"/>
      <c r="B113" s="67"/>
      <c r="C113" s="68"/>
      <c r="D113" s="117"/>
      <c r="E113" s="117"/>
      <c r="F113" s="117"/>
      <c r="G113" s="70"/>
      <c r="H113" s="71"/>
      <c r="I113" s="65"/>
    </row>
    <row r="114" spans="1:9" ht="15">
      <c r="A114" s="98">
        <f>A112+1</f>
        <v>88</v>
      </c>
      <c r="B114" s="67" t="s">
        <v>155</v>
      </c>
      <c r="C114" s="68" t="s">
        <v>322</v>
      </c>
      <c r="D114" s="778"/>
      <c r="E114" s="778"/>
      <c r="F114" s="117">
        <f>(D114+E114)/2</f>
        <v>0</v>
      </c>
      <c r="G114" s="70"/>
      <c r="H114" s="71"/>
      <c r="I114" s="65"/>
    </row>
    <row r="115" spans="1:9" ht="15">
      <c r="A115" s="98">
        <f t="shared" si="5"/>
        <v>89</v>
      </c>
      <c r="B115" s="67" t="s">
        <v>58</v>
      </c>
      <c r="C115" s="68" t="s">
        <v>323</v>
      </c>
      <c r="D115" s="778">
        <v>418084246</v>
      </c>
      <c r="E115" s="778">
        <v>444946342</v>
      </c>
      <c r="F115" s="117">
        <f>(D115+E115)/2</f>
        <v>431515294</v>
      </c>
      <c r="G115" s="70"/>
      <c r="H115" s="71"/>
      <c r="I115" s="65"/>
    </row>
    <row r="116" spans="1:9" ht="15.75">
      <c r="A116" s="98">
        <f t="shared" si="5"/>
        <v>90</v>
      </c>
      <c r="B116" s="87" t="s">
        <v>237</v>
      </c>
      <c r="C116" s="68" t="s">
        <v>16</v>
      </c>
      <c r="D116" s="128">
        <f>SUM(D94,D100,D106,D112,D114:D115)</f>
        <v>3918739029</v>
      </c>
      <c r="E116" s="128">
        <f>SUM(E94,E100,E106,E112,E114:E115)</f>
        <v>4062884731</v>
      </c>
      <c r="F116" s="129">
        <f>SUM(F94,F100,F106,F112,F114:F115)</f>
        <v>3990811880</v>
      </c>
      <c r="G116" s="70"/>
      <c r="H116" s="71"/>
      <c r="I116" s="65"/>
    </row>
    <row r="117" spans="1:9" ht="15">
      <c r="A117" s="98"/>
      <c r="B117" s="67"/>
      <c r="C117" s="68"/>
      <c r="D117" s="125"/>
      <c r="E117" s="125"/>
      <c r="F117" s="117"/>
      <c r="G117" s="70"/>
      <c r="H117" s="71"/>
      <c r="I117" s="65"/>
    </row>
    <row r="118" spans="1:9" ht="15">
      <c r="A118" s="98">
        <f>A116+1</f>
        <v>91</v>
      </c>
      <c r="B118" s="67" t="s">
        <v>238</v>
      </c>
      <c r="C118" s="68" t="s">
        <v>324</v>
      </c>
      <c r="D118" s="779"/>
      <c r="E118" s="779">
        <v>0</v>
      </c>
      <c r="F118" s="117">
        <f>(D118+E118)/2</f>
        <v>0</v>
      </c>
      <c r="G118" s="70"/>
      <c r="H118" s="71"/>
      <c r="I118" s="65"/>
    </row>
    <row r="119" spans="1:9" ht="15">
      <c r="A119" s="98">
        <f t="shared" si="5"/>
        <v>92</v>
      </c>
      <c r="B119" s="67" t="s">
        <v>239</v>
      </c>
      <c r="C119" s="68" t="s">
        <v>325</v>
      </c>
      <c r="D119" s="779"/>
      <c r="E119" s="779">
        <v>0</v>
      </c>
      <c r="F119" s="117">
        <f t="shared" ref="F119:F125" si="6">(D119+E119)/2</f>
        <v>0</v>
      </c>
      <c r="G119" s="70"/>
      <c r="H119" s="71"/>
      <c r="I119" s="65"/>
    </row>
    <row r="120" spans="1:9" ht="15">
      <c r="A120" s="98">
        <f t="shared" si="5"/>
        <v>93</v>
      </c>
      <c r="B120" s="67" t="s">
        <v>59</v>
      </c>
      <c r="C120" s="68" t="s">
        <v>326</v>
      </c>
      <c r="D120" s="778">
        <v>77324152</v>
      </c>
      <c r="E120" s="778">
        <v>77224152</v>
      </c>
      <c r="F120" s="117">
        <f t="shared" si="6"/>
        <v>77274152</v>
      </c>
      <c r="G120" s="70"/>
      <c r="H120" s="71"/>
      <c r="I120" s="65"/>
    </row>
    <row r="121" spans="1:9" ht="15">
      <c r="A121" s="98">
        <f t="shared" si="5"/>
        <v>94</v>
      </c>
      <c r="B121" s="67" t="s">
        <v>60</v>
      </c>
      <c r="C121" s="68" t="s">
        <v>327</v>
      </c>
      <c r="D121" s="778">
        <v>226302527</v>
      </c>
      <c r="E121" s="778">
        <v>266047723</v>
      </c>
      <c r="F121" s="117">
        <f t="shared" si="6"/>
        <v>246175125</v>
      </c>
      <c r="G121" s="70"/>
      <c r="H121" s="71"/>
      <c r="I121" s="65"/>
    </row>
    <row r="122" spans="1:9" ht="15">
      <c r="A122" s="98">
        <f t="shared" si="5"/>
        <v>95</v>
      </c>
      <c r="B122" s="67" t="s">
        <v>196</v>
      </c>
      <c r="C122" s="68" t="s">
        <v>328</v>
      </c>
      <c r="D122" s="778">
        <v>39163114</v>
      </c>
      <c r="E122" s="778">
        <v>41045432</v>
      </c>
      <c r="F122" s="117">
        <f t="shared" si="6"/>
        <v>40104273</v>
      </c>
      <c r="G122" s="70"/>
      <c r="H122" s="71"/>
      <c r="I122" s="65"/>
    </row>
    <row r="123" spans="1:9" ht="15">
      <c r="A123" s="98">
        <f t="shared" si="5"/>
        <v>96</v>
      </c>
      <c r="B123" s="67" t="s">
        <v>240</v>
      </c>
      <c r="C123" s="68" t="s">
        <v>329</v>
      </c>
      <c r="D123" s="778"/>
      <c r="E123" s="778"/>
      <c r="F123" s="117">
        <f t="shared" si="6"/>
        <v>0</v>
      </c>
      <c r="G123" s="70"/>
      <c r="H123" s="71"/>
      <c r="I123" s="65"/>
    </row>
    <row r="124" spans="1:9" ht="15">
      <c r="A124" s="98">
        <f t="shared" si="5"/>
        <v>97</v>
      </c>
      <c r="B124" s="67" t="s">
        <v>241</v>
      </c>
      <c r="C124" s="68" t="s">
        <v>330</v>
      </c>
      <c r="D124" s="778"/>
      <c r="E124" s="778"/>
      <c r="F124" s="117">
        <f t="shared" si="6"/>
        <v>0</v>
      </c>
      <c r="G124" s="70"/>
      <c r="H124" s="71"/>
      <c r="I124" s="65"/>
    </row>
    <row r="125" spans="1:9" ht="15.75">
      <c r="A125" s="98">
        <f t="shared" si="5"/>
        <v>98</v>
      </c>
      <c r="B125" s="67" t="s">
        <v>61</v>
      </c>
      <c r="C125" s="68" t="s">
        <v>331</v>
      </c>
      <c r="D125" s="779">
        <v>199319369</v>
      </c>
      <c r="E125" s="779">
        <v>208779897</v>
      </c>
      <c r="F125" s="117">
        <f t="shared" si="6"/>
        <v>204049633</v>
      </c>
      <c r="G125" s="88"/>
      <c r="H125" s="71"/>
      <c r="I125" s="65"/>
    </row>
    <row r="126" spans="1:9" ht="15.75">
      <c r="A126" s="98">
        <f t="shared" si="5"/>
        <v>99</v>
      </c>
      <c r="B126" s="87" t="s">
        <v>242</v>
      </c>
      <c r="C126" s="68" t="s">
        <v>16</v>
      </c>
      <c r="D126" s="89">
        <f>SUM(D116,D118:D125)</f>
        <v>4460848191</v>
      </c>
      <c r="E126" s="89">
        <f>SUM(E116,E118:E125)</f>
        <v>4655981935</v>
      </c>
      <c r="F126" s="138">
        <f>SUM(F116,F118:F125)</f>
        <v>4558415063</v>
      </c>
      <c r="G126" s="65"/>
      <c r="H126" s="65"/>
      <c r="I126" s="65"/>
    </row>
    <row r="127" spans="1:9" ht="15">
      <c r="A127" s="98"/>
      <c r="B127" s="67"/>
      <c r="C127" s="68"/>
      <c r="D127" s="125"/>
      <c r="E127" s="125"/>
      <c r="F127" s="89"/>
      <c r="G127" s="70"/>
      <c r="H127" s="71"/>
      <c r="I127" s="65"/>
    </row>
    <row r="128" spans="1:9" ht="15">
      <c r="A128" s="98">
        <f>A126+1</f>
        <v>100</v>
      </c>
      <c r="B128" s="90" t="s">
        <v>138</v>
      </c>
      <c r="C128" s="68"/>
      <c r="D128" s="125"/>
      <c r="E128" s="125"/>
      <c r="F128" s="137" t="s">
        <v>47</v>
      </c>
      <c r="G128" s="70"/>
      <c r="H128" s="71"/>
      <c r="I128" s="65"/>
    </row>
    <row r="129" spans="1:15" ht="15">
      <c r="A129" s="98">
        <f>A128+1</f>
        <v>101</v>
      </c>
      <c r="B129" s="67" t="s">
        <v>387</v>
      </c>
      <c r="C129" s="68" t="s">
        <v>332</v>
      </c>
      <c r="D129" s="778">
        <v>1006273377</v>
      </c>
      <c r="E129" s="778">
        <v>1043827020</v>
      </c>
      <c r="F129" s="117">
        <f t="shared" ref="F129:F138" si="7">(D129+E129)/2</f>
        <v>1025050198.5</v>
      </c>
      <c r="G129" s="70"/>
      <c r="H129" s="71"/>
      <c r="I129" s="65"/>
    </row>
    <row r="130" spans="1:15" ht="15">
      <c r="A130" s="98">
        <f>A129+1</f>
        <v>102</v>
      </c>
      <c r="B130" s="67" t="s">
        <v>388</v>
      </c>
      <c r="C130" s="68" t="s">
        <v>333</v>
      </c>
      <c r="D130" s="778">
        <v>0</v>
      </c>
      <c r="E130" s="778">
        <v>0</v>
      </c>
      <c r="F130" s="117">
        <f t="shared" si="7"/>
        <v>0</v>
      </c>
      <c r="G130" s="70"/>
      <c r="H130" s="71"/>
      <c r="I130" s="65"/>
    </row>
    <row r="131" spans="1:15" ht="15">
      <c r="A131" s="98">
        <f>A130+1</f>
        <v>103</v>
      </c>
      <c r="B131" s="67" t="s">
        <v>389</v>
      </c>
      <c r="C131" s="68" t="s">
        <v>334</v>
      </c>
      <c r="D131" s="778">
        <v>0</v>
      </c>
      <c r="E131" s="778">
        <v>0</v>
      </c>
      <c r="F131" s="117">
        <f t="shared" si="7"/>
        <v>0</v>
      </c>
      <c r="G131" s="70"/>
      <c r="H131" s="71"/>
      <c r="I131" s="65"/>
    </row>
    <row r="132" spans="1:15" ht="15">
      <c r="A132" s="98">
        <f>A131+1</f>
        <v>104</v>
      </c>
      <c r="B132" s="67" t="s">
        <v>390</v>
      </c>
      <c r="C132" s="68" t="s">
        <v>335</v>
      </c>
      <c r="D132" s="778">
        <v>103508386</v>
      </c>
      <c r="E132" s="778">
        <v>108736878</v>
      </c>
      <c r="F132" s="117">
        <f t="shared" si="7"/>
        <v>106122632</v>
      </c>
      <c r="G132" s="70"/>
      <c r="H132" s="71"/>
      <c r="I132" s="65"/>
    </row>
    <row r="133" spans="1:15" ht="15">
      <c r="A133" s="98">
        <f t="shared" ref="A133:A139" si="8">A132+1</f>
        <v>105</v>
      </c>
      <c r="B133" s="67" t="s">
        <v>62</v>
      </c>
      <c r="C133" s="68" t="s">
        <v>336</v>
      </c>
      <c r="D133" s="778">
        <v>446515690</v>
      </c>
      <c r="E133" s="778">
        <v>473843880</v>
      </c>
      <c r="F133" s="117">
        <f t="shared" si="7"/>
        <v>460179785</v>
      </c>
      <c r="G133" s="70"/>
      <c r="H133" s="71"/>
      <c r="I133" s="65"/>
    </row>
    <row r="134" spans="1:15" ht="15">
      <c r="A134" s="98">
        <f t="shared" si="8"/>
        <v>106</v>
      </c>
      <c r="B134" s="67" t="s">
        <v>63</v>
      </c>
      <c r="C134" s="68" t="s">
        <v>337</v>
      </c>
      <c r="D134" s="778">
        <v>37738500</v>
      </c>
      <c r="E134" s="778">
        <v>39641409</v>
      </c>
      <c r="F134" s="117">
        <f t="shared" si="7"/>
        <v>38689954.5</v>
      </c>
      <c r="G134" s="70"/>
      <c r="H134" s="71"/>
      <c r="I134" s="65"/>
    </row>
    <row r="135" spans="1:15" ht="15">
      <c r="A135" s="98">
        <f t="shared" si="8"/>
        <v>107</v>
      </c>
      <c r="B135" s="67" t="s">
        <v>64</v>
      </c>
      <c r="C135" s="68" t="s">
        <v>338</v>
      </c>
      <c r="D135" s="778">
        <v>260526212</v>
      </c>
      <c r="E135" s="778">
        <v>286923684</v>
      </c>
      <c r="F135" s="117">
        <f t="shared" si="7"/>
        <v>273724948</v>
      </c>
      <c r="G135" s="70"/>
      <c r="H135" s="71"/>
      <c r="I135" s="65"/>
    </row>
    <row r="136" spans="1:15" ht="15.75">
      <c r="A136" s="98">
        <f t="shared" si="8"/>
        <v>108</v>
      </c>
      <c r="B136" s="67" t="s">
        <v>65</v>
      </c>
      <c r="C136" s="68" t="s">
        <v>339</v>
      </c>
      <c r="D136" s="778">
        <v>-908761</v>
      </c>
      <c r="E136" s="778">
        <v>-801347</v>
      </c>
      <c r="F136" s="117">
        <f t="shared" si="7"/>
        <v>-855054</v>
      </c>
      <c r="G136" s="80"/>
      <c r="H136" s="71"/>
      <c r="I136" s="65"/>
    </row>
    <row r="137" spans="1:15" ht="15.75">
      <c r="A137" s="98">
        <f t="shared" si="8"/>
        <v>109</v>
      </c>
      <c r="B137" s="67" t="s">
        <v>391</v>
      </c>
      <c r="C137" s="68" t="s">
        <v>340</v>
      </c>
      <c r="D137" s="778">
        <v>84119245</v>
      </c>
      <c r="E137" s="778">
        <v>88160589</v>
      </c>
      <c r="F137" s="117">
        <f t="shared" si="7"/>
        <v>86139917</v>
      </c>
      <c r="G137" s="80"/>
      <c r="H137" s="71"/>
      <c r="I137" s="65"/>
    </row>
    <row r="138" spans="1:15" ht="15.75">
      <c r="A138" s="98">
        <f t="shared" si="8"/>
        <v>110</v>
      </c>
      <c r="B138" s="67" t="s">
        <v>392</v>
      </c>
      <c r="C138" s="68" t="s">
        <v>341</v>
      </c>
      <c r="D138" s="778">
        <v>30679354</v>
      </c>
      <c r="E138" s="778">
        <v>31938012</v>
      </c>
      <c r="F138" s="117">
        <f t="shared" si="7"/>
        <v>31308683</v>
      </c>
      <c r="G138" s="80"/>
      <c r="H138" s="71"/>
      <c r="I138" s="65"/>
    </row>
    <row r="139" spans="1:15" ht="15.75">
      <c r="A139" s="98">
        <f t="shared" si="8"/>
        <v>111</v>
      </c>
      <c r="B139" s="87" t="s">
        <v>619</v>
      </c>
      <c r="C139" s="68" t="s">
        <v>16</v>
      </c>
      <c r="D139" s="89">
        <f>SUM(D129:D138)</f>
        <v>1968452003</v>
      </c>
      <c r="E139" s="89">
        <f>SUM(E129:E138)</f>
        <v>2072270125</v>
      </c>
      <c r="F139" s="138">
        <f>SUM(F129:F138)</f>
        <v>2020361064</v>
      </c>
      <c r="G139" s="70"/>
      <c r="H139" s="71"/>
      <c r="I139" s="65"/>
    </row>
    <row r="140" spans="1:15" ht="15">
      <c r="A140" s="98"/>
      <c r="B140" s="67"/>
      <c r="C140" s="68"/>
      <c r="D140" s="89"/>
      <c r="E140" s="89"/>
      <c r="F140" s="117"/>
      <c r="G140" s="70"/>
      <c r="H140" s="71"/>
      <c r="I140" s="65"/>
    </row>
    <row r="141" spans="1:15" ht="15.75">
      <c r="A141" s="98"/>
      <c r="B141" s="67"/>
      <c r="C141" s="68"/>
      <c r="D141" s="130"/>
      <c r="E141" s="130"/>
      <c r="F141" s="91"/>
      <c r="G141" s="70"/>
      <c r="H141" s="71"/>
      <c r="I141" s="65"/>
    </row>
    <row r="142" spans="1:15" ht="15">
      <c r="A142" s="98">
        <f>A139+1</f>
        <v>112</v>
      </c>
      <c r="B142" s="92" t="s">
        <v>46</v>
      </c>
      <c r="C142" s="93"/>
      <c r="D142" s="117"/>
      <c r="E142" s="117"/>
      <c r="F142" s="137" t="s">
        <v>47</v>
      </c>
      <c r="G142" s="65"/>
      <c r="H142" s="71"/>
      <c r="I142" s="65"/>
      <c r="O142" s="16"/>
    </row>
    <row r="143" spans="1:15" ht="15">
      <c r="A143" s="98">
        <f>A142+1</f>
        <v>113</v>
      </c>
      <c r="B143" s="85" t="s">
        <v>126</v>
      </c>
      <c r="C143" s="74" t="s">
        <v>342</v>
      </c>
      <c r="D143" s="779">
        <v>48600766</v>
      </c>
      <c r="E143" s="779">
        <v>56189379</v>
      </c>
      <c r="F143" s="117">
        <f t="shared" ref="F143:F148" si="9">(D143+E143)/2</f>
        <v>52395072.5</v>
      </c>
      <c r="G143" s="65"/>
      <c r="H143" s="71"/>
      <c r="I143" s="65"/>
      <c r="O143" s="16"/>
    </row>
    <row r="144" spans="1:15" ht="15">
      <c r="A144" s="98">
        <f t="shared" ref="A144:A149" si="10">A143+1</f>
        <v>114</v>
      </c>
      <c r="B144" s="85" t="s">
        <v>127</v>
      </c>
      <c r="C144" s="74" t="s">
        <v>343</v>
      </c>
      <c r="D144" s="779">
        <v>5905518</v>
      </c>
      <c r="E144" s="779">
        <v>5874682</v>
      </c>
      <c r="F144" s="117">
        <f t="shared" si="9"/>
        <v>5890100</v>
      </c>
      <c r="G144" s="65"/>
      <c r="H144" s="71"/>
      <c r="I144" s="65"/>
      <c r="O144" s="16"/>
    </row>
    <row r="145" spans="1:15" ht="15">
      <c r="A145" s="98">
        <f t="shared" si="10"/>
        <v>115</v>
      </c>
      <c r="B145" s="85" t="s">
        <v>128</v>
      </c>
      <c r="C145" s="74" t="s">
        <v>344</v>
      </c>
      <c r="D145" s="779">
        <v>40036550</v>
      </c>
      <c r="E145" s="779">
        <v>42125737</v>
      </c>
      <c r="F145" s="117">
        <f t="shared" si="9"/>
        <v>41081143.5</v>
      </c>
      <c r="G145" s="65"/>
      <c r="H145" s="71"/>
      <c r="I145" s="65"/>
      <c r="O145" s="16"/>
    </row>
    <row r="146" spans="1:15" ht="15">
      <c r="A146" s="98">
        <f t="shared" si="10"/>
        <v>116</v>
      </c>
      <c r="B146" s="85" t="s">
        <v>129</v>
      </c>
      <c r="C146" s="74" t="s">
        <v>345</v>
      </c>
      <c r="D146" s="779">
        <v>18913453</v>
      </c>
      <c r="E146" s="779">
        <v>19898164</v>
      </c>
      <c r="F146" s="117">
        <f t="shared" si="9"/>
        <v>19405808.5</v>
      </c>
      <c r="G146" s="65"/>
      <c r="H146" s="71"/>
      <c r="I146" s="65"/>
      <c r="O146" s="16"/>
    </row>
    <row r="147" spans="1:15" ht="15">
      <c r="A147" s="98">
        <f t="shared" si="10"/>
        <v>117</v>
      </c>
      <c r="B147" s="85" t="s">
        <v>130</v>
      </c>
      <c r="C147" s="74" t="s">
        <v>346</v>
      </c>
      <c r="D147" s="779">
        <v>5751640</v>
      </c>
      <c r="E147" s="779">
        <v>6051093</v>
      </c>
      <c r="F147" s="117">
        <f t="shared" si="9"/>
        <v>5901366.5</v>
      </c>
      <c r="G147" s="65"/>
      <c r="H147" s="71"/>
      <c r="I147" s="65"/>
      <c r="O147" s="16"/>
    </row>
    <row r="148" spans="1:15" ht="15">
      <c r="A148" s="98">
        <f t="shared" si="10"/>
        <v>118</v>
      </c>
      <c r="B148" s="85" t="s">
        <v>131</v>
      </c>
      <c r="C148" s="74" t="s">
        <v>347</v>
      </c>
      <c r="D148" s="779">
        <v>0</v>
      </c>
      <c r="E148" s="779">
        <v>0</v>
      </c>
      <c r="F148" s="117">
        <f t="shared" si="9"/>
        <v>0</v>
      </c>
      <c r="G148" s="65"/>
      <c r="H148" s="71"/>
      <c r="I148" s="65"/>
      <c r="O148" s="16"/>
    </row>
    <row r="149" spans="1:15" ht="15">
      <c r="A149" s="98">
        <f t="shared" si="10"/>
        <v>119</v>
      </c>
      <c r="B149" s="65" t="s">
        <v>46</v>
      </c>
      <c r="C149" s="65" t="s">
        <v>16</v>
      </c>
      <c r="D149" s="117">
        <f>SUM(D143:D148)</f>
        <v>119207927</v>
      </c>
      <c r="E149" s="117">
        <f>SUM(E143:E148)</f>
        <v>130139055</v>
      </c>
      <c r="F149" s="139">
        <f>SUM(F143:F148)</f>
        <v>124673491</v>
      </c>
      <c r="G149" s="65"/>
      <c r="H149" s="71"/>
      <c r="I149" s="65"/>
      <c r="O149" s="16"/>
    </row>
    <row r="150" spans="1:15" ht="15">
      <c r="A150" s="13"/>
      <c r="B150" s="352"/>
      <c r="C150" s="26"/>
      <c r="D150" s="140"/>
      <c r="E150" s="140"/>
      <c r="F150" s="351"/>
      <c r="H150" s="2"/>
      <c r="O150" s="16"/>
    </row>
    <row r="151" spans="1:15" ht="15">
      <c r="A151" s="98">
        <f>A149+1</f>
        <v>120</v>
      </c>
      <c r="B151" s="691" t="s">
        <v>153</v>
      </c>
      <c r="C151" s="692"/>
      <c r="D151" s="693"/>
      <c r="E151" s="693"/>
      <c r="F151" s="137" t="s">
        <v>2</v>
      </c>
      <c r="H151" s="2"/>
      <c r="O151" s="16"/>
    </row>
    <row r="152" spans="1:15" ht="15">
      <c r="A152" s="98">
        <f>A151+1</f>
        <v>121</v>
      </c>
      <c r="B152" s="283" t="s">
        <v>863</v>
      </c>
      <c r="C152" s="283" t="s">
        <v>887</v>
      </c>
      <c r="D152" s="283"/>
      <c r="E152" s="121"/>
      <c r="F152" s="748">
        <v>27388908.719999999</v>
      </c>
      <c r="H152" s="2"/>
      <c r="O152" s="16"/>
    </row>
    <row r="153" spans="1:15" ht="15">
      <c r="A153" s="98">
        <f t="shared" ref="A153:A176" si="11">A152+1</f>
        <v>122</v>
      </c>
      <c r="B153" s="283" t="s">
        <v>864</v>
      </c>
      <c r="C153" s="283" t="s">
        <v>887</v>
      </c>
      <c r="D153" s="283"/>
      <c r="E153" s="121"/>
      <c r="F153" s="748">
        <v>160096.33000000005</v>
      </c>
      <c r="H153" s="2"/>
      <c r="O153" s="16"/>
    </row>
    <row r="154" spans="1:15" ht="15">
      <c r="A154" s="98">
        <f t="shared" si="11"/>
        <v>123</v>
      </c>
      <c r="B154" s="283" t="s">
        <v>865</v>
      </c>
      <c r="C154" s="283" t="s">
        <v>887</v>
      </c>
      <c r="D154" s="283"/>
      <c r="E154" s="121"/>
      <c r="F154" s="748">
        <v>0</v>
      </c>
    </row>
    <row r="155" spans="1:15" ht="15">
      <c r="A155" s="98">
        <f t="shared" si="11"/>
        <v>124</v>
      </c>
      <c r="B155" s="283" t="s">
        <v>866</v>
      </c>
      <c r="C155" s="283" t="s">
        <v>887</v>
      </c>
      <c r="D155" s="283"/>
      <c r="E155" s="121"/>
      <c r="F155" s="748">
        <v>0</v>
      </c>
    </row>
    <row r="156" spans="1:15" ht="15">
      <c r="A156" s="98">
        <f t="shared" si="11"/>
        <v>125</v>
      </c>
      <c r="B156" s="283" t="s">
        <v>867</v>
      </c>
      <c r="C156" s="283" t="s">
        <v>887</v>
      </c>
      <c r="D156" s="283"/>
      <c r="E156" s="121"/>
      <c r="F156" s="748">
        <v>0</v>
      </c>
      <c r="H156" s="2"/>
      <c r="O156" s="16"/>
    </row>
    <row r="157" spans="1:15" ht="15">
      <c r="A157" s="98">
        <f t="shared" si="11"/>
        <v>126</v>
      </c>
      <c r="B157" s="283" t="s">
        <v>868</v>
      </c>
      <c r="C157" s="283" t="s">
        <v>887</v>
      </c>
      <c r="D157" s="283"/>
      <c r="E157" s="121"/>
      <c r="F157" s="748">
        <v>-1.364242052659308E-11</v>
      </c>
    </row>
    <row r="158" spans="1:15" ht="15">
      <c r="A158" s="98">
        <f t="shared" si="11"/>
        <v>127</v>
      </c>
      <c r="B158" s="283" t="s">
        <v>869</v>
      </c>
      <c r="C158" s="283" t="s">
        <v>887</v>
      </c>
      <c r="D158" s="283"/>
      <c r="E158" s="121"/>
      <c r="F158" s="748">
        <v>0</v>
      </c>
    </row>
    <row r="159" spans="1:15" ht="15">
      <c r="A159" s="98">
        <f t="shared" si="11"/>
        <v>128</v>
      </c>
      <c r="B159" s="283" t="s">
        <v>870</v>
      </c>
      <c r="C159" s="283" t="s">
        <v>887</v>
      </c>
      <c r="D159" s="283"/>
      <c r="E159" s="121"/>
      <c r="F159" s="748">
        <v>0</v>
      </c>
    </row>
    <row r="160" spans="1:15" ht="15">
      <c r="A160" s="98">
        <f t="shared" si="11"/>
        <v>129</v>
      </c>
      <c r="B160" s="283" t="s">
        <v>871</v>
      </c>
      <c r="C160" s="283" t="s">
        <v>887</v>
      </c>
      <c r="D160" s="283"/>
      <c r="E160" s="121"/>
      <c r="F160" s="748">
        <v>0</v>
      </c>
    </row>
    <row r="161" spans="1:18" ht="15">
      <c r="A161" s="98">
        <f t="shared" si="11"/>
        <v>130</v>
      </c>
      <c r="B161" s="283" t="s">
        <v>950</v>
      </c>
      <c r="C161" s="283" t="s">
        <v>887</v>
      </c>
      <c r="D161" s="283"/>
      <c r="E161" s="121"/>
      <c r="F161" s="748">
        <v>0</v>
      </c>
      <c r="H161" s="2"/>
      <c r="O161" s="16"/>
    </row>
    <row r="162" spans="1:18" ht="15">
      <c r="A162" s="98">
        <f t="shared" si="11"/>
        <v>131</v>
      </c>
      <c r="B162" s="283" t="s">
        <v>872</v>
      </c>
      <c r="C162" s="283" t="s">
        <v>887</v>
      </c>
      <c r="D162" s="283"/>
      <c r="E162" s="121"/>
      <c r="F162" s="748">
        <v>0</v>
      </c>
      <c r="H162" s="2"/>
      <c r="O162" s="16"/>
    </row>
    <row r="163" spans="1:18" ht="15">
      <c r="A163" s="98">
        <f t="shared" si="11"/>
        <v>132</v>
      </c>
      <c r="B163" s="283" t="s">
        <v>873</v>
      </c>
      <c r="C163" s="283" t="s">
        <v>887</v>
      </c>
      <c r="D163" s="283"/>
      <c r="E163" s="121"/>
      <c r="F163" s="748">
        <v>0</v>
      </c>
    </row>
    <row r="164" spans="1:18" ht="15">
      <c r="A164" s="98">
        <f t="shared" si="11"/>
        <v>133</v>
      </c>
      <c r="B164" s="283" t="s">
        <v>874</v>
      </c>
      <c r="C164" s="283" t="s">
        <v>887</v>
      </c>
      <c r="D164" s="283"/>
      <c r="E164" s="121"/>
      <c r="F164" s="748">
        <v>804056.25999999896</v>
      </c>
      <c r="H164" s="2"/>
      <c r="O164" s="16"/>
    </row>
    <row r="165" spans="1:18" ht="15">
      <c r="A165" s="98">
        <f t="shared" si="11"/>
        <v>134</v>
      </c>
      <c r="B165" s="283" t="s">
        <v>875</v>
      </c>
      <c r="C165" s="283" t="s">
        <v>887</v>
      </c>
      <c r="D165" s="283"/>
      <c r="E165" s="283"/>
      <c r="F165" s="748">
        <v>0</v>
      </c>
      <c r="H165" s="2"/>
      <c r="O165" s="16"/>
    </row>
    <row r="166" spans="1:18" ht="15">
      <c r="A166" s="98">
        <f t="shared" si="11"/>
        <v>135</v>
      </c>
      <c r="B166" s="283" t="s">
        <v>876</v>
      </c>
      <c r="C166" s="283" t="s">
        <v>16</v>
      </c>
      <c r="D166" s="283"/>
      <c r="E166" s="94"/>
      <c r="F166" s="122">
        <f>SUM(F152:F165)</f>
        <v>28353061.309999995</v>
      </c>
      <c r="H166" s="2"/>
      <c r="O166" s="16"/>
    </row>
    <row r="167" spans="1:18" ht="15">
      <c r="A167" s="98">
        <f t="shared" si="11"/>
        <v>136</v>
      </c>
      <c r="B167" s="283" t="s">
        <v>877</v>
      </c>
      <c r="C167" s="283" t="s">
        <v>887</v>
      </c>
      <c r="D167" s="283"/>
      <c r="E167" s="283"/>
      <c r="F167" s="748">
        <v>0</v>
      </c>
      <c r="H167" s="2"/>
      <c r="O167" s="16"/>
    </row>
    <row r="168" spans="1:18" ht="15">
      <c r="A168" s="98">
        <f t="shared" si="11"/>
        <v>137</v>
      </c>
      <c r="B168" s="283" t="s">
        <v>878</v>
      </c>
      <c r="C168" s="283" t="s">
        <v>887</v>
      </c>
      <c r="D168" s="283"/>
      <c r="E168" s="283"/>
      <c r="F168" s="748">
        <v>0</v>
      </c>
      <c r="H168" s="2"/>
      <c r="O168" s="16"/>
    </row>
    <row r="169" spans="1:18" ht="15">
      <c r="A169" s="98">
        <f t="shared" si="11"/>
        <v>138</v>
      </c>
      <c r="B169" s="283" t="s">
        <v>879</v>
      </c>
      <c r="C169" s="283" t="s">
        <v>887</v>
      </c>
      <c r="D169" s="283"/>
      <c r="E169" s="283"/>
      <c r="F169" s="748">
        <v>298483.65999999997</v>
      </c>
      <c r="H169" s="2"/>
      <c r="O169" s="16"/>
    </row>
    <row r="170" spans="1:18" ht="15">
      <c r="A170" s="98">
        <f t="shared" si="11"/>
        <v>139</v>
      </c>
      <c r="B170" s="283" t="s">
        <v>880</v>
      </c>
      <c r="C170" s="283" t="s">
        <v>887</v>
      </c>
      <c r="D170" s="283"/>
      <c r="E170" s="283"/>
      <c r="F170" s="748">
        <v>0</v>
      </c>
      <c r="H170" s="2"/>
      <c r="O170" s="16"/>
    </row>
    <row r="171" spans="1:18" ht="15">
      <c r="A171" s="98">
        <f t="shared" si="11"/>
        <v>140</v>
      </c>
      <c r="B171" s="283" t="s">
        <v>881</v>
      </c>
      <c r="C171" s="283" t="s">
        <v>887</v>
      </c>
      <c r="D171" s="283"/>
      <c r="E171" s="283"/>
      <c r="F171" s="748">
        <v>1010052.4100000001</v>
      </c>
      <c r="H171" s="2"/>
      <c r="O171" s="16"/>
    </row>
    <row r="172" spans="1:18" ht="15">
      <c r="A172" s="98">
        <f t="shared" si="11"/>
        <v>141</v>
      </c>
      <c r="B172" s="283" t="s">
        <v>882</v>
      </c>
      <c r="C172" s="283" t="s">
        <v>887</v>
      </c>
      <c r="D172" s="283"/>
      <c r="E172" s="283"/>
      <c r="F172" s="748">
        <v>1504655.16</v>
      </c>
      <c r="H172" s="2"/>
      <c r="O172" s="16"/>
    </row>
    <row r="173" spans="1:18" ht="15">
      <c r="A173" s="98">
        <f t="shared" si="11"/>
        <v>142</v>
      </c>
      <c r="B173" s="283" t="s">
        <v>883</v>
      </c>
      <c r="C173" s="283" t="s">
        <v>887</v>
      </c>
      <c r="D173" s="283"/>
      <c r="E173" s="283"/>
      <c r="F173" s="748">
        <v>1228153.1599999999</v>
      </c>
      <c r="H173" s="2"/>
      <c r="O173" s="16"/>
    </row>
    <row r="174" spans="1:18" ht="15">
      <c r="A174" s="98">
        <f t="shared" si="11"/>
        <v>143</v>
      </c>
      <c r="B174" s="283" t="s">
        <v>884</v>
      </c>
      <c r="C174" s="283" t="s">
        <v>887</v>
      </c>
      <c r="D174" s="283"/>
      <c r="E174" s="283"/>
      <c r="F174" s="748">
        <v>1258657.5500000003</v>
      </c>
      <c r="H174" s="2"/>
      <c r="O174" s="16"/>
    </row>
    <row r="175" spans="1:18" s="2" customFormat="1" ht="15">
      <c r="A175" s="98">
        <f t="shared" si="11"/>
        <v>144</v>
      </c>
      <c r="B175" s="283" t="s">
        <v>885</v>
      </c>
      <c r="C175" s="283" t="s">
        <v>887</v>
      </c>
      <c r="D175" s="283"/>
      <c r="E175" s="71"/>
      <c r="F175" s="748">
        <v>0</v>
      </c>
      <c r="I175" s="1"/>
      <c r="J175" s="11"/>
      <c r="O175" s="18"/>
      <c r="R175" s="19"/>
    </row>
    <row r="176" spans="1:18" ht="15">
      <c r="A176" s="98">
        <f t="shared" si="11"/>
        <v>145</v>
      </c>
      <c r="B176" s="283" t="s">
        <v>886</v>
      </c>
      <c r="C176" s="283" t="s">
        <v>887</v>
      </c>
      <c r="D176" s="283"/>
      <c r="E176" s="283"/>
      <c r="F176" s="748">
        <v>0</v>
      </c>
      <c r="H176" s="2"/>
      <c r="O176" s="16"/>
    </row>
    <row r="177" spans="1:15" ht="15">
      <c r="A177" s="98">
        <f>A176+1</f>
        <v>146</v>
      </c>
      <c r="B177" s="283" t="s">
        <v>888</v>
      </c>
      <c r="C177" s="76" t="s">
        <v>16</v>
      </c>
      <c r="D177" s="121"/>
      <c r="E177" s="121"/>
      <c r="F177" s="89">
        <f>SUM(F167:F176)</f>
        <v>5300001.9399999995</v>
      </c>
      <c r="H177" s="2"/>
      <c r="O177" s="16"/>
    </row>
    <row r="178" spans="1:15">
      <c r="A178" s="13"/>
      <c r="B178" s="20"/>
      <c r="C178" s="8"/>
      <c r="F178" s="119"/>
      <c r="H178" s="2"/>
      <c r="J178" s="1"/>
      <c r="O178" s="16"/>
    </row>
    <row r="179" spans="1:15" ht="15">
      <c r="A179" s="13"/>
      <c r="B179" s="691" t="s">
        <v>951</v>
      </c>
      <c r="C179" s="8"/>
      <c r="F179" s="119"/>
      <c r="H179" s="2"/>
      <c r="J179" s="46"/>
      <c r="O179" s="16"/>
    </row>
    <row r="180" spans="1:15" ht="15">
      <c r="A180" s="98">
        <f>A177+1</f>
        <v>147</v>
      </c>
      <c r="B180" s="76" t="s">
        <v>890</v>
      </c>
      <c r="C180" s="283" t="s">
        <v>887</v>
      </c>
      <c r="D180" s="778">
        <v>66752102.530000016</v>
      </c>
      <c r="E180" s="778">
        <v>68227349.269999996</v>
      </c>
      <c r="F180" s="89">
        <f>(D180+E180)/2</f>
        <v>67489725.900000006</v>
      </c>
      <c r="H180" s="2"/>
      <c r="J180" s="1"/>
      <c r="K180" s="46"/>
      <c r="O180" s="16"/>
    </row>
    <row r="181" spans="1:15" ht="15">
      <c r="A181" s="98">
        <f>A180+1</f>
        <v>148</v>
      </c>
      <c r="B181" s="73" t="s">
        <v>891</v>
      </c>
      <c r="C181" s="283" t="s">
        <v>887</v>
      </c>
      <c r="D181" s="778">
        <v>16009991.01</v>
      </c>
      <c r="E181" s="778">
        <v>26868097.030000001</v>
      </c>
      <c r="F181" s="89">
        <f t="shared" ref="F181:F209" si="12">(D181+E181)/2</f>
        <v>21439044.02</v>
      </c>
      <c r="H181" s="2"/>
      <c r="J181" s="1"/>
      <c r="O181" s="16"/>
    </row>
    <row r="182" spans="1:15" ht="15">
      <c r="A182" s="98">
        <f t="shared" ref="A182:A209" si="13">A181+1</f>
        <v>149</v>
      </c>
      <c r="B182" s="85" t="s">
        <v>892</v>
      </c>
      <c r="C182" s="283" t="s">
        <v>887</v>
      </c>
      <c r="D182" s="778">
        <v>5642075.5300000003</v>
      </c>
      <c r="E182" s="778">
        <v>5665549.6500000004</v>
      </c>
      <c r="F182" s="89">
        <f t="shared" si="12"/>
        <v>5653812.5899999999</v>
      </c>
      <c r="H182" s="2"/>
      <c r="J182" s="1"/>
      <c r="O182" s="16"/>
    </row>
    <row r="183" spans="1:15" ht="15">
      <c r="A183" s="98">
        <f t="shared" si="13"/>
        <v>150</v>
      </c>
      <c r="B183" s="85" t="s">
        <v>893</v>
      </c>
      <c r="C183" s="283" t="s">
        <v>887</v>
      </c>
      <c r="D183" s="778">
        <v>2517135.71</v>
      </c>
      <c r="E183" s="778">
        <v>2517135.71</v>
      </c>
      <c r="F183" s="89">
        <f t="shared" si="12"/>
        <v>2517135.71</v>
      </c>
      <c r="H183" s="2"/>
      <c r="J183" s="1"/>
      <c r="O183" s="16"/>
    </row>
    <row r="184" spans="1:15" ht="15">
      <c r="A184" s="98">
        <f t="shared" si="13"/>
        <v>151</v>
      </c>
      <c r="B184" s="85" t="s">
        <v>894</v>
      </c>
      <c r="C184" s="283" t="s">
        <v>887</v>
      </c>
      <c r="D184" s="778">
        <v>9319907.8300000001</v>
      </c>
      <c r="E184" s="778">
        <v>9390224.0999999996</v>
      </c>
      <c r="F184" s="89">
        <f t="shared" si="12"/>
        <v>9355065.9649999999</v>
      </c>
      <c r="H184" s="2"/>
      <c r="J184" s="1"/>
      <c r="O184" s="16"/>
    </row>
    <row r="185" spans="1:15" ht="15">
      <c r="A185" s="98">
        <f t="shared" si="13"/>
        <v>152</v>
      </c>
      <c r="B185" s="73" t="s">
        <v>895</v>
      </c>
      <c r="C185" s="283" t="s">
        <v>887</v>
      </c>
      <c r="D185" s="778">
        <v>129222.12</v>
      </c>
      <c r="E185" s="778">
        <v>129222.12</v>
      </c>
      <c r="F185" s="89">
        <f t="shared" si="12"/>
        <v>129222.12</v>
      </c>
      <c r="H185" s="2"/>
      <c r="J185" s="1"/>
      <c r="O185" s="16"/>
    </row>
    <row r="186" spans="1:15" ht="15">
      <c r="A186" s="98">
        <f t="shared" si="13"/>
        <v>153</v>
      </c>
      <c r="B186" s="73" t="s">
        <v>896</v>
      </c>
      <c r="C186" s="283" t="s">
        <v>887</v>
      </c>
      <c r="D186" s="778">
        <v>24835.599999999999</v>
      </c>
      <c r="E186" s="778">
        <v>24835.599999999999</v>
      </c>
      <c r="F186" s="89">
        <f t="shared" si="12"/>
        <v>24835.599999999999</v>
      </c>
      <c r="H186" s="2"/>
      <c r="J186" s="1"/>
      <c r="O186" s="16"/>
    </row>
    <row r="187" spans="1:15" ht="15">
      <c r="A187" s="98">
        <f t="shared" si="13"/>
        <v>154</v>
      </c>
      <c r="B187" s="85" t="s">
        <v>897</v>
      </c>
      <c r="C187" s="283" t="s">
        <v>887</v>
      </c>
      <c r="D187" s="778">
        <v>4983176.6900000004</v>
      </c>
      <c r="E187" s="778">
        <v>4983176.6900000004</v>
      </c>
      <c r="F187" s="89">
        <f t="shared" si="12"/>
        <v>4983176.6900000004</v>
      </c>
      <c r="H187" s="2"/>
      <c r="J187" s="1"/>
      <c r="O187" s="16"/>
    </row>
    <row r="188" spans="1:15" ht="15">
      <c r="A188" s="98">
        <f t="shared" si="13"/>
        <v>155</v>
      </c>
      <c r="B188" s="85" t="s">
        <v>898</v>
      </c>
      <c r="C188" s="283" t="s">
        <v>887</v>
      </c>
      <c r="D188" s="778">
        <v>2356.81</v>
      </c>
      <c r="E188" s="778">
        <v>2356.81</v>
      </c>
      <c r="F188" s="89">
        <f t="shared" si="12"/>
        <v>2356.81</v>
      </c>
      <c r="H188" s="2"/>
      <c r="J188" s="46"/>
      <c r="O188" s="16"/>
    </row>
    <row r="189" spans="1:15" ht="15">
      <c r="A189" s="98">
        <f t="shared" si="13"/>
        <v>156</v>
      </c>
      <c r="B189" s="85" t="s">
        <v>899</v>
      </c>
      <c r="C189" s="283" t="s">
        <v>887</v>
      </c>
      <c r="D189" s="778">
        <v>59921412.560000002</v>
      </c>
      <c r="E189" s="778">
        <v>59565062.329999998</v>
      </c>
      <c r="F189" s="89">
        <f t="shared" si="12"/>
        <v>59743237.445</v>
      </c>
      <c r="H189" s="2"/>
      <c r="J189" s="16"/>
      <c r="K189" s="784"/>
      <c r="O189" s="16"/>
    </row>
    <row r="190" spans="1:15" ht="15">
      <c r="A190" s="98">
        <f t="shared" si="13"/>
        <v>157</v>
      </c>
      <c r="B190" s="283" t="s">
        <v>900</v>
      </c>
      <c r="C190" s="283" t="s">
        <v>887</v>
      </c>
      <c r="D190" s="778">
        <v>10833401.17</v>
      </c>
      <c r="E190" s="778">
        <v>10832215.66</v>
      </c>
      <c r="F190" s="89">
        <f t="shared" si="12"/>
        <v>10832808.414999999</v>
      </c>
      <c r="H190" s="2"/>
      <c r="J190" s="1"/>
    </row>
    <row r="191" spans="1:15" ht="15">
      <c r="A191" s="98">
        <f t="shared" si="13"/>
        <v>158</v>
      </c>
      <c r="B191" s="283" t="s">
        <v>901</v>
      </c>
      <c r="C191" s="283" t="s">
        <v>887</v>
      </c>
      <c r="D191" s="778">
        <v>416411.94</v>
      </c>
      <c r="E191" s="778">
        <v>416411.94</v>
      </c>
      <c r="F191" s="89">
        <f t="shared" si="12"/>
        <v>416411.94</v>
      </c>
      <c r="H191" s="2"/>
      <c r="I191" s="782"/>
      <c r="J191" s="783"/>
    </row>
    <row r="192" spans="1:15" ht="15">
      <c r="A192" s="98">
        <f t="shared" si="13"/>
        <v>159</v>
      </c>
      <c r="B192" s="283" t="s">
        <v>902</v>
      </c>
      <c r="C192" s="283" t="s">
        <v>887</v>
      </c>
      <c r="D192" s="778">
        <v>4278501.51</v>
      </c>
      <c r="E192" s="778">
        <v>5275409.93</v>
      </c>
      <c r="F192" s="89">
        <f t="shared" si="12"/>
        <v>4776955.72</v>
      </c>
      <c r="H192" s="2"/>
      <c r="I192" s="782"/>
      <c r="J192" s="783"/>
    </row>
    <row r="193" spans="1:15" ht="15">
      <c r="A193" s="98">
        <f t="shared" si="13"/>
        <v>160</v>
      </c>
      <c r="B193" s="283" t="s">
        <v>903</v>
      </c>
      <c r="C193" s="283" t="s">
        <v>887</v>
      </c>
      <c r="D193" s="778">
        <v>2656152.36</v>
      </c>
      <c r="E193" s="778">
        <v>2707989.63</v>
      </c>
      <c r="F193" s="89">
        <f t="shared" si="12"/>
        <v>2682070.9950000001</v>
      </c>
      <c r="H193" s="2"/>
      <c r="I193" s="782"/>
      <c r="J193" s="782"/>
    </row>
    <row r="194" spans="1:15" ht="15">
      <c r="A194" s="98">
        <f t="shared" si="13"/>
        <v>161</v>
      </c>
      <c r="B194" s="283" t="s">
        <v>904</v>
      </c>
      <c r="C194" s="283" t="s">
        <v>887</v>
      </c>
      <c r="D194" s="778">
        <v>964593.74</v>
      </c>
      <c r="E194" s="778">
        <v>1061343.72</v>
      </c>
      <c r="F194" s="89">
        <f t="shared" si="12"/>
        <v>1012968.73</v>
      </c>
      <c r="H194" s="2"/>
      <c r="I194" s="782"/>
      <c r="J194" s="782"/>
    </row>
    <row r="195" spans="1:15" ht="15">
      <c r="A195" s="98">
        <f t="shared" si="13"/>
        <v>162</v>
      </c>
      <c r="B195" s="76" t="s">
        <v>905</v>
      </c>
      <c r="C195" s="283" t="s">
        <v>887</v>
      </c>
      <c r="D195" s="778">
        <v>3336875.46</v>
      </c>
      <c r="E195" s="778">
        <v>3119193.13</v>
      </c>
      <c r="F195" s="89">
        <f t="shared" si="12"/>
        <v>3228034.2949999999</v>
      </c>
      <c r="H195" s="2"/>
      <c r="I195" s="782"/>
      <c r="J195" s="782"/>
      <c r="O195" s="16"/>
    </row>
    <row r="196" spans="1:15" ht="15">
      <c r="A196" s="98">
        <f t="shared" si="13"/>
        <v>163</v>
      </c>
      <c r="B196" s="283" t="s">
        <v>906</v>
      </c>
      <c r="C196" s="283" t="s">
        <v>887</v>
      </c>
      <c r="D196" s="778">
        <v>2270612.3199999998</v>
      </c>
      <c r="E196" s="778">
        <v>2037553.88</v>
      </c>
      <c r="F196" s="89">
        <f t="shared" si="12"/>
        <v>2154083.0999999996</v>
      </c>
      <c r="H196" s="2"/>
      <c r="I196" s="782"/>
      <c r="J196" s="783"/>
    </row>
    <row r="197" spans="1:15" ht="15">
      <c r="A197" s="98">
        <f t="shared" si="13"/>
        <v>164</v>
      </c>
      <c r="B197" s="283" t="s">
        <v>907</v>
      </c>
      <c r="C197" s="283" t="s">
        <v>887</v>
      </c>
      <c r="D197" s="778">
        <v>46096.83</v>
      </c>
      <c r="E197" s="778">
        <v>46096.83</v>
      </c>
      <c r="F197" s="89">
        <f t="shared" si="12"/>
        <v>46096.83</v>
      </c>
      <c r="H197" s="2"/>
      <c r="I197" s="782"/>
      <c r="J197" s="783"/>
    </row>
    <row r="198" spans="1:15" ht="15">
      <c r="A198" s="98">
        <f t="shared" si="13"/>
        <v>165</v>
      </c>
      <c r="B198" s="73" t="s">
        <v>908</v>
      </c>
      <c r="C198" s="283" t="s">
        <v>887</v>
      </c>
      <c r="D198" s="778">
        <v>194451.05</v>
      </c>
      <c r="E198" s="778">
        <v>182879.39</v>
      </c>
      <c r="F198" s="89">
        <f t="shared" si="12"/>
        <v>188665.22</v>
      </c>
      <c r="H198" s="2"/>
      <c r="I198" s="782"/>
      <c r="J198" s="783"/>
      <c r="O198" s="16"/>
    </row>
    <row r="199" spans="1:15" ht="15">
      <c r="A199" s="98">
        <f t="shared" si="13"/>
        <v>166</v>
      </c>
      <c r="B199" s="73" t="s">
        <v>909</v>
      </c>
      <c r="C199" s="283" t="s">
        <v>887</v>
      </c>
      <c r="D199" s="778">
        <v>344173.31</v>
      </c>
      <c r="E199" s="778">
        <v>334750.93</v>
      </c>
      <c r="F199" s="89">
        <f t="shared" si="12"/>
        <v>339462.12</v>
      </c>
      <c r="H199" s="2"/>
      <c r="I199" s="782"/>
      <c r="J199" s="783"/>
      <c r="O199" s="16"/>
    </row>
    <row r="200" spans="1:15" ht="15">
      <c r="A200" s="98">
        <f t="shared" si="13"/>
        <v>167</v>
      </c>
      <c r="B200" s="73" t="s">
        <v>910</v>
      </c>
      <c r="C200" s="283" t="s">
        <v>887</v>
      </c>
      <c r="D200" s="778">
        <v>14980157</v>
      </c>
      <c r="E200" s="778">
        <v>17568195.07</v>
      </c>
      <c r="F200" s="89">
        <f t="shared" si="12"/>
        <v>16274176.035</v>
      </c>
      <c r="H200" s="2"/>
      <c r="I200" s="782"/>
      <c r="J200" s="783"/>
      <c r="O200" s="16"/>
    </row>
    <row r="201" spans="1:15" ht="15">
      <c r="A201" s="98">
        <f t="shared" si="13"/>
        <v>168</v>
      </c>
      <c r="B201" s="76" t="s">
        <v>911</v>
      </c>
      <c r="C201" s="283" t="s">
        <v>887</v>
      </c>
      <c r="D201" s="778">
        <v>2614381.2000000002</v>
      </c>
      <c r="E201" s="778">
        <v>2533749.61</v>
      </c>
      <c r="F201" s="89">
        <f t="shared" si="12"/>
        <v>2574065.4050000003</v>
      </c>
      <c r="H201" s="2"/>
      <c r="I201" s="782"/>
      <c r="J201" s="783"/>
      <c r="O201" s="16"/>
    </row>
    <row r="202" spans="1:15" ht="15">
      <c r="A202" s="98">
        <f t="shared" si="13"/>
        <v>169</v>
      </c>
      <c r="B202" s="76" t="s">
        <v>912</v>
      </c>
      <c r="C202" s="283" t="s">
        <v>887</v>
      </c>
      <c r="D202" s="778">
        <v>7041237.0099999998</v>
      </c>
      <c r="E202" s="778">
        <v>7041237.0099999998</v>
      </c>
      <c r="F202" s="89">
        <f t="shared" si="12"/>
        <v>7041237.0099999998</v>
      </c>
      <c r="H202" s="2"/>
      <c r="I202" s="782"/>
      <c r="J202" s="783"/>
      <c r="O202" s="16"/>
    </row>
    <row r="203" spans="1:15" ht="15">
      <c r="A203" s="98">
        <f t="shared" si="13"/>
        <v>170</v>
      </c>
      <c r="B203" s="73" t="s">
        <v>913</v>
      </c>
      <c r="C203" s="283" t="s">
        <v>887</v>
      </c>
      <c r="D203" s="778">
        <v>1380145.71</v>
      </c>
      <c r="E203" s="778">
        <v>1367766.21</v>
      </c>
      <c r="F203" s="89">
        <f t="shared" si="12"/>
        <v>1373955.96</v>
      </c>
      <c r="H203" s="2"/>
      <c r="I203" s="782"/>
      <c r="J203" s="783"/>
      <c r="O203" s="16"/>
    </row>
    <row r="204" spans="1:15" ht="15">
      <c r="A204" s="98">
        <f t="shared" si="13"/>
        <v>171</v>
      </c>
      <c r="B204" s="85" t="s">
        <v>914</v>
      </c>
      <c r="C204" s="283" t="s">
        <v>887</v>
      </c>
      <c r="D204" s="778">
        <v>9415056.9700000007</v>
      </c>
      <c r="E204" s="778">
        <v>9675034.6100000236</v>
      </c>
      <c r="F204" s="89">
        <f t="shared" si="12"/>
        <v>9545045.7900000121</v>
      </c>
      <c r="H204" s="2"/>
      <c r="I204" s="782"/>
      <c r="J204" s="783"/>
      <c r="O204" s="16"/>
    </row>
    <row r="205" spans="1:15" ht="15">
      <c r="A205" s="98">
        <f t="shared" si="13"/>
        <v>172</v>
      </c>
      <c r="B205" s="73" t="s">
        <v>915</v>
      </c>
      <c r="C205" s="283" t="s">
        <v>887</v>
      </c>
      <c r="D205" s="778">
        <v>13437149.150000002</v>
      </c>
      <c r="E205" s="778">
        <v>14364654.899999993</v>
      </c>
      <c r="F205" s="89">
        <f t="shared" si="12"/>
        <v>13900902.024999999</v>
      </c>
      <c r="H205" s="2"/>
      <c r="I205" s="782"/>
      <c r="J205" s="783"/>
      <c r="O205" s="16"/>
    </row>
    <row r="206" spans="1:15" ht="15">
      <c r="A206" s="98">
        <f t="shared" si="13"/>
        <v>173</v>
      </c>
      <c r="B206" s="73" t="s">
        <v>916</v>
      </c>
      <c r="C206" s="283" t="s">
        <v>887</v>
      </c>
      <c r="D206" s="778">
        <v>24564486.789999995</v>
      </c>
      <c r="E206" s="778">
        <v>29606003.630000006</v>
      </c>
      <c r="F206" s="89">
        <f t="shared" si="12"/>
        <v>27085245.210000001</v>
      </c>
      <c r="H206" s="2"/>
      <c r="I206" s="782"/>
      <c r="J206" s="783"/>
      <c r="O206" s="16"/>
    </row>
    <row r="207" spans="1:15" ht="15">
      <c r="A207" s="98">
        <f t="shared" si="13"/>
        <v>174</v>
      </c>
      <c r="B207" s="73" t="s">
        <v>917</v>
      </c>
      <c r="C207" s="283" t="s">
        <v>887</v>
      </c>
      <c r="D207" s="778">
        <v>146461121.43999997</v>
      </c>
      <c r="E207" s="778">
        <v>152149794.49000007</v>
      </c>
      <c r="F207" s="89">
        <f t="shared" si="12"/>
        <v>149305457.96500003</v>
      </c>
      <c r="H207" s="2"/>
      <c r="I207" s="782"/>
      <c r="J207" s="783"/>
      <c r="O207" s="16"/>
    </row>
    <row r="208" spans="1:15" ht="15">
      <c r="A208" s="98">
        <f t="shared" si="13"/>
        <v>175</v>
      </c>
      <c r="B208" s="73" t="s">
        <v>918</v>
      </c>
      <c r="C208" s="283" t="s">
        <v>887</v>
      </c>
      <c r="D208" s="778">
        <v>2578264.96</v>
      </c>
      <c r="E208" s="778">
        <v>2521515.5999999973</v>
      </c>
      <c r="F208" s="89">
        <f t="shared" si="12"/>
        <v>2549890.2799999984</v>
      </c>
      <c r="H208" s="2"/>
      <c r="I208" s="782"/>
      <c r="J208" s="782"/>
      <c r="O208" s="16"/>
    </row>
    <row r="209" spans="1:18" ht="15">
      <c r="A209" s="98">
        <f t="shared" si="13"/>
        <v>176</v>
      </c>
      <c r="B209" s="73" t="s">
        <v>919</v>
      </c>
      <c r="C209" s="283" t="s">
        <v>887</v>
      </c>
      <c r="D209" s="778">
        <v>146787517.39000005</v>
      </c>
      <c r="E209" s="778">
        <v>152768882.22000003</v>
      </c>
      <c r="F209" s="89">
        <f t="shared" si="12"/>
        <v>149778199.80500004</v>
      </c>
      <c r="H209" s="2"/>
      <c r="I209" s="782"/>
      <c r="J209" s="783"/>
      <c r="O209" s="16"/>
    </row>
    <row r="210" spans="1:18">
      <c r="A210" s="13"/>
      <c r="B210" s="22"/>
      <c r="C210" s="8"/>
      <c r="H210" s="2"/>
      <c r="J210" s="1"/>
      <c r="O210" s="23"/>
      <c r="P210" s="24"/>
    </row>
    <row r="211" spans="1:18">
      <c r="A211" s="13"/>
      <c r="B211" s="25"/>
      <c r="C211" s="8"/>
      <c r="H211" s="2"/>
      <c r="N211" s="2"/>
      <c r="O211" s="23"/>
      <c r="P211" s="24"/>
    </row>
    <row r="212" spans="1:18">
      <c r="A212" s="13"/>
      <c r="B212" s="25"/>
      <c r="C212" s="8"/>
      <c r="H212" s="2"/>
      <c r="N212" s="2"/>
      <c r="O212" s="23"/>
      <c r="P212" s="24"/>
    </row>
    <row r="213" spans="1:18">
      <c r="A213" s="13"/>
      <c r="B213" s="25"/>
      <c r="C213" s="8"/>
      <c r="H213" s="2"/>
      <c r="N213" s="2"/>
      <c r="O213" s="23"/>
      <c r="P213" s="24"/>
    </row>
    <row r="214" spans="1:18">
      <c r="A214" s="13"/>
      <c r="B214" s="25"/>
      <c r="C214" s="8"/>
      <c r="H214" s="2"/>
      <c r="N214" s="2"/>
      <c r="O214" s="23"/>
      <c r="P214" s="24"/>
    </row>
    <row r="215" spans="1:18">
      <c r="A215" s="13"/>
      <c r="B215" s="25"/>
      <c r="C215" s="15"/>
      <c r="D215" s="131"/>
      <c r="E215" s="131"/>
      <c r="F215" s="118"/>
      <c r="H215" s="2"/>
      <c r="O215" s="16"/>
    </row>
    <row r="216" spans="1:18">
      <c r="A216" s="13"/>
      <c r="B216" s="25"/>
      <c r="C216" s="15"/>
      <c r="D216" s="131"/>
      <c r="E216" s="131"/>
      <c r="F216" s="118"/>
      <c r="H216" s="2"/>
      <c r="O216" s="16"/>
    </row>
    <row r="217" spans="1:18">
      <c r="A217" s="13"/>
      <c r="B217" s="25"/>
      <c r="C217" s="15"/>
      <c r="D217" s="131"/>
      <c r="E217" s="131"/>
      <c r="F217" s="118"/>
      <c r="H217" s="2"/>
      <c r="O217" s="16"/>
    </row>
    <row r="218" spans="1:18">
      <c r="A218" s="109"/>
      <c r="B218" s="8"/>
      <c r="C218" s="13"/>
      <c r="D218" s="109"/>
      <c r="E218" s="109"/>
      <c r="F218" s="119"/>
      <c r="H218" s="2"/>
      <c r="O218" s="16"/>
    </row>
    <row r="219" spans="1:18">
      <c r="A219" s="13"/>
      <c r="B219" s="8"/>
      <c r="C219" s="13"/>
      <c r="D219" s="109"/>
      <c r="E219" s="109"/>
      <c r="F219" s="119"/>
      <c r="H219" s="2"/>
      <c r="O219" s="16"/>
    </row>
    <row r="220" spans="1:18">
      <c r="A220" s="13"/>
      <c r="B220" s="8"/>
      <c r="C220" s="13"/>
      <c r="D220" s="109"/>
      <c r="E220" s="109"/>
      <c r="F220" s="119"/>
      <c r="H220" s="2"/>
      <c r="O220" s="16"/>
    </row>
    <row r="221" spans="1:18">
      <c r="A221" s="109"/>
      <c r="B221" s="8"/>
      <c r="C221" s="8"/>
      <c r="H221" s="2"/>
      <c r="O221" s="16"/>
    </row>
    <row r="222" spans="1:18">
      <c r="A222" s="109"/>
      <c r="B222" s="8"/>
      <c r="C222" s="8"/>
      <c r="H222" s="2"/>
      <c r="O222" s="16"/>
    </row>
    <row r="223" spans="1:18" s="2" customFormat="1">
      <c r="A223" s="13"/>
      <c r="B223" s="15"/>
      <c r="C223" s="15"/>
      <c r="D223" s="131"/>
      <c r="E223" s="131"/>
      <c r="F223" s="131"/>
      <c r="J223" s="17"/>
      <c r="O223" s="18"/>
      <c r="R223" s="19"/>
    </row>
    <row r="224" spans="1:18">
      <c r="A224" s="13"/>
      <c r="B224" s="8"/>
      <c r="C224" s="28"/>
      <c r="F224" s="118"/>
      <c r="H224" s="2"/>
      <c r="O224" s="16"/>
    </row>
    <row r="225" spans="1:18">
      <c r="A225" s="13"/>
      <c r="B225" s="25"/>
      <c r="C225" s="8"/>
      <c r="F225" s="118"/>
      <c r="H225" s="2"/>
      <c r="O225" s="16"/>
    </row>
    <row r="226" spans="1:18">
      <c r="A226" s="13"/>
      <c r="B226" s="8"/>
      <c r="C226" s="8"/>
      <c r="F226" s="118"/>
      <c r="H226" s="2"/>
      <c r="O226" s="16"/>
    </row>
    <row r="227" spans="1:18">
      <c r="A227" s="13"/>
      <c r="B227" s="22"/>
      <c r="C227" s="8"/>
      <c r="H227" s="2"/>
      <c r="O227" s="16"/>
    </row>
    <row r="228" spans="1:18">
      <c r="A228" s="13"/>
      <c r="B228" s="22"/>
      <c r="C228" s="8"/>
      <c r="H228" s="2"/>
      <c r="O228" s="16"/>
    </row>
    <row r="229" spans="1:18">
      <c r="A229" s="13"/>
      <c r="B229" s="22"/>
      <c r="C229" s="8"/>
      <c r="H229" s="2"/>
      <c r="O229" s="16"/>
    </row>
    <row r="230" spans="1:18">
      <c r="A230" s="13"/>
      <c r="B230" s="20"/>
      <c r="C230" s="8"/>
      <c r="H230" s="2"/>
      <c r="O230" s="16"/>
    </row>
    <row r="231" spans="1:18">
      <c r="A231" s="13"/>
      <c r="B231" s="20"/>
      <c r="C231" s="8"/>
      <c r="H231" s="2"/>
      <c r="O231" s="16"/>
    </row>
    <row r="232" spans="1:18">
      <c r="A232" s="13"/>
      <c r="B232" s="20"/>
      <c r="C232" s="8"/>
      <c r="H232" s="2"/>
      <c r="I232" s="23"/>
      <c r="J232" s="24"/>
      <c r="O232" s="16"/>
    </row>
    <row r="233" spans="1:18">
      <c r="A233" s="13"/>
      <c r="B233" s="22"/>
      <c r="C233" s="8"/>
      <c r="H233" s="2"/>
      <c r="I233" s="23"/>
      <c r="J233" s="24"/>
      <c r="O233" s="16"/>
    </row>
    <row r="234" spans="1:18">
      <c r="A234" s="13"/>
      <c r="B234" s="22"/>
      <c r="C234" s="8"/>
      <c r="H234" s="2"/>
      <c r="N234" s="2"/>
      <c r="O234" s="23"/>
      <c r="P234" s="24"/>
      <c r="R234" s="1"/>
    </row>
    <row r="235" spans="1:18">
      <c r="A235" s="13"/>
      <c r="B235" s="22"/>
      <c r="C235" s="8"/>
      <c r="H235" s="2"/>
      <c r="O235" s="16"/>
    </row>
    <row r="236" spans="1:18">
      <c r="A236" s="13"/>
      <c r="B236" s="22"/>
      <c r="C236" s="8"/>
      <c r="H236" s="2"/>
      <c r="O236" s="16"/>
    </row>
    <row r="237" spans="1:18">
      <c r="A237" s="13"/>
      <c r="B237" s="25"/>
      <c r="C237" s="8"/>
      <c r="H237" s="2"/>
      <c r="O237" s="16"/>
    </row>
    <row r="238" spans="1:18">
      <c r="A238" s="13"/>
      <c r="B238" s="25"/>
      <c r="C238" s="8"/>
      <c r="H238" s="2"/>
      <c r="O238" s="16"/>
    </row>
    <row r="239" spans="1:18">
      <c r="A239" s="13"/>
      <c r="B239" s="25"/>
      <c r="C239" s="8"/>
      <c r="H239" s="2"/>
      <c r="O239" s="16"/>
    </row>
    <row r="240" spans="1:18">
      <c r="A240" s="13"/>
      <c r="B240" s="25"/>
      <c r="C240" s="8"/>
      <c r="H240" s="2"/>
      <c r="O240" s="16"/>
    </row>
    <row r="241" spans="1:18">
      <c r="A241" s="13"/>
      <c r="B241" s="25"/>
      <c r="C241" s="15"/>
      <c r="D241" s="131"/>
      <c r="E241" s="131"/>
      <c r="F241" s="118"/>
      <c r="H241" s="2"/>
      <c r="O241" s="16"/>
    </row>
    <row r="242" spans="1:18">
      <c r="A242" s="13"/>
      <c r="B242" s="25"/>
      <c r="C242" s="15"/>
      <c r="D242" s="131"/>
      <c r="E242" s="131"/>
      <c r="F242" s="118"/>
      <c r="H242" s="2"/>
      <c r="O242" s="16"/>
    </row>
    <row r="243" spans="1:18">
      <c r="A243" s="13"/>
      <c r="B243" s="25"/>
      <c r="C243" s="15"/>
      <c r="D243" s="131"/>
      <c r="E243" s="131"/>
      <c r="F243" s="118"/>
      <c r="H243" s="2"/>
      <c r="O243" s="16"/>
    </row>
    <row r="244" spans="1:18">
      <c r="A244" s="109"/>
      <c r="B244" s="8"/>
      <c r="C244" s="13"/>
      <c r="D244" s="109"/>
      <c r="E244" s="109"/>
      <c r="F244" s="119"/>
      <c r="H244" s="2"/>
      <c r="O244" s="16"/>
    </row>
    <row r="245" spans="1:18">
      <c r="A245" s="13"/>
      <c r="B245" s="8"/>
      <c r="C245" s="13"/>
      <c r="D245" s="109"/>
      <c r="E245" s="109"/>
      <c r="F245" s="119"/>
      <c r="H245" s="2"/>
      <c r="O245" s="16"/>
    </row>
    <row r="246" spans="1:18">
      <c r="A246" s="13"/>
      <c r="B246" s="8"/>
      <c r="C246" s="13"/>
      <c r="D246" s="109"/>
      <c r="E246" s="109"/>
      <c r="F246" s="119"/>
      <c r="H246" s="2"/>
      <c r="O246" s="16"/>
    </row>
    <row r="247" spans="1:18">
      <c r="A247" s="109"/>
      <c r="B247" s="8"/>
      <c r="C247" s="8"/>
      <c r="H247" s="2"/>
      <c r="O247" s="16"/>
    </row>
    <row r="248" spans="1:18">
      <c r="A248" s="109"/>
      <c r="B248" s="8"/>
      <c r="C248" s="8"/>
      <c r="H248" s="2"/>
      <c r="O248" s="16"/>
    </row>
    <row r="249" spans="1:18" s="2" customFormat="1">
      <c r="A249" s="13"/>
      <c r="B249" s="15"/>
      <c r="C249" s="15"/>
      <c r="D249" s="131"/>
      <c r="E249" s="131"/>
      <c r="F249" s="131"/>
      <c r="J249" s="17"/>
      <c r="O249" s="18"/>
      <c r="R249" s="19"/>
    </row>
    <row r="250" spans="1:18">
      <c r="A250" s="13"/>
      <c r="B250" s="8"/>
      <c r="C250" s="28"/>
      <c r="H250" s="2"/>
      <c r="O250" s="16"/>
    </row>
    <row r="251" spans="1:18">
      <c r="A251" s="13"/>
      <c r="B251" s="25"/>
      <c r="C251" s="8"/>
      <c r="H251" s="2"/>
      <c r="O251" s="16"/>
    </row>
    <row r="252" spans="1:18">
      <c r="A252" s="13"/>
      <c r="B252" s="8"/>
      <c r="C252" s="8"/>
      <c r="H252" s="2"/>
      <c r="O252" s="16"/>
    </row>
    <row r="253" spans="1:18">
      <c r="A253" s="13"/>
      <c r="B253" s="22"/>
      <c r="C253" s="8"/>
      <c r="H253" s="2"/>
      <c r="O253" s="16"/>
    </row>
    <row r="254" spans="1:18">
      <c r="A254" s="13"/>
      <c r="B254" s="20"/>
      <c r="C254" s="8"/>
      <c r="H254" s="2"/>
      <c r="O254" s="16"/>
    </row>
    <row r="255" spans="1:18">
      <c r="A255" s="13"/>
      <c r="B255" s="22"/>
      <c r="C255" s="8"/>
      <c r="H255" s="2"/>
      <c r="O255" s="16"/>
    </row>
    <row r="256" spans="1:18">
      <c r="A256" s="13"/>
      <c r="B256" s="20"/>
      <c r="C256" s="8"/>
      <c r="H256" s="2"/>
      <c r="I256" s="23"/>
      <c r="J256" s="24"/>
      <c r="O256" s="16"/>
    </row>
    <row r="257" spans="1:18">
      <c r="A257" s="13"/>
      <c r="B257" s="20"/>
      <c r="C257" s="8"/>
      <c r="H257" s="2"/>
      <c r="I257" s="23"/>
      <c r="J257" s="24"/>
      <c r="O257" s="16"/>
    </row>
    <row r="258" spans="1:18">
      <c r="A258" s="13"/>
      <c r="B258" s="20"/>
      <c r="C258" s="8"/>
      <c r="H258" s="2"/>
      <c r="N258" s="2"/>
      <c r="O258" s="23"/>
      <c r="P258" s="24"/>
      <c r="R258" s="1"/>
    </row>
    <row r="259" spans="1:18">
      <c r="A259" s="13"/>
      <c r="B259" s="20"/>
      <c r="C259" s="8"/>
      <c r="H259" s="2"/>
      <c r="O259" s="16"/>
    </row>
    <row r="260" spans="1:18">
      <c r="A260" s="13"/>
      <c r="B260" s="20"/>
      <c r="C260" s="8"/>
      <c r="H260" s="2"/>
      <c r="O260" s="16"/>
    </row>
    <row r="261" spans="1:18">
      <c r="A261" s="13"/>
      <c r="B261" s="22"/>
      <c r="C261" s="8"/>
      <c r="H261" s="2"/>
      <c r="O261" s="16"/>
    </row>
    <row r="262" spans="1:18">
      <c r="A262" s="13"/>
      <c r="B262" s="25"/>
      <c r="C262" s="8"/>
      <c r="H262" s="2"/>
      <c r="O262" s="16"/>
    </row>
    <row r="263" spans="1:18">
      <c r="A263" s="13"/>
      <c r="B263" s="25"/>
      <c r="C263" s="8"/>
      <c r="H263" s="2"/>
      <c r="O263" s="16"/>
    </row>
    <row r="264" spans="1:18">
      <c r="A264" s="13"/>
      <c r="B264" s="25"/>
      <c r="C264" s="8"/>
      <c r="H264" s="2"/>
      <c r="O264" s="16"/>
    </row>
    <row r="265" spans="1:18">
      <c r="A265" s="13"/>
      <c r="B265" s="25"/>
      <c r="C265" s="8"/>
      <c r="H265" s="2"/>
      <c r="O265" s="16"/>
    </row>
    <row r="266" spans="1:18">
      <c r="A266" s="13"/>
      <c r="B266" s="25"/>
      <c r="C266" s="15"/>
      <c r="D266" s="131"/>
      <c r="E266" s="131"/>
      <c r="F266" s="118"/>
      <c r="H266" s="2"/>
      <c r="O266" s="16"/>
    </row>
    <row r="267" spans="1:18">
      <c r="A267" s="13"/>
      <c r="B267" s="25"/>
      <c r="C267" s="15"/>
      <c r="D267" s="131"/>
      <c r="E267" s="131"/>
      <c r="F267" s="118"/>
      <c r="H267" s="2"/>
      <c r="O267" s="16"/>
    </row>
    <row r="268" spans="1:18">
      <c r="A268" s="13"/>
      <c r="B268" s="25"/>
      <c r="C268" s="15"/>
      <c r="D268" s="131"/>
      <c r="E268" s="131"/>
      <c r="F268" s="118"/>
      <c r="H268" s="2"/>
      <c r="O268" s="16"/>
    </row>
    <row r="269" spans="1:18">
      <c r="A269" s="109"/>
      <c r="B269" s="8"/>
      <c r="C269" s="13"/>
      <c r="D269" s="109"/>
      <c r="E269" s="109"/>
      <c r="F269" s="119"/>
      <c r="H269" s="2"/>
      <c r="O269" s="16"/>
    </row>
    <row r="270" spans="1:18">
      <c r="A270" s="13"/>
      <c r="B270" s="8"/>
      <c r="C270" s="13"/>
      <c r="D270" s="109"/>
      <c r="E270" s="109"/>
      <c r="F270" s="119"/>
      <c r="H270" s="2"/>
      <c r="O270" s="16"/>
    </row>
    <row r="271" spans="1:18">
      <c r="A271" s="13"/>
      <c r="B271" s="8"/>
      <c r="C271" s="13"/>
      <c r="D271" s="109"/>
      <c r="E271" s="109"/>
      <c r="F271" s="119"/>
      <c r="H271" s="2"/>
      <c r="O271" s="16"/>
    </row>
    <row r="272" spans="1:18">
      <c r="A272" s="109"/>
      <c r="B272" s="8"/>
      <c r="C272" s="8"/>
      <c r="H272" s="2"/>
      <c r="O272" s="16"/>
    </row>
    <row r="273" spans="1:18">
      <c r="A273" s="109"/>
      <c r="B273" s="8"/>
      <c r="C273" s="8"/>
      <c r="H273" s="2"/>
      <c r="O273" s="16"/>
    </row>
    <row r="274" spans="1:18" s="2" customFormat="1">
      <c r="A274" s="13"/>
      <c r="B274" s="15"/>
      <c r="C274" s="15"/>
      <c r="D274" s="131"/>
      <c r="E274" s="131"/>
      <c r="F274" s="131"/>
      <c r="J274" s="17"/>
      <c r="O274" s="18"/>
      <c r="R274" s="19"/>
    </row>
    <row r="275" spans="1:18">
      <c r="A275" s="13"/>
      <c r="B275" s="8"/>
      <c r="C275" s="28"/>
      <c r="H275" s="2"/>
      <c r="O275" s="16"/>
    </row>
    <row r="276" spans="1:18">
      <c r="A276" s="13"/>
      <c r="B276" s="25"/>
      <c r="C276" s="8"/>
      <c r="H276" s="2"/>
      <c r="O276" s="16"/>
    </row>
    <row r="277" spans="1:18">
      <c r="A277" s="13"/>
      <c r="B277" s="8"/>
      <c r="C277" s="8"/>
      <c r="H277" s="2"/>
      <c r="O277" s="16"/>
    </row>
    <row r="278" spans="1:18">
      <c r="A278" s="13"/>
      <c r="B278" s="22"/>
      <c r="C278" s="8"/>
      <c r="H278" s="2"/>
      <c r="O278" s="16"/>
    </row>
    <row r="279" spans="1:18">
      <c r="A279" s="13"/>
      <c r="B279" s="25"/>
      <c r="C279" s="8"/>
      <c r="H279" s="2"/>
      <c r="O279" s="16"/>
    </row>
    <row r="280" spans="1:18">
      <c r="A280" s="13"/>
      <c r="B280" s="25"/>
      <c r="C280" s="8"/>
      <c r="H280" s="2"/>
      <c r="O280" s="16"/>
    </row>
    <row r="281" spans="1:18">
      <c r="A281" s="13"/>
      <c r="B281" s="25"/>
      <c r="C281" s="8"/>
      <c r="H281" s="2"/>
      <c r="O281" s="16"/>
    </row>
    <row r="282" spans="1:18">
      <c r="A282" s="13"/>
      <c r="B282" s="25"/>
      <c r="C282" s="8"/>
      <c r="H282" s="2"/>
      <c r="O282" s="16"/>
    </row>
    <row r="283" spans="1:18">
      <c r="A283" s="13"/>
      <c r="B283" s="25"/>
      <c r="C283" s="8"/>
      <c r="H283" s="2"/>
      <c r="O283" s="16"/>
    </row>
    <row r="284" spans="1:18">
      <c r="A284" s="13"/>
      <c r="B284" s="25"/>
      <c r="C284" s="8"/>
      <c r="H284" s="2"/>
      <c r="O284" s="16"/>
    </row>
    <row r="285" spans="1:18">
      <c r="A285" s="13"/>
      <c r="B285" s="25"/>
      <c r="C285" s="8"/>
      <c r="H285" s="2"/>
      <c r="O285" s="16"/>
    </row>
    <row r="286" spans="1:18">
      <c r="A286" s="13"/>
      <c r="B286" s="25"/>
      <c r="C286" s="8"/>
      <c r="H286" s="2"/>
      <c r="O286" s="16"/>
    </row>
    <row r="287" spans="1:18">
      <c r="A287" s="13"/>
      <c r="B287" s="25"/>
      <c r="C287" s="8"/>
      <c r="H287" s="2"/>
      <c r="O287" s="16"/>
    </row>
    <row r="288" spans="1:18">
      <c r="A288" s="13"/>
      <c r="B288" s="25"/>
      <c r="C288" s="8"/>
      <c r="H288" s="2"/>
      <c r="O288" s="16"/>
    </row>
    <row r="289" spans="1:18">
      <c r="A289" s="13"/>
      <c r="B289" s="25"/>
      <c r="C289" s="8"/>
      <c r="H289" s="2"/>
      <c r="O289" s="16"/>
    </row>
    <row r="290" spans="1:18">
      <c r="A290" s="13"/>
      <c r="B290" s="25"/>
      <c r="C290" s="8"/>
      <c r="H290" s="2"/>
      <c r="O290" s="16"/>
    </row>
    <row r="291" spans="1:18">
      <c r="A291" s="13"/>
      <c r="B291" s="25"/>
      <c r="C291" s="8"/>
      <c r="H291" s="2"/>
      <c r="O291" s="16"/>
    </row>
    <row r="292" spans="1:18">
      <c r="A292" s="13"/>
      <c r="B292" s="25"/>
      <c r="C292" s="15"/>
      <c r="D292" s="131"/>
      <c r="E292" s="131"/>
      <c r="F292" s="118"/>
      <c r="H292" s="2"/>
      <c r="O292" s="16"/>
    </row>
    <row r="293" spans="1:18">
      <c r="A293" s="13"/>
      <c r="B293" s="25"/>
      <c r="C293" s="15"/>
      <c r="D293" s="131"/>
      <c r="E293" s="131"/>
      <c r="F293" s="118"/>
      <c r="H293" s="2"/>
      <c r="O293" s="16"/>
    </row>
    <row r="294" spans="1:18">
      <c r="A294" s="13"/>
      <c r="B294" s="25"/>
      <c r="C294" s="15"/>
      <c r="D294" s="131"/>
      <c r="E294" s="131"/>
      <c r="F294" s="118"/>
      <c r="H294" s="2"/>
      <c r="O294" s="16"/>
    </row>
    <row r="295" spans="1:18">
      <c r="A295" s="109"/>
      <c r="B295" s="8"/>
      <c r="C295" s="13"/>
      <c r="D295" s="109"/>
      <c r="E295" s="109"/>
      <c r="F295" s="119"/>
      <c r="H295" s="2"/>
      <c r="O295" s="16"/>
    </row>
    <row r="296" spans="1:18">
      <c r="A296" s="13"/>
      <c r="B296" s="8"/>
      <c r="C296" s="13"/>
      <c r="D296" s="109"/>
      <c r="E296" s="109"/>
      <c r="F296" s="119"/>
      <c r="H296" s="2"/>
      <c r="O296" s="16"/>
    </row>
    <row r="297" spans="1:18">
      <c r="A297" s="13"/>
      <c r="B297" s="8"/>
      <c r="C297" s="13"/>
      <c r="D297" s="109"/>
      <c r="E297" s="109"/>
      <c r="F297" s="119"/>
      <c r="H297" s="2"/>
      <c r="O297" s="16"/>
    </row>
    <row r="298" spans="1:18">
      <c r="A298" s="109"/>
      <c r="B298" s="8"/>
      <c r="C298" s="8"/>
      <c r="H298" s="2"/>
      <c r="O298" s="16"/>
    </row>
    <row r="299" spans="1:18">
      <c r="A299" s="109"/>
      <c r="B299" s="8"/>
      <c r="C299" s="8"/>
      <c r="H299" s="2"/>
      <c r="O299" s="16"/>
    </row>
    <row r="300" spans="1:18" s="2" customFormat="1">
      <c r="A300" s="13"/>
      <c r="B300" s="15"/>
      <c r="C300" s="15"/>
      <c r="D300" s="131"/>
      <c r="E300" s="131"/>
      <c r="F300" s="131"/>
      <c r="J300" s="17"/>
      <c r="O300" s="18"/>
      <c r="R300" s="19"/>
    </row>
    <row r="301" spans="1:18">
      <c r="A301" s="13"/>
      <c r="B301" s="8"/>
      <c r="C301" s="28"/>
      <c r="H301" s="2"/>
      <c r="O301" s="16"/>
    </row>
    <row r="302" spans="1:18">
      <c r="A302" s="13"/>
      <c r="B302" s="28"/>
      <c r="C302" s="8"/>
      <c r="H302" s="2"/>
      <c r="O302" s="16"/>
    </row>
    <row r="303" spans="1:18">
      <c r="A303" s="13"/>
      <c r="B303" s="28"/>
      <c r="C303" s="8"/>
      <c r="H303" s="2"/>
      <c r="O303" s="16"/>
    </row>
    <row r="304" spans="1:18">
      <c r="A304" s="13"/>
      <c r="B304" s="28"/>
      <c r="C304" s="28"/>
      <c r="F304" s="118"/>
      <c r="H304" s="2"/>
      <c r="O304" s="16"/>
    </row>
    <row r="305" spans="1:18">
      <c r="A305" s="13"/>
      <c r="B305" s="8"/>
      <c r="C305" s="8"/>
      <c r="H305" s="2"/>
      <c r="O305" s="16"/>
    </row>
    <row r="306" spans="1:18">
      <c r="A306" s="13"/>
      <c r="B306" s="8"/>
      <c r="C306" s="8"/>
      <c r="F306" s="118"/>
      <c r="H306" s="2"/>
      <c r="O306" s="16"/>
    </row>
    <row r="307" spans="1:18">
      <c r="A307" s="13"/>
      <c r="B307" s="28"/>
      <c r="C307" s="8"/>
      <c r="F307" s="118"/>
      <c r="H307" s="2"/>
      <c r="O307" s="16"/>
    </row>
    <row r="308" spans="1:18">
      <c r="A308" s="13"/>
      <c r="B308" s="28"/>
      <c r="C308" s="8"/>
      <c r="F308" s="118"/>
      <c r="H308" s="2"/>
      <c r="O308" s="16"/>
    </row>
    <row r="309" spans="1:18">
      <c r="A309" s="13"/>
      <c r="B309" s="28"/>
      <c r="C309" s="8"/>
      <c r="F309" s="118"/>
      <c r="H309" s="2"/>
      <c r="O309" s="16"/>
    </row>
    <row r="310" spans="1:18">
      <c r="A310" s="13"/>
      <c r="B310" s="28"/>
      <c r="C310" s="8"/>
      <c r="F310" s="118"/>
      <c r="H310" s="2"/>
      <c r="O310" s="16"/>
    </row>
    <row r="311" spans="1:18">
      <c r="A311" s="13"/>
      <c r="B311" s="25"/>
      <c r="C311" s="15"/>
      <c r="D311" s="131"/>
      <c r="E311" s="131"/>
      <c r="F311" s="118"/>
      <c r="H311" s="2"/>
      <c r="O311" s="16"/>
    </row>
    <row r="312" spans="1:18">
      <c r="A312" s="13"/>
      <c r="B312" s="25"/>
      <c r="C312" s="15"/>
      <c r="D312" s="131"/>
      <c r="E312" s="131"/>
      <c r="F312" s="118"/>
      <c r="H312" s="2"/>
      <c r="O312" s="16"/>
    </row>
    <row r="313" spans="1:18">
      <c r="A313" s="13"/>
      <c r="B313" s="25"/>
      <c r="C313" s="15"/>
      <c r="D313" s="131"/>
      <c r="E313" s="131"/>
      <c r="F313" s="118"/>
      <c r="H313" s="2"/>
      <c r="O313" s="16"/>
    </row>
    <row r="314" spans="1:18">
      <c r="A314" s="109"/>
      <c r="B314" s="8"/>
      <c r="C314" s="13"/>
      <c r="D314" s="109"/>
      <c r="E314" s="109"/>
      <c r="F314" s="119"/>
      <c r="H314" s="2"/>
      <c r="O314" s="16"/>
    </row>
    <row r="315" spans="1:18">
      <c r="A315" s="13"/>
      <c r="B315" s="8"/>
      <c r="C315" s="13"/>
      <c r="D315" s="109"/>
      <c r="E315" s="109"/>
      <c r="F315" s="119"/>
      <c r="H315" s="2"/>
      <c r="O315" s="16"/>
    </row>
    <row r="316" spans="1:18">
      <c r="A316" s="13"/>
      <c r="B316" s="8"/>
      <c r="C316" s="13"/>
      <c r="D316" s="109"/>
      <c r="E316" s="109"/>
      <c r="F316" s="119"/>
      <c r="H316" s="2"/>
      <c r="O316" s="16"/>
    </row>
    <row r="317" spans="1:18">
      <c r="A317" s="109"/>
      <c r="B317" s="8"/>
      <c r="C317" s="8"/>
      <c r="H317" s="2"/>
      <c r="O317" s="16"/>
    </row>
    <row r="318" spans="1:18">
      <c r="A318" s="109"/>
      <c r="B318" s="8"/>
      <c r="C318" s="8"/>
      <c r="H318" s="2"/>
      <c r="O318" s="16"/>
    </row>
    <row r="319" spans="1:18" s="2" customFormat="1">
      <c r="A319" s="13"/>
      <c r="B319" s="15"/>
      <c r="C319" s="15"/>
      <c r="D319" s="131"/>
      <c r="E319" s="131"/>
      <c r="F319" s="131"/>
      <c r="J319" s="17"/>
      <c r="O319" s="18"/>
      <c r="R319" s="19"/>
    </row>
    <row r="320" spans="1:18">
      <c r="A320" s="13"/>
      <c r="B320" s="8"/>
      <c r="C320" s="28"/>
      <c r="H320" s="2"/>
      <c r="O320" s="16"/>
    </row>
    <row r="321" spans="1:15">
      <c r="A321" s="13"/>
      <c r="B321" s="25"/>
      <c r="C321" s="8"/>
      <c r="H321" s="2"/>
      <c r="O321" s="16"/>
    </row>
    <row r="322" spans="1:15">
      <c r="A322" s="13"/>
      <c r="B322" s="8"/>
      <c r="C322" s="8"/>
      <c r="H322" s="2"/>
      <c r="O322" s="16"/>
    </row>
    <row r="323" spans="1:15">
      <c r="A323" s="13"/>
      <c r="B323" s="22"/>
      <c r="C323" s="8"/>
      <c r="H323" s="2"/>
      <c r="O323" s="16"/>
    </row>
    <row r="324" spans="1:15">
      <c r="A324" s="13"/>
      <c r="B324" s="25"/>
      <c r="C324" s="8"/>
      <c r="H324" s="2"/>
      <c r="O324" s="16"/>
    </row>
    <row r="325" spans="1:15">
      <c r="A325" s="13"/>
      <c r="B325" s="25"/>
      <c r="C325" s="8"/>
      <c r="H325" s="2"/>
      <c r="O325" s="16"/>
    </row>
    <row r="326" spans="1:15">
      <c r="A326" s="13"/>
      <c r="B326" s="25"/>
      <c r="C326" s="8"/>
      <c r="H326" s="2"/>
      <c r="O326" s="16"/>
    </row>
    <row r="327" spans="1:15">
      <c r="A327" s="13"/>
      <c r="B327" s="25"/>
      <c r="C327" s="8"/>
      <c r="H327" s="2"/>
      <c r="O327" s="16"/>
    </row>
    <row r="328" spans="1:15">
      <c r="A328" s="13"/>
      <c r="B328" s="25"/>
      <c r="C328" s="8"/>
      <c r="H328" s="2"/>
      <c r="O328" s="16"/>
    </row>
    <row r="329" spans="1:15">
      <c r="A329" s="13"/>
      <c r="B329" s="25"/>
      <c r="C329" s="8"/>
      <c r="H329" s="2"/>
      <c r="O329" s="16"/>
    </row>
    <row r="330" spans="1:15">
      <c r="A330" s="13"/>
      <c r="B330" s="25"/>
      <c r="C330" s="8"/>
      <c r="H330" s="2"/>
      <c r="O330" s="16"/>
    </row>
    <row r="331" spans="1:15">
      <c r="A331" s="13"/>
      <c r="B331" s="25"/>
      <c r="C331" s="8"/>
      <c r="H331" s="2"/>
      <c r="O331" s="16"/>
    </row>
    <row r="332" spans="1:15">
      <c r="A332" s="13"/>
      <c r="B332" s="25"/>
      <c r="C332" s="8"/>
      <c r="H332" s="2"/>
      <c r="O332" s="16"/>
    </row>
    <row r="333" spans="1:15">
      <c r="A333" s="13"/>
      <c r="B333" s="25"/>
      <c r="C333" s="8"/>
      <c r="H333" s="2"/>
      <c r="O333" s="16"/>
    </row>
    <row r="334" spans="1:15">
      <c r="A334" s="13"/>
      <c r="B334" s="25"/>
      <c r="C334" s="8"/>
      <c r="H334" s="2"/>
      <c r="O334" s="16"/>
    </row>
    <row r="335" spans="1:15">
      <c r="A335" s="13"/>
      <c r="B335" s="22"/>
      <c r="C335" s="8"/>
      <c r="H335" s="2"/>
      <c r="O335" s="16"/>
    </row>
    <row r="336" spans="1:15">
      <c r="A336" s="13"/>
      <c r="B336" s="20"/>
      <c r="C336" s="8"/>
      <c r="H336" s="2"/>
      <c r="O336" s="16"/>
    </row>
    <row r="337" spans="1:22">
      <c r="A337" s="13"/>
      <c r="B337" s="25"/>
      <c r="C337" s="8"/>
      <c r="H337" s="2"/>
      <c r="O337" s="16"/>
    </row>
    <row r="338" spans="1:22">
      <c r="A338" s="13"/>
      <c r="B338" s="25"/>
      <c r="C338" s="8"/>
      <c r="H338" s="2"/>
      <c r="O338" s="16"/>
    </row>
    <row r="339" spans="1:22">
      <c r="A339" s="13"/>
      <c r="B339" s="25"/>
      <c r="C339" s="8"/>
      <c r="H339" s="2"/>
      <c r="I339" s="23"/>
      <c r="J339" s="29"/>
      <c r="O339" s="16"/>
    </row>
    <row r="340" spans="1:22">
      <c r="A340" s="13"/>
      <c r="B340" s="25"/>
      <c r="C340" s="8"/>
      <c r="H340" s="2"/>
      <c r="I340" s="23"/>
      <c r="J340" s="24"/>
      <c r="O340" s="16"/>
    </row>
    <row r="341" spans="1:22">
      <c r="A341" s="13"/>
      <c r="B341" s="25"/>
      <c r="C341" s="8"/>
      <c r="H341" s="2"/>
      <c r="N341" s="2"/>
      <c r="O341" s="23"/>
      <c r="P341" s="24"/>
      <c r="R341" s="1"/>
    </row>
    <row r="342" spans="1:22">
      <c r="A342" s="13"/>
      <c r="B342" s="25"/>
      <c r="C342" s="8"/>
      <c r="H342" s="2"/>
      <c r="O342" s="16"/>
    </row>
    <row r="343" spans="1:22">
      <c r="A343" s="13"/>
      <c r="B343" s="20"/>
      <c r="C343" s="8"/>
      <c r="H343" s="2"/>
      <c r="O343" s="16"/>
    </row>
    <row r="344" spans="1:22">
      <c r="A344" s="13"/>
      <c r="B344" s="22"/>
      <c r="C344" s="8"/>
      <c r="H344" s="2"/>
      <c r="O344" s="16"/>
    </row>
    <row r="345" spans="1:22">
      <c r="A345" s="13"/>
      <c r="B345" s="22"/>
      <c r="C345" s="8"/>
      <c r="H345" s="2"/>
      <c r="O345" s="16"/>
    </row>
    <row r="346" spans="1:22">
      <c r="A346" s="13"/>
      <c r="B346" s="22"/>
      <c r="C346" s="8"/>
      <c r="H346" s="2"/>
      <c r="O346" s="16"/>
    </row>
    <row r="347" spans="1:22">
      <c r="A347" s="13"/>
      <c r="B347" s="22"/>
      <c r="C347" s="8"/>
      <c r="H347" s="2"/>
      <c r="O347" s="16"/>
    </row>
    <row r="348" spans="1:22">
      <c r="A348" s="13"/>
      <c r="B348" s="20"/>
      <c r="C348" s="8"/>
      <c r="H348" s="2"/>
      <c r="O348" s="16"/>
    </row>
    <row r="349" spans="1:22">
      <c r="A349" s="13"/>
      <c r="B349" s="20"/>
      <c r="C349" s="8"/>
      <c r="H349" s="2"/>
      <c r="K349" s="8"/>
      <c r="O349" s="16"/>
    </row>
    <row r="350" spans="1:22">
      <c r="A350" s="13"/>
      <c r="B350" s="20"/>
      <c r="C350" s="8"/>
      <c r="H350" s="2"/>
      <c r="I350" s="23"/>
      <c r="J350" s="24"/>
      <c r="K350" s="8"/>
      <c r="O350" s="16"/>
    </row>
    <row r="351" spans="1:22">
      <c r="A351" s="13"/>
      <c r="B351" s="20"/>
      <c r="C351" s="8"/>
      <c r="H351" s="2"/>
      <c r="I351" s="23"/>
      <c r="J351" s="24"/>
      <c r="K351" s="8"/>
      <c r="O351" s="16"/>
    </row>
    <row r="352" spans="1:22">
      <c r="A352" s="13"/>
      <c r="B352" s="20"/>
      <c r="C352" s="8"/>
      <c r="H352" s="2"/>
      <c r="K352" s="8"/>
      <c r="N352" s="2"/>
      <c r="O352" s="23"/>
      <c r="P352" s="24"/>
      <c r="T352" s="8"/>
      <c r="U352" s="8"/>
      <c r="V352" s="8"/>
    </row>
    <row r="353" spans="1:24">
      <c r="A353" s="13"/>
      <c r="B353" s="25"/>
      <c r="C353" s="8"/>
      <c r="H353" s="2"/>
      <c r="K353" s="8"/>
      <c r="O353" s="16"/>
      <c r="T353" s="8"/>
      <c r="U353" s="8"/>
      <c r="V353" s="8"/>
    </row>
    <row r="354" spans="1:24">
      <c r="A354" s="13"/>
      <c r="B354" s="20"/>
      <c r="C354" s="8"/>
      <c r="H354" s="2"/>
      <c r="K354" s="8"/>
      <c r="O354" s="16"/>
      <c r="T354" s="30"/>
      <c r="U354" s="8"/>
      <c r="V354" s="8"/>
    </row>
    <row r="355" spans="1:24">
      <c r="A355" s="13"/>
      <c r="B355" s="25"/>
      <c r="C355" s="8"/>
      <c r="H355" s="2"/>
      <c r="K355" s="8"/>
      <c r="O355" s="16"/>
      <c r="T355" s="30"/>
      <c r="U355" s="8"/>
      <c r="V355" s="8"/>
    </row>
    <row r="356" spans="1:24">
      <c r="A356" s="13"/>
      <c r="B356" s="25"/>
      <c r="C356" s="8"/>
      <c r="H356" s="2"/>
      <c r="K356" s="8"/>
      <c r="O356" s="16"/>
      <c r="T356" s="30"/>
      <c r="U356" s="8"/>
      <c r="V356" s="8"/>
    </row>
    <row r="357" spans="1:24">
      <c r="A357" s="13"/>
      <c r="B357" s="25"/>
      <c r="C357" s="8"/>
      <c r="H357" s="2"/>
      <c r="K357" s="8"/>
      <c r="O357" s="16"/>
      <c r="T357" s="30"/>
      <c r="U357" s="8"/>
      <c r="V357" s="8"/>
    </row>
    <row r="358" spans="1:24">
      <c r="A358" s="13"/>
      <c r="B358" s="25"/>
      <c r="C358" s="8"/>
      <c r="H358" s="2"/>
      <c r="K358" s="8"/>
      <c r="O358" s="16"/>
      <c r="T358" s="30"/>
      <c r="U358" s="8"/>
      <c r="V358" s="8"/>
    </row>
    <row r="359" spans="1:24">
      <c r="A359" s="13"/>
      <c r="B359" s="22"/>
      <c r="C359" s="8"/>
      <c r="H359" s="2"/>
      <c r="I359" s="23"/>
      <c r="J359" s="24"/>
      <c r="K359" s="8"/>
      <c r="O359" s="16"/>
      <c r="T359" s="16"/>
      <c r="X359" s="16"/>
    </row>
    <row r="360" spans="1:24">
      <c r="A360" s="13"/>
      <c r="B360" s="22"/>
      <c r="C360" s="8"/>
      <c r="H360" s="2"/>
      <c r="I360" s="23"/>
      <c r="J360" s="24"/>
      <c r="K360" s="8"/>
      <c r="O360" s="16"/>
    </row>
    <row r="361" spans="1:24">
      <c r="A361" s="13"/>
      <c r="B361" s="20"/>
      <c r="C361" s="8"/>
      <c r="H361" s="2"/>
      <c r="K361" s="8"/>
      <c r="N361" s="2"/>
      <c r="O361" s="23"/>
      <c r="P361" s="24"/>
      <c r="Q361" s="8"/>
      <c r="R361" s="1"/>
    </row>
    <row r="362" spans="1:24">
      <c r="A362" s="13"/>
      <c r="B362" s="20"/>
      <c r="C362" s="8"/>
      <c r="H362" s="2"/>
      <c r="K362" s="8"/>
      <c r="O362" s="16"/>
    </row>
    <row r="363" spans="1:24">
      <c r="A363" s="13"/>
      <c r="B363" s="20"/>
      <c r="C363" s="8"/>
      <c r="H363" s="2"/>
      <c r="K363" s="8"/>
      <c r="O363" s="16"/>
    </row>
    <row r="364" spans="1:24">
      <c r="A364" s="13"/>
      <c r="B364" s="20"/>
      <c r="C364" s="8"/>
      <c r="H364" s="2"/>
      <c r="K364" s="8"/>
      <c r="O364" s="16"/>
    </row>
    <row r="365" spans="1:24">
      <c r="A365" s="13"/>
      <c r="B365" s="25"/>
      <c r="C365" s="8"/>
      <c r="H365" s="2"/>
      <c r="K365" s="8"/>
      <c r="O365" s="16"/>
    </row>
    <row r="366" spans="1:24">
      <c r="A366" s="13"/>
      <c r="B366" s="25"/>
      <c r="C366" s="8"/>
      <c r="H366" s="2"/>
      <c r="K366" s="8"/>
      <c r="O366" s="16"/>
    </row>
    <row r="367" spans="1:24">
      <c r="A367" s="13"/>
      <c r="B367" s="25"/>
      <c r="C367" s="8"/>
      <c r="H367" s="2"/>
      <c r="K367" s="8"/>
      <c r="O367" s="16"/>
    </row>
    <row r="368" spans="1:24">
      <c r="A368" s="13"/>
      <c r="B368" s="25"/>
      <c r="C368" s="8"/>
      <c r="H368" s="2"/>
      <c r="K368" s="8"/>
      <c r="O368" s="16"/>
    </row>
    <row r="369" spans="1:19">
      <c r="A369" s="13"/>
      <c r="B369" s="25"/>
      <c r="C369" s="15"/>
      <c r="D369" s="131"/>
      <c r="E369" s="131"/>
      <c r="F369" s="118"/>
      <c r="H369" s="2"/>
      <c r="O369" s="16"/>
    </row>
    <row r="370" spans="1:19">
      <c r="A370" s="13"/>
      <c r="B370" s="25"/>
      <c r="C370" s="15"/>
      <c r="D370" s="131"/>
      <c r="E370" s="131"/>
      <c r="F370" s="118"/>
      <c r="H370" s="2"/>
      <c r="O370" s="16"/>
    </row>
    <row r="371" spans="1:19">
      <c r="A371" s="13"/>
      <c r="B371" s="25"/>
      <c r="C371" s="15"/>
      <c r="D371" s="131"/>
      <c r="E371" s="131"/>
      <c r="F371" s="118"/>
      <c r="H371" s="2"/>
      <c r="O371" s="16"/>
    </row>
    <row r="372" spans="1:19">
      <c r="A372" s="109"/>
      <c r="B372" s="8"/>
      <c r="C372" s="13"/>
      <c r="D372" s="109"/>
      <c r="E372" s="109"/>
      <c r="F372" s="119"/>
      <c r="H372" s="2"/>
      <c r="O372" s="16"/>
    </row>
    <row r="373" spans="1:19">
      <c r="A373" s="13"/>
      <c r="B373" s="8"/>
      <c r="C373" s="13"/>
      <c r="D373" s="109"/>
      <c r="E373" s="109"/>
      <c r="F373" s="119"/>
      <c r="H373" s="2"/>
      <c r="O373" s="16"/>
    </row>
    <row r="374" spans="1:19">
      <c r="A374" s="13"/>
      <c r="B374" s="8"/>
      <c r="C374" s="13"/>
      <c r="D374" s="109"/>
      <c r="E374" s="109"/>
      <c r="F374" s="119"/>
      <c r="H374" s="2"/>
      <c r="O374" s="16"/>
    </row>
    <row r="375" spans="1:19">
      <c r="A375" s="109"/>
      <c r="B375" s="8"/>
      <c r="C375" s="8"/>
      <c r="H375" s="2"/>
      <c r="O375" s="16"/>
    </row>
    <row r="376" spans="1:19">
      <c r="A376" s="109"/>
      <c r="B376" s="8"/>
      <c r="C376" s="8"/>
      <c r="H376" s="2"/>
      <c r="O376" s="16"/>
    </row>
    <row r="377" spans="1:19" s="2" customFormat="1">
      <c r="A377" s="13"/>
      <c r="B377" s="15"/>
      <c r="C377" s="15"/>
      <c r="D377" s="131"/>
      <c r="E377" s="131"/>
      <c r="F377" s="131"/>
      <c r="J377" s="17"/>
      <c r="O377" s="18"/>
      <c r="R377" s="19"/>
    </row>
    <row r="378" spans="1:19">
      <c r="A378" s="13"/>
      <c r="B378" s="8"/>
      <c r="C378" s="28"/>
      <c r="H378" s="2"/>
      <c r="O378" s="16"/>
    </row>
    <row r="379" spans="1:19">
      <c r="A379" s="13"/>
      <c r="B379" s="25"/>
      <c r="C379" s="8"/>
      <c r="I379" s="31"/>
      <c r="J379" s="32"/>
      <c r="K379" s="31"/>
      <c r="L379" s="31"/>
      <c r="M379" s="31"/>
      <c r="N379" s="31"/>
      <c r="O379" s="31"/>
      <c r="P379" s="31"/>
      <c r="Q379" s="31"/>
      <c r="R379" s="33"/>
      <c r="S379" s="8"/>
    </row>
    <row r="380" spans="1:19">
      <c r="A380" s="13"/>
      <c r="B380" s="8"/>
      <c r="C380" s="8"/>
      <c r="H380" s="15"/>
      <c r="I380" s="28"/>
      <c r="J380" s="32"/>
      <c r="K380" s="31"/>
      <c r="L380" s="31"/>
      <c r="M380" s="31"/>
      <c r="N380" s="15"/>
      <c r="O380" s="28"/>
      <c r="P380" s="32"/>
      <c r="Q380" s="31"/>
      <c r="R380" s="33"/>
      <c r="S380" s="8"/>
    </row>
    <row r="381" spans="1:19">
      <c r="A381" s="13"/>
      <c r="B381" s="20"/>
      <c r="C381" s="8"/>
      <c r="H381" s="8"/>
      <c r="I381" s="8"/>
      <c r="J381" s="34"/>
      <c r="K381" s="31"/>
      <c r="L381" s="31"/>
      <c r="M381" s="31"/>
      <c r="N381" s="31"/>
      <c r="O381" s="31"/>
      <c r="P381" s="31"/>
      <c r="Q381" s="31"/>
      <c r="R381" s="33"/>
      <c r="S381" s="8"/>
    </row>
    <row r="382" spans="1:19">
      <c r="A382" s="13"/>
      <c r="B382" s="20"/>
      <c r="C382" s="8"/>
      <c r="H382" s="8"/>
      <c r="I382" s="35"/>
      <c r="J382" s="36"/>
      <c r="K382" s="31"/>
      <c r="L382" s="31"/>
      <c r="M382" s="31"/>
      <c r="N382" s="31"/>
      <c r="O382" s="31"/>
      <c r="P382" s="31"/>
      <c r="Q382" s="31"/>
      <c r="R382" s="33"/>
      <c r="S382" s="8"/>
    </row>
    <row r="383" spans="1:19">
      <c r="A383" s="13"/>
      <c r="B383" s="20"/>
      <c r="C383" s="8"/>
      <c r="H383" s="8"/>
      <c r="I383" s="35"/>
      <c r="J383" s="36"/>
      <c r="K383" s="31"/>
      <c r="L383" s="31"/>
      <c r="M383" s="31"/>
      <c r="N383" s="31"/>
      <c r="O383" s="31"/>
      <c r="P383" s="31"/>
      <c r="Q383" s="31"/>
      <c r="R383" s="33"/>
      <c r="S383" s="8"/>
    </row>
    <row r="384" spans="1:19">
      <c r="A384" s="13"/>
      <c r="B384" s="20"/>
      <c r="C384" s="8"/>
      <c r="H384" s="8"/>
      <c r="I384" s="35"/>
      <c r="J384" s="36"/>
      <c r="K384" s="31"/>
      <c r="L384" s="31"/>
      <c r="M384" s="31"/>
      <c r="N384" s="31"/>
      <c r="O384" s="31"/>
      <c r="P384" s="31"/>
      <c r="Q384" s="31"/>
      <c r="R384" s="33"/>
      <c r="S384" s="8"/>
    </row>
    <row r="385" spans="1:19">
      <c r="A385" s="13"/>
      <c r="B385" s="22"/>
      <c r="C385" s="8"/>
      <c r="H385" s="8"/>
      <c r="I385" s="35"/>
      <c r="J385" s="36"/>
      <c r="K385" s="8"/>
      <c r="L385" s="31"/>
      <c r="M385" s="31"/>
      <c r="N385" s="31"/>
      <c r="O385" s="31"/>
      <c r="P385" s="31"/>
      <c r="Q385" s="31"/>
      <c r="R385" s="33"/>
      <c r="S385" s="8"/>
    </row>
    <row r="386" spans="1:19">
      <c r="A386" s="13"/>
      <c r="B386" s="22"/>
      <c r="C386" s="8"/>
      <c r="H386" s="8"/>
      <c r="I386" s="35"/>
      <c r="J386" s="36"/>
      <c r="K386" s="8"/>
      <c r="L386" s="8"/>
      <c r="M386" s="8"/>
      <c r="N386" s="8"/>
      <c r="O386" s="8"/>
      <c r="P386" s="8"/>
      <c r="Q386" s="8"/>
      <c r="R386" s="14"/>
      <c r="S386" s="8"/>
    </row>
    <row r="387" spans="1:19">
      <c r="A387" s="13"/>
      <c r="B387" s="25"/>
      <c r="C387" s="8"/>
      <c r="H387" s="8"/>
      <c r="I387" s="35"/>
      <c r="J387" s="36"/>
      <c r="K387" s="8"/>
      <c r="L387" s="8"/>
      <c r="M387" s="8"/>
      <c r="N387" s="8"/>
      <c r="O387" s="8"/>
      <c r="P387" s="8"/>
      <c r="Q387" s="8"/>
      <c r="R387" s="14"/>
      <c r="S387" s="8"/>
    </row>
    <row r="388" spans="1:19">
      <c r="A388" s="13"/>
      <c r="B388" s="8"/>
      <c r="C388" s="8"/>
      <c r="H388" s="8"/>
      <c r="I388" s="35"/>
      <c r="J388" s="36"/>
      <c r="K388" s="8"/>
      <c r="L388" s="8"/>
      <c r="M388" s="8"/>
      <c r="N388" s="8"/>
      <c r="O388" s="8"/>
      <c r="P388" s="8"/>
      <c r="Q388" s="8"/>
      <c r="R388" s="14"/>
      <c r="S388" s="8"/>
    </row>
    <row r="389" spans="1:19">
      <c r="A389" s="13"/>
      <c r="B389" s="8"/>
      <c r="C389" s="8"/>
      <c r="H389" s="8"/>
      <c r="I389" s="35"/>
      <c r="J389" s="36"/>
      <c r="K389" s="8"/>
      <c r="L389" s="8"/>
      <c r="M389" s="8"/>
      <c r="N389" s="8"/>
      <c r="O389" s="8"/>
      <c r="P389" s="8"/>
      <c r="Q389" s="8"/>
      <c r="R389" s="14"/>
      <c r="S389" s="8"/>
    </row>
    <row r="390" spans="1:19">
      <c r="A390" s="13"/>
      <c r="B390" s="8"/>
      <c r="C390" s="8"/>
      <c r="H390" s="8"/>
      <c r="I390" s="35"/>
      <c r="J390" s="36"/>
      <c r="K390" s="8"/>
      <c r="L390" s="8"/>
      <c r="M390" s="8"/>
      <c r="N390" s="8"/>
      <c r="O390" s="8"/>
      <c r="P390" s="8"/>
      <c r="Q390" s="8"/>
      <c r="R390" s="14"/>
      <c r="S390" s="8"/>
    </row>
    <row r="391" spans="1:19">
      <c r="A391" s="13"/>
      <c r="B391" s="25"/>
      <c r="C391" s="15"/>
      <c r="D391" s="131"/>
      <c r="E391" s="131"/>
      <c r="F391" s="118"/>
      <c r="H391" s="2"/>
      <c r="O391" s="16"/>
    </row>
    <row r="392" spans="1:19">
      <c r="A392" s="13"/>
      <c r="B392" s="25"/>
      <c r="C392" s="15"/>
      <c r="D392" s="131"/>
      <c r="E392" s="131"/>
      <c r="F392" s="118"/>
      <c r="H392" s="2"/>
      <c r="O392" s="16"/>
    </row>
    <row r="393" spans="1:19">
      <c r="A393" s="13"/>
      <c r="B393" s="25"/>
      <c r="C393" s="15"/>
      <c r="D393" s="131"/>
      <c r="E393" s="131"/>
      <c r="F393" s="118"/>
      <c r="H393" s="2"/>
      <c r="O393" s="16"/>
    </row>
    <row r="394" spans="1:19">
      <c r="A394" s="109"/>
      <c r="B394" s="8"/>
      <c r="C394" s="13"/>
      <c r="D394" s="109"/>
      <c r="E394" s="109"/>
      <c r="F394" s="119"/>
      <c r="H394" s="2"/>
      <c r="O394" s="16"/>
    </row>
    <row r="395" spans="1:19">
      <c r="A395" s="13"/>
      <c r="B395" s="8"/>
      <c r="C395" s="13"/>
      <c r="D395" s="109"/>
      <c r="E395" s="109"/>
      <c r="F395" s="119"/>
      <c r="H395" s="2"/>
      <c r="O395" s="16"/>
    </row>
    <row r="396" spans="1:19">
      <c r="A396" s="13"/>
      <c r="B396" s="8"/>
      <c r="C396" s="13"/>
      <c r="D396" s="109"/>
      <c r="E396" s="109"/>
      <c r="F396" s="119"/>
      <c r="H396" s="2"/>
      <c r="O396" s="16"/>
    </row>
    <row r="397" spans="1:19">
      <c r="A397" s="109"/>
      <c r="B397" s="8"/>
      <c r="C397" s="8"/>
      <c r="H397" s="2"/>
      <c r="O397" s="16"/>
    </row>
    <row r="398" spans="1:19">
      <c r="A398" s="109"/>
      <c r="B398" s="8"/>
      <c r="C398" s="8"/>
      <c r="H398" s="2"/>
      <c r="O398" s="16"/>
    </row>
    <row r="399" spans="1:19" s="2" customFormat="1">
      <c r="A399" s="13"/>
      <c r="B399" s="15"/>
      <c r="C399" s="15"/>
      <c r="D399" s="131"/>
      <c r="E399" s="131"/>
      <c r="F399" s="131"/>
      <c r="J399" s="17"/>
      <c r="O399" s="18"/>
      <c r="R399" s="19"/>
    </row>
    <row r="400" spans="1:19">
      <c r="A400" s="13"/>
      <c r="B400" s="8"/>
      <c r="C400" s="28"/>
      <c r="H400" s="8"/>
      <c r="I400" s="35"/>
      <c r="J400" s="36"/>
      <c r="K400" s="8"/>
      <c r="L400" s="8"/>
      <c r="M400" s="8"/>
      <c r="N400" s="8"/>
      <c r="O400" s="8"/>
      <c r="P400" s="8"/>
      <c r="Q400" s="8"/>
      <c r="R400" s="14"/>
      <c r="S400" s="8"/>
    </row>
    <row r="401" spans="1:19">
      <c r="A401" s="13"/>
      <c r="B401" s="25"/>
      <c r="C401" s="8"/>
      <c r="H401" s="8"/>
      <c r="I401" s="35"/>
      <c r="J401" s="36"/>
      <c r="K401" s="8"/>
      <c r="L401" s="8"/>
      <c r="M401" s="8"/>
      <c r="N401" s="8"/>
      <c r="O401" s="8"/>
      <c r="P401" s="8"/>
      <c r="Q401" s="8"/>
      <c r="R401" s="14"/>
      <c r="S401" s="8"/>
    </row>
    <row r="402" spans="1:19">
      <c r="A402" s="13"/>
      <c r="B402" s="8"/>
      <c r="C402" s="8"/>
      <c r="H402" s="8"/>
      <c r="I402" s="35"/>
      <c r="J402" s="36"/>
      <c r="K402" s="8"/>
      <c r="L402" s="8"/>
      <c r="M402" s="8"/>
      <c r="N402" s="8"/>
      <c r="O402" s="8"/>
      <c r="P402" s="8"/>
      <c r="Q402" s="8"/>
      <c r="R402" s="14"/>
      <c r="S402" s="8"/>
    </row>
    <row r="403" spans="1:19">
      <c r="A403" s="13"/>
      <c r="B403" s="20"/>
      <c r="C403" s="8"/>
      <c r="H403" s="8"/>
      <c r="I403" s="35"/>
      <c r="J403" s="36"/>
      <c r="K403" s="8"/>
      <c r="L403" s="8"/>
      <c r="M403" s="8"/>
      <c r="N403" s="8"/>
      <c r="O403" s="8"/>
      <c r="P403" s="8"/>
      <c r="Q403" s="8"/>
      <c r="R403" s="14"/>
      <c r="S403" s="8"/>
    </row>
    <row r="404" spans="1:19">
      <c r="A404" s="13"/>
      <c r="B404" s="22"/>
      <c r="C404" s="8"/>
      <c r="H404" s="8"/>
      <c r="I404" s="35"/>
      <c r="J404" s="36"/>
      <c r="K404" s="8"/>
      <c r="L404" s="8"/>
      <c r="M404" s="8"/>
      <c r="N404" s="8"/>
      <c r="O404" s="8"/>
      <c r="P404" s="8"/>
      <c r="Q404" s="8"/>
      <c r="R404" s="14"/>
      <c r="S404" s="8"/>
    </row>
    <row r="405" spans="1:19">
      <c r="A405" s="13"/>
      <c r="B405" s="22"/>
      <c r="C405" s="8"/>
      <c r="H405" s="8"/>
      <c r="I405" s="35"/>
      <c r="J405" s="36"/>
      <c r="K405" s="8"/>
      <c r="L405" s="8"/>
      <c r="M405" s="8"/>
      <c r="N405" s="8"/>
      <c r="O405" s="8"/>
      <c r="P405" s="8"/>
      <c r="Q405" s="8"/>
      <c r="R405" s="14"/>
      <c r="S405" s="8"/>
    </row>
    <row r="406" spans="1:19">
      <c r="A406" s="13"/>
      <c r="B406" s="22"/>
      <c r="C406" s="8"/>
      <c r="H406" s="8"/>
      <c r="I406" s="35"/>
      <c r="J406" s="36"/>
      <c r="K406" s="8"/>
      <c r="L406" s="8"/>
      <c r="M406" s="8"/>
      <c r="N406" s="8"/>
      <c r="O406" s="8"/>
      <c r="P406" s="8"/>
      <c r="Q406" s="8"/>
      <c r="R406" s="14"/>
      <c r="S406" s="8"/>
    </row>
    <row r="407" spans="1:19">
      <c r="A407" s="13"/>
      <c r="B407" s="25"/>
      <c r="C407" s="8"/>
      <c r="H407" s="8"/>
      <c r="I407" s="35"/>
      <c r="J407" s="36"/>
      <c r="K407" s="8"/>
      <c r="L407" s="8"/>
      <c r="M407" s="8"/>
      <c r="N407" s="8"/>
      <c r="O407" s="8"/>
      <c r="P407" s="8"/>
      <c r="Q407" s="8"/>
      <c r="R407" s="14"/>
      <c r="S407" s="8"/>
    </row>
    <row r="408" spans="1:19">
      <c r="A408" s="13"/>
      <c r="B408" s="25"/>
      <c r="C408" s="8"/>
      <c r="H408" s="8"/>
      <c r="I408" s="35"/>
      <c r="J408" s="36"/>
      <c r="K408" s="8"/>
      <c r="L408" s="8"/>
      <c r="M408" s="8"/>
      <c r="N408" s="8"/>
      <c r="O408" s="8"/>
      <c r="P408" s="8"/>
      <c r="Q408" s="8"/>
      <c r="R408" s="14"/>
      <c r="S408" s="8"/>
    </row>
    <row r="409" spans="1:19">
      <c r="A409" s="13"/>
      <c r="B409" s="25"/>
      <c r="C409" s="8"/>
      <c r="H409" s="8"/>
      <c r="I409" s="35"/>
      <c r="J409" s="36"/>
      <c r="K409" s="8"/>
      <c r="L409" s="8"/>
      <c r="M409" s="8"/>
      <c r="N409" s="8"/>
      <c r="O409" s="8"/>
      <c r="P409" s="8"/>
      <c r="Q409" s="8"/>
      <c r="R409" s="14"/>
      <c r="S409" s="8"/>
    </row>
    <row r="410" spans="1:19">
      <c r="A410" s="13"/>
      <c r="B410" s="25"/>
      <c r="C410" s="8"/>
      <c r="H410" s="8"/>
      <c r="I410" s="35"/>
      <c r="J410" s="36"/>
      <c r="K410" s="8"/>
      <c r="L410" s="8"/>
      <c r="M410" s="8"/>
      <c r="N410" s="8"/>
      <c r="O410" s="8"/>
      <c r="P410" s="8"/>
      <c r="Q410" s="8"/>
      <c r="R410" s="14"/>
      <c r="S410" s="8"/>
    </row>
    <row r="411" spans="1:19">
      <c r="A411" s="13"/>
      <c r="B411" s="8"/>
      <c r="C411" s="8"/>
      <c r="H411" s="8"/>
      <c r="I411" s="35"/>
      <c r="J411" s="36"/>
      <c r="K411" s="8"/>
      <c r="L411" s="8"/>
      <c r="M411" s="8"/>
      <c r="N411" s="8"/>
      <c r="O411" s="8"/>
      <c r="P411" s="8"/>
      <c r="Q411" s="8"/>
      <c r="R411" s="14"/>
      <c r="S411" s="8"/>
    </row>
    <row r="412" spans="1:19">
      <c r="A412" s="13"/>
      <c r="B412" s="8"/>
      <c r="C412" s="8"/>
      <c r="H412" s="8"/>
      <c r="I412" s="35"/>
      <c r="J412" s="36"/>
      <c r="K412" s="8"/>
      <c r="L412" s="8"/>
      <c r="M412" s="8"/>
      <c r="N412" s="8"/>
      <c r="O412" s="8"/>
      <c r="P412" s="8"/>
      <c r="Q412" s="8"/>
      <c r="R412" s="14"/>
      <c r="S412" s="8"/>
    </row>
    <row r="413" spans="1:19">
      <c r="A413" s="13"/>
      <c r="B413" s="8"/>
      <c r="C413" s="8"/>
      <c r="H413" s="8"/>
      <c r="I413" s="35"/>
      <c r="J413" s="36"/>
      <c r="K413" s="8"/>
      <c r="L413" s="8"/>
      <c r="M413" s="8"/>
      <c r="N413" s="8"/>
      <c r="O413" s="8"/>
      <c r="P413" s="8"/>
      <c r="Q413" s="8"/>
      <c r="R413" s="14"/>
      <c r="S413" s="8"/>
    </row>
    <row r="414" spans="1:19">
      <c r="A414" s="13"/>
      <c r="B414" s="14"/>
      <c r="C414" s="8"/>
      <c r="H414" s="8"/>
      <c r="I414" s="35"/>
      <c r="J414" s="37"/>
      <c r="K414" s="8"/>
      <c r="L414" s="8"/>
      <c r="M414" s="8"/>
      <c r="N414" s="8"/>
      <c r="O414" s="30"/>
      <c r="P414" s="8"/>
      <c r="Q414" s="8"/>
      <c r="R414" s="14"/>
      <c r="S414" s="8"/>
    </row>
    <row r="415" spans="1:19">
      <c r="A415" s="13"/>
      <c r="B415" s="14"/>
      <c r="C415" s="8"/>
      <c r="H415" s="8"/>
      <c r="I415" s="35"/>
      <c r="J415" s="36"/>
      <c r="K415" s="8"/>
      <c r="L415" s="8"/>
      <c r="M415" s="8"/>
      <c r="N415" s="8"/>
      <c r="O415" s="8"/>
      <c r="P415" s="8"/>
      <c r="Q415" s="8"/>
      <c r="R415" s="14"/>
      <c r="S415" s="8"/>
    </row>
    <row r="416" spans="1:19">
      <c r="A416" s="13"/>
      <c r="B416" s="14"/>
      <c r="C416" s="8"/>
      <c r="H416" s="8"/>
      <c r="I416" s="35"/>
      <c r="J416" s="36"/>
      <c r="K416" s="8"/>
      <c r="L416" s="8"/>
      <c r="M416" s="8"/>
      <c r="N416" s="8"/>
      <c r="O416" s="8"/>
      <c r="P416" s="8"/>
      <c r="Q416" s="8"/>
      <c r="R416" s="14"/>
      <c r="S416" s="8"/>
    </row>
    <row r="417" spans="1:19">
      <c r="A417" s="13"/>
      <c r="B417" s="14"/>
      <c r="C417" s="8"/>
      <c r="H417" s="8"/>
      <c r="I417" s="35"/>
      <c r="J417" s="36"/>
      <c r="K417" s="8"/>
      <c r="L417" s="8"/>
      <c r="M417" s="8"/>
      <c r="N417" s="8"/>
      <c r="O417" s="8"/>
      <c r="P417" s="8"/>
      <c r="Q417" s="8"/>
      <c r="R417" s="14"/>
      <c r="S417" s="8"/>
    </row>
    <row r="418" spans="1:19">
      <c r="A418" s="13"/>
      <c r="B418" s="8"/>
      <c r="C418" s="8"/>
      <c r="H418" s="2"/>
      <c r="N418" s="2"/>
      <c r="P418" s="38"/>
      <c r="R418" s="1"/>
    </row>
    <row r="419" spans="1:19">
      <c r="A419" s="13"/>
      <c r="B419" s="8"/>
      <c r="C419" s="8"/>
      <c r="H419" s="2"/>
      <c r="N419" s="2"/>
      <c r="P419" s="38"/>
      <c r="R419" s="1"/>
    </row>
    <row r="420" spans="1:19">
      <c r="A420" s="13"/>
      <c r="B420" s="8"/>
      <c r="C420" s="8"/>
      <c r="H420" s="2"/>
      <c r="N420" s="2"/>
      <c r="P420" s="38"/>
      <c r="R420" s="1"/>
    </row>
    <row r="421" spans="1:19">
      <c r="A421" s="13"/>
      <c r="B421" s="14"/>
      <c r="C421" s="8"/>
      <c r="H421" s="2"/>
      <c r="N421" s="2"/>
      <c r="P421" s="38"/>
      <c r="R421" s="1"/>
    </row>
    <row r="422" spans="1:19">
      <c r="A422" s="13"/>
      <c r="B422" s="14"/>
      <c r="C422" s="8"/>
      <c r="H422" s="2"/>
      <c r="N422" s="2"/>
      <c r="P422" s="38"/>
      <c r="R422" s="1"/>
    </row>
    <row r="423" spans="1:19">
      <c r="A423" s="13"/>
      <c r="B423" s="14"/>
      <c r="C423" s="8"/>
      <c r="H423" s="2"/>
      <c r="N423" s="2"/>
      <c r="P423" s="38"/>
      <c r="R423" s="1"/>
    </row>
    <row r="424" spans="1:19">
      <c r="A424" s="13"/>
      <c r="B424" s="14"/>
      <c r="C424" s="8"/>
      <c r="H424" s="2"/>
      <c r="N424" s="2"/>
      <c r="P424" s="38"/>
      <c r="R424" s="1"/>
    </row>
    <row r="425" spans="1:19">
      <c r="A425" s="13"/>
      <c r="B425" s="14"/>
      <c r="C425" s="8"/>
      <c r="H425" s="2"/>
      <c r="N425" s="2"/>
      <c r="P425" s="38"/>
      <c r="R425" s="1"/>
    </row>
    <row r="426" spans="1:19">
      <c r="A426" s="13"/>
      <c r="B426" s="14"/>
      <c r="C426" s="8"/>
      <c r="H426" s="2"/>
      <c r="N426" s="2"/>
      <c r="P426" s="38"/>
      <c r="R426" s="1"/>
    </row>
    <row r="427" spans="1:19">
      <c r="A427" s="13"/>
      <c r="B427" s="30"/>
      <c r="C427" s="8"/>
      <c r="H427" s="2"/>
      <c r="N427" s="2"/>
      <c r="P427" s="38"/>
      <c r="R427" s="1"/>
    </row>
    <row r="428" spans="1:19">
      <c r="A428" s="13"/>
      <c r="B428" s="8"/>
      <c r="C428" s="8"/>
      <c r="H428" s="2"/>
      <c r="N428" s="2"/>
      <c r="P428" s="38"/>
      <c r="R428" s="1"/>
    </row>
    <row r="429" spans="1:19">
      <c r="A429" s="13"/>
      <c r="B429" s="8"/>
      <c r="C429" s="8"/>
      <c r="H429" s="2"/>
      <c r="N429" s="2"/>
      <c r="P429" s="38"/>
      <c r="R429" s="1"/>
    </row>
    <row r="430" spans="1:19">
      <c r="A430" s="13"/>
      <c r="B430" s="8"/>
      <c r="C430" s="8"/>
      <c r="H430" s="2"/>
      <c r="N430" s="2"/>
      <c r="P430" s="38"/>
      <c r="R430" s="1"/>
    </row>
    <row r="431" spans="1:19">
      <c r="A431" s="13"/>
      <c r="B431" s="8"/>
      <c r="C431" s="8"/>
      <c r="H431" s="2"/>
      <c r="N431" s="2"/>
      <c r="P431" s="38"/>
      <c r="R431" s="1"/>
    </row>
    <row r="432" spans="1:19">
      <c r="A432" s="13"/>
      <c r="B432" s="8"/>
      <c r="C432" s="8"/>
      <c r="H432" s="2"/>
      <c r="N432" s="2"/>
      <c r="P432" s="38"/>
      <c r="R432" s="1"/>
    </row>
    <row r="433" spans="1:18">
      <c r="A433" s="13"/>
      <c r="B433" s="8"/>
      <c r="C433" s="8"/>
      <c r="H433" s="2"/>
      <c r="N433" s="2"/>
      <c r="P433" s="38"/>
      <c r="R433" s="1"/>
    </row>
    <row r="434" spans="1:18">
      <c r="A434" s="13"/>
      <c r="B434" s="8"/>
      <c r="C434" s="8"/>
      <c r="H434" s="2"/>
      <c r="N434" s="2"/>
      <c r="P434" s="38"/>
      <c r="R434" s="1"/>
    </row>
    <row r="435" spans="1:18">
      <c r="A435" s="13"/>
      <c r="B435" s="8"/>
      <c r="C435" s="8"/>
      <c r="H435" s="2"/>
      <c r="N435" s="2"/>
      <c r="P435" s="38"/>
      <c r="R435" s="1"/>
    </row>
    <row r="436" spans="1:18">
      <c r="A436" s="13"/>
      <c r="B436" s="8"/>
      <c r="C436" s="8"/>
      <c r="H436" s="2"/>
      <c r="N436" s="2"/>
      <c r="P436" s="38"/>
      <c r="R436" s="1"/>
    </row>
    <row r="437" spans="1:18">
      <c r="A437" s="13"/>
      <c r="B437" s="8"/>
      <c r="C437" s="8"/>
    </row>
    <row r="438" spans="1:18">
      <c r="A438" s="13"/>
      <c r="B438" s="8"/>
      <c r="C438" s="8"/>
    </row>
    <row r="439" spans="1:18">
      <c r="A439" s="13"/>
      <c r="B439" s="8"/>
      <c r="C439" s="8"/>
    </row>
    <row r="440" spans="1:18">
      <c r="A440" s="13"/>
      <c r="B440" s="8"/>
      <c r="C440" s="8"/>
    </row>
    <row r="441" spans="1:18">
      <c r="A441" s="13"/>
      <c r="B441" s="8"/>
      <c r="C441" s="8"/>
    </row>
    <row r="442" spans="1:18">
      <c r="A442" s="13"/>
      <c r="B442" s="8"/>
      <c r="C442" s="8"/>
    </row>
    <row r="443" spans="1:18">
      <c r="A443" s="13"/>
      <c r="B443" s="8"/>
      <c r="C443" s="8"/>
    </row>
    <row r="444" spans="1:18">
      <c r="A444" s="13"/>
      <c r="B444" s="8"/>
      <c r="C444" s="8"/>
    </row>
    <row r="445" spans="1:18">
      <c r="A445" s="13"/>
      <c r="B445" s="8"/>
      <c r="C445" s="8"/>
    </row>
    <row r="446" spans="1:18">
      <c r="A446" s="13"/>
      <c r="B446" s="8"/>
      <c r="C446" s="8"/>
    </row>
    <row r="447" spans="1:18">
      <c r="A447" s="13"/>
      <c r="B447" s="25"/>
      <c r="C447" s="15"/>
      <c r="D447" s="131"/>
      <c r="E447" s="131"/>
      <c r="F447" s="118"/>
      <c r="H447" s="2"/>
      <c r="O447" s="16"/>
    </row>
    <row r="448" spans="1:18">
      <c r="A448" s="13"/>
      <c r="B448" s="25"/>
      <c r="C448" s="15"/>
      <c r="D448" s="131"/>
      <c r="E448" s="131"/>
      <c r="F448" s="118"/>
      <c r="H448" s="2"/>
      <c r="O448" s="16"/>
    </row>
    <row r="449" spans="1:18">
      <c r="A449" s="13"/>
      <c r="B449" s="25"/>
      <c r="C449" s="15"/>
      <c r="D449" s="131"/>
      <c r="E449" s="131"/>
      <c r="F449" s="118"/>
      <c r="H449" s="2"/>
      <c r="O449" s="16"/>
    </row>
    <row r="450" spans="1:18">
      <c r="A450" s="109"/>
      <c r="B450" s="8"/>
      <c r="C450" s="13"/>
      <c r="D450" s="109"/>
      <c r="E450" s="109"/>
      <c r="H450" s="2"/>
      <c r="O450" s="16"/>
    </row>
    <row r="451" spans="1:18">
      <c r="A451" s="13"/>
      <c r="B451" s="8"/>
      <c r="C451" s="13"/>
      <c r="D451" s="109"/>
      <c r="E451" s="109"/>
      <c r="F451" s="119"/>
      <c r="H451" s="2"/>
      <c r="O451" s="16"/>
    </row>
    <row r="452" spans="1:18">
      <c r="A452" s="13"/>
      <c r="B452" s="8"/>
      <c r="C452" s="13"/>
      <c r="D452" s="109"/>
      <c r="E452" s="109"/>
      <c r="F452" s="119"/>
      <c r="H452" s="2"/>
      <c r="O452" s="16"/>
    </row>
    <row r="453" spans="1:18">
      <c r="A453" s="109"/>
      <c r="B453" s="8"/>
      <c r="C453" s="8"/>
      <c r="H453" s="2"/>
      <c r="O453" s="16"/>
    </row>
    <row r="454" spans="1:18">
      <c r="A454" s="109"/>
      <c r="B454" s="8"/>
      <c r="C454" s="8"/>
      <c r="H454" s="2"/>
      <c r="O454" s="16"/>
    </row>
    <row r="455" spans="1:18" s="2" customFormat="1">
      <c r="A455" s="13"/>
      <c r="B455" s="15"/>
      <c r="C455" s="15"/>
      <c r="D455" s="131"/>
      <c r="E455" s="131"/>
      <c r="F455" s="131"/>
      <c r="J455" s="17"/>
      <c r="O455" s="18"/>
      <c r="R455" s="19"/>
    </row>
    <row r="456" spans="1:18">
      <c r="A456" s="13"/>
      <c r="B456" s="8"/>
      <c r="C456" s="28"/>
    </row>
    <row r="457" spans="1:18">
      <c r="A457" s="13"/>
      <c r="B457" s="25"/>
      <c r="C457" s="8"/>
    </row>
    <row r="458" spans="1:18">
      <c r="A458" s="13"/>
      <c r="B458" s="8"/>
      <c r="C458" s="8"/>
    </row>
    <row r="459" spans="1:18">
      <c r="A459" s="13"/>
      <c r="B459" s="20"/>
      <c r="C459" s="8"/>
    </row>
    <row r="460" spans="1:18">
      <c r="A460" s="13"/>
      <c r="B460" s="20"/>
      <c r="C460" s="8"/>
    </row>
    <row r="461" spans="1:18">
      <c r="A461" s="13"/>
      <c r="B461" s="20"/>
      <c r="C461" s="8"/>
    </row>
    <row r="462" spans="1:18">
      <c r="A462" s="13"/>
      <c r="B462" s="25"/>
      <c r="C462" s="8"/>
    </row>
    <row r="463" spans="1:18">
      <c r="A463" s="13"/>
      <c r="B463" s="25"/>
      <c r="C463" s="8"/>
    </row>
    <row r="464" spans="1:18">
      <c r="A464" s="13"/>
      <c r="B464" s="25"/>
      <c r="C464" s="8"/>
    </row>
    <row r="465" spans="1:18">
      <c r="A465" s="13"/>
      <c r="B465" s="25"/>
      <c r="C465" s="8"/>
    </row>
    <row r="466" spans="1:18">
      <c r="A466" s="13"/>
      <c r="B466" s="25"/>
      <c r="C466" s="15"/>
      <c r="D466" s="131"/>
      <c r="E466" s="131"/>
      <c r="F466" s="118"/>
      <c r="H466" s="2"/>
      <c r="O466" s="16"/>
    </row>
    <row r="467" spans="1:18">
      <c r="A467" s="13"/>
      <c r="B467" s="25"/>
      <c r="C467" s="15"/>
      <c r="D467" s="131"/>
      <c r="E467" s="131"/>
      <c r="F467" s="118"/>
      <c r="H467" s="2"/>
      <c r="O467" s="16"/>
    </row>
    <row r="468" spans="1:18">
      <c r="A468" s="13"/>
      <c r="B468" s="25"/>
      <c r="C468" s="15"/>
      <c r="D468" s="131"/>
      <c r="E468" s="131"/>
      <c r="F468" s="118"/>
      <c r="H468" s="2"/>
      <c r="O468" s="16"/>
    </row>
    <row r="469" spans="1:18">
      <c r="A469" s="109"/>
      <c r="B469" s="8"/>
      <c r="C469" s="13"/>
      <c r="D469" s="109"/>
      <c r="E469" s="109"/>
      <c r="H469" s="2"/>
      <c r="O469" s="16"/>
    </row>
    <row r="470" spans="1:18">
      <c r="A470" s="13"/>
      <c r="B470" s="8"/>
      <c r="C470" s="13"/>
      <c r="D470" s="109"/>
      <c r="E470" s="109"/>
      <c r="F470" s="119"/>
      <c r="H470" s="2"/>
      <c r="O470" s="16"/>
    </row>
    <row r="471" spans="1:18">
      <c r="A471" s="13"/>
      <c r="B471" s="8"/>
      <c r="C471" s="13"/>
      <c r="D471" s="109"/>
      <c r="E471" s="109"/>
      <c r="F471" s="119"/>
      <c r="H471" s="2"/>
      <c r="O471" s="16"/>
    </row>
    <row r="472" spans="1:18">
      <c r="A472" s="109"/>
      <c r="B472" s="8"/>
      <c r="C472" s="8"/>
      <c r="H472" s="2"/>
      <c r="O472" s="16"/>
    </row>
    <row r="473" spans="1:18">
      <c r="A473" s="109"/>
      <c r="B473" s="8"/>
      <c r="C473" s="8"/>
      <c r="H473" s="2"/>
      <c r="O473" s="16"/>
    </row>
    <row r="474" spans="1:18" s="2" customFormat="1">
      <c r="A474" s="13"/>
      <c r="B474" s="15"/>
      <c r="C474" s="15"/>
      <c r="D474" s="131"/>
      <c r="E474" s="131"/>
      <c r="F474" s="131"/>
      <c r="J474" s="17"/>
      <c r="O474" s="18"/>
      <c r="R474" s="19"/>
    </row>
    <row r="475" spans="1:18">
      <c r="A475" s="13"/>
      <c r="B475" s="8"/>
      <c r="C475" s="28"/>
    </row>
    <row r="476" spans="1:18">
      <c r="A476" s="13"/>
      <c r="B476" s="28"/>
      <c r="C476" s="8"/>
    </row>
    <row r="477" spans="1:18">
      <c r="A477" s="13"/>
      <c r="B477" s="8"/>
      <c r="C477" s="8"/>
    </row>
    <row r="478" spans="1:18">
      <c r="A478" s="13"/>
      <c r="B478" s="39"/>
      <c r="C478" s="8"/>
    </row>
    <row r="479" spans="1:18">
      <c r="A479" s="13"/>
      <c r="B479" s="39"/>
      <c r="C479" s="8"/>
    </row>
    <row r="480" spans="1:18">
      <c r="A480" s="13"/>
      <c r="B480" s="39"/>
      <c r="C480" s="8"/>
    </row>
    <row r="481" spans="1:14">
      <c r="A481" s="13"/>
      <c r="B481" s="40"/>
      <c r="C481" s="8"/>
    </row>
    <row r="482" spans="1:14">
      <c r="A482" s="13"/>
      <c r="B482" s="39"/>
      <c r="C482" s="8"/>
    </row>
    <row r="483" spans="1:14">
      <c r="A483" s="13"/>
      <c r="B483" s="39"/>
      <c r="C483" s="8"/>
    </row>
    <row r="484" spans="1:14">
      <c r="A484" s="13"/>
      <c r="B484" s="35"/>
      <c r="C484" s="8"/>
    </row>
    <row r="485" spans="1:14">
      <c r="A485" s="13"/>
      <c r="B485" s="39"/>
      <c r="C485" s="8"/>
      <c r="M485" s="25"/>
      <c r="N485" s="37"/>
    </row>
    <row r="486" spans="1:14">
      <c r="A486" s="13"/>
      <c r="B486" s="40"/>
      <c r="C486" s="8"/>
      <c r="M486" s="25"/>
      <c r="N486" s="37"/>
    </row>
    <row r="487" spans="1:14">
      <c r="A487" s="13"/>
      <c r="B487" s="40"/>
      <c r="C487" s="8"/>
      <c r="M487" s="25"/>
      <c r="N487" s="37"/>
    </row>
    <row r="488" spans="1:14">
      <c r="A488" s="13"/>
      <c r="B488" s="39"/>
      <c r="C488" s="8"/>
      <c r="M488" s="25"/>
      <c r="N488" s="37"/>
    </row>
    <row r="489" spans="1:14">
      <c r="A489" s="13"/>
      <c r="B489" s="35"/>
      <c r="C489" s="8"/>
      <c r="M489" s="25"/>
      <c r="N489" s="37"/>
    </row>
    <row r="490" spans="1:14">
      <c r="A490" s="13"/>
      <c r="B490" s="40"/>
      <c r="C490" s="8"/>
      <c r="M490" s="25"/>
      <c r="N490" s="37"/>
    </row>
    <row r="491" spans="1:14">
      <c r="A491" s="13"/>
      <c r="B491" s="40"/>
      <c r="C491" s="8"/>
      <c r="M491" s="25"/>
      <c r="N491" s="37"/>
    </row>
    <row r="492" spans="1:14">
      <c r="A492" s="13"/>
      <c r="B492" s="40"/>
      <c r="C492" s="8"/>
      <c r="M492" s="25"/>
      <c r="N492" s="37"/>
    </row>
    <row r="493" spans="1:14">
      <c r="A493" s="13"/>
      <c r="B493" s="40"/>
      <c r="C493" s="8"/>
      <c r="M493" s="25"/>
      <c r="N493" s="37"/>
    </row>
    <row r="494" spans="1:14">
      <c r="A494" s="13"/>
      <c r="B494" s="40"/>
      <c r="C494" s="8"/>
      <c r="M494" s="25"/>
      <c r="N494" s="37"/>
    </row>
    <row r="495" spans="1:14">
      <c r="A495" s="13"/>
      <c r="B495" s="40"/>
      <c r="C495" s="8"/>
    </row>
    <row r="496" spans="1:14">
      <c r="A496" s="13"/>
      <c r="B496" s="35"/>
      <c r="C496" s="8"/>
    </row>
    <row r="497" spans="1:18">
      <c r="A497" s="13"/>
      <c r="B497" s="35"/>
      <c r="C497" s="8"/>
    </row>
    <row r="498" spans="1:18">
      <c r="A498" s="13"/>
      <c r="B498" s="35"/>
      <c r="C498" s="8"/>
    </row>
    <row r="499" spans="1:18">
      <c r="A499" s="13"/>
      <c r="B499" s="35"/>
      <c r="C499" s="8"/>
    </row>
    <row r="500" spans="1:18">
      <c r="A500" s="13"/>
      <c r="B500" s="25"/>
      <c r="C500" s="15"/>
      <c r="D500" s="131"/>
      <c r="E500" s="131"/>
      <c r="F500" s="118"/>
      <c r="H500" s="2"/>
      <c r="O500" s="16"/>
    </row>
    <row r="501" spans="1:18">
      <c r="A501" s="13"/>
      <c r="B501" s="25"/>
      <c r="C501" s="15"/>
      <c r="D501" s="131"/>
      <c r="E501" s="131"/>
      <c r="F501" s="118"/>
      <c r="H501" s="2"/>
      <c r="O501" s="16"/>
    </row>
    <row r="502" spans="1:18">
      <c r="A502" s="13"/>
      <c r="B502" s="25"/>
      <c r="C502" s="15"/>
      <c r="D502" s="131"/>
      <c r="E502" s="131"/>
      <c r="F502" s="118"/>
      <c r="H502" s="2"/>
      <c r="O502" s="16"/>
    </row>
    <row r="503" spans="1:18">
      <c r="A503" s="109"/>
      <c r="B503" s="8"/>
      <c r="C503" s="13"/>
      <c r="D503" s="109"/>
      <c r="E503" s="109"/>
      <c r="H503" s="2"/>
      <c r="O503" s="16"/>
    </row>
    <row r="504" spans="1:18">
      <c r="A504" s="13"/>
      <c r="B504" s="8"/>
      <c r="C504" s="13"/>
      <c r="D504" s="109"/>
      <c r="E504" s="109"/>
      <c r="F504" s="119"/>
      <c r="H504" s="2"/>
      <c r="O504" s="16"/>
    </row>
    <row r="505" spans="1:18">
      <c r="A505" s="13"/>
      <c r="B505" s="8"/>
      <c r="C505" s="13"/>
      <c r="D505" s="109"/>
      <c r="E505" s="109"/>
      <c r="F505" s="119"/>
      <c r="H505" s="2"/>
      <c r="O505" s="16"/>
    </row>
    <row r="506" spans="1:18">
      <c r="A506" s="109"/>
      <c r="B506" s="8"/>
      <c r="C506" s="8"/>
      <c r="H506" s="2"/>
      <c r="O506" s="16"/>
    </row>
    <row r="507" spans="1:18">
      <c r="A507" s="109"/>
      <c r="B507" s="8"/>
      <c r="C507" s="8"/>
      <c r="H507" s="2"/>
      <c r="O507" s="16"/>
    </row>
    <row r="508" spans="1:18" s="2" customFormat="1">
      <c r="A508" s="13"/>
      <c r="B508" s="15"/>
      <c r="C508" s="15"/>
      <c r="D508" s="131"/>
      <c r="E508" s="131"/>
      <c r="F508" s="131"/>
      <c r="J508" s="17"/>
      <c r="O508" s="18"/>
      <c r="R508" s="19"/>
    </row>
    <row r="509" spans="1:18">
      <c r="A509" s="13"/>
      <c r="B509" s="8"/>
      <c r="C509" s="28"/>
    </row>
    <row r="510" spans="1:18">
      <c r="A510" s="13"/>
      <c r="B510" s="35"/>
      <c r="C510" s="8"/>
    </row>
    <row r="511" spans="1:18">
      <c r="A511" s="13"/>
      <c r="B511" s="8"/>
      <c r="C511" s="8"/>
    </row>
    <row r="512" spans="1:18">
      <c r="A512" s="13"/>
      <c r="B512" s="39"/>
      <c r="C512" s="8"/>
    </row>
    <row r="513" spans="1:3">
      <c r="A513" s="13"/>
      <c r="B513" s="39"/>
      <c r="C513" s="8"/>
    </row>
    <row r="514" spans="1:3">
      <c r="A514" s="13"/>
      <c r="B514" s="39"/>
      <c r="C514" s="8"/>
    </row>
    <row r="515" spans="1:3">
      <c r="A515" s="13"/>
      <c r="B515" s="40"/>
      <c r="C515" s="8"/>
    </row>
    <row r="516" spans="1:3">
      <c r="A516" s="13"/>
      <c r="B516" s="39"/>
      <c r="C516" s="8"/>
    </row>
    <row r="517" spans="1:3">
      <c r="A517" s="13"/>
      <c r="B517" s="39"/>
      <c r="C517" s="8"/>
    </row>
    <row r="518" spans="1:3">
      <c r="A518" s="13"/>
      <c r="B518" s="35"/>
      <c r="C518" s="8"/>
    </row>
    <row r="519" spans="1:3">
      <c r="A519" s="13"/>
      <c r="B519" s="39"/>
      <c r="C519" s="8"/>
    </row>
    <row r="520" spans="1:3">
      <c r="A520" s="13"/>
      <c r="B520" s="40"/>
      <c r="C520" s="8"/>
    </row>
    <row r="521" spans="1:3">
      <c r="A521" s="13"/>
      <c r="B521" s="40"/>
      <c r="C521" s="8"/>
    </row>
    <row r="522" spans="1:3">
      <c r="A522" s="13"/>
      <c r="B522" s="39"/>
      <c r="C522" s="8"/>
    </row>
    <row r="523" spans="1:3">
      <c r="A523" s="13"/>
      <c r="B523" s="35"/>
      <c r="C523" s="8"/>
    </row>
    <row r="524" spans="1:3">
      <c r="A524" s="13"/>
      <c r="B524" s="40"/>
      <c r="C524" s="8"/>
    </row>
    <row r="525" spans="1:3">
      <c r="A525" s="13"/>
      <c r="B525" s="40"/>
      <c r="C525" s="8"/>
    </row>
    <row r="526" spans="1:3">
      <c r="A526" s="13"/>
      <c r="B526" s="40"/>
      <c r="C526" s="8"/>
    </row>
    <row r="527" spans="1:3">
      <c r="A527" s="13"/>
      <c r="B527" s="40"/>
      <c r="C527" s="8"/>
    </row>
    <row r="528" spans="1:3">
      <c r="A528" s="13"/>
      <c r="B528" s="40"/>
      <c r="C528" s="8"/>
    </row>
    <row r="529" spans="1:3">
      <c r="A529" s="13"/>
      <c r="B529" s="40"/>
      <c r="C529" s="8"/>
    </row>
    <row r="530" spans="1:3">
      <c r="A530" s="13"/>
      <c r="B530" s="40"/>
      <c r="C530" s="8"/>
    </row>
    <row r="531" spans="1:3">
      <c r="A531" s="13"/>
      <c r="B531" s="22"/>
      <c r="C531" s="8"/>
    </row>
    <row r="532" spans="1:3">
      <c r="A532" s="13"/>
      <c r="B532" s="22"/>
      <c r="C532" s="8"/>
    </row>
    <row r="533" spans="1:3">
      <c r="A533" s="13"/>
      <c r="B533" s="22"/>
      <c r="C533" s="8"/>
    </row>
    <row r="534" spans="1:3">
      <c r="A534" s="13"/>
      <c r="B534" s="20"/>
      <c r="C534" s="8"/>
    </row>
    <row r="535" spans="1:3">
      <c r="A535" s="13"/>
      <c r="B535" s="20"/>
      <c r="C535" s="8"/>
    </row>
    <row r="536" spans="1:3">
      <c r="A536" s="13"/>
      <c r="B536" s="20"/>
      <c r="C536" s="8"/>
    </row>
    <row r="537" spans="1:3">
      <c r="A537" s="13"/>
      <c r="B537" s="22"/>
      <c r="C537" s="8"/>
    </row>
    <row r="538" spans="1:3">
      <c r="A538" s="13"/>
      <c r="B538" s="20"/>
      <c r="C538" s="8"/>
    </row>
    <row r="539" spans="1:3">
      <c r="A539" s="13"/>
      <c r="B539" s="22"/>
      <c r="C539" s="8"/>
    </row>
    <row r="540" spans="1:3">
      <c r="A540" s="13"/>
      <c r="B540" s="20"/>
      <c r="C540" s="8"/>
    </row>
    <row r="541" spans="1:3">
      <c r="A541" s="13"/>
      <c r="B541" s="25"/>
      <c r="C541" s="8"/>
    </row>
    <row r="542" spans="1:3">
      <c r="A542" s="13"/>
      <c r="B542" s="25"/>
      <c r="C542" s="8"/>
    </row>
    <row r="543" spans="1:3">
      <c r="A543" s="13"/>
      <c r="B543" s="25"/>
      <c r="C543" s="8"/>
    </row>
    <row r="544" spans="1:3">
      <c r="A544" s="13"/>
      <c r="B544" s="20"/>
      <c r="C544" s="8"/>
    </row>
    <row r="545" spans="1:3">
      <c r="A545" s="13"/>
      <c r="B545" s="22"/>
      <c r="C545" s="8"/>
    </row>
    <row r="546" spans="1:3">
      <c r="A546" s="13"/>
      <c r="B546" s="20"/>
      <c r="C546" s="8"/>
    </row>
    <row r="547" spans="1:3">
      <c r="A547" s="13"/>
      <c r="B547" s="22"/>
      <c r="C547" s="8"/>
    </row>
    <row r="548" spans="1:3">
      <c r="A548" s="13"/>
      <c r="B548" s="22"/>
      <c r="C548" s="8"/>
    </row>
    <row r="549" spans="1:3">
      <c r="A549" s="13"/>
      <c r="B549" s="20"/>
      <c r="C549" s="8"/>
    </row>
    <row r="550" spans="1:3">
      <c r="A550" s="13"/>
      <c r="B550" s="20"/>
      <c r="C550" s="8"/>
    </row>
    <row r="551" spans="1:3">
      <c r="A551" s="13"/>
      <c r="B551" s="20"/>
      <c r="C551" s="8"/>
    </row>
    <row r="552" spans="1:3">
      <c r="A552" s="13"/>
      <c r="B552" s="20"/>
      <c r="C552" s="8"/>
    </row>
    <row r="553" spans="1:3">
      <c r="A553" s="13"/>
      <c r="B553" s="20"/>
      <c r="C553" s="8"/>
    </row>
    <row r="554" spans="1:3">
      <c r="A554" s="13"/>
      <c r="B554" s="20"/>
      <c r="C554" s="8"/>
    </row>
    <row r="555" spans="1:3">
      <c r="A555" s="13"/>
      <c r="B555" s="22"/>
      <c r="C555" s="8"/>
    </row>
    <row r="556" spans="1:3">
      <c r="A556" s="13"/>
      <c r="B556" s="22"/>
      <c r="C556" s="8"/>
    </row>
    <row r="557" spans="1:3">
      <c r="A557" s="13"/>
      <c r="B557" s="20"/>
      <c r="C557" s="8"/>
    </row>
    <row r="558" spans="1:3">
      <c r="A558" s="13"/>
      <c r="B558" s="25"/>
      <c r="C558" s="8"/>
    </row>
    <row r="559" spans="1:3">
      <c r="A559" s="13"/>
      <c r="B559" s="20"/>
      <c r="C559" s="8"/>
    </row>
    <row r="560" spans="1:3">
      <c r="A560" s="13"/>
      <c r="B560" s="20"/>
      <c r="C560" s="8"/>
    </row>
    <row r="561" spans="1:3">
      <c r="A561" s="13"/>
      <c r="B561" s="20"/>
      <c r="C561" s="8"/>
    </row>
    <row r="562" spans="1:3">
      <c r="A562" s="13"/>
      <c r="B562" s="20"/>
      <c r="C562" s="8"/>
    </row>
    <row r="563" spans="1:3">
      <c r="A563" s="13"/>
      <c r="B563" s="20"/>
      <c r="C563" s="8"/>
    </row>
    <row r="564" spans="1:3">
      <c r="A564" s="13"/>
      <c r="B564" s="22"/>
      <c r="C564" s="8"/>
    </row>
    <row r="565" spans="1:3">
      <c r="A565" s="13"/>
      <c r="B565" s="22"/>
      <c r="C565" s="8"/>
    </row>
    <row r="566" spans="1:3">
      <c r="A566" s="13"/>
      <c r="B566" s="22"/>
      <c r="C566" s="8"/>
    </row>
    <row r="567" spans="1:3">
      <c r="A567" s="13"/>
      <c r="B567" s="22"/>
      <c r="C567" s="8"/>
    </row>
    <row r="568" spans="1:3">
      <c r="A568" s="13"/>
      <c r="B568" s="20"/>
      <c r="C568" s="8"/>
    </row>
    <row r="569" spans="1:3">
      <c r="A569" s="13"/>
      <c r="B569" s="20"/>
      <c r="C569" s="8"/>
    </row>
    <row r="570" spans="1:3">
      <c r="A570" s="13"/>
      <c r="B570" s="20"/>
      <c r="C570" s="8"/>
    </row>
    <row r="571" spans="1:3">
      <c r="A571" s="13"/>
      <c r="B571" s="22"/>
      <c r="C571" s="8"/>
    </row>
    <row r="572" spans="1:3">
      <c r="A572" s="13"/>
      <c r="B572" s="22"/>
      <c r="C572" s="8"/>
    </row>
    <row r="573" spans="1:3">
      <c r="A573" s="13"/>
      <c r="B573" s="22"/>
      <c r="C573" s="8"/>
    </row>
    <row r="574" spans="1:3">
      <c r="A574" s="13"/>
      <c r="B574" s="22"/>
      <c r="C574" s="8"/>
    </row>
    <row r="575" spans="1:3">
      <c r="A575" s="13"/>
      <c r="B575" s="22"/>
      <c r="C575" s="8"/>
    </row>
    <row r="576" spans="1:3">
      <c r="A576" s="13"/>
      <c r="B576" s="20"/>
      <c r="C576" s="8"/>
    </row>
    <row r="577" spans="1:3">
      <c r="A577" s="13"/>
      <c r="B577" s="22"/>
      <c r="C577" s="8"/>
    </row>
    <row r="578" spans="1:3">
      <c r="A578" s="13"/>
      <c r="B578" s="20"/>
      <c r="C578" s="8"/>
    </row>
    <row r="579" spans="1:3">
      <c r="A579" s="13"/>
      <c r="B579" s="20"/>
      <c r="C579" s="8"/>
    </row>
    <row r="580" spans="1:3">
      <c r="A580" s="13"/>
      <c r="B580" s="20"/>
      <c r="C580" s="8"/>
    </row>
    <row r="581" spans="1:3">
      <c r="A581" s="13"/>
      <c r="B581" s="20"/>
      <c r="C581" s="8"/>
    </row>
    <row r="582" spans="1:3">
      <c r="A582" s="13"/>
      <c r="B582" s="20"/>
      <c r="C582" s="8"/>
    </row>
    <row r="583" spans="1:3">
      <c r="A583" s="13"/>
      <c r="B583" s="22"/>
      <c r="C583" s="8"/>
    </row>
    <row r="584" spans="1:3">
      <c r="A584" s="13"/>
      <c r="B584" s="22"/>
      <c r="C584" s="8"/>
    </row>
    <row r="585" spans="1:3">
      <c r="A585" s="13"/>
      <c r="B585" s="25"/>
      <c r="C585" s="8"/>
    </row>
    <row r="586" spans="1:3">
      <c r="A586" s="13"/>
      <c r="B586" s="25"/>
      <c r="C586" s="8"/>
    </row>
    <row r="587" spans="1:3">
      <c r="A587" s="13"/>
      <c r="B587" s="25"/>
      <c r="C587" s="8"/>
    </row>
    <row r="588" spans="1:3">
      <c r="A588" s="13"/>
      <c r="B588" s="25"/>
      <c r="C588" s="8"/>
    </row>
    <row r="589" spans="1:3">
      <c r="A589" s="13"/>
      <c r="B589" s="20"/>
      <c r="C589" s="8"/>
    </row>
    <row r="590" spans="1:3">
      <c r="A590" s="13"/>
      <c r="B590" s="25"/>
      <c r="C590" s="8"/>
    </row>
    <row r="591" spans="1:3">
      <c r="A591" s="13"/>
      <c r="B591" s="25"/>
      <c r="C591" s="8"/>
    </row>
    <row r="592" spans="1:3">
      <c r="A592" s="13"/>
      <c r="B592" s="25"/>
      <c r="C592" s="8"/>
    </row>
    <row r="593" spans="1:13">
      <c r="A593" s="13"/>
      <c r="B593" s="25"/>
      <c r="C593" s="8"/>
    </row>
    <row r="594" spans="1:13">
      <c r="A594" s="13"/>
      <c r="B594" s="22"/>
      <c r="C594" s="8"/>
      <c r="L594" s="25"/>
      <c r="M594" s="37"/>
    </row>
    <row r="595" spans="1:13">
      <c r="A595" s="13"/>
      <c r="B595" s="25"/>
      <c r="C595" s="8"/>
      <c r="L595" s="25"/>
      <c r="M595" s="37"/>
    </row>
    <row r="596" spans="1:13">
      <c r="A596" s="13"/>
      <c r="B596" s="25"/>
      <c r="C596" s="8"/>
      <c r="L596" s="25"/>
      <c r="M596" s="37"/>
    </row>
    <row r="597" spans="1:13">
      <c r="A597" s="13"/>
      <c r="B597" s="25"/>
      <c r="C597" s="8"/>
      <c r="L597" s="25"/>
      <c r="M597" s="37"/>
    </row>
    <row r="598" spans="1:13">
      <c r="A598" s="13"/>
      <c r="B598" s="25"/>
      <c r="C598" s="8"/>
      <c r="L598" s="25"/>
      <c r="M598" s="37"/>
    </row>
    <row r="599" spans="1:13">
      <c r="A599" s="13"/>
      <c r="B599" s="25"/>
      <c r="C599" s="8"/>
      <c r="L599" s="25"/>
      <c r="M599" s="37"/>
    </row>
    <row r="600" spans="1:13">
      <c r="A600" s="13"/>
      <c r="B600" s="25"/>
      <c r="C600" s="8"/>
    </row>
    <row r="601" spans="1:13">
      <c r="A601" s="13"/>
      <c r="B601" s="25"/>
      <c r="C601" s="8"/>
    </row>
    <row r="602" spans="1:13">
      <c r="A602" s="13"/>
      <c r="B602" s="25"/>
      <c r="C602" s="8"/>
    </row>
    <row r="603" spans="1:13">
      <c r="A603" s="13"/>
      <c r="B603" s="25"/>
      <c r="C603" s="8"/>
    </row>
    <row r="604" spans="1:13">
      <c r="A604" s="13"/>
      <c r="B604" s="25"/>
      <c r="C604" s="8"/>
      <c r="K604" s="25"/>
      <c r="L604" s="37"/>
    </row>
    <row r="605" spans="1:13">
      <c r="A605" s="13"/>
      <c r="B605" s="25"/>
      <c r="C605" s="8"/>
      <c r="K605" s="25"/>
      <c r="L605" s="37"/>
    </row>
    <row r="606" spans="1:13">
      <c r="A606" s="13"/>
      <c r="B606" s="22"/>
      <c r="C606" s="8"/>
      <c r="K606" s="25"/>
      <c r="L606" s="37"/>
    </row>
    <row r="607" spans="1:13">
      <c r="A607" s="13"/>
      <c r="B607" s="20"/>
      <c r="C607" s="8"/>
    </row>
    <row r="608" spans="1:13">
      <c r="A608" s="13"/>
      <c r="B608" s="25"/>
      <c r="C608" s="8"/>
    </row>
    <row r="609" spans="1:15">
      <c r="A609" s="13"/>
      <c r="B609" s="25"/>
      <c r="C609" s="8"/>
    </row>
    <row r="610" spans="1:15">
      <c r="A610" s="13"/>
      <c r="B610" s="25"/>
      <c r="C610" s="8"/>
      <c r="O610" s="16"/>
    </row>
    <row r="611" spans="1:15">
      <c r="A611" s="13"/>
      <c r="B611" s="25"/>
      <c r="C611" s="8"/>
    </row>
    <row r="612" spans="1:15">
      <c r="A612" s="13"/>
      <c r="B612" s="25"/>
      <c r="C612" s="8"/>
    </row>
    <row r="613" spans="1:15">
      <c r="A613" s="13"/>
      <c r="B613" s="25"/>
      <c r="C613" s="8"/>
    </row>
    <row r="614" spans="1:15">
      <c r="A614" s="13"/>
      <c r="B614" s="20"/>
      <c r="C614" s="8"/>
    </row>
    <row r="615" spans="1:15">
      <c r="A615" s="13"/>
      <c r="B615" s="22"/>
      <c r="C615" s="8"/>
    </row>
    <row r="616" spans="1:15">
      <c r="A616" s="13"/>
      <c r="B616" s="22"/>
      <c r="C616" s="8"/>
    </row>
    <row r="617" spans="1:15">
      <c r="A617" s="13"/>
      <c r="B617" s="22"/>
      <c r="C617" s="8"/>
    </row>
    <row r="618" spans="1:15">
      <c r="A618" s="13"/>
      <c r="B618" s="22"/>
      <c r="C618" s="8"/>
    </row>
    <row r="619" spans="1:15">
      <c r="A619" s="13"/>
      <c r="B619" s="20"/>
      <c r="C619" s="8"/>
    </row>
    <row r="620" spans="1:15">
      <c r="A620" s="13"/>
      <c r="B620" s="20"/>
      <c r="C620" s="8"/>
    </row>
    <row r="621" spans="1:15">
      <c r="A621" s="13"/>
      <c r="B621" s="20"/>
      <c r="C621" s="8"/>
    </row>
    <row r="622" spans="1:15">
      <c r="A622" s="13"/>
      <c r="B622" s="20"/>
      <c r="C622" s="8"/>
    </row>
    <row r="623" spans="1:15">
      <c r="A623" s="13"/>
      <c r="B623" s="20"/>
      <c r="C623" s="8"/>
    </row>
    <row r="624" spans="1:15">
      <c r="A624" s="13"/>
      <c r="B624" s="25"/>
      <c r="C624" s="8"/>
    </row>
    <row r="625" spans="1:3">
      <c r="A625" s="13"/>
      <c r="B625" s="22"/>
      <c r="C625" s="8"/>
    </row>
    <row r="626" spans="1:3">
      <c r="A626" s="13"/>
      <c r="B626" s="25"/>
      <c r="C626" s="8"/>
    </row>
    <row r="627" spans="1:3">
      <c r="A627" s="13"/>
      <c r="B627" s="25"/>
      <c r="C627" s="8"/>
    </row>
    <row r="628" spans="1:3">
      <c r="A628" s="13"/>
      <c r="B628" s="25"/>
      <c r="C628" s="8"/>
    </row>
    <row r="629" spans="1:3">
      <c r="A629" s="13"/>
      <c r="B629" s="25"/>
      <c r="C629" s="8"/>
    </row>
    <row r="630" spans="1:3">
      <c r="A630" s="13"/>
      <c r="B630" s="22"/>
      <c r="C630" s="8"/>
    </row>
    <row r="631" spans="1:3">
      <c r="A631" s="13"/>
      <c r="B631" s="22"/>
      <c r="C631" s="8"/>
    </row>
    <row r="632" spans="1:3">
      <c r="A632" s="13"/>
      <c r="B632" s="20"/>
      <c r="C632" s="8"/>
    </row>
    <row r="633" spans="1:3">
      <c r="A633" s="13"/>
      <c r="B633" s="20"/>
      <c r="C633" s="8"/>
    </row>
    <row r="634" spans="1:3">
      <c r="A634" s="13"/>
      <c r="B634" s="20"/>
      <c r="C634" s="8"/>
    </row>
    <row r="635" spans="1:3">
      <c r="A635" s="13"/>
      <c r="B635" s="20"/>
      <c r="C635" s="8"/>
    </row>
    <row r="636" spans="1:3">
      <c r="A636" s="13"/>
      <c r="B636" s="20"/>
      <c r="C636" s="8"/>
    </row>
    <row r="637" spans="1:3">
      <c r="A637" s="13"/>
      <c r="B637" s="20"/>
      <c r="C637" s="8"/>
    </row>
    <row r="638" spans="1:3">
      <c r="A638" s="13"/>
      <c r="B638" s="20"/>
      <c r="C638" s="8"/>
    </row>
    <row r="639" spans="1:3">
      <c r="A639" s="13"/>
      <c r="B639" s="20"/>
      <c r="C639" s="8"/>
    </row>
    <row r="640" spans="1:3">
      <c r="A640" s="13"/>
      <c r="B640" s="22"/>
      <c r="C640" s="8"/>
    </row>
    <row r="641" spans="1:5">
      <c r="A641" s="13"/>
      <c r="B641" s="22"/>
      <c r="C641" s="8"/>
    </row>
    <row r="642" spans="1:5">
      <c r="A642" s="13"/>
      <c r="B642" s="20"/>
      <c r="C642" s="8"/>
    </row>
    <row r="643" spans="1:5">
      <c r="A643" s="13"/>
      <c r="B643" s="22"/>
      <c r="C643" s="8"/>
    </row>
    <row r="644" spans="1:5">
      <c r="A644" s="13"/>
      <c r="B644" s="22"/>
      <c r="C644" s="8"/>
    </row>
    <row r="645" spans="1:5">
      <c r="A645" s="13"/>
      <c r="B645" s="22"/>
      <c r="C645" s="8"/>
    </row>
    <row r="646" spans="1:5">
      <c r="A646" s="13"/>
      <c r="B646" s="20"/>
      <c r="C646" s="8"/>
    </row>
    <row r="647" spans="1:5">
      <c r="A647" s="13"/>
      <c r="B647" s="20"/>
      <c r="C647" s="8"/>
    </row>
    <row r="648" spans="1:5">
      <c r="A648" s="13"/>
      <c r="B648" s="20"/>
      <c r="C648" s="8"/>
    </row>
    <row r="649" spans="1:5">
      <c r="A649" s="13"/>
      <c r="B649" s="20"/>
      <c r="C649" s="8"/>
    </row>
    <row r="650" spans="1:5">
      <c r="B650" s="41"/>
    </row>
    <row r="651" spans="1:5">
      <c r="C651" s="42"/>
      <c r="D651" s="35"/>
      <c r="E651" s="35"/>
    </row>
  </sheetData>
  <customSheetViews>
    <customSheetView guid="{3FBB0C90-C6C1-480D-B078-514EE8852FAF}" showPageBreaks="1" fitToPage="1" printArea="1">
      <selection activeCell="C20" sqref="C20"/>
      <rowBreaks count="13" manualBreakCount="13">
        <brk id="51" max="7" man="1"/>
        <brk id="168" max="16383" man="1"/>
        <brk id="194" max="16383" man="1"/>
        <brk id="219" max="16383" man="1"/>
        <brk id="245" max="16383" man="1"/>
        <brk id="264" max="16383" man="1"/>
        <brk id="322" max="16383" man="1"/>
        <brk id="344" max="16383" man="1"/>
        <brk id="400" max="16383" man="1"/>
        <brk id="419" max="16383" man="1"/>
        <brk id="453" max="16383" man="1"/>
        <brk id="516" max="16383" man="1"/>
        <brk id="574" max="16383" man="1"/>
      </rowBreaks>
      <pageMargins left="0.7" right="0.7" top="0.75" bottom="0.75" header="0.3" footer="0.3"/>
      <pageSetup scale="67" fitToHeight="2" orientation="landscape" horizontalDpi="1200" verticalDpi="1200" r:id="rId1"/>
      <headerFooter>
        <oddFooter>&amp;L&amp;F&amp;A&amp;D&amp;T</oddFooter>
      </headerFooter>
    </customSheetView>
  </customSheetViews>
  <printOptions horizontalCentered="1"/>
  <pageMargins left="0.7" right="0.7" top="0.75" bottom="0.75" header="0.3" footer="0.3"/>
  <pageSetup scale="59" fitToHeight="0" orientation="landscape" horizontalDpi="1200" verticalDpi="1200" r:id="rId2"/>
  <rowBreaks count="3" manualBreakCount="3">
    <brk id="47" max="5" man="1"/>
    <brk id="83" max="5" man="1"/>
    <brk id="177" max="5" man="1"/>
  </rowBreaks>
  <colBreaks count="1" manualBreakCount="1">
    <brk id="1" min="12" max="2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43</vt:i4>
      </vt:variant>
    </vt:vector>
  </HeadingPairs>
  <TitlesOfParts>
    <vt:vector size="68" baseType="lpstr">
      <vt:lpstr>Index</vt:lpstr>
      <vt:lpstr>Summary</vt:lpstr>
      <vt:lpstr>Schedule 1 Revenue Requirement</vt:lpstr>
      <vt:lpstr>Worksheet A Rate Base</vt:lpstr>
      <vt:lpstr>Worksheet B Expenses</vt:lpstr>
      <vt:lpstr>Worksheet C Return</vt:lpstr>
      <vt:lpstr>Worksheet D Load</vt:lpstr>
      <vt:lpstr>Worksheet E Alloc. Factor</vt:lpstr>
      <vt:lpstr>Worksheet F Inputs</vt:lpstr>
      <vt:lpstr>Worksheet G O&amp;M Input</vt:lpstr>
      <vt:lpstr>Worksheet H SPP Upgrades</vt:lpstr>
      <vt:lpstr>Worksheet I Depreciation Rates</vt:lpstr>
      <vt:lpstr>Worksheet J Reconciliation</vt:lpstr>
      <vt:lpstr>Worksheet K Wages Input</vt:lpstr>
      <vt:lpstr>Worksheet L Depreciation Exp</vt:lpstr>
      <vt:lpstr>Worksheet M OthRev Input</vt:lpstr>
      <vt:lpstr>Worksheet N Future Use</vt:lpstr>
      <vt:lpstr>Worksheet O Tran by Others</vt:lpstr>
      <vt:lpstr>Worksheet P 575576 Expense</vt:lpstr>
      <vt:lpstr>Worksheet Q Compl Not Class</vt:lpstr>
      <vt:lpstr>Worksheet R CWIP</vt:lpstr>
      <vt:lpstr>Worksheet S Reg. &amp; Comm. Exp.</vt:lpstr>
      <vt:lpstr>Worksheet T RWIP </vt:lpstr>
      <vt:lpstr> Worksheet U Stations</vt:lpstr>
      <vt:lpstr>Worksheet V Lines</vt:lpstr>
      <vt:lpstr>AlloFactors</vt:lpstr>
      <vt:lpstr>'Worksheet K Wages Input'!B</vt:lpstr>
      <vt:lpstr>' Worksheet U Stations'!Print_Area</vt:lpstr>
      <vt:lpstr>Index!Print_Area</vt:lpstr>
      <vt:lpstr>Summary!Print_Area</vt:lpstr>
      <vt:lpstr>'Worksheet A Rate Base'!Print_Area</vt:lpstr>
      <vt:lpstr>'Worksheet B Expenses'!Print_Area</vt:lpstr>
      <vt:lpstr>'Worksheet C Return'!Print_Area</vt:lpstr>
      <vt:lpstr>'Worksheet D Load'!Print_Area</vt:lpstr>
      <vt:lpstr>'Worksheet E Alloc. Factor'!Print_Area</vt:lpstr>
      <vt:lpstr>'Worksheet F Inputs'!Print_Area</vt:lpstr>
      <vt:lpstr>'Worksheet G O&amp;M Input'!Print_Area</vt:lpstr>
      <vt:lpstr>'Worksheet H SPP Upgrades'!Print_Area</vt:lpstr>
      <vt:lpstr>'Worksheet I Depreciation Rates'!Print_Area</vt:lpstr>
      <vt:lpstr>'Worksheet J Reconciliation'!Print_Area</vt:lpstr>
      <vt:lpstr>'Worksheet K Wages Input'!Print_Area</vt:lpstr>
      <vt:lpstr>'Worksheet L Depreciation Exp'!Print_Area</vt:lpstr>
      <vt:lpstr>'Worksheet M OthRev Input'!Print_Area</vt:lpstr>
      <vt:lpstr>'Worksheet N Future Use'!Print_Area</vt:lpstr>
      <vt:lpstr>'Worksheet O Tran by Others'!Print_Area</vt:lpstr>
      <vt:lpstr>'Worksheet P 575576 Expense'!Print_Area</vt:lpstr>
      <vt:lpstr>'Worksheet Q Compl Not Class'!Print_Area</vt:lpstr>
      <vt:lpstr>'Worksheet R CWIP'!Print_Area</vt:lpstr>
      <vt:lpstr>'Worksheet S Reg. &amp; Comm. Exp.'!Print_Area</vt:lpstr>
      <vt:lpstr>'Worksheet T RWIP '!Print_Area</vt:lpstr>
      <vt:lpstr>'Worksheet V Lines'!Print_Area</vt:lpstr>
      <vt:lpstr>' Worksheet U Stations'!Print_Titles</vt:lpstr>
      <vt:lpstr>Summary!Print_Titles</vt:lpstr>
      <vt:lpstr>'Worksheet A Rate Base'!Print_Titles</vt:lpstr>
      <vt:lpstr>'Worksheet B Expenses'!Print_Titles</vt:lpstr>
      <vt:lpstr>'Worksheet E Alloc. Factor'!Print_Titles</vt:lpstr>
      <vt:lpstr>'Worksheet F Inputs'!Print_Titles</vt:lpstr>
      <vt:lpstr>'Worksheet G O&amp;M Input'!Print_Titles</vt:lpstr>
      <vt:lpstr>'Worksheet J Reconciliation'!Print_Titles</vt:lpstr>
      <vt:lpstr>'Worksheet K Wages Input'!Print_Titles</vt:lpstr>
      <vt:lpstr>'Worksheet L Depreciation Exp'!Print_Titles</vt:lpstr>
      <vt:lpstr>'Worksheet M OthRev Input'!Print_Titles</vt:lpstr>
      <vt:lpstr>'Worksheet N Future Use'!Print_Titles</vt:lpstr>
      <vt:lpstr>'Worksheet O Tran by Others'!Print_Titles</vt:lpstr>
      <vt:lpstr>'Worksheet R CWIP'!Print_Titles</vt:lpstr>
      <vt:lpstr>'Worksheet S Reg. &amp; Comm. Exp.'!Print_Titles</vt:lpstr>
      <vt:lpstr>'Worksheet T RWIP '!Print_Titles</vt:lpstr>
      <vt:lpstr>'Worksheet V Lines'!Print_Titles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A. Cevera</dc:creator>
  <cp:lastModifiedBy>Beyer, Jennifer</cp:lastModifiedBy>
  <cp:lastPrinted>2017-04-04T01:35:52Z</cp:lastPrinted>
  <dcterms:created xsi:type="dcterms:W3CDTF">2012-12-17T18:55:00Z</dcterms:created>
  <dcterms:modified xsi:type="dcterms:W3CDTF">2017-06-20T14:02:02Z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