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sanders\Documents\aa-rates\2022\"/>
    </mc:Choice>
  </mc:AlternateContent>
  <xr:revisionPtr revIDLastSave="0" documentId="8_{215DA5D7-51C6-49BD-9770-8D4E0E1926B6}" xr6:coauthVersionLast="47" xr6:coauthVersionMax="47" xr10:uidLastSave="{00000000-0000-0000-0000-000000000000}"/>
  <bookViews>
    <workbookView xWindow="-110" yWindow="-110" windowWidth="19420" windowHeight="10420" tabRatio="826" activeTab="1" xr2:uid="{00000000-000D-0000-FFFF-FFFF00000000}"/>
  </bookViews>
  <sheets>
    <sheet name="Rev Log" sheetId="31" r:id="rId1"/>
    <sheet name="Cover Sheets" sheetId="29" r:id="rId2"/>
    <sheet name="Summary-TrueUp" sheetId="11" r:id="rId3"/>
    <sheet name="WS1-RateBase" sheetId="2" r:id="rId4"/>
    <sheet name="WS3-RevCredits" sheetId="25" r:id="rId5"/>
    <sheet name="WS2-AllocFactor" sheetId="4" r:id="rId6"/>
    <sheet name="WS4-CostData" sheetId="3" r:id="rId7"/>
    <sheet name="WS5-BPUz" sheetId="26" r:id="rId8"/>
    <sheet name="WS6-BPUr" sheetId="27" r:id="rId9"/>
    <sheet name="WS7-BPUFac" sheetId="28" r:id="rId10"/>
    <sheet name="WS8-TransFac" sheetId="1" r:id="rId11"/>
    <sheet name="WS9-AI-Incl" sheetId="23" r:id="rId12"/>
    <sheet name="WS10-AI-Excl" sheetId="24" r:id="rId13"/>
    <sheet name="WS11-FacChanges" sheetId="22" r:id="rId14"/>
    <sheet name="WS12-SSCD" sheetId="6" r:id="rId15"/>
    <sheet name="WS13-SSCDFac" sheetId="5" r:id="rId16"/>
    <sheet name="WS14-Reg" sheetId="10" r:id="rId17"/>
    <sheet name="WS15-Res" sheetId="9" r:id="rId18"/>
  </sheets>
  <externalReferences>
    <externalReference r:id="rId19"/>
    <externalReference r:id="rId20"/>
  </externalReferences>
  <definedNames>
    <definedName name="Act14_ActRegRevRqmt" localSheetId="1">'[1]Input Sheet'!#REF!</definedName>
    <definedName name="Act14_ActRegRevRqmt" localSheetId="0">'[2]Input Sheet'!#REF!</definedName>
    <definedName name="Act14_ActRegRevRqmt" localSheetId="13">'[1]Input Sheet'!#REF!</definedName>
    <definedName name="Act14_ActRegRevRqmt" localSheetId="4">'[1]Input Sheet'!#REF!</definedName>
    <definedName name="Act14_ActRegRevRqmt" localSheetId="7">'[1]Input Sheet'!#REF!</definedName>
    <definedName name="Act14_ActRegRevRqmt" localSheetId="8">'[1]Input Sheet'!#REF!</definedName>
    <definedName name="Act14_ActRegRevRqmt" localSheetId="9">'[1]Input Sheet'!#REF!</definedName>
    <definedName name="Act14_ActRegRevRqmt">'[1]Input Sheet'!#REF!</definedName>
    <definedName name="Act14_AveControlAreaLoad" localSheetId="0">'[2]Input Sheet'!$H$143</definedName>
    <definedName name="Act14_AveControlAreaLoad">'[1]Input Sheet'!$H$143</definedName>
    <definedName name="Act14_BOR_AccumDepr" localSheetId="0">'[2]Input Sheet'!$H$42</definedName>
    <definedName name="Act14_BOR_AccumDepr">'[1]Input Sheet'!$H$42</definedName>
    <definedName name="Act14_BOR_DeprExp" localSheetId="0">'[2]Input Sheet'!$H$87</definedName>
    <definedName name="Act14_BOR_DeprExp">'[1]Input Sheet'!$H$87</definedName>
    <definedName name="Act14_BOR_LTDebt" localSheetId="0">'[2]Input Sheet'!$H$96</definedName>
    <definedName name="Act14_BOR_LTDebt">'[1]Input Sheet'!$H$96</definedName>
    <definedName name="Act14_BOR_LTInt" localSheetId="0">'[2]Input Sheet'!$H$97</definedName>
    <definedName name="Act14_BOR_LTInt">'[1]Input Sheet'!$H$97</definedName>
    <definedName name="Act14_BOR_OM" localSheetId="0">'[2]Input Sheet'!$H$81</definedName>
    <definedName name="Act14_BOR_OM">'[1]Input Sheet'!$H$81</definedName>
    <definedName name="Act14_BOR_Plant" localSheetId="0">'[2]Input Sheet'!$H$31</definedName>
    <definedName name="Act14_BOR_Plant">'[1]Input Sheet'!$H$31</definedName>
    <definedName name="Act14_BxPS_BEFP_1411" localSheetId="0">'[2]Input Sheet'!$H$100</definedName>
    <definedName name="Act14_BxPS_BEFP_1411">'[1]Input Sheet'!$H$100</definedName>
    <definedName name="Act14_BxPS_BEFP_1412" localSheetId="0">'[2]Input Sheet'!$H$101</definedName>
    <definedName name="Act14_BxPS_BEFP_1412">'[1]Input Sheet'!$H$101</definedName>
    <definedName name="Act14_BxPS_BEFP_1415" localSheetId="0">'[2]Input Sheet'!$H$102</definedName>
    <definedName name="Act14_BxPS_BEFP_1415">'[1]Input Sheet'!$H$102</definedName>
    <definedName name="Act14_BxPS_BEFP_1416" localSheetId="0">'[2]Input Sheet'!$H$103</definedName>
    <definedName name="Act14_BxPS_BEFP_1416">'[1]Input Sheet'!$H$103</definedName>
    <definedName name="Act14_BxPS_BEFP_1421" localSheetId="0">'[2]Input Sheet'!$H$104</definedName>
    <definedName name="Act14_BxPS_BEFP_1421">'[1]Input Sheet'!$H$104</definedName>
    <definedName name="Act14_BxPS_BEFP_1422" localSheetId="0">'[2]Input Sheet'!$H$105</definedName>
    <definedName name="Act14_BxPS_BEFP_1422">'[1]Input Sheet'!$H$105</definedName>
    <definedName name="Act14_BxPS_BEFP_1425" localSheetId="0">'[2]Input Sheet'!$H$106</definedName>
    <definedName name="Act14_BxPS_BEFP_1425">'[1]Input Sheet'!$H$106</definedName>
    <definedName name="Act14_BxPS_BEFP_1426" localSheetId="0">'[2]Input Sheet'!$H$107</definedName>
    <definedName name="Act14_BxPS_BEFP_1426">'[1]Input Sheet'!$H$107</definedName>
    <definedName name="Act14_BxPS_BEFP_1431" localSheetId="0">'[2]Input Sheet'!$H$108</definedName>
    <definedName name="Act14_BxPS_BEFP_1431">'[1]Input Sheet'!$H$108</definedName>
    <definedName name="Act14_BxPS_BEFP_1432" localSheetId="0">'[2]Input Sheet'!$H$109</definedName>
    <definedName name="Act14_BxPS_BEFP_1432">'[1]Input Sheet'!$H$109</definedName>
    <definedName name="Act14_BxPS_BEFP_1441" localSheetId="0">'[2]Input Sheet'!$H$110</definedName>
    <definedName name="Act14_BxPS_BEFP_1441">'[1]Input Sheet'!$H$110</definedName>
    <definedName name="Act14_BxPS_BEFP_1442" localSheetId="0">'[2]Input Sheet'!$H$111</definedName>
    <definedName name="Act14_BxPS_BEFP_1442">'[1]Input Sheet'!$H$111</definedName>
    <definedName name="Act14_BxPS_BEFP_AccumDepr" localSheetId="0">'[2]Input Sheet'!$H$34</definedName>
    <definedName name="Act14_BxPS_BEFP_AccumDepr">'[1]Input Sheet'!$H$34</definedName>
    <definedName name="Act14_BxPS_BEFP_Additions" localSheetId="0">'[2]Input Sheet'!$H$45</definedName>
    <definedName name="Act14_BxPS_BEFP_Additions">'[1]Input Sheet'!$H$45</definedName>
    <definedName name="Act14_BxPS_BEFP_AdjTrans" localSheetId="0">'[2]Input Sheet'!$H$47</definedName>
    <definedName name="Act14_BxPS_BEFP_AdjTrans">'[1]Input Sheet'!$H$47</definedName>
    <definedName name="Act14_BxPS_BEFP_AGExp" localSheetId="0">'[2]Input Sheet'!$H$65</definedName>
    <definedName name="Act14_BxPS_BEFP_AGExp">'[1]Input Sheet'!$H$65</definedName>
    <definedName name="Act14_BxPS_BEFP_CME" localSheetId="0">'[2]Input Sheet'!$H$69</definedName>
    <definedName name="Act14_BxPS_BEFP_CME">'[1]Input Sheet'!$H$69</definedName>
    <definedName name="Act14_BxPS_BEFP_DepMOVP" localSheetId="0">'[2]Input Sheet'!$H$67</definedName>
    <definedName name="Act14_BxPS_BEFP_DepMOVP">'[1]Input Sheet'!$H$67</definedName>
    <definedName name="Act14_BxPS_BEFP_DeprExp" localSheetId="0">'[2]Input Sheet'!$H$84</definedName>
    <definedName name="Act14_BxPS_BEFP_DeprExp">'[1]Input Sheet'!$H$84</definedName>
    <definedName name="Act14_BxPS_BEFP_DispofAssets" localSheetId="0">'[2]Input Sheet'!$H$68</definedName>
    <definedName name="Act14_BxPS_BEFP_DispofAssets">'[1]Input Sheet'!$H$68</definedName>
    <definedName name="Act14_BxPS_BEFP_GenAccumDepr" localSheetId="0">'[2]Input Sheet'!$H$36</definedName>
    <definedName name="Act14_BxPS_BEFP_GenAccumDepr">'[1]Input Sheet'!$H$36</definedName>
    <definedName name="Act14_BxPS_BEFP_GenPlant" localSheetId="0">'[2]Input Sheet'!$H$19</definedName>
    <definedName name="Act14_BxPS_BEFP_GenPlant">'[1]Input Sheet'!$H$19</definedName>
    <definedName name="Act14_BxPS_BEFP_LTDebt" localSheetId="0">'[2]Input Sheet'!$H$90</definedName>
    <definedName name="Act14_BxPS_BEFP_LTDebt">'[1]Input Sheet'!$H$90</definedName>
    <definedName name="Act14_BxPS_BEFP_LTInt" localSheetId="0">'[2]Input Sheet'!$H$91</definedName>
    <definedName name="Act14_BxPS_BEFP_LTInt">'[1]Input Sheet'!$H$91</definedName>
    <definedName name="Act14_BxPS_BEFP_OtherPowerExp" localSheetId="0">'[2]Input Sheet'!$H$64</definedName>
    <definedName name="Act14_BxPS_BEFP_OtherPowerExp">'[1]Input Sheet'!$H$64</definedName>
    <definedName name="Act14_BxPS_BEFP_Plant" localSheetId="0">'[2]Input Sheet'!$H$16</definedName>
    <definedName name="Act14_BxPS_BEFP_Plant">'[1]Input Sheet'!$H$16</definedName>
    <definedName name="Act14_BxPS_BEFP_PY_Adj" localSheetId="0">'[2]Input Sheet'!$H$66</definedName>
    <definedName name="Act14_BxPS_BEFP_PY_Adj">'[1]Input Sheet'!$H$66</definedName>
    <definedName name="Act14_BxPS_BEFP_Repl" localSheetId="0">'[2]Input Sheet'!$H$46</definedName>
    <definedName name="Act14_BxPS_BEFP_Repl">'[1]Input Sheet'!$H$46</definedName>
    <definedName name="Act14_BxPS_BEFP_Retr" localSheetId="0">'[2]Input Sheet'!$H$48</definedName>
    <definedName name="Act14_BxPS_BEFP_Retr">'[1]Input Sheet'!$H$48</definedName>
    <definedName name="Act14_BxPS_BEFP_SSCD_OpExp" localSheetId="0">'[2]Input Sheet'!$H$71</definedName>
    <definedName name="Act14_BxPS_BEFP_SSCD_OpExp">'[1]Input Sheet'!$H$71</definedName>
    <definedName name="Act14_BxPS_BEFP_SSCDPlant" localSheetId="0">'[2]Input Sheet'!$H$21</definedName>
    <definedName name="Act14_BxPS_BEFP_SSCDPlant">'[1]Input Sheet'!$H$21</definedName>
    <definedName name="Act14_BxPS_BEFP_TotalOpExpense" localSheetId="0">'[2]Input Sheet'!$H$62</definedName>
    <definedName name="Act14_BxPS_BEFP_TotalOpExpense">'[1]Input Sheet'!$H$62</definedName>
    <definedName name="Act14_BxPS_BEFP_TPlant" localSheetId="0">'[2]Input Sheet'!$H$17</definedName>
    <definedName name="Act14_BxPS_BEFP_TPlant">'[1]Input Sheet'!$H$17</definedName>
    <definedName name="Act14_BxPS_BEFP_TransAccumDepr" localSheetId="0">'[2]Input Sheet'!$H$35</definedName>
    <definedName name="Act14_BxPS_BEFP_TransAccumDepr">'[1]Input Sheet'!$H$35</definedName>
    <definedName name="Act14_BxPS_BEFP_WageSalary" localSheetId="0">'[2]Input Sheet'!$H$125</definedName>
    <definedName name="Act14_BxPS_BEFP_WageSalary">'[1]Input Sheet'!$H$125</definedName>
    <definedName name="Act14_BxPS_BEFP_Warehouse_Stores" localSheetId="0">'[2]Input Sheet'!$H$70</definedName>
    <definedName name="Act14_BxPS_BEFP_Warehouse_Stores">'[1]Input Sheet'!$H$70</definedName>
    <definedName name="Act14_BXPS_OM" localSheetId="0">'[2]2014 COST DATA'!$C$120</definedName>
    <definedName name="Act14_BXPS_OM">'[1]2014 COST DATA'!$C$120</definedName>
    <definedName name="Act14_COE_AccumDepr" localSheetId="0">'[2]Input Sheet'!$H$39</definedName>
    <definedName name="Act14_COE_AccumDepr">'[1]Input Sheet'!$H$39</definedName>
    <definedName name="Act14_COE_AccumDeprGen" localSheetId="0">'[2]Input Sheet'!$H$41</definedName>
    <definedName name="Act14_COE_AccumDeprGen">'[1]Input Sheet'!$H$41</definedName>
    <definedName name="Act14_COE_AG" localSheetId="0">'[2]2014 COST DATA'!$G$95</definedName>
    <definedName name="Act14_COE_AG">'[1]2014 COST DATA'!$G$95</definedName>
    <definedName name="Act14_COE_DeprExp" localSheetId="0">'[2]Input Sheet'!$H$86</definedName>
    <definedName name="Act14_COE_DeprExp">'[1]Input Sheet'!$H$86</definedName>
    <definedName name="Act14_COE_Gen" localSheetId="0">'[2]Input Sheet'!$H$29</definedName>
    <definedName name="Act14_COE_Gen">'[1]Input Sheet'!$H$29</definedName>
    <definedName name="Act14_COE_GenDepr" localSheetId="0">'[2]2014 COST DATA'!$G$38</definedName>
    <definedName name="Act14_COE_GenDepr">'[1]2014 COST DATA'!$G$38</definedName>
    <definedName name="Act14_COE_GenOM" localSheetId="0">'[2]2014 COST DATA'!$G$122</definedName>
    <definedName name="Act14_COE_GenOM">'[1]2014 COST DATA'!$G$122</definedName>
    <definedName name="Act14_COE_GenPlant" localSheetId="0">'[2]2014 COST DATA'!$G$17</definedName>
    <definedName name="Act14_COE_GenPlant">'[1]2014 COST DATA'!$G$17</definedName>
    <definedName name="Act14_COE_LTDebt" localSheetId="0">'[2]Input Sheet'!$H$94</definedName>
    <definedName name="Act14_COE_LTDebt">'[1]Input Sheet'!$H$94</definedName>
    <definedName name="Act14_COE_LTInt" localSheetId="0">'[2]Input Sheet'!$H$95</definedName>
    <definedName name="Act14_COE_LTInt">'[1]Input Sheet'!$H$95</definedName>
    <definedName name="Act14_COE_OM" localSheetId="0">'[2]Input Sheet'!$H$80</definedName>
    <definedName name="Act14_COE_OM">'[1]Input Sheet'!$H$80</definedName>
    <definedName name="Act14_COE_Plant" localSheetId="0">'[2]Input Sheet'!$H$26</definedName>
    <definedName name="Act14_COE_Plant">'[1]Input Sheet'!$H$26</definedName>
    <definedName name="Act14_COE_TPlant" localSheetId="0">'[2]Input Sheet'!$H$27</definedName>
    <definedName name="Act14_COE_TPlant">'[1]Input Sheet'!$H$27</definedName>
    <definedName name="Act14_COE_TransAccumDepr" localSheetId="0">'[2]Input Sheet'!$H$40</definedName>
    <definedName name="Act14_COE_TransAccumDepr">'[1]Input Sheet'!$H$40</definedName>
    <definedName name="Act14_ControlAreaLoad" localSheetId="0">'[2]Input Sheet'!$H$146</definedName>
    <definedName name="Act14_ControlAreaLoad">'[1]Input Sheet'!$H$146</definedName>
    <definedName name="Act14_Credit_Acct454" localSheetId="0">'[2]Input Sheet'!$H$14</definedName>
    <definedName name="Act14_Credit_Acct454">'[1]Input Sheet'!$H$14</definedName>
    <definedName name="Act14_Credit_ExstRev" localSheetId="0">'[2]Input Sheet'!$H$12</definedName>
    <definedName name="Act14_Credit_ExstRev">'[1]Input Sheet'!$H$12</definedName>
    <definedName name="Act14_Credit_NFPTP" localSheetId="0">'[2]Input Sheet'!$H$11</definedName>
    <definedName name="Act14_Credit_NFPTP">'[1]Input Sheet'!$H$11</definedName>
    <definedName name="Act14_Credit_SSCD" localSheetId="0">'[2]Input Sheet'!$H$13</definedName>
    <definedName name="Act14_Credit_SSCD">'[1]Input Sheet'!$H$13</definedName>
    <definedName name="Act14_Credit_STPTP" localSheetId="0">'[2]Input Sheet'!$H$10</definedName>
    <definedName name="Act14_Credit_STPTP">'[1]Input Sheet'!$H$10</definedName>
    <definedName name="Act14_GenAG" localSheetId="0">'[2]2014 COST DATA'!$K$95</definedName>
    <definedName name="Act14_GenAG">'[1]2014 COST DATA'!$K$95</definedName>
    <definedName name="Act14_GenCompRate" localSheetId="0">'[2]2014 COST DATA'!$K$62</definedName>
    <definedName name="Act14_GenCompRate">'[1]2014 COST DATA'!$K$62</definedName>
    <definedName name="Act14_GenDepr" localSheetId="0">'[2]2014 COST DATA'!$K$38</definedName>
    <definedName name="Act14_GenDepr">'[1]2014 COST DATA'!$K$38</definedName>
    <definedName name="Act14_GenOM" localSheetId="0">'[2]2014 COST DATA'!$K$122</definedName>
    <definedName name="Act14_GenOM">'[1]2014 COST DATA'!$K$122</definedName>
    <definedName name="Act14_GenPlant" localSheetId="0">'[2]2014 COST DATA'!$K$17</definedName>
    <definedName name="Act14_GenPlant">'[1]2014 COST DATA'!$K$17</definedName>
    <definedName name="Act14_MaxControlAreaLoad" localSheetId="0">'[2]Input Sheet'!$H$144</definedName>
    <definedName name="Act14_MaxControlAreaLoad">'[1]Input Sheet'!$H$144</definedName>
    <definedName name="Act14_MaxGenControlArea" localSheetId="0">'[2]Input Sheet'!$H$145</definedName>
    <definedName name="Act14_MaxGenControlArea">'[1]Input Sheet'!$H$145</definedName>
    <definedName name="Act14_RateLoadControlArea" localSheetId="0">'[2]Input Sheet'!$H$147</definedName>
    <definedName name="Act14_RateLoadControlArea">'[1]Input Sheet'!$H$147</definedName>
    <definedName name="Act14_RegRateRevRqmt" localSheetId="0">'[2]Input Sheet'!$H$150</definedName>
    <definedName name="Act14_RegRateRevRqmt">'[1]Input Sheet'!$H$150</definedName>
    <definedName name="Act14_RMR_1411" localSheetId="0">'[2]Input Sheet'!$H$112</definedName>
    <definedName name="Act14_RMR_1411">'[1]Input Sheet'!$H$112</definedName>
    <definedName name="Act14_RMR_1412" localSheetId="0">'[2]Input Sheet'!$H$113</definedName>
    <definedName name="Act14_RMR_1412">'[1]Input Sheet'!$H$113</definedName>
    <definedName name="Act14_RMR_1415" localSheetId="0">'[2]Input Sheet'!$H$114</definedName>
    <definedName name="Act14_RMR_1415">'[1]Input Sheet'!$H$114</definedName>
    <definedName name="Act14_RMR_1416" localSheetId="0">'[2]Input Sheet'!$H$115</definedName>
    <definedName name="Act14_RMR_1416">'[1]Input Sheet'!$H$115</definedName>
    <definedName name="Act14_RMR_1421" localSheetId="0">'[2]Input Sheet'!$H$116</definedName>
    <definedName name="Act14_RMR_1421">'[1]Input Sheet'!$H$116</definedName>
    <definedName name="Act14_RMR_1422" localSheetId="0">'[2]Input Sheet'!$H$117</definedName>
    <definedName name="Act14_RMR_1422">'[1]Input Sheet'!$H$117</definedName>
    <definedName name="Act14_RMR_1425" localSheetId="0">'[2]Input Sheet'!$H$118</definedName>
    <definedName name="Act14_RMR_1425">'[1]Input Sheet'!$H$118</definedName>
    <definedName name="Act14_RMR_1426" localSheetId="0">'[2]Input Sheet'!$H$119</definedName>
    <definedName name="Act14_RMR_1426">'[1]Input Sheet'!$H$119</definedName>
    <definedName name="Act14_RMR_1431" localSheetId="0">'[2]Input Sheet'!$H$120</definedName>
    <definedName name="Act14_RMR_1431">'[1]Input Sheet'!$H$120</definedName>
    <definedName name="Act14_RMR_1432" localSheetId="0">'[2]Input Sheet'!$H$121</definedName>
    <definedName name="Act14_RMR_1432">'[1]Input Sheet'!$H$121</definedName>
    <definedName name="Act14_RMR_1441" localSheetId="0">'[2]Input Sheet'!$H$122</definedName>
    <definedName name="Act14_RMR_1441">'[1]Input Sheet'!$H$122</definedName>
    <definedName name="Act14_RMR_1442" localSheetId="0">'[2]Input Sheet'!$H$123</definedName>
    <definedName name="Act14_RMR_1442">'[1]Input Sheet'!$H$123</definedName>
    <definedName name="Act14_RMR_AccumDepr" localSheetId="0">'[2]Input Sheet'!$H$37</definedName>
    <definedName name="Act14_RMR_AccumDepr">'[1]Input Sheet'!$H$37</definedName>
    <definedName name="Act14_RMR_AGExp" localSheetId="0">'[2]Input Sheet'!$H$75</definedName>
    <definedName name="Act14_RMR_AGExp">'[1]Input Sheet'!$H$75</definedName>
    <definedName name="Act14_RMR_CME" localSheetId="0">'[2]Input Sheet'!$H$78</definedName>
    <definedName name="Act14_RMR_CME">'[1]Input Sheet'!$H$78</definedName>
    <definedName name="Act14_RMR_DeprExp" localSheetId="0">'[2]Input Sheet'!$H$85</definedName>
    <definedName name="Act14_RMR_DeprExp">'[1]Input Sheet'!$H$85</definedName>
    <definedName name="Act14_RMR_DispofAssets" localSheetId="0">'[2]Input Sheet'!$H$77</definedName>
    <definedName name="Act14_RMR_DispofAssets">'[1]Input Sheet'!$H$77</definedName>
    <definedName name="Act14_RMR_LTDebt" localSheetId="0">'[2]Input Sheet'!$H$92</definedName>
    <definedName name="Act14_RMR_LTDebt">'[1]Input Sheet'!$H$92</definedName>
    <definedName name="Act14_RMR_LTInt" localSheetId="0">'[2]Input Sheet'!$H$93</definedName>
    <definedName name="Act14_RMR_LTInt">'[1]Input Sheet'!$H$93</definedName>
    <definedName name="Act14_RMR_MOVP_Depr" localSheetId="0">'[2]Input Sheet'!$H$76</definedName>
    <definedName name="Act14_RMR_MOVP_Depr">'[1]Input Sheet'!$H$76</definedName>
    <definedName name="Act14_RMR_OM" localSheetId="0">'[2]2014 COST DATA'!$E$120</definedName>
    <definedName name="Act14_RMR_OM">'[1]2014 COST DATA'!$E$120</definedName>
    <definedName name="Act14_RMR_Other_Power_Exp" localSheetId="0">'[2]Input Sheet'!$H$74</definedName>
    <definedName name="Act14_RMR_Other_Power_Exp">'[1]Input Sheet'!$H$74</definedName>
    <definedName name="Act14_RMR_Plant" localSheetId="0">'[2]Input Sheet'!$H$23</definedName>
    <definedName name="Act14_RMR_Plant">'[1]Input Sheet'!$H$23</definedName>
    <definedName name="Act14_RMR_Total_OM" localSheetId="0">'[2]Input Sheet'!$H$73</definedName>
    <definedName name="Act14_RMR_Total_OM">'[1]Input Sheet'!$H$73</definedName>
    <definedName name="Act14_RMR_Total_OpExp" localSheetId="0">'[2]Input Sheet'!$H$72</definedName>
    <definedName name="Act14_RMR_Total_OpExp">'[1]Input Sheet'!$H$72</definedName>
    <definedName name="Act14_RMR_TPlant" localSheetId="0">'[2]Input Sheet'!$H$24</definedName>
    <definedName name="Act14_RMR_TPlant">'[1]Input Sheet'!$H$24</definedName>
    <definedName name="Act14_RMR_TransAccumDepr" localSheetId="0">'[2]Input Sheet'!$H$38</definedName>
    <definedName name="Act14_RMR_TransAccumDepr">'[1]Input Sheet'!$H$38</definedName>
    <definedName name="Act14_RMR_Warehouse_Stores" localSheetId="0">'[2]Input Sheet'!$H$79</definedName>
    <definedName name="Act14_RMR_Warehouse_Stores">'[1]Input Sheet'!$H$79</definedName>
    <definedName name="Act14_TotalTransPlant" localSheetId="0">'[2]2014 COST DATA'!$K$6</definedName>
    <definedName name="Act14_TotalTransPlant">'[1]2014 COST DATA'!$K$6</definedName>
    <definedName name="Act14_TransAG" localSheetId="0">'[2]2014 COST DATA'!$K$94</definedName>
    <definedName name="Act14_TransAG">'[1]2014 COST DATA'!$K$94</definedName>
    <definedName name="Act14_TransCompRate" localSheetId="0">'[2]2014 COST DATA'!$K$60</definedName>
    <definedName name="Act14_TransCompRate">'[1]2014 COST DATA'!$K$60</definedName>
    <definedName name="Act14_TransDepr" localSheetId="0">'[2]2014 COST DATA'!$K$37</definedName>
    <definedName name="Act14_TransDepr">'[1]2014 COST DATA'!$K$37</definedName>
    <definedName name="Act14_TransOM" localSheetId="0">'[2]2014 COST DATA'!$K$121</definedName>
    <definedName name="Act14_TransOM">'[1]2014 COST DATA'!$K$121</definedName>
    <definedName name="Act14_TransPlant" localSheetId="0">'[2]2014 COST DATA'!$K$16</definedName>
    <definedName name="Act14_TransPlant">'[1]2014 COST DATA'!$K$16</definedName>
    <definedName name="Act15_BxPS_BEFP_Additions" localSheetId="0">'[2]Input Sheet'!$E$45</definedName>
    <definedName name="Act15_BxPS_BEFP_Additions">'[1]Input Sheet'!$E$45</definedName>
    <definedName name="Act15_BxPS_BEFP_AdjTrans" localSheetId="0">'[2]Input Sheet'!$E$47</definedName>
    <definedName name="Act15_BxPS_BEFP_AdjTrans">'[1]Input Sheet'!$E$47</definedName>
    <definedName name="Act15_BxPS_BEFP_AGExp" localSheetId="0">'[2]Input Sheet'!$E$65</definedName>
    <definedName name="Act15_BxPS_BEFP_AGExp">'[1]Input Sheet'!$E$65</definedName>
    <definedName name="Act15_BxPS_BEFP_CME" localSheetId="0">'[2]Input Sheet'!$E$69</definedName>
    <definedName name="Act15_BxPS_BEFP_CME">'[1]Input Sheet'!$E$69</definedName>
    <definedName name="Act15_BxPS_BEFP_OtherPowerExp" localSheetId="0">'[2]Input Sheet'!$E$64</definedName>
    <definedName name="Act15_BxPS_BEFP_OtherPowerExp">'[1]Input Sheet'!$E$64</definedName>
    <definedName name="Act15_BxPS_BEFP_Plant" localSheetId="0">'[2]Input Sheet'!$E$16</definedName>
    <definedName name="Act15_BxPS_BEFP_Plant">'[1]Input Sheet'!$E$16</definedName>
    <definedName name="Act15_BxPS_BEFP_PY_Adj" localSheetId="0">'[2]Input Sheet'!$E$66</definedName>
    <definedName name="Act15_BxPS_BEFP_PY_Adj">'[1]Input Sheet'!$E$66</definedName>
    <definedName name="Act15_BxPS_BEFP_Repl" localSheetId="0">'[2]Input Sheet'!$E$46</definedName>
    <definedName name="Act15_BxPS_BEFP_Repl">'[1]Input Sheet'!$E$46</definedName>
    <definedName name="Act15_BxPS_BEFP_Retr" localSheetId="0">'[2]Input Sheet'!$E$48</definedName>
    <definedName name="Act15_BxPS_BEFP_Retr">'[1]Input Sheet'!$E$48</definedName>
    <definedName name="Act15_BxPS_BEFP_TotalOpExpense" localSheetId="0">'[2]Input Sheet'!$E$62</definedName>
    <definedName name="Act15_BxPS_BEFP_TotalOpExpense">'[1]Input Sheet'!$E$62</definedName>
    <definedName name="Act15_BxPS_BEFP_Warehouse_Stores" localSheetId="0">'[2]Input Sheet'!$E$70</definedName>
    <definedName name="Act15_BxPS_BEFP_Warehouse_Stores">'[1]Input Sheet'!$E$70</definedName>
    <definedName name="Act15_RMR_AGExp" localSheetId="0">'[2]Input Sheet'!$E$75</definedName>
    <definedName name="Act15_RMR_AGExp">'[1]Input Sheet'!$E$75</definedName>
    <definedName name="Act15_RMR_CME" localSheetId="0">'[2]Input Sheet'!$E$78</definedName>
    <definedName name="Act15_RMR_CME">'[1]Input Sheet'!$E$78</definedName>
    <definedName name="Act15_RMR_Other_Power_Exp" localSheetId="0">'[2]Input Sheet'!$E$74</definedName>
    <definedName name="Act15_RMR_Other_Power_Exp">'[1]Input Sheet'!$E$74</definedName>
    <definedName name="Act15_RMR_Plant" localSheetId="0">'[2]Input Sheet'!$E$23</definedName>
    <definedName name="Act15_RMR_Plant">'[1]Input Sheet'!$E$23</definedName>
    <definedName name="Act15_RMR_Total_OpExp" localSheetId="0">'[2]Input Sheet'!$E$72</definedName>
    <definedName name="Act15_RMR_Total_OpExp">'[1]Input Sheet'!$E$72</definedName>
    <definedName name="Act15_RMR_Warehouse_Stores" localSheetId="0">'[2]Input Sheet'!$E$79</definedName>
    <definedName name="Act15_RMR_Warehouse_Stores">'[1]Input Sheet'!$E$79</definedName>
    <definedName name="CUSTAR" localSheetId="1">#REF!</definedName>
    <definedName name="CUSTAR" localSheetId="13">#REF!</definedName>
    <definedName name="CUSTAR" localSheetId="14">#REF!</definedName>
    <definedName name="CUSTAR" localSheetId="16">#REF!</definedName>
    <definedName name="CUSTAR" localSheetId="17">#REF!</definedName>
    <definedName name="CUSTAR" localSheetId="3">#REF!</definedName>
    <definedName name="CUSTAR" localSheetId="4">#REF!</definedName>
    <definedName name="CUSTAR" localSheetId="7">#REF!</definedName>
    <definedName name="CUSTAR" localSheetId="8">#REF!</definedName>
    <definedName name="CUSTAR" localSheetId="9">#REF!</definedName>
    <definedName name="CUSTAR">#REF!</definedName>
    <definedName name="Custar1" localSheetId="1">#REF!</definedName>
    <definedName name="Custar1" localSheetId="13">#REF!</definedName>
    <definedName name="Custar1" localSheetId="14">#REF!</definedName>
    <definedName name="Custar1" localSheetId="16">#REF!</definedName>
    <definedName name="Custar1" localSheetId="17">#REF!</definedName>
    <definedName name="Custar1" localSheetId="4">#REF!</definedName>
    <definedName name="Custar1" localSheetId="7">#REF!</definedName>
    <definedName name="Custar1" localSheetId="8">#REF!</definedName>
    <definedName name="Custar1" localSheetId="9">#REF!</definedName>
    <definedName name="Custar1">#REF!</definedName>
    <definedName name="CUYAHOGA_FALLS" localSheetId="1">#REF!</definedName>
    <definedName name="CUYAHOGA_FALLS" localSheetId="13">#REF!</definedName>
    <definedName name="CUYAHOGA_FALLS" localSheetId="14">#REF!</definedName>
    <definedName name="CUYAHOGA_FALLS" localSheetId="16">#REF!</definedName>
    <definedName name="CUYAHOGA_FALLS" localSheetId="17">#REF!</definedName>
    <definedName name="CUYAHOGA_FALLS" localSheetId="3">#REF!</definedName>
    <definedName name="CUYAHOGA_FALLS" localSheetId="4">#REF!</definedName>
    <definedName name="CUYAHOGA_FALLS" localSheetId="7">#REF!</definedName>
    <definedName name="CUYAHOGA_FALLS" localSheetId="8">#REF!</definedName>
    <definedName name="CUYAHOGA_FALLS" localSheetId="9">#REF!</definedName>
    <definedName name="CUYAHOGA_FALLS">#REF!</definedName>
    <definedName name="DETERMINATION_OF_PICK_SLOAN_MISSOURI_BASIN_PROGRAM__EASTERN_DIVISION" localSheetId="1">#REF!</definedName>
    <definedName name="DETERMINATION_OF_PICK_SLOAN_MISSOURI_BASIN_PROGRAM__EASTERN_DIVISION" localSheetId="13">#REF!</definedName>
    <definedName name="DETERMINATION_OF_PICK_SLOAN_MISSOURI_BASIN_PROGRAM__EASTERN_DIVISION" localSheetId="14">#REF!</definedName>
    <definedName name="DETERMINATION_OF_PICK_SLOAN_MISSOURI_BASIN_PROGRAM__EASTERN_DIVISION" localSheetId="16">#REF!</definedName>
    <definedName name="DETERMINATION_OF_PICK_SLOAN_MISSOURI_BASIN_PROGRAM__EASTERN_DIVISION" localSheetId="17">#REF!</definedName>
    <definedName name="DETERMINATION_OF_PICK_SLOAN_MISSOURI_BASIN_PROGRAM__EASTERN_DIVISION" localSheetId="3">#REF!</definedName>
    <definedName name="DETERMINATION_OF_PICK_SLOAN_MISSOURI_BASIN_PROGRAM__EASTERN_DIVISION" localSheetId="4">#REF!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#REF!</definedName>
    <definedName name="EDGERTON" localSheetId="1">#REF!</definedName>
    <definedName name="EDGERTON" localSheetId="13">#REF!</definedName>
    <definedName name="EDGERTON" localSheetId="14">#REF!</definedName>
    <definedName name="EDGERTON" localSheetId="16">#REF!</definedName>
    <definedName name="EDGERTON" localSheetId="17">#REF!</definedName>
    <definedName name="EDGERTON" localSheetId="3">#REF!</definedName>
    <definedName name="EDGERTON" localSheetId="4">#REF!</definedName>
    <definedName name="EDGERTON" localSheetId="7">#REF!</definedName>
    <definedName name="EDGERTON" localSheetId="8">#REF!</definedName>
    <definedName name="EDGERTON" localSheetId="9">#REF!</definedName>
    <definedName name="EDGERTON">#REF!</definedName>
    <definedName name="Ellwood_City" localSheetId="1">#REF!</definedName>
    <definedName name="Ellwood_City" localSheetId="13">#REF!</definedName>
    <definedName name="Ellwood_City" localSheetId="14">#REF!</definedName>
    <definedName name="Ellwood_City" localSheetId="16">#REF!</definedName>
    <definedName name="Ellwood_City" localSheetId="17">#REF!</definedName>
    <definedName name="Ellwood_City" localSheetId="3">#REF!</definedName>
    <definedName name="Ellwood_City" localSheetId="4">#REF!</definedName>
    <definedName name="Ellwood_City" localSheetId="7">#REF!</definedName>
    <definedName name="Ellwood_City" localSheetId="8">#REF!</definedName>
    <definedName name="Ellwood_City" localSheetId="9">#REF!</definedName>
    <definedName name="Ellwood_City">#REF!</definedName>
    <definedName name="ELMORE" localSheetId="1">#REF!</definedName>
    <definedName name="ELMORE" localSheetId="13">#REF!</definedName>
    <definedName name="ELMORE" localSheetId="14">#REF!</definedName>
    <definedName name="ELMORE" localSheetId="16">#REF!</definedName>
    <definedName name="ELMORE" localSheetId="17">#REF!</definedName>
    <definedName name="ELMORE" localSheetId="3">#REF!</definedName>
    <definedName name="ELMORE" localSheetId="4">#REF!</definedName>
    <definedName name="ELMORE" localSheetId="7">#REF!</definedName>
    <definedName name="ELMORE" localSheetId="8">#REF!</definedName>
    <definedName name="ELMORE" localSheetId="9">#REF!</definedName>
    <definedName name="ELMORE">#REF!</definedName>
    <definedName name="Est16_BOR_AccumDepr" localSheetId="0">'[2]Input Sheet'!$C$42</definedName>
    <definedName name="Est16_BOR_AccumDepr">'[1]Input Sheet'!$C$42</definedName>
    <definedName name="Est16_BOR_DeprExp" localSheetId="0">'[2]Input Sheet'!$C$87</definedName>
    <definedName name="Est16_BOR_DeprExp">'[1]Input Sheet'!$C$87</definedName>
    <definedName name="Est16_BOR_LTDebt" localSheetId="0">'[2]Input Sheet'!$C$96</definedName>
    <definedName name="Est16_BOR_LTDebt">'[1]Input Sheet'!$C$96</definedName>
    <definedName name="Est16_BOR_LTInt" localSheetId="0">'[2]Input Sheet'!$C$97</definedName>
    <definedName name="Est16_BOR_LTInt">'[1]Input Sheet'!$C$97</definedName>
    <definedName name="Est16_BOR_OM" localSheetId="0">'[2]Input Sheet'!$C$81</definedName>
    <definedName name="Est16_BOR_OM">'[1]Input Sheet'!$C$81</definedName>
    <definedName name="Est16_BOR_Plant" localSheetId="0">'[2]Input Sheet'!$C$31</definedName>
    <definedName name="Est16_BOR_Plant">'[1]Input Sheet'!$C$31</definedName>
    <definedName name="Est16_BxPS_BEFP_AccumDepr" localSheetId="0">'[2]Input Sheet'!$C$34</definedName>
    <definedName name="Est16_BxPS_BEFP_AccumDepr">'[1]Input Sheet'!$C$34</definedName>
    <definedName name="Est16_BxPS_BEFP_AGExp" localSheetId="0">'[2]Input Sheet'!$C$65</definedName>
    <definedName name="Est16_BxPS_BEFP_AGExp">'[1]Input Sheet'!$C$65</definedName>
    <definedName name="Est16_BxPS_BEFP_CME" localSheetId="0">'[2]Input Sheet'!$C$69</definedName>
    <definedName name="Est16_BxPS_BEFP_CME">'[1]Input Sheet'!$C$69</definedName>
    <definedName name="Est16_BxPS_BEFP_DepMOVP" localSheetId="0">'[2]Input Sheet'!$C$67</definedName>
    <definedName name="Est16_BxPS_BEFP_DepMOVP">'[1]Input Sheet'!$C$67</definedName>
    <definedName name="Est16_BxPS_BEFP_DeprExp" localSheetId="0">'[2]Input Sheet'!$C$84</definedName>
    <definedName name="Est16_BxPS_BEFP_DeprExp">'[1]Input Sheet'!$C$84</definedName>
    <definedName name="Est16_BxPS_BEFP_DispofAssets" localSheetId="0">'[2]Input Sheet'!$C$68</definedName>
    <definedName name="Est16_BxPS_BEFP_DispofAssets">'[1]Input Sheet'!$C$68</definedName>
    <definedName name="Est16_BxPS_BEFP_GenAccumDepr" localSheetId="0">'[2]Input Sheet'!$C$36</definedName>
    <definedName name="Est16_BxPS_BEFP_GenAccumDepr">'[1]Input Sheet'!$C$36</definedName>
    <definedName name="Est16_BxPS_BEFP_GenPlant" localSheetId="0">'[2]Input Sheet'!$C$19</definedName>
    <definedName name="Est16_BxPS_BEFP_GenPlant">'[1]Input Sheet'!$C$19</definedName>
    <definedName name="Est16_BxPS_BEFP_LTDebt" localSheetId="0">'[2]Input Sheet'!$C$90</definedName>
    <definedName name="Est16_BxPS_BEFP_LTDebt">'[1]Input Sheet'!$C$90</definedName>
    <definedName name="Est16_BxPS_BEFP_LTInt" localSheetId="0">'[2]Input Sheet'!$C$91</definedName>
    <definedName name="Est16_BxPS_BEFP_LTInt">'[1]Input Sheet'!$C$91</definedName>
    <definedName name="Est16_BxPS_BEFP_Plant" localSheetId="0">'[2]Input Sheet'!$C$16</definedName>
    <definedName name="Est16_BxPS_BEFP_Plant">'[1]Input Sheet'!$C$16</definedName>
    <definedName name="Est16_BxPS_BEFP_SSCD_OpExp" localSheetId="0">'[2]Input Sheet'!$C$71</definedName>
    <definedName name="Est16_BxPS_BEFP_SSCD_OpExp">'[1]Input Sheet'!$C$71</definedName>
    <definedName name="Est16_BxPS_BEFP_SSCDAllocator" localSheetId="0">'[2]Input Sheet'!$C$22</definedName>
    <definedName name="Est16_BxPS_BEFP_SSCDAllocator">'[1]Input Sheet'!$C$22</definedName>
    <definedName name="Est16_BxPS_BEFP_SSCDPlant" localSheetId="0">'[2]Input Sheet'!$C$21</definedName>
    <definedName name="Est16_BxPS_BEFP_SSCDPlant">'[1]Input Sheet'!$C$21</definedName>
    <definedName name="Est16_BxPS_BEFP_TotalOM" localSheetId="0">'[2]Input Sheet'!$C$63</definedName>
    <definedName name="Est16_BxPS_BEFP_TotalOM">'[1]Input Sheet'!$C$63</definedName>
    <definedName name="Est16_BxPS_BEFP_TPlant" localSheetId="0">'[2]Input Sheet'!$C$17</definedName>
    <definedName name="Est16_BxPS_BEFP_TPlant">'[1]Input Sheet'!$C$17</definedName>
    <definedName name="Est16_BxPS_BEFP_TransAccumDepr" localSheetId="0">'[2]Input Sheet'!$C$35</definedName>
    <definedName name="Est16_BxPS_BEFP_TransAccumDepr">'[1]Input Sheet'!$C$35</definedName>
    <definedName name="Est16_BxPS_BEFP_WageSalary" localSheetId="0">'[2]Input Sheet'!$C$125</definedName>
    <definedName name="Est16_BxPS_BEFP_WageSalary">'[1]Input Sheet'!$C$125</definedName>
    <definedName name="Est16_BxPS_BEFP_Warehouse_Stores" localSheetId="0">'[2]Input Sheet'!$C$70</definedName>
    <definedName name="Est16_BxPS_BEFP_Warehouse_Stores">'[1]Input Sheet'!$C$70</definedName>
    <definedName name="Est16_BXPS_OM" localSheetId="0">'[2]2016 EST COST DATA'!$C$119</definedName>
    <definedName name="Est16_BXPS_OM">'[1]2016 EST COST DATA'!$C$119</definedName>
    <definedName name="Est16_COE_AccumDepr" localSheetId="0">'[2]Input Sheet'!$C$39</definedName>
    <definedName name="Est16_COE_AccumDepr">'[1]Input Sheet'!$C$39</definedName>
    <definedName name="Est16_COE_AG" localSheetId="0">'[2]2016 EST COST DATA'!$G$95</definedName>
    <definedName name="Est16_COE_AG">'[1]2016 EST COST DATA'!$G$95</definedName>
    <definedName name="Est16_COE_DeprExp" localSheetId="0">'[2]Input Sheet'!$C$86</definedName>
    <definedName name="Est16_COE_DeprExp">'[1]Input Sheet'!$C$86</definedName>
    <definedName name="Est16_COE_FixedChargeRate" localSheetId="0">'[2]2016 est ANNUAL COSTS'!$E$34</definedName>
    <definedName name="Est16_COE_FixedChargeRate">'[1]2016 est ANNUAL COSTS'!$E$34</definedName>
    <definedName name="Est16_COE_Gen" localSheetId="0">'[2]Input Sheet'!$C$29</definedName>
    <definedName name="Est16_COE_Gen">'[1]Input Sheet'!$C$29</definedName>
    <definedName name="Est16_COE_GenAccumDepr" localSheetId="0">'[2]Input Sheet'!$C$41</definedName>
    <definedName name="Est16_COE_GenAccumDepr">'[1]Input Sheet'!$C$41</definedName>
    <definedName name="Est16_COE_GenDepr" localSheetId="0">'[2]2016 EST COST DATA'!$G$38</definedName>
    <definedName name="Est16_COE_GenDepr">'[1]2016 EST COST DATA'!$G$38</definedName>
    <definedName name="Est16_COE_GenOM" localSheetId="0">'[2]2016 EST COST DATA'!$G$121</definedName>
    <definedName name="Est16_COE_GenOM">'[1]2016 EST COST DATA'!$G$121</definedName>
    <definedName name="Est16_COE_GenPlant" localSheetId="0">'[2]2016 EST COST DATA'!$G$17</definedName>
    <definedName name="Est16_COE_GenPlant">'[1]2016 EST COST DATA'!$G$17</definedName>
    <definedName name="Est16_COE_LTDebt" localSheetId="0">'[2]Input Sheet'!$C$94</definedName>
    <definedName name="Est16_COE_LTDebt">'[1]Input Sheet'!$C$94</definedName>
    <definedName name="Est16_COE_LTInt" localSheetId="0">'[2]Input Sheet'!$C$95</definedName>
    <definedName name="Est16_COE_LTInt">'[1]Input Sheet'!$C$95</definedName>
    <definedName name="Est16_COE_NetPlantInvest" localSheetId="0">'[2]2016 est ANNUAL COSTS'!$E$35</definedName>
    <definedName name="Est16_COE_NetPlantInvest">'[1]2016 est ANNUAL COSTS'!$E$35</definedName>
    <definedName name="Est16_COE_OM" localSheetId="0">'[2]Input Sheet'!$C$80</definedName>
    <definedName name="Est16_COE_OM">'[1]Input Sheet'!$C$80</definedName>
    <definedName name="Est16_COE_Plant" localSheetId="0">'[2]Input Sheet'!$C$26</definedName>
    <definedName name="Est16_COE_Plant">'[1]Input Sheet'!$C$26</definedName>
    <definedName name="Est16_COE_TPlant" localSheetId="0">'[2]Input Sheet'!$C$27</definedName>
    <definedName name="Est16_COE_TPlant">'[1]Input Sheet'!$C$27</definedName>
    <definedName name="Est16_COE_TransAccumDepr" localSheetId="0">'[2]Input Sheet'!$C$40</definedName>
    <definedName name="Est16_COE_TransAccumDepr">'[1]Input Sheet'!$C$40</definedName>
    <definedName name="Est16_Credit_Acct454" localSheetId="0">'[2]Input Sheet'!$C$14</definedName>
    <definedName name="Est16_Credit_Acct454">'[1]Input Sheet'!$C$14</definedName>
    <definedName name="Est16_Credit_ExstRev" localSheetId="0">'[2]Input Sheet'!$C$12</definedName>
    <definedName name="Est16_Credit_ExstRev">'[1]Input Sheet'!$C$12</definedName>
    <definedName name="Est16_Credit_NFPTP" localSheetId="0">'[2]Input Sheet'!$C$11</definedName>
    <definedName name="Est16_Credit_NFPTP">'[1]Input Sheet'!$C$11</definedName>
    <definedName name="Est16_Credit_STPTP" localSheetId="0">'[2]Input Sheet'!$C$10</definedName>
    <definedName name="Est16_Credit_STPTP">'[1]Input Sheet'!$C$10</definedName>
    <definedName name="Est16_GenAG" localSheetId="0">'[2]2016 EST COST DATA'!$K$95</definedName>
    <definedName name="Est16_GenAG">'[1]2016 EST COST DATA'!$K$95</definedName>
    <definedName name="Est16_GenCompRate" localSheetId="0">'[2]2016 EST COST DATA'!$K$62</definedName>
    <definedName name="Est16_GenCompRate">'[1]2016 EST COST DATA'!$K$62</definedName>
    <definedName name="Est16_GenDepr" localSheetId="0">'[2]2016 EST COST DATA'!$K$38</definedName>
    <definedName name="Est16_GenDepr">'[1]2016 EST COST DATA'!$K$38</definedName>
    <definedName name="Est16_GenOM" localSheetId="0">'[2]2016 EST COST DATA'!$K$121</definedName>
    <definedName name="Est16_GenOM">'[1]2016 EST COST DATA'!$K$121</definedName>
    <definedName name="Est16_GenPlant" localSheetId="0">'[2]2016 EST COST DATA'!$K$17</definedName>
    <definedName name="Est16_GenPlant">'[1]2016 EST COST DATA'!$K$17</definedName>
    <definedName name="Est16_PlantCapacity" localSheetId="0">'[2]Input Sheet'!$C$148</definedName>
    <definedName name="Est16_PlantCapacity">'[1]Input Sheet'!$C$148</definedName>
    <definedName name="Est16_RegCapacity" localSheetId="0">'[2]Input Sheet'!$C$149</definedName>
    <definedName name="Est16_RegCapacity">'[1]Input Sheet'!$C$149</definedName>
    <definedName name="Est16_RMR_AccumDepr" localSheetId="0">'[2]Input Sheet'!$C$37</definedName>
    <definedName name="Est16_RMR_AccumDepr">'[1]Input Sheet'!$C$37</definedName>
    <definedName name="Est16_RMR_AGExp" localSheetId="0">'[2]Input Sheet'!$C$75</definedName>
    <definedName name="Est16_RMR_AGExp">'[1]Input Sheet'!$C$75</definedName>
    <definedName name="Est16_RMR_CME" localSheetId="0">'[2]Input Sheet'!$C$78</definedName>
    <definedName name="Est16_RMR_CME">'[1]Input Sheet'!$C$78</definedName>
    <definedName name="Est16_RMR_DeprExp" localSheetId="0">'[2]Input Sheet'!$C$85</definedName>
    <definedName name="Est16_RMR_DeprExp">'[1]Input Sheet'!$C$85</definedName>
    <definedName name="Est16_RMR_LTDebt" localSheetId="0">'[2]Input Sheet'!$C$92</definedName>
    <definedName name="Est16_RMR_LTDebt">'[1]Input Sheet'!$C$92</definedName>
    <definedName name="Est16_RMR_LTInt" localSheetId="0">'[2]Input Sheet'!$C$93</definedName>
    <definedName name="Est16_RMR_LTInt">'[1]Input Sheet'!$C$93</definedName>
    <definedName name="Est16_RMR_OM" localSheetId="0">'[2]2016 EST COST DATA'!$E$119</definedName>
    <definedName name="Est16_RMR_OM">'[1]2016 EST COST DATA'!$E$119</definedName>
    <definedName name="Est16_RMR_Plant" localSheetId="0">'[2]Input Sheet'!$C$23</definedName>
    <definedName name="Est16_RMR_Plant">'[1]Input Sheet'!$C$23</definedName>
    <definedName name="Est16_RMR_Total_OM" localSheetId="0">'[2]Input Sheet'!$C$73</definedName>
    <definedName name="Est16_RMR_Total_OM">'[1]Input Sheet'!$C$73</definedName>
    <definedName name="Est16_RMR_TPlant" localSheetId="0">'[2]Input Sheet'!$C$24</definedName>
    <definedName name="Est16_RMR_TPlant">'[1]Input Sheet'!$C$24</definedName>
    <definedName name="Est16_RMR_TransAccumDepr" localSheetId="0">'[2]Input Sheet'!$C$38</definedName>
    <definedName name="Est16_RMR_TransAccumDepr">'[1]Input Sheet'!$C$38</definedName>
    <definedName name="Est16_RMR_Warehouse_Stores" localSheetId="0">'[2]Input Sheet'!$C$79</definedName>
    <definedName name="Est16_RMR_Warehouse_Stores">'[1]Input Sheet'!$C$79</definedName>
    <definedName name="Est16_SSCD_Other_Revenue" localSheetId="0">'[2]Input Sheet'!$C$142</definedName>
    <definedName name="Est16_SSCD_Other_Revenue">'[1]Input Sheet'!$C$142</definedName>
    <definedName name="Est16_SSCD_RevRqmt" localSheetId="0">'[2]WAUGP-AS1 2016 est'!$C$17</definedName>
    <definedName name="Est16_SSCD_RevRqmt">'[1]WAUGP-AS1 2016 est'!$C$17</definedName>
    <definedName name="Est16_Trans_Composite_IntRate" localSheetId="0">'[2]2016 EST COST DATA'!$K$60</definedName>
    <definedName name="Est16_Trans_Composite_IntRate">'[1]2016 EST COST DATA'!$K$60</definedName>
    <definedName name="Est16_TransAG" localSheetId="0">'[2]2016 EST COST DATA'!$K$94</definedName>
    <definedName name="Est16_TransAG">'[1]2016 EST COST DATA'!$K$94</definedName>
    <definedName name="Est16_TransDepr" localSheetId="0">'[2]2016 EST COST DATA'!$K$37</definedName>
    <definedName name="Est16_TransDepr">'[1]2016 EST COST DATA'!$K$37</definedName>
    <definedName name="Est16_TransOM" localSheetId="0">'[2]2016 EST COST DATA'!$K$120</definedName>
    <definedName name="Est16_TransOM">'[1]2016 EST COST DATA'!$K$120</definedName>
    <definedName name="Est16_TransPlant" localSheetId="0">'[2]2016 EST COST DATA'!$K$16</definedName>
    <definedName name="Est16_TransPlant">'[1]2016 EST COST DATA'!$K$16</definedName>
    <definedName name="Est17_BOR_OM" localSheetId="0">'[2]Input Sheet'!$B$81</definedName>
    <definedName name="Est17_BOR_OM">'[1]Input Sheet'!$B$81</definedName>
    <definedName name="Est17_BxPS_BEFP_AccumDepr" localSheetId="0">'[2]Input Sheet'!$B$34</definedName>
    <definedName name="Est17_BxPS_BEFP_AccumDepr">'[1]Input Sheet'!$B$34</definedName>
    <definedName name="Est17_BxPS_BEFP_AGExp" localSheetId="0">'[2]Input Sheet'!$B$65</definedName>
    <definedName name="Est17_BxPS_BEFP_AGExp">'[1]Input Sheet'!$B$65</definedName>
    <definedName name="Est17_BxPS_BEFP_CME" localSheetId="0">'[2]Input Sheet'!$B$69</definedName>
    <definedName name="Est17_BxPS_BEFP_CME">'[1]Input Sheet'!$B$69</definedName>
    <definedName name="Est17_BxPS_BEFP_DepMOVP" localSheetId="0">'[2]Input Sheet'!$B$67</definedName>
    <definedName name="Est17_BxPS_BEFP_DepMOVP">'[1]Input Sheet'!$B$67</definedName>
    <definedName name="Est17_BxPS_BEFP_DeprExp" localSheetId="0">'[2]Input Sheet'!$B$84</definedName>
    <definedName name="Est17_BxPS_BEFP_DeprExp">'[1]Input Sheet'!$B$84</definedName>
    <definedName name="Est17_BxPS_BEFP_DispofAssets" localSheetId="0">'[2]Input Sheet'!$B$68</definedName>
    <definedName name="Est17_BxPS_BEFP_DispofAssets">'[1]Input Sheet'!$B$68</definedName>
    <definedName name="Est17_BxPS_BEFP_GenAccumDepr" localSheetId="0">'[2]Input Sheet'!$B$36</definedName>
    <definedName name="Est17_BxPS_BEFP_GenAccumDepr">'[1]Input Sheet'!$B$36</definedName>
    <definedName name="Est17_BxPS_BEFP_GenPlant" localSheetId="0">'[2]Input Sheet'!$B$19</definedName>
    <definedName name="Est17_BxPS_BEFP_GenPlant">'[1]Input Sheet'!$B$19</definedName>
    <definedName name="Est17_BxPS_BEFP_Plant" localSheetId="0">'[2]Input Sheet'!$B$16</definedName>
    <definedName name="Est17_BxPS_BEFP_Plant">'[1]Input Sheet'!$B$16</definedName>
    <definedName name="Est17_BxPS_BEFP_TotalOM" localSheetId="0">'[2]Input Sheet'!$B$63</definedName>
    <definedName name="Est17_BxPS_BEFP_TotalOM">'[1]Input Sheet'!$B$63</definedName>
    <definedName name="Est17_BxPS_BEFP_TPlant" localSheetId="0">'[2]Input Sheet'!$B$17</definedName>
    <definedName name="Est17_BxPS_BEFP_TPlant">'[1]Input Sheet'!$B$17</definedName>
    <definedName name="Est17_BxPS_BEFP_TransAccumDepr" localSheetId="0">'[2]Input Sheet'!$B$35</definedName>
    <definedName name="Est17_BxPS_BEFP_TransAccumDepr">'[1]Input Sheet'!$B$35</definedName>
    <definedName name="Est17_BxPS_BEFP_WageSalary" localSheetId="0">'[2]Input Sheet'!$B$125</definedName>
    <definedName name="Est17_BxPS_BEFP_WageSalary">'[1]Input Sheet'!$B$125</definedName>
    <definedName name="Est17_BxPS_BEFP_Warehouse_Stores" localSheetId="0">'[2]Input Sheet'!$B$70</definedName>
    <definedName name="Est17_BxPS_BEFP_Warehouse_Stores">'[1]Input Sheet'!$B$70</definedName>
    <definedName name="Est17_BXPS_OM" localSheetId="0">'[2]2017 EST COST DATA'!$C$119</definedName>
    <definedName name="Est17_BXPS_OM">'[1]2017 EST COST DATA'!$C$119</definedName>
    <definedName name="Est17_COE_AccumDeprGen" localSheetId="0">'[2]Input Sheet'!$B$41</definedName>
    <definedName name="Est17_COE_AccumDeprGen">'[1]Input Sheet'!$B$41</definedName>
    <definedName name="Est17_COE_DeprExp" localSheetId="0">'[2]Input Sheet'!$B$86</definedName>
    <definedName name="Est17_COE_DeprExp">'[1]Input Sheet'!$B$86</definedName>
    <definedName name="Est17_COE_Gen" localSheetId="0">'[2]Input Sheet'!$B$29</definedName>
    <definedName name="Est17_COE_Gen">'[1]Input Sheet'!$B$29</definedName>
    <definedName name="Est17_COE_OM" localSheetId="0">'[2]Input Sheet'!$B$80</definedName>
    <definedName name="Est17_COE_OM">'[1]Input Sheet'!$B$80</definedName>
    <definedName name="Est17_COE_Plant" localSheetId="0">'[2]Input Sheet'!$B$26</definedName>
    <definedName name="Est17_COE_Plant">'[1]Input Sheet'!$B$26</definedName>
    <definedName name="Est17_COE_TPlant" localSheetId="0">'[2]Input Sheet'!$B$27</definedName>
    <definedName name="Est17_COE_TPlant">'[1]Input Sheet'!$B$27</definedName>
    <definedName name="Est17_COE_TransAccumDepr" localSheetId="0">'[2]Input Sheet'!$B$40</definedName>
    <definedName name="Est17_COE_TransAccumDepr">'[1]Input Sheet'!$B$40</definedName>
    <definedName name="Est17_Credit_Acct454" localSheetId="0">'[2]Input Sheet'!$B$14</definedName>
    <definedName name="Est17_Credit_Acct454">'[1]Input Sheet'!$B$14</definedName>
    <definedName name="Est17_Credit_ExstRev" localSheetId="0">'[2]Input Sheet'!$B$12</definedName>
    <definedName name="Est17_Credit_ExstRev">'[1]Input Sheet'!$B$12</definedName>
    <definedName name="Est17_Credit_NFPTP" localSheetId="0">'[2]Input Sheet'!$B$11</definedName>
    <definedName name="Est17_Credit_NFPTP">'[1]Input Sheet'!$B$11</definedName>
    <definedName name="Est17_Credit_SSCD" localSheetId="0">'[2]Input Sheet'!$B$13</definedName>
    <definedName name="Est17_Credit_SSCD">'[1]Input Sheet'!$B$13</definedName>
    <definedName name="Est17_Credit_STPTP" localSheetId="0">'[2]Input Sheet'!$B$10</definedName>
    <definedName name="Est17_Credit_STPTP">'[1]Input Sheet'!$B$10</definedName>
    <definedName name="Est17_RMR_AGExp" localSheetId="0">'[2]Input Sheet'!$B$75</definedName>
    <definedName name="Est17_RMR_AGExp">'[1]Input Sheet'!$B$75</definedName>
    <definedName name="Est17_RMR_CME" localSheetId="0">'[2]Input Sheet'!$B$78</definedName>
    <definedName name="Est17_RMR_CME">'[1]Input Sheet'!$B$78</definedName>
    <definedName name="Est17_RMR_DeprExp" localSheetId="0">'[2]Input Sheet'!$B$85</definedName>
    <definedName name="Est17_RMR_DeprExp">'[1]Input Sheet'!$B$85</definedName>
    <definedName name="Est17_RMR_OM" localSheetId="0">'[2]2017 EST COST DATA'!$E$119</definedName>
    <definedName name="Est17_RMR_OM">'[1]2017 EST COST DATA'!$E$119</definedName>
    <definedName name="Est17_RMR_Plant" localSheetId="0">'[2]Input Sheet'!$B$23</definedName>
    <definedName name="Est17_RMR_Plant">'[1]Input Sheet'!$B$23</definedName>
    <definedName name="Est17_RMR_Total_OM" localSheetId="0">'[2]Input Sheet'!$B$73</definedName>
    <definedName name="Est17_RMR_Total_OM">'[1]Input Sheet'!$B$73</definedName>
    <definedName name="Est17_RMR_TPlant" localSheetId="0">'[2]Input Sheet'!$B$24</definedName>
    <definedName name="Est17_RMR_TPlant">'[1]Input Sheet'!$B$24</definedName>
    <definedName name="Est17_RMR_TransAccumDepr" localSheetId="0">'[2]Input Sheet'!$B$38</definedName>
    <definedName name="Est17_RMR_TransAccumDepr">'[1]Input Sheet'!$B$38</definedName>
    <definedName name="Est17_RMR_Warehouse_Stores" localSheetId="0">'[2]Input Sheet'!$B$79</definedName>
    <definedName name="Est17_RMR_Warehouse_Stores">'[1]Input Sheet'!$B$79</definedName>
    <definedName name="GALION" localSheetId="1">#REF!</definedName>
    <definedName name="GALION" localSheetId="13">#REF!</definedName>
    <definedName name="GALION" localSheetId="14">#REF!</definedName>
    <definedName name="GALION" localSheetId="16">#REF!</definedName>
    <definedName name="GALION" localSheetId="17">#REF!</definedName>
    <definedName name="GALION" localSheetId="3">#REF!</definedName>
    <definedName name="GALION" localSheetId="4">#REF!</definedName>
    <definedName name="GALION" localSheetId="7">#REF!</definedName>
    <definedName name="GALION" localSheetId="8">#REF!</definedName>
    <definedName name="GALION" localSheetId="9">#REF!</definedName>
    <definedName name="GALION">#REF!</definedName>
    <definedName name="GENOA" localSheetId="1">#REF!</definedName>
    <definedName name="GENOA" localSheetId="13">#REF!</definedName>
    <definedName name="GENOA" localSheetId="14">#REF!</definedName>
    <definedName name="GENOA" localSheetId="16">#REF!</definedName>
    <definedName name="GENOA" localSheetId="17">#REF!</definedName>
    <definedName name="GENOA" localSheetId="3">#REF!</definedName>
    <definedName name="GENOA" localSheetId="4">#REF!</definedName>
    <definedName name="GENOA" localSheetId="7">#REF!</definedName>
    <definedName name="GENOA" localSheetId="8">#REF!</definedName>
    <definedName name="GENOA" localSheetId="9">#REF!</definedName>
    <definedName name="GENOA">#REF!</definedName>
    <definedName name="GENOA_NORTH" localSheetId="1">#REF!</definedName>
    <definedName name="GENOA_NORTH" localSheetId="13">#REF!</definedName>
    <definedName name="GENOA_NORTH" localSheetId="14">#REF!</definedName>
    <definedName name="GENOA_NORTH" localSheetId="16">#REF!</definedName>
    <definedName name="GENOA_NORTH" localSheetId="17">#REF!</definedName>
    <definedName name="GENOA_NORTH" localSheetId="3">#REF!</definedName>
    <definedName name="GENOA_NORTH" localSheetId="4">#REF!</definedName>
    <definedName name="GENOA_NORTH" localSheetId="7">#REF!</definedName>
    <definedName name="GENOA_NORTH" localSheetId="8">#REF!</definedName>
    <definedName name="GENOA_NORTH" localSheetId="9">#REF!</definedName>
    <definedName name="GENOA_NORTH">#REF!</definedName>
    <definedName name="GENOA_SOUTH" localSheetId="1">#REF!</definedName>
    <definedName name="GENOA_SOUTH" localSheetId="13">#REF!</definedName>
    <definedName name="GENOA_SOUTH" localSheetId="14">#REF!</definedName>
    <definedName name="GENOA_SOUTH" localSheetId="16">#REF!</definedName>
    <definedName name="GENOA_SOUTH" localSheetId="17">#REF!</definedName>
    <definedName name="GENOA_SOUTH" localSheetId="3">#REF!</definedName>
    <definedName name="GENOA_SOUTH" localSheetId="4">#REF!</definedName>
    <definedName name="GENOA_SOUTH" localSheetId="7">#REF!</definedName>
    <definedName name="GENOA_SOUTH" localSheetId="8">#REF!</definedName>
    <definedName name="GENOA_SOUTH" localSheetId="9">#REF!</definedName>
    <definedName name="GENOA_SOUTH">#REF!</definedName>
    <definedName name="GRAFTON" localSheetId="1">#REF!</definedName>
    <definedName name="GRAFTON" localSheetId="13">#REF!</definedName>
    <definedName name="GRAFTON" localSheetId="14">#REF!</definedName>
    <definedName name="GRAFTON" localSheetId="16">#REF!</definedName>
    <definedName name="GRAFTON" localSheetId="17">#REF!</definedName>
    <definedName name="GRAFTON" localSheetId="3">#REF!</definedName>
    <definedName name="GRAFTON" localSheetId="4">#REF!</definedName>
    <definedName name="GRAFTON" localSheetId="7">#REF!</definedName>
    <definedName name="GRAFTON" localSheetId="8">#REF!</definedName>
    <definedName name="GRAFTON" localSheetId="9">#REF!</definedName>
    <definedName name="GRAFTON">#REF!</definedName>
    <definedName name="Grove_City" localSheetId="1">#REF!</definedName>
    <definedName name="Grove_City" localSheetId="13">#REF!</definedName>
    <definedName name="Grove_City" localSheetId="14">#REF!</definedName>
    <definedName name="Grove_City" localSheetId="16">#REF!</definedName>
    <definedName name="Grove_City" localSheetId="17">#REF!</definedName>
    <definedName name="Grove_City" localSheetId="3">#REF!</definedName>
    <definedName name="Grove_City" localSheetId="4">#REF!</definedName>
    <definedName name="Grove_City" localSheetId="7">#REF!</definedName>
    <definedName name="Grove_City" localSheetId="8">#REF!</definedName>
    <definedName name="Grove_City" localSheetId="9">#REF!</definedName>
    <definedName name="Grove_City">#REF!</definedName>
    <definedName name="HASKINS" localSheetId="1">#REF!</definedName>
    <definedName name="HASKINS" localSheetId="13">#REF!</definedName>
    <definedName name="HASKINS" localSheetId="14">#REF!</definedName>
    <definedName name="HASKINS" localSheetId="16">#REF!</definedName>
    <definedName name="HASKINS" localSheetId="17">#REF!</definedName>
    <definedName name="HASKINS" localSheetId="3">#REF!</definedName>
    <definedName name="HASKINS" localSheetId="4">#REF!</definedName>
    <definedName name="HASKINS" localSheetId="7">#REF!</definedName>
    <definedName name="HASKINS" localSheetId="8">#REF!</definedName>
    <definedName name="HASKINS" localSheetId="9">#REF!</definedName>
    <definedName name="HASKINS">#REF!</definedName>
    <definedName name="hourending" localSheetId="1">#REF!</definedName>
    <definedName name="hourending" localSheetId="13">#REF!</definedName>
    <definedName name="hourending" localSheetId="14">#REF!</definedName>
    <definedName name="hourending" localSheetId="16">#REF!</definedName>
    <definedName name="hourending" localSheetId="17">#REF!</definedName>
    <definedName name="hourending" localSheetId="3">#REF!</definedName>
    <definedName name="hourending" localSheetId="4">#REF!</definedName>
    <definedName name="hourending" localSheetId="7">#REF!</definedName>
    <definedName name="hourending" localSheetId="8">#REF!</definedName>
    <definedName name="hourending" localSheetId="9">#REF!</definedName>
    <definedName name="hourending">#REF!</definedName>
    <definedName name="HUBBARD" localSheetId="1">#REF!</definedName>
    <definedName name="HUBBARD" localSheetId="13">#REF!</definedName>
    <definedName name="HUBBARD" localSheetId="14">#REF!</definedName>
    <definedName name="HUBBARD" localSheetId="16">#REF!</definedName>
    <definedName name="HUBBARD" localSheetId="17">#REF!</definedName>
    <definedName name="HUBBARD" localSheetId="3">#REF!</definedName>
    <definedName name="HUBBARD" localSheetId="4">#REF!</definedName>
    <definedName name="HUBBARD" localSheetId="7">#REF!</definedName>
    <definedName name="HUBBARD" localSheetId="8">#REF!</definedName>
    <definedName name="HUBBARD" localSheetId="9">#REF!</definedName>
    <definedName name="HUBBARD">#REF!</definedName>
    <definedName name="HUBBARD1" localSheetId="1">#REF!</definedName>
    <definedName name="HUBBARD1" localSheetId="13">#REF!</definedName>
    <definedName name="HUBBARD1" localSheetId="14">#REF!</definedName>
    <definedName name="HUBBARD1" localSheetId="16">#REF!</definedName>
    <definedName name="HUBBARD1" localSheetId="17">#REF!</definedName>
    <definedName name="HUBBARD1" localSheetId="4">#REF!</definedName>
    <definedName name="HUBBARD1" localSheetId="7">#REF!</definedName>
    <definedName name="HUBBARD1" localSheetId="8">#REF!</definedName>
    <definedName name="HUBBARD1" localSheetId="9">#REF!</definedName>
    <definedName name="HUBBARD1">#REF!</definedName>
    <definedName name="LODI" localSheetId="1">#REF!</definedName>
    <definedName name="LODI" localSheetId="13">#REF!</definedName>
    <definedName name="LODI" localSheetId="14">#REF!</definedName>
    <definedName name="LODI" localSheetId="16">#REF!</definedName>
    <definedName name="LODI" localSheetId="17">#REF!</definedName>
    <definedName name="LODI" localSheetId="3">#REF!</definedName>
    <definedName name="LODI" localSheetId="4">#REF!</definedName>
    <definedName name="LODI" localSheetId="7">#REF!</definedName>
    <definedName name="LODI" localSheetId="8">#REF!</definedName>
    <definedName name="LODI" localSheetId="9">#REF!</definedName>
    <definedName name="LODI">#REF!</definedName>
    <definedName name="LUCAS" localSheetId="1">#REF!</definedName>
    <definedName name="LUCAS" localSheetId="13">#REF!</definedName>
    <definedName name="LUCAS" localSheetId="14">#REF!</definedName>
    <definedName name="LUCAS" localSheetId="16">#REF!</definedName>
    <definedName name="LUCAS" localSheetId="17">#REF!</definedName>
    <definedName name="LUCAS" localSheetId="3">#REF!</definedName>
    <definedName name="LUCAS" localSheetId="4">#REF!</definedName>
    <definedName name="LUCAS" localSheetId="7">#REF!</definedName>
    <definedName name="LUCAS" localSheetId="8">#REF!</definedName>
    <definedName name="LUCAS" localSheetId="9">#REF!</definedName>
    <definedName name="LUCAS">#REF!</definedName>
    <definedName name="MILAN" localSheetId="1">#REF!</definedName>
    <definedName name="MILAN" localSheetId="13">#REF!</definedName>
    <definedName name="MILAN" localSheetId="14">#REF!</definedName>
    <definedName name="MILAN" localSheetId="16">#REF!</definedName>
    <definedName name="MILAN" localSheetId="17">#REF!</definedName>
    <definedName name="MILAN" localSheetId="3">#REF!</definedName>
    <definedName name="MILAN" localSheetId="4">#REF!</definedName>
    <definedName name="MILAN" localSheetId="7">#REF!</definedName>
    <definedName name="MILAN" localSheetId="8">#REF!</definedName>
    <definedName name="MILAN" localSheetId="9">#REF!</definedName>
    <definedName name="MILAN">#REF!</definedName>
    <definedName name="MONROEVILLE" localSheetId="1">#REF!</definedName>
    <definedName name="MONROEVILLE" localSheetId="13">#REF!</definedName>
    <definedName name="MONROEVILLE" localSheetId="14">#REF!</definedName>
    <definedName name="MONROEVILLE" localSheetId="16">#REF!</definedName>
    <definedName name="MONROEVILLE" localSheetId="17">#REF!</definedName>
    <definedName name="MONROEVILLE" localSheetId="3">#REF!</definedName>
    <definedName name="MONROEVILLE" localSheetId="4">#REF!</definedName>
    <definedName name="MONROEVILLE" localSheetId="7">#REF!</definedName>
    <definedName name="MONROEVILLE" localSheetId="8">#REF!</definedName>
    <definedName name="MONROEVILLE" localSheetId="9">#REF!</definedName>
    <definedName name="MONROEVILLE">#REF!</definedName>
    <definedName name="NAPOLEON" localSheetId="1">#REF!</definedName>
    <definedName name="NAPOLEON" localSheetId="13">#REF!</definedName>
    <definedName name="NAPOLEON" localSheetId="14">#REF!</definedName>
    <definedName name="NAPOLEON" localSheetId="16">#REF!</definedName>
    <definedName name="NAPOLEON" localSheetId="17">#REF!</definedName>
    <definedName name="NAPOLEON" localSheetId="3">#REF!</definedName>
    <definedName name="NAPOLEON" localSheetId="4">#REF!</definedName>
    <definedName name="NAPOLEON" localSheetId="7">#REF!</definedName>
    <definedName name="NAPOLEON" localSheetId="8">#REF!</definedName>
    <definedName name="NAPOLEON" localSheetId="9">#REF!</definedName>
    <definedName name="NAPOLEON">#REF!</definedName>
    <definedName name="NEASG" localSheetId="1">#REF!</definedName>
    <definedName name="NEASG" localSheetId="13">#REF!</definedName>
    <definedName name="NEASG" localSheetId="14">#REF!</definedName>
    <definedName name="NEASG" localSheetId="16">#REF!</definedName>
    <definedName name="NEASG" localSheetId="17">#REF!</definedName>
    <definedName name="NEASG" localSheetId="3">#REF!</definedName>
    <definedName name="NEASG" localSheetId="4">#REF!</definedName>
    <definedName name="NEASG" localSheetId="7">#REF!</definedName>
    <definedName name="NEASG" localSheetId="8">#REF!</definedName>
    <definedName name="NEASG" localSheetId="9">#REF!</definedName>
    <definedName name="NEASG">#REF!</definedName>
    <definedName name="New_Wilmington" localSheetId="1">#REF!</definedName>
    <definedName name="New_Wilmington" localSheetId="13">#REF!</definedName>
    <definedName name="New_Wilmington" localSheetId="14">#REF!</definedName>
    <definedName name="New_Wilmington" localSheetId="16">#REF!</definedName>
    <definedName name="New_Wilmington" localSheetId="17">#REF!</definedName>
    <definedName name="New_Wilmington" localSheetId="3">#REF!</definedName>
    <definedName name="New_Wilmington" localSheetId="4">#REF!</definedName>
    <definedName name="New_Wilmington" localSheetId="7">#REF!</definedName>
    <definedName name="New_Wilmington" localSheetId="8">#REF!</definedName>
    <definedName name="New_Wilmington" localSheetId="9">#REF!</definedName>
    <definedName name="New_Wilmington">#REF!</definedName>
    <definedName name="NEWTON_FALLS" localSheetId="1">#REF!</definedName>
    <definedName name="NEWTON_FALLS" localSheetId="13">#REF!</definedName>
    <definedName name="NEWTON_FALLS" localSheetId="14">#REF!</definedName>
    <definedName name="NEWTON_FALLS" localSheetId="16">#REF!</definedName>
    <definedName name="NEWTON_FALLS" localSheetId="17">#REF!</definedName>
    <definedName name="NEWTON_FALLS" localSheetId="3">#REF!</definedName>
    <definedName name="NEWTON_FALLS" localSheetId="4">#REF!</definedName>
    <definedName name="NEWTON_FALLS" localSheetId="7">#REF!</definedName>
    <definedName name="NEWTON_FALLS" localSheetId="8">#REF!</definedName>
    <definedName name="NEWTON_FALLS" localSheetId="9">#REF!</definedName>
    <definedName name="NEWTON_FALLS">#REF!</definedName>
    <definedName name="NILES" localSheetId="1">#REF!</definedName>
    <definedName name="NILES" localSheetId="13">#REF!</definedName>
    <definedName name="NILES" localSheetId="14">#REF!</definedName>
    <definedName name="NILES" localSheetId="16">#REF!</definedName>
    <definedName name="NILES" localSheetId="17">#REF!</definedName>
    <definedName name="NILES" localSheetId="3">#REF!</definedName>
    <definedName name="NILES" localSheetId="4">#REF!</definedName>
    <definedName name="NILES" localSheetId="7">#REF!</definedName>
    <definedName name="NILES" localSheetId="8">#REF!</definedName>
    <definedName name="NILES" localSheetId="9">#REF!</definedName>
    <definedName name="NILES">#REF!</definedName>
    <definedName name="NWASG" localSheetId="1">#REF!</definedName>
    <definedName name="NWASG" localSheetId="13">#REF!</definedName>
    <definedName name="NWASG" localSheetId="14">#REF!</definedName>
    <definedName name="NWASG" localSheetId="16">#REF!</definedName>
    <definedName name="NWASG" localSheetId="17">#REF!</definedName>
    <definedName name="NWASG" localSheetId="3">#REF!</definedName>
    <definedName name="NWASG" localSheetId="4">#REF!</definedName>
    <definedName name="NWASG" localSheetId="7">#REF!</definedName>
    <definedName name="NWASG" localSheetId="8">#REF!</definedName>
    <definedName name="NWASG" localSheetId="9">#REF!</definedName>
    <definedName name="NWASG">#REF!</definedName>
    <definedName name="OAK_HARBOR" localSheetId="1">#REF!</definedName>
    <definedName name="OAK_HARBOR" localSheetId="13">#REF!</definedName>
    <definedName name="OAK_HARBOR" localSheetId="14">#REF!</definedName>
    <definedName name="OAK_HARBOR" localSheetId="16">#REF!</definedName>
    <definedName name="OAK_HARBOR" localSheetId="17">#REF!</definedName>
    <definedName name="OAK_HARBOR" localSheetId="3">#REF!</definedName>
    <definedName name="OAK_HARBOR" localSheetId="4">#REF!</definedName>
    <definedName name="OAK_HARBOR" localSheetId="7">#REF!</definedName>
    <definedName name="OAK_HARBOR" localSheetId="8">#REF!</definedName>
    <definedName name="OAK_HARBOR" localSheetId="9">#REF!</definedName>
    <definedName name="OAK_HARBOR">#REF!</definedName>
    <definedName name="OBERLIN" localSheetId="1">#REF!</definedName>
    <definedName name="OBERLIN" localSheetId="13">#REF!</definedName>
    <definedName name="OBERLIN" localSheetId="14">#REF!</definedName>
    <definedName name="OBERLIN" localSheetId="16">#REF!</definedName>
    <definedName name="OBERLIN" localSheetId="17">#REF!</definedName>
    <definedName name="OBERLIN" localSheetId="3">#REF!</definedName>
    <definedName name="OBERLIN" localSheetId="4">#REF!</definedName>
    <definedName name="OBERLIN" localSheetId="7">#REF!</definedName>
    <definedName name="OBERLIN" localSheetId="8">#REF!</definedName>
    <definedName name="OBERLIN" localSheetId="9">#REF!</definedName>
    <definedName name="OBERLIN">#REF!</definedName>
    <definedName name="PEMBERVILLE" localSheetId="1">#REF!</definedName>
    <definedName name="PEMBERVILLE" localSheetId="13">#REF!</definedName>
    <definedName name="PEMBERVILLE" localSheetId="14">#REF!</definedName>
    <definedName name="PEMBERVILLE" localSheetId="16">#REF!</definedName>
    <definedName name="PEMBERVILLE" localSheetId="17">#REF!</definedName>
    <definedName name="PEMBERVILLE" localSheetId="3">#REF!</definedName>
    <definedName name="PEMBERVILLE" localSheetId="4">#REF!</definedName>
    <definedName name="PEMBERVILLE" localSheetId="7">#REF!</definedName>
    <definedName name="PEMBERVILLE" localSheetId="8">#REF!</definedName>
    <definedName name="PEMBERVILLE" localSheetId="9">#REF!</definedName>
    <definedName name="PEMBERVILLE">#REF!</definedName>
    <definedName name="PIONEER" localSheetId="1">#REF!</definedName>
    <definedName name="PIONEER" localSheetId="13">#REF!</definedName>
    <definedName name="PIONEER" localSheetId="14">#REF!</definedName>
    <definedName name="PIONEER" localSheetId="16">#REF!</definedName>
    <definedName name="PIONEER" localSheetId="17">#REF!</definedName>
    <definedName name="PIONEER" localSheetId="3">#REF!</definedName>
    <definedName name="PIONEER" localSheetId="4">#REF!</definedName>
    <definedName name="PIONEER" localSheetId="7">#REF!</definedName>
    <definedName name="PIONEER" localSheetId="8">#REF!</definedName>
    <definedName name="PIONEER" localSheetId="9">#REF!</definedName>
    <definedName name="PIONEER">#REF!</definedName>
    <definedName name="_xlnm.Print_Area" localSheetId="1">'Cover Sheets'!$A$1:$D$33</definedName>
    <definedName name="_xlnm.Print_Area" localSheetId="0">'Rev Log'!$A:$I</definedName>
    <definedName name="_xlnm.Print_Area" localSheetId="2">'Summary-TrueUp'!$A$1:$H$45</definedName>
    <definedName name="_xlnm.Print_Area" localSheetId="13">'WS11-FacChanges'!$A$1:$B$9</definedName>
    <definedName name="_xlnm.Print_Area" localSheetId="14">'WS12-SSCD'!$A$1:$D$20</definedName>
    <definedName name="_xlnm.Print_Area" localSheetId="16">'WS14-Reg'!$A$1:$D$17</definedName>
    <definedName name="_xlnm.Print_Area" localSheetId="17">'WS15-Res'!$A$1:$D$20</definedName>
    <definedName name="_xlnm.Print_Area" localSheetId="3">'WS1-RateBase'!$A$1:$I$173</definedName>
    <definedName name="_xlnm.Print_Area" localSheetId="5">'WS2-AllocFactor'!$A$1:$H$37</definedName>
    <definedName name="_xlnm.Print_Area" localSheetId="4">'WS3-RevCredits'!$A$1:$J$229</definedName>
    <definedName name="_xlnm.Print_Area" localSheetId="7">'WS5-BPUz'!$A$1:$O$20</definedName>
    <definedName name="_xlnm.Print_Area" localSheetId="8">'WS6-BPUr'!$A$1:$O$20</definedName>
    <definedName name="_xlnm.Print_Area" localSheetId="9">'WS7-BPUFac'!$A$1:$I$47</definedName>
    <definedName name="_xlnm.Print_Area" localSheetId="10">'WS8-TransFac'!$A$1:$I$516</definedName>
    <definedName name="PROSPECT" localSheetId="1">#REF!</definedName>
    <definedName name="PROSPECT" localSheetId="13">#REF!</definedName>
    <definedName name="PROSPECT" localSheetId="14">#REF!</definedName>
    <definedName name="PROSPECT" localSheetId="16">#REF!</definedName>
    <definedName name="PROSPECT" localSheetId="17">#REF!</definedName>
    <definedName name="PROSPECT" localSheetId="3">#REF!</definedName>
    <definedName name="PROSPECT" localSheetId="4">#REF!</definedName>
    <definedName name="PROSPECT" localSheetId="7">#REF!</definedName>
    <definedName name="PROSPECT" localSheetId="8">#REF!</definedName>
    <definedName name="PROSPECT" localSheetId="9">#REF!</definedName>
    <definedName name="PROSPECT">#REF!</definedName>
    <definedName name="revreq" localSheetId="1">#REF!</definedName>
    <definedName name="revreq" localSheetId="13">#REF!</definedName>
    <definedName name="revreq" localSheetId="14">#REF!</definedName>
    <definedName name="revreq" localSheetId="16">#REF!</definedName>
    <definedName name="revreq" localSheetId="17">#REF!</definedName>
    <definedName name="revreq" localSheetId="3">#REF!</definedName>
    <definedName name="revreq" localSheetId="4">#REF!</definedName>
    <definedName name="revreq" localSheetId="7">#REF!</definedName>
    <definedName name="revreq" localSheetId="8">#REF!</definedName>
    <definedName name="revreq" localSheetId="9">#REF!</definedName>
    <definedName name="revreq">#REF!</definedName>
    <definedName name="SEVILLE" localSheetId="1">#REF!</definedName>
    <definedName name="SEVILLE" localSheetId="13">#REF!</definedName>
    <definedName name="SEVILLE" localSheetId="14">#REF!</definedName>
    <definedName name="SEVILLE" localSheetId="16">#REF!</definedName>
    <definedName name="SEVILLE" localSheetId="17">#REF!</definedName>
    <definedName name="SEVILLE" localSheetId="3">#REF!</definedName>
    <definedName name="SEVILLE" localSheetId="4">#REF!</definedName>
    <definedName name="SEVILLE" localSheetId="7">#REF!</definedName>
    <definedName name="SEVILLE" localSheetId="8">#REF!</definedName>
    <definedName name="SEVILLE" localSheetId="9">#REF!</definedName>
    <definedName name="SEVILLE">#REF!</definedName>
    <definedName name="SOUTH_VIENNA" localSheetId="1">#REF!</definedName>
    <definedName name="SOUTH_VIENNA" localSheetId="13">#REF!</definedName>
    <definedName name="SOUTH_VIENNA" localSheetId="14">#REF!</definedName>
    <definedName name="SOUTH_VIENNA" localSheetId="16">#REF!</definedName>
    <definedName name="SOUTH_VIENNA" localSheetId="17">#REF!</definedName>
    <definedName name="SOUTH_VIENNA" localSheetId="3">#REF!</definedName>
    <definedName name="SOUTH_VIENNA" localSheetId="4">#REF!</definedName>
    <definedName name="SOUTH_VIENNA" localSheetId="7">#REF!</definedName>
    <definedName name="SOUTH_VIENNA" localSheetId="8">#REF!</definedName>
    <definedName name="SOUTH_VIENNA" localSheetId="9">#REF!</definedName>
    <definedName name="SOUTH_VIENNA">#REF!</definedName>
    <definedName name="TOTAL_COLUMBIANA" localSheetId="1">#REF!</definedName>
    <definedName name="TOTAL_COLUMBIANA" localSheetId="13">#REF!</definedName>
    <definedName name="TOTAL_COLUMBIANA" localSheetId="14">#REF!</definedName>
    <definedName name="TOTAL_COLUMBIANA" localSheetId="16">#REF!</definedName>
    <definedName name="TOTAL_COLUMBIANA" localSheetId="17">#REF!</definedName>
    <definedName name="TOTAL_COLUMBIANA" localSheetId="3">#REF!</definedName>
    <definedName name="TOTAL_COLUMBIANA" localSheetId="4">#REF!</definedName>
    <definedName name="TOTAL_COLUMBIANA" localSheetId="7">#REF!</definedName>
    <definedName name="TOTAL_COLUMBIANA" localSheetId="8">#REF!</definedName>
    <definedName name="TOTAL_COLUMBIANA" localSheetId="9">#REF!</definedName>
    <definedName name="TOTAL_COLUMBIANA">#REF!</definedName>
    <definedName name="Total_Grove_City" localSheetId="1">#REF!</definedName>
    <definedName name="Total_Grove_City" localSheetId="13">#REF!</definedName>
    <definedName name="Total_Grove_City" localSheetId="14">#REF!</definedName>
    <definedName name="Total_Grove_City" localSheetId="16">#REF!</definedName>
    <definedName name="Total_Grove_City" localSheetId="17">#REF!</definedName>
    <definedName name="Total_Grove_City" localSheetId="3">#REF!</definedName>
    <definedName name="Total_Grove_City" localSheetId="4">#REF!</definedName>
    <definedName name="Total_Grove_City" localSheetId="7">#REF!</definedName>
    <definedName name="Total_Grove_City" localSheetId="8">#REF!</definedName>
    <definedName name="Total_Grove_City" localSheetId="9">#REF!</definedName>
    <definedName name="Total_Grove_City">#REF!</definedName>
    <definedName name="TOTAL_HUDSON" localSheetId="1">#REF!</definedName>
    <definedName name="TOTAL_HUDSON" localSheetId="13">#REF!</definedName>
    <definedName name="TOTAL_HUDSON" localSheetId="14">#REF!</definedName>
    <definedName name="TOTAL_HUDSON" localSheetId="16">#REF!</definedName>
    <definedName name="TOTAL_HUDSON" localSheetId="17">#REF!</definedName>
    <definedName name="TOTAL_HUDSON" localSheetId="3">#REF!</definedName>
    <definedName name="TOTAL_HUDSON" localSheetId="4">#REF!</definedName>
    <definedName name="TOTAL_HUDSON" localSheetId="7">#REF!</definedName>
    <definedName name="TOTAL_HUDSON" localSheetId="8">#REF!</definedName>
    <definedName name="TOTAL_HUDSON" localSheetId="9">#REF!</definedName>
    <definedName name="TOTAL_HUDSON">#REF!</definedName>
    <definedName name="TOTAL_MONTPELIER" localSheetId="1">#REF!</definedName>
    <definedName name="TOTAL_MONTPELIER" localSheetId="13">#REF!</definedName>
    <definedName name="TOTAL_MONTPELIER" localSheetId="14">#REF!</definedName>
    <definedName name="TOTAL_MONTPELIER" localSheetId="16">#REF!</definedName>
    <definedName name="TOTAL_MONTPELIER" localSheetId="17">#REF!</definedName>
    <definedName name="TOTAL_MONTPELIER" localSheetId="3">#REF!</definedName>
    <definedName name="TOTAL_MONTPELIER" localSheetId="4">#REF!</definedName>
    <definedName name="TOTAL_MONTPELIER" localSheetId="7">#REF!</definedName>
    <definedName name="TOTAL_MONTPELIER" localSheetId="8">#REF!</definedName>
    <definedName name="TOTAL_MONTPELIER" localSheetId="9">#REF!</definedName>
    <definedName name="TOTAL_MONTPELIER">#REF!</definedName>
    <definedName name="TOTAL_WOODVILLE" localSheetId="1">#REF!</definedName>
    <definedName name="TOTAL_WOODVILLE" localSheetId="13">#REF!</definedName>
    <definedName name="TOTAL_WOODVILLE" localSheetId="14">#REF!</definedName>
    <definedName name="TOTAL_WOODVILLE" localSheetId="16">#REF!</definedName>
    <definedName name="TOTAL_WOODVILLE" localSheetId="17">#REF!</definedName>
    <definedName name="TOTAL_WOODVILLE" localSheetId="3">#REF!</definedName>
    <definedName name="TOTAL_WOODVILLE" localSheetId="4">#REF!</definedName>
    <definedName name="TOTAL_WOODVILLE" localSheetId="7">#REF!</definedName>
    <definedName name="TOTAL_WOODVILLE" localSheetId="8">#REF!</definedName>
    <definedName name="TOTAL_WOODVILLE" localSheetId="9">#REF!</definedName>
    <definedName name="TOTAL_WOODVILLE">#REF!</definedName>
    <definedName name="WADSWORTH" localSheetId="1">#REF!</definedName>
    <definedName name="WADSWORTH" localSheetId="13">#REF!</definedName>
    <definedName name="WADSWORTH" localSheetId="14">#REF!</definedName>
    <definedName name="WADSWORTH" localSheetId="16">#REF!</definedName>
    <definedName name="WADSWORTH" localSheetId="17">#REF!</definedName>
    <definedName name="WADSWORTH" localSheetId="3">#REF!</definedName>
    <definedName name="WADSWORTH" localSheetId="4">#REF!</definedName>
    <definedName name="WADSWORTH" localSheetId="7">#REF!</definedName>
    <definedName name="WADSWORTH" localSheetId="8">#REF!</definedName>
    <definedName name="WADSWORTH" localSheetId="9">#REF!</definedName>
    <definedName name="WADSWORTH">#REF!</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17"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localSheetId="10"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17"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localSheetId="10"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1" l="1"/>
  <c r="F7" i="4"/>
  <c r="E31" i="11"/>
  <c r="D31" i="11"/>
  <c r="E26" i="11"/>
  <c r="D26" i="11"/>
  <c r="E29" i="11"/>
  <c r="E28" i="11"/>
  <c r="E24" i="11"/>
  <c r="E23" i="11"/>
  <c r="H16" i="11" l="1"/>
  <c r="E30" i="11" l="1"/>
  <c r="H30" i="11" s="1"/>
  <c r="D30" i="11"/>
  <c r="E25" i="11"/>
  <c r="D25" i="11"/>
  <c r="F37" i="11"/>
  <c r="H23" i="11"/>
  <c r="H25" i="11" l="1"/>
  <c r="F26" i="11"/>
  <c r="H29" i="11" l="1"/>
  <c r="H28" i="11"/>
  <c r="H24" i="11"/>
  <c r="H26" i="11" s="1"/>
  <c r="F29" i="11"/>
  <c r="H31" i="11" l="1"/>
  <c r="I19" i="11"/>
  <c r="I21" i="11"/>
  <c r="H17" i="11"/>
  <c r="H21" i="11"/>
  <c r="H20" i="11"/>
  <c r="H19" i="11"/>
  <c r="I16" i="11"/>
  <c r="F21" i="11"/>
  <c r="H18" i="11"/>
  <c r="F18" i="11"/>
  <c r="F40" i="11"/>
  <c r="D16" i="11"/>
  <c r="E16" i="11"/>
  <c r="F16" i="11"/>
  <c r="H15" i="11"/>
  <c r="H14" i="11"/>
  <c r="H13" i="11"/>
  <c r="H12" i="11"/>
  <c r="H11" i="11"/>
  <c r="H10" i="11"/>
  <c r="H9" i="11"/>
  <c r="H8" i="11"/>
  <c r="F9" i="11"/>
  <c r="F14" i="11"/>
  <c r="E13" i="11" l="1"/>
  <c r="F502" i="1" l="1"/>
  <c r="C22" i="3"/>
  <c r="C23" i="3"/>
  <c r="C125" i="3"/>
  <c r="C127" i="3"/>
  <c r="C132" i="3"/>
  <c r="C133" i="3"/>
  <c r="C67" i="3"/>
  <c r="E67" i="3"/>
  <c r="G67" i="3"/>
  <c r="I67" i="3"/>
  <c r="C69" i="3"/>
  <c r="E69" i="3"/>
  <c r="C93" i="3"/>
  <c r="C94" i="3"/>
  <c r="C106" i="3" s="1"/>
  <c r="C128" i="3" s="1"/>
  <c r="C95" i="3"/>
  <c r="C96" i="3"/>
  <c r="C97" i="3"/>
  <c r="C98" i="3"/>
  <c r="C99" i="3"/>
  <c r="C100" i="3"/>
  <c r="E106" i="3"/>
  <c r="C135" i="3" l="1"/>
  <c r="E18" i="11"/>
  <c r="E15" i="11"/>
  <c r="E14" i="11"/>
  <c r="E12" i="11"/>
  <c r="E11" i="11"/>
  <c r="E10" i="11"/>
  <c r="E9" i="11"/>
  <c r="E8" i="11"/>
  <c r="D32" i="11"/>
  <c r="D28" i="11"/>
  <c r="D23" i="11"/>
  <c r="D18" i="11"/>
  <c r="D17" i="11"/>
  <c r="D13" i="11"/>
  <c r="D12" i="11"/>
  <c r="D11" i="11"/>
  <c r="D10" i="11"/>
  <c r="D9" i="11"/>
  <c r="D8" i="11"/>
  <c r="E32" i="11"/>
  <c r="G504" i="1" l="1"/>
  <c r="H504" i="1"/>
  <c r="F504" i="1"/>
  <c r="H219" i="1"/>
  <c r="E71" i="5" l="1"/>
  <c r="I482" i="1"/>
  <c r="A20" i="26" l="1"/>
  <c r="N19" i="27"/>
  <c r="N19" i="26"/>
  <c r="H6" i="5"/>
  <c r="D19" i="27" l="1"/>
  <c r="E6" i="27" s="1"/>
  <c r="D6" i="27"/>
  <c r="C139" i="3"/>
  <c r="D19" i="26"/>
  <c r="E6" i="26" s="1"/>
  <c r="N6" i="26" s="1"/>
  <c r="E7" i="26"/>
  <c r="N7" i="26" s="1"/>
  <c r="D6" i="26"/>
  <c r="E518" i="1"/>
  <c r="I25" i="3"/>
  <c r="G25" i="3"/>
  <c r="G19" i="3"/>
  <c r="I19" i="3"/>
  <c r="I20" i="3"/>
  <c r="G24" i="3"/>
  <c r="G6" i="26" l="1"/>
  <c r="E8" i="26"/>
  <c r="N8" i="26" s="1"/>
  <c r="F6" i="27"/>
  <c r="K6" i="27" s="1"/>
  <c r="N6" i="27"/>
  <c r="C27" i="3"/>
  <c r="C26" i="3"/>
  <c r="C21" i="3"/>
  <c r="G20" i="3"/>
  <c r="E13" i="3"/>
  <c r="E20" i="3" s="1"/>
  <c r="I9" i="3"/>
  <c r="G9" i="3"/>
  <c r="I106" i="5"/>
  <c r="A91" i="3"/>
  <c r="A87" i="3"/>
  <c r="K106" i="3" l="1"/>
  <c r="K125" i="3"/>
  <c r="K46" i="3"/>
  <c r="K18" i="3"/>
  <c r="G125" i="3"/>
  <c r="G18" i="3" l="1"/>
  <c r="C70" i="3"/>
  <c r="E127" i="3"/>
  <c r="G7" i="3"/>
  <c r="C14" i="9"/>
  <c r="I22" i="28" l="1"/>
  <c r="G22" i="28"/>
  <c r="E5" i="28"/>
  <c r="E6" i="28"/>
  <c r="A75" i="24" l="1"/>
  <c r="A76" i="24" s="1"/>
  <c r="E176" i="1" l="1"/>
  <c r="C134" i="3" l="1"/>
  <c r="C10" i="2"/>
  <c r="A10" i="2"/>
  <c r="F39" i="11" l="1"/>
  <c r="F36" i="11"/>
  <c r="D29" i="11"/>
  <c r="D24" i="11"/>
  <c r="A190" i="1"/>
  <c r="A79" i="1"/>
  <c r="A78" i="1"/>
  <c r="E19" i="11" l="1"/>
  <c r="E20" i="11" s="1"/>
  <c r="D19" i="11" l="1"/>
  <c r="E21" i="11"/>
  <c r="F30" i="11"/>
  <c r="F25" i="11"/>
  <c r="F24" i="11"/>
  <c r="E169" i="25" l="1"/>
  <c r="E168" i="25"/>
  <c r="E167" i="25"/>
  <c r="E160" i="25"/>
  <c r="E197" i="25"/>
  <c r="E196" i="25"/>
  <c r="E195" i="25"/>
  <c r="E194" i="25"/>
  <c r="E193" i="25"/>
  <c r="E192" i="25"/>
  <c r="E191" i="25"/>
  <c r="E190" i="25"/>
  <c r="E189" i="25"/>
  <c r="E188" i="25"/>
  <c r="E213" i="25" l="1"/>
  <c r="E212" i="25"/>
  <c r="H212" i="25" s="1"/>
  <c r="E211" i="25"/>
  <c r="H211" i="25" s="1"/>
  <c r="E210" i="25"/>
  <c r="H210" i="25" s="1"/>
  <c r="E209" i="25"/>
  <c r="H209" i="25" s="1"/>
  <c r="E208" i="25"/>
  <c r="H208" i="25" s="1"/>
  <c r="E207" i="25"/>
  <c r="H207" i="25" s="1"/>
  <c r="E206" i="25"/>
  <c r="H206" i="25" s="1"/>
  <c r="E205" i="25"/>
  <c r="H205" i="25" s="1"/>
  <c r="E204" i="25"/>
  <c r="H204" i="25" s="1"/>
  <c r="E203" i="25"/>
  <c r="H203" i="25" s="1"/>
  <c r="E202" i="25"/>
  <c r="E199" i="25"/>
  <c r="E198" i="25"/>
  <c r="H214" i="25"/>
  <c r="H213" i="25"/>
  <c r="G209" i="25"/>
  <c r="E185" i="25"/>
  <c r="H185" i="25" s="1"/>
  <c r="E184" i="25"/>
  <c r="E183" i="25"/>
  <c r="H183" i="25" s="1"/>
  <c r="E182" i="25"/>
  <c r="H182" i="25" s="1"/>
  <c r="E181" i="25"/>
  <c r="H181" i="25" s="1"/>
  <c r="E180" i="25"/>
  <c r="H180" i="25" s="1"/>
  <c r="E179" i="25"/>
  <c r="H179" i="25" s="1"/>
  <c r="E178" i="25"/>
  <c r="H178" i="25" s="1"/>
  <c r="E177" i="25"/>
  <c r="H177" i="25" s="1"/>
  <c r="E176" i="25"/>
  <c r="E175" i="25"/>
  <c r="H175" i="25" s="1"/>
  <c r="E174" i="25"/>
  <c r="E171" i="25"/>
  <c r="E170" i="25"/>
  <c r="E166" i="25"/>
  <c r="E165" i="25"/>
  <c r="E164" i="25"/>
  <c r="E163" i="25"/>
  <c r="E162" i="25"/>
  <c r="E161" i="25"/>
  <c r="H186" i="25"/>
  <c r="H184" i="25"/>
  <c r="G181" i="25"/>
  <c r="H176" i="25"/>
  <c r="E215" i="25" l="1"/>
  <c r="H202" i="25"/>
  <c r="H215" i="25"/>
  <c r="E187" i="25"/>
  <c r="H174" i="25"/>
  <c r="H187" i="25" s="1"/>
  <c r="B8" i="26" l="1"/>
  <c r="B6" i="26"/>
  <c r="B7" i="26"/>
  <c r="E46" i="28"/>
  <c r="I45" i="28" l="1"/>
  <c r="G45" i="28"/>
  <c r="F44" i="28"/>
  <c r="E44" i="28"/>
  <c r="E22" i="28"/>
  <c r="I21" i="28"/>
  <c r="G21" i="28"/>
  <c r="G23" i="28"/>
  <c r="I23" i="28"/>
  <c r="G24" i="28"/>
  <c r="I24" i="28"/>
  <c r="E47" i="28" l="1"/>
  <c r="G7" i="28"/>
  <c r="G46" i="28"/>
  <c r="H7" i="28"/>
  <c r="D8" i="26" s="1"/>
  <c r="I46" i="28"/>
  <c r="I258" i="1"/>
  <c r="D7" i="27" l="1"/>
  <c r="G265" i="1"/>
  <c r="K104" i="3" l="1"/>
  <c r="K105" i="3"/>
  <c r="K101" i="3"/>
  <c r="K102" i="3"/>
  <c r="K103" i="3"/>
  <c r="E18" i="3"/>
  <c r="H147" i="25" l="1"/>
  <c r="H148" i="25"/>
  <c r="H149" i="25"/>
  <c r="H150" i="25"/>
  <c r="H151" i="25"/>
  <c r="H152" i="25"/>
  <c r="H153" i="25"/>
  <c r="H154" i="25"/>
  <c r="H155" i="25"/>
  <c r="H156" i="25"/>
  <c r="H157" i="25"/>
  <c r="H146" i="25"/>
  <c r="H133" i="25"/>
  <c r="H134" i="25"/>
  <c r="H135" i="25"/>
  <c r="H136" i="25"/>
  <c r="H137" i="25"/>
  <c r="H138" i="25"/>
  <c r="H139" i="25"/>
  <c r="H140" i="25"/>
  <c r="H141" i="25"/>
  <c r="H142" i="25"/>
  <c r="H143" i="25"/>
  <c r="H132" i="25"/>
  <c r="H119" i="25"/>
  <c r="H120" i="25"/>
  <c r="H121" i="25"/>
  <c r="H122" i="25"/>
  <c r="H123" i="25"/>
  <c r="H124" i="25"/>
  <c r="H125" i="25"/>
  <c r="H126" i="25"/>
  <c r="H127" i="25"/>
  <c r="H128" i="25"/>
  <c r="H129" i="25"/>
  <c r="H118" i="25"/>
  <c r="I7" i="28" l="1"/>
  <c r="G20" i="28" l="1"/>
  <c r="I20" i="28"/>
  <c r="G39" i="28"/>
  <c r="I39" i="28"/>
  <c r="G38" i="28"/>
  <c r="I38" i="28"/>
  <c r="G37" i="28"/>
  <c r="I37" i="28"/>
  <c r="G36" i="28"/>
  <c r="I36" i="28"/>
  <c r="G19" i="28"/>
  <c r="I19" i="28"/>
  <c r="G18" i="28"/>
  <c r="I18" i="28"/>
  <c r="G35" i="28"/>
  <c r="I35" i="28"/>
  <c r="G34" i="28"/>
  <c r="I34" i="28"/>
  <c r="G33" i="28"/>
  <c r="I33" i="28"/>
  <c r="G32" i="28"/>
  <c r="I32" i="28"/>
  <c r="G31" i="28"/>
  <c r="I31" i="28"/>
  <c r="G30" i="28"/>
  <c r="I30" i="28"/>
  <c r="G29" i="28"/>
  <c r="I29" i="28"/>
  <c r="G17" i="28"/>
  <c r="I17" i="28"/>
  <c r="G16" i="28"/>
  <c r="I16" i="28"/>
  <c r="G28" i="28"/>
  <c r="I28" i="28"/>
  <c r="G27" i="28"/>
  <c r="I27" i="28"/>
  <c r="G26" i="28"/>
  <c r="I26" i="28"/>
  <c r="G15" i="28"/>
  <c r="I15" i="28"/>
  <c r="G14" i="28"/>
  <c r="I14" i="28"/>
  <c r="G13" i="28"/>
  <c r="I13" i="28"/>
  <c r="G41" i="28"/>
  <c r="I41" i="28"/>
  <c r="E7" i="28"/>
  <c r="E8" i="28" s="1"/>
  <c r="I219" i="1"/>
  <c r="H265" i="1" l="1"/>
  <c r="I18" i="3" l="1"/>
  <c r="I7" i="3"/>
  <c r="E7" i="3"/>
  <c r="E72" i="25" l="1"/>
  <c r="E71" i="25"/>
  <c r="E70" i="25"/>
  <c r="E68" i="25"/>
  <c r="E67" i="25"/>
  <c r="E66" i="25"/>
  <c r="E65" i="25"/>
  <c r="E64" i="25"/>
  <c r="E63" i="25"/>
  <c r="E62" i="25"/>
  <c r="E56" i="25" l="1"/>
  <c r="E59" i="25"/>
  <c r="E58" i="25"/>
  <c r="E57" i="25"/>
  <c r="E55" i="25"/>
  <c r="E54" i="25"/>
  <c r="E53" i="25"/>
  <c r="E52" i="25"/>
  <c r="E51" i="25"/>
  <c r="E50" i="25"/>
  <c r="E49" i="25"/>
  <c r="E48" i="25"/>
  <c r="E56" i="5"/>
  <c r="I55" i="5"/>
  <c r="I54" i="5"/>
  <c r="I53" i="5"/>
  <c r="I52" i="5"/>
  <c r="G52" i="5"/>
  <c r="G53" i="5"/>
  <c r="G54" i="5"/>
  <c r="G55" i="5"/>
  <c r="I20" i="5"/>
  <c r="I21" i="5"/>
  <c r="G20" i="5"/>
  <c r="G21" i="5"/>
  <c r="E30" i="5"/>
  <c r="E61" i="25" l="1"/>
  <c r="F503" i="1"/>
  <c r="E138" i="1"/>
  <c r="E184" i="1"/>
  <c r="I298" i="1" l="1"/>
  <c r="I299" i="1"/>
  <c r="I300" i="1"/>
  <c r="I301" i="1"/>
  <c r="I218" i="1"/>
  <c r="I220" i="1"/>
  <c r="I187" i="1"/>
  <c r="I188" i="1"/>
  <c r="I189" i="1"/>
  <c r="I78" i="1"/>
  <c r="I190" i="1"/>
  <c r="I191" i="1"/>
  <c r="I192" i="1"/>
  <c r="I97" i="1"/>
  <c r="I98" i="1"/>
  <c r="I99" i="1"/>
  <c r="I100" i="1"/>
  <c r="I101" i="1"/>
  <c r="I102" i="1"/>
  <c r="I103" i="1"/>
  <c r="I104" i="1"/>
  <c r="I36" i="1"/>
  <c r="I37" i="1"/>
  <c r="I38" i="1"/>
  <c r="I39" i="1"/>
  <c r="K100" i="3" l="1"/>
  <c r="K99" i="3"/>
  <c r="K98" i="3"/>
  <c r="K97" i="3"/>
  <c r="K96" i="3"/>
  <c r="C46" i="3"/>
  <c r="C18" i="3"/>
  <c r="G46" i="3"/>
  <c r="I497" i="1" l="1"/>
  <c r="A1" i="23" l="1"/>
  <c r="A1" i="11"/>
  <c r="K93" i="3" l="1"/>
  <c r="K94" i="3"/>
  <c r="K95" i="3"/>
  <c r="E201" i="25" l="1"/>
  <c r="H200" i="25"/>
  <c r="H199" i="25"/>
  <c r="H198" i="25"/>
  <c r="H197" i="25"/>
  <c r="H196" i="25"/>
  <c r="H195" i="25"/>
  <c r="G195" i="25"/>
  <c r="H194" i="25"/>
  <c r="H193" i="25"/>
  <c r="H192" i="25"/>
  <c r="H191" i="25"/>
  <c r="H190" i="25"/>
  <c r="H189" i="25"/>
  <c r="H188" i="25"/>
  <c r="E173" i="25"/>
  <c r="H172" i="25"/>
  <c r="H171" i="25"/>
  <c r="H170" i="25"/>
  <c r="H169" i="25"/>
  <c r="H168" i="25"/>
  <c r="H167" i="25"/>
  <c r="G167" i="25"/>
  <c r="H166" i="25"/>
  <c r="H165" i="25"/>
  <c r="H164" i="25"/>
  <c r="H163" i="25"/>
  <c r="H162" i="25"/>
  <c r="H161" i="25"/>
  <c r="H160" i="25"/>
  <c r="I100" i="5"/>
  <c r="I101" i="5"/>
  <c r="I102" i="5"/>
  <c r="I103" i="5"/>
  <c r="I104" i="5"/>
  <c r="I105" i="5"/>
  <c r="G100" i="5"/>
  <c r="G101" i="5"/>
  <c r="G102" i="5"/>
  <c r="G103" i="5"/>
  <c r="G104" i="5"/>
  <c r="G105" i="5"/>
  <c r="E109" i="5"/>
  <c r="D121" i="2"/>
  <c r="H71" i="25"/>
  <c r="H67" i="25"/>
  <c r="H63" i="25"/>
  <c r="H57" i="25"/>
  <c r="H53" i="25"/>
  <c r="C157" i="25"/>
  <c r="C156" i="25"/>
  <c r="C155" i="25"/>
  <c r="C154" i="25"/>
  <c r="C153" i="25"/>
  <c r="C152" i="25"/>
  <c r="C151" i="25"/>
  <c r="C150" i="25"/>
  <c r="C149" i="25"/>
  <c r="C148" i="25"/>
  <c r="C147" i="25"/>
  <c r="C146" i="25"/>
  <c r="C143" i="25"/>
  <c r="C129" i="25"/>
  <c r="C213" i="25" s="1"/>
  <c r="C115" i="25"/>
  <c r="C134" i="25"/>
  <c r="C133" i="25"/>
  <c r="C132" i="25"/>
  <c r="C128" i="25"/>
  <c r="C127" i="25"/>
  <c r="C126" i="25"/>
  <c r="C125" i="25"/>
  <c r="C124" i="25"/>
  <c r="C123" i="25"/>
  <c r="C122" i="25"/>
  <c r="C121" i="25"/>
  <c r="C120" i="25"/>
  <c r="C119" i="25"/>
  <c r="C118" i="25"/>
  <c r="C114" i="25"/>
  <c r="C113" i="25"/>
  <c r="C112" i="25"/>
  <c r="C111" i="25"/>
  <c r="C110" i="25"/>
  <c r="C109" i="25"/>
  <c r="C108" i="25"/>
  <c r="C107" i="25"/>
  <c r="C106" i="25"/>
  <c r="C105" i="25"/>
  <c r="C104" i="25"/>
  <c r="C101" i="25"/>
  <c r="C171" i="25" s="1"/>
  <c r="C100" i="25"/>
  <c r="C99" i="25"/>
  <c r="C98" i="25"/>
  <c r="C97" i="25"/>
  <c r="C96" i="25"/>
  <c r="C95" i="25"/>
  <c r="C94" i="25"/>
  <c r="C93" i="25"/>
  <c r="C92" i="25"/>
  <c r="C91" i="25"/>
  <c r="C90" i="25"/>
  <c r="C86" i="25"/>
  <c r="C85" i="25"/>
  <c r="C84" i="25"/>
  <c r="C83" i="25"/>
  <c r="C82" i="25"/>
  <c r="C81" i="25"/>
  <c r="C80" i="25"/>
  <c r="C79" i="25"/>
  <c r="C78" i="25"/>
  <c r="C77" i="25"/>
  <c r="C76" i="25"/>
  <c r="C73" i="25"/>
  <c r="C72" i="25"/>
  <c r="C71" i="25"/>
  <c r="C70" i="25"/>
  <c r="C69" i="25"/>
  <c r="C68" i="25"/>
  <c r="C67" i="25"/>
  <c r="C66" i="25"/>
  <c r="C65" i="25"/>
  <c r="C64" i="25"/>
  <c r="C63" i="25"/>
  <c r="C62" i="25"/>
  <c r="C59" i="25"/>
  <c r="C58" i="25"/>
  <c r="C57" i="25"/>
  <c r="C56" i="25"/>
  <c r="C55" i="25"/>
  <c r="C54" i="25"/>
  <c r="C53" i="25"/>
  <c r="C52" i="25"/>
  <c r="C51" i="25"/>
  <c r="C204" i="25" s="1"/>
  <c r="C50" i="25"/>
  <c r="C203" i="25" s="1"/>
  <c r="C49" i="25"/>
  <c r="C202" i="25" s="1"/>
  <c r="C48" i="25"/>
  <c r="C45" i="25"/>
  <c r="C44" i="25"/>
  <c r="C43" i="25"/>
  <c r="C42" i="25"/>
  <c r="C41" i="25"/>
  <c r="C40" i="25"/>
  <c r="C39" i="25"/>
  <c r="C38" i="25"/>
  <c r="C37" i="25"/>
  <c r="C36" i="25"/>
  <c r="C35" i="25"/>
  <c r="C34" i="25"/>
  <c r="C31" i="25"/>
  <c r="C170" i="25" s="1"/>
  <c r="C30" i="25"/>
  <c r="C169" i="25" s="1"/>
  <c r="C29" i="25"/>
  <c r="C168" i="25" s="1"/>
  <c r="C28" i="25"/>
  <c r="C167" i="25" s="1"/>
  <c r="C27" i="25"/>
  <c r="C166" i="25" s="1"/>
  <c r="C26" i="25"/>
  <c r="C165" i="25" s="1"/>
  <c r="C25" i="25"/>
  <c r="C164" i="25" s="1"/>
  <c r="C24" i="25"/>
  <c r="C163" i="25" s="1"/>
  <c r="C23" i="25"/>
  <c r="C162" i="25" s="1"/>
  <c r="C22" i="25"/>
  <c r="C161" i="25" s="1"/>
  <c r="C21" i="25"/>
  <c r="C160" i="25" s="1"/>
  <c r="C20" i="25"/>
  <c r="I245" i="1"/>
  <c r="G470" i="1"/>
  <c r="I470" i="1" s="1"/>
  <c r="G430" i="1"/>
  <c r="I430" i="1" s="1"/>
  <c r="G344" i="1"/>
  <c r="I344" i="1" s="1"/>
  <c r="I21" i="1"/>
  <c r="A4" i="2"/>
  <c r="A3" i="25" s="1"/>
  <c r="A3" i="4"/>
  <c r="A3" i="9"/>
  <c r="A3" i="10"/>
  <c r="A3" i="5"/>
  <c r="A3" i="6"/>
  <c r="A3" i="22"/>
  <c r="A3" i="24"/>
  <c r="A3" i="23"/>
  <c r="I122" i="1"/>
  <c r="I123" i="1"/>
  <c r="A3" i="1"/>
  <c r="A3" i="28"/>
  <c r="A3" i="27"/>
  <c r="A3" i="26"/>
  <c r="A3" i="3"/>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E89" i="25"/>
  <c r="D118" i="2"/>
  <c r="H64" i="25"/>
  <c r="H65" i="25"/>
  <c r="H66" i="25"/>
  <c r="H68" i="25"/>
  <c r="H69" i="25"/>
  <c r="H70" i="25"/>
  <c r="H72" i="25"/>
  <c r="H73" i="25"/>
  <c r="H74" i="25"/>
  <c r="H62" i="25"/>
  <c r="A1" i="4"/>
  <c r="A1" i="25"/>
  <c r="K130" i="3"/>
  <c r="A8" i="2"/>
  <c r="A9" i="2" s="1"/>
  <c r="A1" i="9"/>
  <c r="A1" i="10"/>
  <c r="A1" i="5"/>
  <c r="A1" i="6"/>
  <c r="A1" i="22"/>
  <c r="A1" i="24"/>
  <c r="A1" i="1"/>
  <c r="A1" i="28"/>
  <c r="A1" i="27"/>
  <c r="A1" i="26"/>
  <c r="A1" i="3"/>
  <c r="A42" i="3" s="1"/>
  <c r="A1" i="2"/>
  <c r="I40" i="28"/>
  <c r="G40" i="28"/>
  <c r="I12" i="28"/>
  <c r="G12" i="28"/>
  <c r="I11" i="28"/>
  <c r="G11" i="28"/>
  <c r="I10" i="28"/>
  <c r="G10" i="28"/>
  <c r="I42" i="28"/>
  <c r="G42" i="28"/>
  <c r="I25" i="28"/>
  <c r="G25" i="28"/>
  <c r="I43" i="28"/>
  <c r="G43" i="28"/>
  <c r="A7" i="27"/>
  <c r="A8" i="27" s="1"/>
  <c r="A9" i="27" s="1"/>
  <c r="A10" i="27" s="1"/>
  <c r="A11" i="27" s="1"/>
  <c r="A12" i="27" s="1"/>
  <c r="A13" i="27" s="1"/>
  <c r="A14" i="27" s="1"/>
  <c r="A15" i="27" s="1"/>
  <c r="A16" i="27" s="1"/>
  <c r="A17" i="27" s="1"/>
  <c r="A18" i="27" s="1"/>
  <c r="A19" i="27" s="1"/>
  <c r="A7" i="26"/>
  <c r="A8" i="26" s="1"/>
  <c r="A9" i="26" s="1"/>
  <c r="A10" i="26" s="1"/>
  <c r="A11" i="26" s="1"/>
  <c r="A12" i="26" s="1"/>
  <c r="A13" i="26" s="1"/>
  <c r="A14" i="26" s="1"/>
  <c r="A15" i="26" s="1"/>
  <c r="A16" i="26" s="1"/>
  <c r="A17" i="26" s="1"/>
  <c r="A18" i="26" s="1"/>
  <c r="A19" i="26" s="1"/>
  <c r="E159" i="25"/>
  <c r="H158" i="25"/>
  <c r="G153" i="25"/>
  <c r="E145" i="25"/>
  <c r="H144" i="25"/>
  <c r="G139" i="25"/>
  <c r="E131" i="25"/>
  <c r="H130" i="25"/>
  <c r="H131" i="25" s="1"/>
  <c r="G125" i="25"/>
  <c r="H56" i="25"/>
  <c r="H52" i="25"/>
  <c r="H48" i="25"/>
  <c r="H60" i="25"/>
  <c r="H59" i="25"/>
  <c r="H58" i="25"/>
  <c r="H55" i="25"/>
  <c r="G55" i="25"/>
  <c r="F55" i="25"/>
  <c r="H54" i="25"/>
  <c r="H51" i="25"/>
  <c r="H50" i="25"/>
  <c r="E47" i="25"/>
  <c r="H46" i="25"/>
  <c r="H45" i="25"/>
  <c r="H44" i="25"/>
  <c r="H43" i="25"/>
  <c r="H42" i="25"/>
  <c r="H41" i="25"/>
  <c r="G41" i="25"/>
  <c r="F41" i="25"/>
  <c r="H40" i="25"/>
  <c r="H39" i="25"/>
  <c r="H38" i="25"/>
  <c r="H37" i="25"/>
  <c r="H36" i="25"/>
  <c r="H35" i="25"/>
  <c r="H34" i="25"/>
  <c r="E33" i="25"/>
  <c r="H32" i="25"/>
  <c r="H31" i="25"/>
  <c r="H30" i="25"/>
  <c r="H29" i="25"/>
  <c r="H28" i="25"/>
  <c r="H27" i="25"/>
  <c r="G27" i="25"/>
  <c r="F27" i="25"/>
  <c r="H26" i="25"/>
  <c r="H25" i="25"/>
  <c r="H24" i="25"/>
  <c r="H23" i="25"/>
  <c r="H22" i="25"/>
  <c r="H21" i="25"/>
  <c r="H20" i="25"/>
  <c r="H17" i="25"/>
  <c r="H16" i="25"/>
  <c r="H15" i="25"/>
  <c r="H14" i="25"/>
  <c r="H13" i="25"/>
  <c r="H12" i="25"/>
  <c r="H11" i="25"/>
  <c r="H10" i="25"/>
  <c r="H9" i="25"/>
  <c r="H8" i="25"/>
  <c r="H7" i="25"/>
  <c r="H18" i="25"/>
  <c r="G13" i="25"/>
  <c r="E103" i="25"/>
  <c r="H102" i="25"/>
  <c r="H101" i="25"/>
  <c r="H100" i="25"/>
  <c r="H99" i="25"/>
  <c r="H98" i="25"/>
  <c r="H97" i="25"/>
  <c r="G97" i="25"/>
  <c r="F97" i="25"/>
  <c r="H96" i="25"/>
  <c r="H95" i="25"/>
  <c r="H94" i="25"/>
  <c r="H93" i="25"/>
  <c r="H92" i="25"/>
  <c r="H91" i="25"/>
  <c r="H90" i="25"/>
  <c r="H116" i="25"/>
  <c r="H77" i="25"/>
  <c r="H78" i="25"/>
  <c r="H79" i="25"/>
  <c r="H80" i="25"/>
  <c r="H81" i="25"/>
  <c r="H82" i="25"/>
  <c r="H83" i="25"/>
  <c r="H84" i="25"/>
  <c r="H85" i="25"/>
  <c r="H86" i="25"/>
  <c r="H87" i="25"/>
  <c r="H88" i="25"/>
  <c r="H76" i="25"/>
  <c r="E19" i="25"/>
  <c r="H6" i="25"/>
  <c r="E117" i="25"/>
  <c r="H105" i="25"/>
  <c r="H106" i="25"/>
  <c r="H107" i="25"/>
  <c r="H108" i="25"/>
  <c r="H109" i="25"/>
  <c r="H110" i="25"/>
  <c r="H111" i="25"/>
  <c r="H112" i="25"/>
  <c r="H113" i="25"/>
  <c r="H114" i="25"/>
  <c r="H115" i="25"/>
  <c r="H104" i="25"/>
  <c r="G83" i="25"/>
  <c r="G111" i="25"/>
  <c r="F111" i="25"/>
  <c r="I118" i="5"/>
  <c r="G118" i="5"/>
  <c r="I51" i="5"/>
  <c r="G51" i="5"/>
  <c r="E511" i="1"/>
  <c r="A6" i="24"/>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G368" i="1"/>
  <c r="I368" i="1" s="1"/>
  <c r="E285" i="1"/>
  <c r="E121" i="1"/>
  <c r="E472" i="1"/>
  <c r="E294" i="1"/>
  <c r="E289" i="1"/>
  <c r="E217" i="1"/>
  <c r="I217" i="1" s="1"/>
  <c r="E201" i="1"/>
  <c r="E182" i="1"/>
  <c r="I182" i="1" s="1"/>
  <c r="I236" i="1"/>
  <c r="I181" i="1"/>
  <c r="G372" i="1"/>
  <c r="I372" i="1" s="1"/>
  <c r="G364" i="1"/>
  <c r="I364" i="1" s="1"/>
  <c r="G511" i="1"/>
  <c r="F511" i="1"/>
  <c r="I506" i="1"/>
  <c r="I507" i="1"/>
  <c r="I508" i="1"/>
  <c r="I509" i="1"/>
  <c r="I510" i="1"/>
  <c r="E126" i="5"/>
  <c r="I126" i="5" s="1"/>
  <c r="E125" i="5"/>
  <c r="I125" i="5" s="1"/>
  <c r="E124" i="5"/>
  <c r="G124" i="5" s="1"/>
  <c r="E123" i="5"/>
  <c r="E122" i="5"/>
  <c r="E121" i="5"/>
  <c r="I121" i="5" s="1"/>
  <c r="E120" i="5"/>
  <c r="E119" i="5"/>
  <c r="E116" i="5"/>
  <c r="E115" i="5"/>
  <c r="I115" i="5" s="1"/>
  <c r="E114" i="5"/>
  <c r="G114" i="5" s="1"/>
  <c r="E113" i="5"/>
  <c r="E112" i="5"/>
  <c r="E108" i="5"/>
  <c r="G108" i="5" s="1"/>
  <c r="E107" i="5"/>
  <c r="E99" i="5"/>
  <c r="G99" i="5" s="1"/>
  <c r="E98" i="5"/>
  <c r="E97" i="5"/>
  <c r="G97" i="5" s="1"/>
  <c r="E96" i="5"/>
  <c r="I96" i="5" s="1"/>
  <c r="E95" i="5"/>
  <c r="E94" i="5"/>
  <c r="E93" i="5"/>
  <c r="G93" i="5" s="1"/>
  <c r="E92" i="5"/>
  <c r="I92" i="5" s="1"/>
  <c r="E91" i="5"/>
  <c r="E90" i="5"/>
  <c r="E89" i="5"/>
  <c r="I89" i="5" s="1"/>
  <c r="E88" i="5"/>
  <c r="G88" i="5" s="1"/>
  <c r="E87" i="5"/>
  <c r="E86" i="5"/>
  <c r="I86" i="5" s="1"/>
  <c r="E85" i="5"/>
  <c r="I85" i="5" s="1"/>
  <c r="E84" i="5"/>
  <c r="E83" i="5"/>
  <c r="E82" i="5"/>
  <c r="I82" i="5" s="1"/>
  <c r="E81" i="5"/>
  <c r="G81" i="5" s="1"/>
  <c r="E80" i="5"/>
  <c r="I80" i="5" s="1"/>
  <c r="E79" i="5"/>
  <c r="E78" i="5"/>
  <c r="E77" i="5"/>
  <c r="G77" i="5" s="1"/>
  <c r="E76" i="5"/>
  <c r="I76" i="5" s="1"/>
  <c r="E75" i="5"/>
  <c r="E74" i="5"/>
  <c r="E73" i="5"/>
  <c r="I73" i="5" s="1"/>
  <c r="E72" i="5"/>
  <c r="G72" i="5" s="1"/>
  <c r="E70" i="5"/>
  <c r="I70" i="5" s="1"/>
  <c r="E69" i="5"/>
  <c r="I69" i="5" s="1"/>
  <c r="E68" i="5"/>
  <c r="E67" i="5"/>
  <c r="E66" i="5"/>
  <c r="I66" i="5" s="1"/>
  <c r="E65" i="5"/>
  <c r="G65" i="5" s="1"/>
  <c r="E64" i="5"/>
  <c r="G64" i="5" s="1"/>
  <c r="E63" i="5"/>
  <c r="E62" i="5"/>
  <c r="E61" i="5"/>
  <c r="G61" i="5" s="1"/>
  <c r="E60" i="5"/>
  <c r="I60" i="5" s="1"/>
  <c r="E59" i="5"/>
  <c r="E58" i="5"/>
  <c r="E57" i="5"/>
  <c r="E42" i="5"/>
  <c r="E41" i="5"/>
  <c r="I41" i="5" s="1"/>
  <c r="E40" i="5"/>
  <c r="I40" i="5" s="1"/>
  <c r="E39" i="5"/>
  <c r="I39" i="5" s="1"/>
  <c r="E38" i="5"/>
  <c r="E37" i="5"/>
  <c r="G37" i="5" s="1"/>
  <c r="E36" i="5"/>
  <c r="I36" i="5" s="1"/>
  <c r="E35" i="5"/>
  <c r="G35" i="5" s="1"/>
  <c r="E34" i="5"/>
  <c r="E33" i="5"/>
  <c r="I33" i="5" s="1"/>
  <c r="E32" i="5"/>
  <c r="G32" i="5" s="1"/>
  <c r="E31" i="5"/>
  <c r="I31" i="5" s="1"/>
  <c r="E29" i="5"/>
  <c r="E28" i="5"/>
  <c r="G28" i="5" s="1"/>
  <c r="E27" i="5"/>
  <c r="I27" i="5" s="1"/>
  <c r="E26" i="5"/>
  <c r="E25" i="5"/>
  <c r="E24" i="5"/>
  <c r="G24" i="5" s="1"/>
  <c r="E23" i="5"/>
  <c r="I23" i="5" s="1"/>
  <c r="E22" i="5"/>
  <c r="G22" i="5" s="1"/>
  <c r="E19" i="5"/>
  <c r="E18" i="5"/>
  <c r="G18" i="5" s="1"/>
  <c r="E17" i="5"/>
  <c r="I17" i="5" s="1"/>
  <c r="E16" i="5"/>
  <c r="E15" i="5"/>
  <c r="E14" i="5"/>
  <c r="I14" i="5" s="1"/>
  <c r="E13" i="5"/>
  <c r="G13" i="5" s="1"/>
  <c r="E12" i="5"/>
  <c r="I12" i="5" s="1"/>
  <c r="E11" i="5"/>
  <c r="E10" i="5"/>
  <c r="I10" i="5" s="1"/>
  <c r="E49" i="5"/>
  <c r="E6" i="5" s="1"/>
  <c r="C11" i="10"/>
  <c r="I202" i="1"/>
  <c r="I203" i="1"/>
  <c r="I321" i="1"/>
  <c r="I47" i="5"/>
  <c r="I48" i="5"/>
  <c r="G47" i="5"/>
  <c r="G48" i="5"/>
  <c r="G384" i="1"/>
  <c r="I384" i="1" s="1"/>
  <c r="I46" i="5"/>
  <c r="G46" i="5"/>
  <c r="G41" i="5"/>
  <c r="I503" i="1"/>
  <c r="I499" i="1"/>
  <c r="E501" i="1"/>
  <c r="E504" i="1" s="1"/>
  <c r="F500" i="1"/>
  <c r="I502" i="1"/>
  <c r="I504" i="1" s="1"/>
  <c r="I193" i="1"/>
  <c r="I194" i="1"/>
  <c r="I195" i="1"/>
  <c r="I205" i="1"/>
  <c r="I206" i="1"/>
  <c r="I212" i="1"/>
  <c r="I213" i="1"/>
  <c r="I214" i="1"/>
  <c r="I215" i="1"/>
  <c r="I216" i="1"/>
  <c r="I211" i="1"/>
  <c r="I226" i="1"/>
  <c r="I231" i="1"/>
  <c r="I235" i="1"/>
  <c r="I237" i="1"/>
  <c r="I238" i="1"/>
  <c r="I239" i="1"/>
  <c r="I242" i="1"/>
  <c r="I260" i="1"/>
  <c r="I263" i="1"/>
  <c r="I234" i="1"/>
  <c r="I185" i="1"/>
  <c r="I157" i="1"/>
  <c r="I156" i="1"/>
  <c r="I155" i="1"/>
  <c r="I151" i="1"/>
  <c r="I142" i="1"/>
  <c r="I139" i="1"/>
  <c r="I128" i="1"/>
  <c r="I126" i="1"/>
  <c r="I184" i="1"/>
  <c r="I186" i="1"/>
  <c r="I176" i="1"/>
  <c r="I138" i="1"/>
  <c r="I20" i="1"/>
  <c r="I240" i="1"/>
  <c r="F265" i="1"/>
  <c r="F8" i="5"/>
  <c r="G8" i="5"/>
  <c r="I474" i="1"/>
  <c r="I475" i="1"/>
  <c r="C13" i="9"/>
  <c r="A7" i="6"/>
  <c r="A8" i="6" s="1"/>
  <c r="A9" i="6"/>
  <c r="A10" i="6" s="1"/>
  <c r="A11" i="6" s="1"/>
  <c r="A12" i="6" s="1"/>
  <c r="A13" i="6" s="1"/>
  <c r="A14" i="6" s="1"/>
  <c r="A15" i="6" s="1"/>
  <c r="A16" i="6" s="1"/>
  <c r="A17" i="6" s="1"/>
  <c r="A18" i="6" s="1"/>
  <c r="A19" i="6" s="1"/>
  <c r="A20" i="6" s="1"/>
  <c r="I120" i="5"/>
  <c r="G120" i="5"/>
  <c r="I117" i="5"/>
  <c r="G117" i="5"/>
  <c r="G115" i="5"/>
  <c r="I111" i="5"/>
  <c r="G111" i="5"/>
  <c r="I110" i="5"/>
  <c r="G110" i="5"/>
  <c r="I109" i="5"/>
  <c r="G109" i="5"/>
  <c r="I107" i="5"/>
  <c r="G107" i="5"/>
  <c r="G92" i="5"/>
  <c r="I88" i="5"/>
  <c r="I84" i="5"/>
  <c r="G84" i="5"/>
  <c r="G76" i="5"/>
  <c r="G73" i="5"/>
  <c r="I72" i="5"/>
  <c r="I68" i="5"/>
  <c r="G68" i="5"/>
  <c r="I64" i="5"/>
  <c r="G60" i="5"/>
  <c r="G57" i="5"/>
  <c r="I50" i="5"/>
  <c r="G50" i="5"/>
  <c r="G56" i="5" s="1"/>
  <c r="I45" i="5"/>
  <c r="G45" i="5"/>
  <c r="I44" i="5"/>
  <c r="G44" i="5"/>
  <c r="I35" i="5"/>
  <c r="G33" i="5"/>
  <c r="I24" i="5"/>
  <c r="G23" i="5"/>
  <c r="G14" i="5"/>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7" i="3"/>
  <c r="A8" i="3" s="1"/>
  <c r="A9" i="3" s="1"/>
  <c r="A10" i="3" s="1"/>
  <c r="I14" i="3"/>
  <c r="I24" i="3" s="1"/>
  <c r="I70" i="3"/>
  <c r="E128" i="3"/>
  <c r="E135" i="3" s="1"/>
  <c r="G106" i="3"/>
  <c r="I106" i="3"/>
  <c r="G108" i="3" s="1"/>
  <c r="E13" i="4" s="1"/>
  <c r="G135" i="3"/>
  <c r="I135" i="3"/>
  <c r="K129" i="3"/>
  <c r="K132" i="3"/>
  <c r="K133" i="3"/>
  <c r="K134" i="3"/>
  <c r="C6" i="6" s="1"/>
  <c r="B20" i="2"/>
  <c r="B27" i="2" s="1"/>
  <c r="E20" i="2"/>
  <c r="F20" i="2"/>
  <c r="B21" i="2"/>
  <c r="B28" i="2" s="1"/>
  <c r="E21" i="2"/>
  <c r="E40" i="2" s="1"/>
  <c r="B22" i="2"/>
  <c r="B29" i="2" s="1"/>
  <c r="E22" i="2"/>
  <c r="F22" i="2"/>
  <c r="B23" i="2"/>
  <c r="B30" i="2" s="1"/>
  <c r="E23" i="2"/>
  <c r="B24" i="2"/>
  <c r="B31" i="2" s="1"/>
  <c r="E24" i="2"/>
  <c r="D30" i="2"/>
  <c r="D31" i="2"/>
  <c r="E37" i="2"/>
  <c r="D39" i="2"/>
  <c r="H52" i="2"/>
  <c r="E54" i="2"/>
  <c r="E55" i="2"/>
  <c r="E57" i="2"/>
  <c r="H60" i="2"/>
  <c r="B63" i="2"/>
  <c r="E64" i="2"/>
  <c r="D65" i="2"/>
  <c r="E65" i="2"/>
  <c r="B68" i="2"/>
  <c r="E73" i="2"/>
  <c r="E77" i="2"/>
  <c r="D79" i="2"/>
  <c r="D81" i="2"/>
  <c r="D84" i="2" s="1"/>
  <c r="D87" i="2" s="1"/>
  <c r="H101" i="2"/>
  <c r="H102" i="2"/>
  <c r="F107" i="2"/>
  <c r="F109" i="2"/>
  <c r="F110" i="2"/>
  <c r="D128" i="2"/>
  <c r="F126" i="2" s="1"/>
  <c r="F134" i="2"/>
  <c r="H143" i="2"/>
  <c r="B148" i="2"/>
  <c r="H148" i="2"/>
  <c r="I505" i="1"/>
  <c r="I498" i="1"/>
  <c r="I496" i="1"/>
  <c r="I495" i="1"/>
  <c r="G494" i="1"/>
  <c r="F494" i="1"/>
  <c r="E494" i="1"/>
  <c r="I493" i="1"/>
  <c r="I492" i="1"/>
  <c r="I491" i="1"/>
  <c r="I490" i="1"/>
  <c r="I489" i="1"/>
  <c r="I488" i="1"/>
  <c r="I487" i="1"/>
  <c r="I486" i="1"/>
  <c r="I485" i="1"/>
  <c r="I484" i="1"/>
  <c r="I483" i="1"/>
  <c r="I481" i="1"/>
  <c r="I480" i="1"/>
  <c r="I479" i="1"/>
  <c r="I478" i="1"/>
  <c r="I477" i="1"/>
  <c r="G476" i="1"/>
  <c r="F476" i="1"/>
  <c r="E476" i="1"/>
  <c r="F473" i="1"/>
  <c r="E473" i="1"/>
  <c r="G472" i="1"/>
  <c r="I472" i="1" s="1"/>
  <c r="G471" i="1"/>
  <c r="I471" i="1" s="1"/>
  <c r="G469" i="1"/>
  <c r="I469" i="1" s="1"/>
  <c r="G468" i="1"/>
  <c r="I468" i="1" s="1"/>
  <c r="G467" i="1"/>
  <c r="I467" i="1" s="1"/>
  <c r="G466" i="1"/>
  <c r="I466" i="1" s="1"/>
  <c r="G465" i="1"/>
  <c r="I465" i="1" s="1"/>
  <c r="G464" i="1"/>
  <c r="I464" i="1" s="1"/>
  <c r="G463" i="1"/>
  <c r="I463" i="1" s="1"/>
  <c r="G462" i="1"/>
  <c r="I462" i="1" s="1"/>
  <c r="G461" i="1"/>
  <c r="I461" i="1" s="1"/>
  <c r="G460" i="1"/>
  <c r="I460" i="1" s="1"/>
  <c r="G459" i="1"/>
  <c r="I459" i="1" s="1"/>
  <c r="G458" i="1"/>
  <c r="I458" i="1" s="1"/>
  <c r="G457" i="1"/>
  <c r="I457" i="1" s="1"/>
  <c r="G456" i="1"/>
  <c r="I456" i="1" s="1"/>
  <c r="G455" i="1"/>
  <c r="I455" i="1" s="1"/>
  <c r="G454" i="1"/>
  <c r="I454" i="1" s="1"/>
  <c r="G453" i="1"/>
  <c r="I453" i="1" s="1"/>
  <c r="G452" i="1"/>
  <c r="I452" i="1" s="1"/>
  <c r="G451" i="1"/>
  <c r="I451" i="1" s="1"/>
  <c r="G450" i="1"/>
  <c r="I450" i="1" s="1"/>
  <c r="G449" i="1"/>
  <c r="I449" i="1" s="1"/>
  <c r="G448" i="1"/>
  <c r="I448" i="1" s="1"/>
  <c r="G447" i="1"/>
  <c r="I447" i="1" s="1"/>
  <c r="G446" i="1"/>
  <c r="I446" i="1" s="1"/>
  <c r="G445" i="1"/>
  <c r="I445" i="1" s="1"/>
  <c r="G444" i="1"/>
  <c r="I444" i="1" s="1"/>
  <c r="G443" i="1"/>
  <c r="I443" i="1" s="1"/>
  <c r="G442" i="1"/>
  <c r="I442" i="1" s="1"/>
  <c r="G441" i="1"/>
  <c r="I441" i="1" s="1"/>
  <c r="G440" i="1"/>
  <c r="I440" i="1" s="1"/>
  <c r="G439" i="1"/>
  <c r="I439" i="1" s="1"/>
  <c r="G438" i="1"/>
  <c r="I438" i="1" s="1"/>
  <c r="G437" i="1"/>
  <c r="I437" i="1" s="1"/>
  <c r="G436" i="1"/>
  <c r="I436" i="1" s="1"/>
  <c r="G435" i="1"/>
  <c r="I435" i="1" s="1"/>
  <c r="G434" i="1"/>
  <c r="I434" i="1" s="1"/>
  <c r="G433" i="1"/>
  <c r="I433" i="1" s="1"/>
  <c r="G432" i="1"/>
  <c r="I432" i="1" s="1"/>
  <c r="G431" i="1"/>
  <c r="I431" i="1" s="1"/>
  <c r="G429" i="1"/>
  <c r="I429" i="1" s="1"/>
  <c r="G428" i="1"/>
  <c r="I428" i="1" s="1"/>
  <c r="G427" i="1"/>
  <c r="I427" i="1" s="1"/>
  <c r="G426" i="1"/>
  <c r="I426" i="1" s="1"/>
  <c r="G425" i="1"/>
  <c r="I425" i="1" s="1"/>
  <c r="G424" i="1"/>
  <c r="I424" i="1" s="1"/>
  <c r="G423" i="1"/>
  <c r="I423" i="1" s="1"/>
  <c r="G422" i="1"/>
  <c r="I422" i="1" s="1"/>
  <c r="G421" i="1"/>
  <c r="I421" i="1" s="1"/>
  <c r="G420" i="1"/>
  <c r="I420" i="1" s="1"/>
  <c r="G419" i="1"/>
  <c r="I419" i="1" s="1"/>
  <c r="G418" i="1"/>
  <c r="I418" i="1" s="1"/>
  <c r="G417" i="1"/>
  <c r="I417" i="1" s="1"/>
  <c r="G416" i="1"/>
  <c r="I416" i="1" s="1"/>
  <c r="G415" i="1"/>
  <c r="I415" i="1" s="1"/>
  <c r="G414" i="1"/>
  <c r="I414" i="1" s="1"/>
  <c r="G413" i="1"/>
  <c r="I413" i="1" s="1"/>
  <c r="G412" i="1"/>
  <c r="I412" i="1" s="1"/>
  <c r="G411" i="1"/>
  <c r="I411" i="1" s="1"/>
  <c r="G410" i="1"/>
  <c r="I410" i="1" s="1"/>
  <c r="G409" i="1"/>
  <c r="I409" i="1" s="1"/>
  <c r="G408" i="1"/>
  <c r="I408" i="1" s="1"/>
  <c r="G407" i="1"/>
  <c r="I407" i="1" s="1"/>
  <c r="G406" i="1"/>
  <c r="I406" i="1" s="1"/>
  <c r="G405" i="1"/>
  <c r="I405" i="1" s="1"/>
  <c r="G404" i="1"/>
  <c r="I404" i="1" s="1"/>
  <c r="G403" i="1"/>
  <c r="I403" i="1" s="1"/>
  <c r="G402" i="1"/>
  <c r="I402" i="1" s="1"/>
  <c r="G401" i="1"/>
  <c r="I401" i="1" s="1"/>
  <c r="G400" i="1"/>
  <c r="I400" i="1" s="1"/>
  <c r="G399" i="1"/>
  <c r="I399" i="1" s="1"/>
  <c r="G398" i="1"/>
  <c r="I398" i="1" s="1"/>
  <c r="G397" i="1"/>
  <c r="I397" i="1" s="1"/>
  <c r="G396" i="1"/>
  <c r="I396" i="1" s="1"/>
  <c r="G395" i="1"/>
  <c r="I395" i="1" s="1"/>
  <c r="G394" i="1"/>
  <c r="I394" i="1" s="1"/>
  <c r="G393" i="1"/>
  <c r="I393" i="1" s="1"/>
  <c r="G392" i="1"/>
  <c r="I392" i="1" s="1"/>
  <c r="G391" i="1"/>
  <c r="I391" i="1" s="1"/>
  <c r="G390" i="1"/>
  <c r="I390" i="1" s="1"/>
  <c r="G389" i="1"/>
  <c r="I389" i="1" s="1"/>
  <c r="G388" i="1"/>
  <c r="I388" i="1" s="1"/>
  <c r="G387" i="1"/>
  <c r="I387" i="1" s="1"/>
  <c r="G386" i="1"/>
  <c r="I386" i="1" s="1"/>
  <c r="G385" i="1"/>
  <c r="I385" i="1" s="1"/>
  <c r="G383" i="1"/>
  <c r="I383" i="1" s="1"/>
  <c r="G382" i="1"/>
  <c r="I382" i="1" s="1"/>
  <c r="G381" i="1"/>
  <c r="I381" i="1" s="1"/>
  <c r="G380" i="1"/>
  <c r="I380" i="1" s="1"/>
  <c r="G379" i="1"/>
  <c r="I379" i="1" s="1"/>
  <c r="G378" i="1"/>
  <c r="I378" i="1" s="1"/>
  <c r="G377" i="1"/>
  <c r="I377" i="1" s="1"/>
  <c r="G376" i="1"/>
  <c r="I376" i="1" s="1"/>
  <c r="G375" i="1"/>
  <c r="I375" i="1" s="1"/>
  <c r="G374" i="1"/>
  <c r="I374" i="1" s="1"/>
  <c r="G373" i="1"/>
  <c r="I373" i="1" s="1"/>
  <c r="G371" i="1"/>
  <c r="I371" i="1" s="1"/>
  <c r="G370" i="1"/>
  <c r="I370" i="1" s="1"/>
  <c r="G369" i="1"/>
  <c r="I369" i="1" s="1"/>
  <c r="G367" i="1"/>
  <c r="I367" i="1" s="1"/>
  <c r="G366" i="1"/>
  <c r="I366" i="1" s="1"/>
  <c r="G365" i="1"/>
  <c r="I365" i="1" s="1"/>
  <c r="G363" i="1"/>
  <c r="I363" i="1" s="1"/>
  <c r="G362" i="1"/>
  <c r="I362" i="1" s="1"/>
  <c r="G361" i="1"/>
  <c r="I361" i="1" s="1"/>
  <c r="G360" i="1"/>
  <c r="I360" i="1" s="1"/>
  <c r="G359" i="1"/>
  <c r="I359" i="1" s="1"/>
  <c r="G358" i="1"/>
  <c r="I358" i="1" s="1"/>
  <c r="G357" i="1"/>
  <c r="I357" i="1" s="1"/>
  <c r="G356" i="1"/>
  <c r="I356" i="1" s="1"/>
  <c r="G355" i="1"/>
  <c r="I355" i="1" s="1"/>
  <c r="G354" i="1"/>
  <c r="I354" i="1" s="1"/>
  <c r="G353" i="1"/>
  <c r="I353" i="1" s="1"/>
  <c r="G352" i="1"/>
  <c r="I352" i="1" s="1"/>
  <c r="G351" i="1"/>
  <c r="I351" i="1" s="1"/>
  <c r="G350" i="1"/>
  <c r="I350" i="1" s="1"/>
  <c r="G349" i="1"/>
  <c r="I349" i="1" s="1"/>
  <c r="G348" i="1"/>
  <c r="I348" i="1" s="1"/>
  <c r="G347" i="1"/>
  <c r="I347" i="1" s="1"/>
  <c r="G346" i="1"/>
  <c r="I346" i="1" s="1"/>
  <c r="G345" i="1"/>
  <c r="I345" i="1" s="1"/>
  <c r="G343" i="1"/>
  <c r="I343" i="1" s="1"/>
  <c r="G342" i="1"/>
  <c r="I342" i="1" s="1"/>
  <c r="G341" i="1"/>
  <c r="I341" i="1" s="1"/>
  <c r="G340" i="1"/>
  <c r="I340" i="1" s="1"/>
  <c r="G339" i="1"/>
  <c r="I339" i="1" s="1"/>
  <c r="G338" i="1"/>
  <c r="I338" i="1" s="1"/>
  <c r="G337" i="1"/>
  <c r="I337" i="1" s="1"/>
  <c r="G336" i="1"/>
  <c r="I336" i="1" s="1"/>
  <c r="G335" i="1"/>
  <c r="I335" i="1" s="1"/>
  <c r="G334" i="1"/>
  <c r="I334" i="1" s="1"/>
  <c r="G333" i="1"/>
  <c r="I333" i="1" s="1"/>
  <c r="G332" i="1"/>
  <c r="I332" i="1" s="1"/>
  <c r="G331" i="1"/>
  <c r="I331" i="1" s="1"/>
  <c r="G330" i="1"/>
  <c r="I330" i="1" s="1"/>
  <c r="G329" i="1"/>
  <c r="I329" i="1" s="1"/>
  <c r="G328" i="1"/>
  <c r="I328" i="1" s="1"/>
  <c r="G327" i="1"/>
  <c r="I327" i="1" s="1"/>
  <c r="G326" i="1"/>
  <c r="I326" i="1" s="1"/>
  <c r="G325" i="1"/>
  <c r="I325" i="1" s="1"/>
  <c r="G324" i="1"/>
  <c r="I324" i="1" s="1"/>
  <c r="G323" i="1"/>
  <c r="I323" i="1" s="1"/>
  <c r="G322" i="1"/>
  <c r="I322" i="1" s="1"/>
  <c r="G320" i="1"/>
  <c r="I320" i="1" s="1"/>
  <c r="G319" i="1"/>
  <c r="I319" i="1" s="1"/>
  <c r="G318" i="1"/>
  <c r="I318" i="1" s="1"/>
  <c r="G317" i="1"/>
  <c r="I317" i="1" s="1"/>
  <c r="G316" i="1"/>
  <c r="I316" i="1" s="1"/>
  <c r="G315" i="1"/>
  <c r="I315" i="1" s="1"/>
  <c r="G314" i="1"/>
  <c r="I314" i="1" s="1"/>
  <c r="G313" i="1"/>
  <c r="I313" i="1" s="1"/>
  <c r="G312" i="1"/>
  <c r="G311" i="1"/>
  <c r="I311" i="1" s="1"/>
  <c r="G310" i="1"/>
  <c r="F310" i="1"/>
  <c r="E310" i="1"/>
  <c r="I309" i="1"/>
  <c r="I308" i="1"/>
  <c r="I307" i="1"/>
  <c r="I306" i="1"/>
  <c r="G305" i="1"/>
  <c r="F305" i="1"/>
  <c r="I304" i="1"/>
  <c r="I303" i="1"/>
  <c r="I302" i="1"/>
  <c r="I297" i="1"/>
  <c r="I296" i="1"/>
  <c r="I295" i="1"/>
  <c r="I293" i="1"/>
  <c r="I292" i="1"/>
  <c r="I291" i="1"/>
  <c r="I290" i="1"/>
  <c r="F289" i="1"/>
  <c r="G285" i="1"/>
  <c r="F285" i="1"/>
  <c r="I284" i="1"/>
  <c r="I283" i="1"/>
  <c r="I282" i="1"/>
  <c r="I281" i="1"/>
  <c r="I280" i="1"/>
  <c r="I279" i="1"/>
  <c r="I278" i="1"/>
  <c r="I277" i="1"/>
  <c r="I276" i="1"/>
  <c r="I275" i="1"/>
  <c r="I274" i="1"/>
  <c r="I273" i="1"/>
  <c r="I272" i="1"/>
  <c r="I271" i="1"/>
  <c r="I270" i="1"/>
  <c r="I269" i="1"/>
  <c r="I268" i="1"/>
  <c r="I267" i="1"/>
  <c r="I266" i="1"/>
  <c r="I264" i="1"/>
  <c r="I262" i="1"/>
  <c r="I261" i="1"/>
  <c r="I259" i="1"/>
  <c r="I257" i="1"/>
  <c r="I256" i="1"/>
  <c r="I255" i="1"/>
  <c r="I254" i="1"/>
  <c r="I253" i="1"/>
  <c r="I252" i="1"/>
  <c r="I251" i="1"/>
  <c r="I250" i="1"/>
  <c r="I249" i="1"/>
  <c r="I248" i="1"/>
  <c r="I247" i="1"/>
  <c r="I246" i="1"/>
  <c r="I244" i="1"/>
  <c r="I243" i="1"/>
  <c r="I241" i="1"/>
  <c r="I233" i="1"/>
  <c r="I232" i="1"/>
  <c r="I230" i="1"/>
  <c r="I229" i="1"/>
  <c r="I228" i="1"/>
  <c r="I227" i="1"/>
  <c r="I225" i="1"/>
  <c r="I224" i="1"/>
  <c r="I223" i="1"/>
  <c r="I222" i="1"/>
  <c r="I221" i="1"/>
  <c r="I210" i="1"/>
  <c r="I209" i="1"/>
  <c r="I208" i="1"/>
  <c r="I207" i="1"/>
  <c r="I204" i="1"/>
  <c r="I200" i="1"/>
  <c r="I199" i="1"/>
  <c r="I198" i="1"/>
  <c r="I197" i="1"/>
  <c r="I196" i="1"/>
  <c r="I183" i="1"/>
  <c r="I180" i="1"/>
  <c r="I179" i="1"/>
  <c r="I178" i="1"/>
  <c r="I177" i="1"/>
  <c r="I175" i="1"/>
  <c r="I174" i="1"/>
  <c r="I173" i="1"/>
  <c r="I172" i="1"/>
  <c r="I171" i="1"/>
  <c r="I170" i="1"/>
  <c r="I169" i="1"/>
  <c r="I168" i="1"/>
  <c r="I167" i="1"/>
  <c r="I166" i="1"/>
  <c r="I165" i="1"/>
  <c r="I164" i="1"/>
  <c r="I163" i="1"/>
  <c r="I162" i="1"/>
  <c r="I161" i="1"/>
  <c r="I160" i="1"/>
  <c r="I159" i="1"/>
  <c r="I158" i="1"/>
  <c r="I154" i="1"/>
  <c r="I153" i="1"/>
  <c r="I152" i="1"/>
  <c r="I150" i="1"/>
  <c r="I149" i="1"/>
  <c r="I148" i="1"/>
  <c r="I147" i="1"/>
  <c r="I146" i="1"/>
  <c r="I145" i="1"/>
  <c r="I144" i="1"/>
  <c r="I143" i="1"/>
  <c r="I141" i="1"/>
  <c r="I140" i="1"/>
  <c r="I137" i="1"/>
  <c r="I136" i="1"/>
  <c r="I135" i="1"/>
  <c r="I134" i="1"/>
  <c r="I133" i="1"/>
  <c r="I132" i="1"/>
  <c r="I131" i="1"/>
  <c r="I130" i="1"/>
  <c r="I129" i="1"/>
  <c r="I127" i="1"/>
  <c r="I125" i="1"/>
  <c r="I124" i="1"/>
  <c r="G121" i="1"/>
  <c r="F121" i="1"/>
  <c r="I120" i="1"/>
  <c r="I119" i="1"/>
  <c r="I118" i="1"/>
  <c r="I117" i="1"/>
  <c r="I116" i="1"/>
  <c r="I115" i="1"/>
  <c r="I114" i="1"/>
  <c r="I113" i="1"/>
  <c r="I112" i="1"/>
  <c r="I111" i="1"/>
  <c r="I110" i="1"/>
  <c r="I109" i="1"/>
  <c r="I108" i="1"/>
  <c r="I107" i="1"/>
  <c r="I106" i="1"/>
  <c r="I105" i="1"/>
  <c r="I96" i="1"/>
  <c r="I95" i="1"/>
  <c r="I94" i="1"/>
  <c r="I93" i="1"/>
  <c r="I92" i="1"/>
  <c r="I91" i="1"/>
  <c r="I90" i="1"/>
  <c r="I89" i="1"/>
  <c r="I88" i="1"/>
  <c r="I87" i="1"/>
  <c r="I86" i="1"/>
  <c r="I85" i="1"/>
  <c r="I84" i="1"/>
  <c r="I83" i="1"/>
  <c r="I82" i="1"/>
  <c r="I81" i="1"/>
  <c r="I80" i="1"/>
  <c r="I79"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5" i="1"/>
  <c r="I34" i="1"/>
  <c r="I33" i="1"/>
  <c r="I32" i="1"/>
  <c r="I31" i="1"/>
  <c r="I30" i="1"/>
  <c r="I29" i="1"/>
  <c r="I28" i="1"/>
  <c r="I27" i="1"/>
  <c r="I26" i="1"/>
  <c r="I25" i="1"/>
  <c r="I24" i="1"/>
  <c r="I23" i="1"/>
  <c r="I22" i="1"/>
  <c r="I18" i="1"/>
  <c r="I17" i="1"/>
  <c r="I16" i="1"/>
  <c r="I15" i="1"/>
  <c r="I14" i="1"/>
  <c r="I13" i="1"/>
  <c r="I12" i="1"/>
  <c r="I11" i="1"/>
  <c r="I10" i="1"/>
  <c r="I9" i="1"/>
  <c r="I8" i="1"/>
  <c r="I7" i="1"/>
  <c r="I6" i="1"/>
  <c r="A6" i="1"/>
  <c r="A7" i="1" s="1"/>
  <c r="A8" i="1" s="1"/>
  <c r="A9" i="1" s="1"/>
  <c r="A10" i="1" s="1"/>
  <c r="A11" i="1" s="1"/>
  <c r="A12" i="1" s="1"/>
  <c r="A13" i="1" s="1"/>
  <c r="A14" i="1" s="1"/>
  <c r="A15" i="1" s="1"/>
  <c r="A16" i="1" s="1"/>
  <c r="A17" i="1" s="1"/>
  <c r="I5" i="1"/>
  <c r="D55" i="2"/>
  <c r="D64" i="2"/>
  <c r="K67" i="3"/>
  <c r="K127" i="3"/>
  <c r="E70" i="3"/>
  <c r="K69" i="3"/>
  <c r="I13" i="3"/>
  <c r="G70" i="3"/>
  <c r="D66" i="2"/>
  <c r="I19" i="1"/>
  <c r="G289" i="1"/>
  <c r="G85" i="5" l="1"/>
  <c r="G96" i="5"/>
  <c r="I124" i="5"/>
  <c r="G80" i="5"/>
  <c r="G36" i="5"/>
  <c r="I114" i="5"/>
  <c r="I77" i="5"/>
  <c r="I65" i="5"/>
  <c r="G89" i="5"/>
  <c r="E127" i="5"/>
  <c r="G27" i="5"/>
  <c r="I494" i="1"/>
  <c r="I28" i="5"/>
  <c r="I81" i="5"/>
  <c r="G66" i="5"/>
  <c r="I32" i="5"/>
  <c r="G82" i="5"/>
  <c r="I99" i="5"/>
  <c r="I97" i="5"/>
  <c r="G126" i="5"/>
  <c r="G44" i="28"/>
  <c r="G6" i="28" s="1"/>
  <c r="C191" i="25"/>
  <c r="C177" i="25"/>
  <c r="C139" i="25"/>
  <c r="C209" i="25"/>
  <c r="C199" i="25"/>
  <c r="C185" i="25"/>
  <c r="C188" i="25"/>
  <c r="C174" i="25"/>
  <c r="C192" i="25"/>
  <c r="C178" i="25"/>
  <c r="C196" i="25"/>
  <c r="C182" i="25"/>
  <c r="C136" i="25"/>
  <c r="C206" i="25"/>
  <c r="C140" i="25"/>
  <c r="C210" i="25"/>
  <c r="C189" i="25"/>
  <c r="C175" i="25"/>
  <c r="C193" i="25"/>
  <c r="C179" i="25"/>
  <c r="C197" i="25"/>
  <c r="C183" i="25"/>
  <c r="C137" i="25"/>
  <c r="C207" i="25"/>
  <c r="C141" i="25"/>
  <c r="C211" i="25"/>
  <c r="C195" i="25"/>
  <c r="C181" i="25"/>
  <c r="C135" i="25"/>
  <c r="C205" i="25"/>
  <c r="C190" i="25"/>
  <c r="C176" i="25"/>
  <c r="C194" i="25"/>
  <c r="C180" i="25"/>
  <c r="C198" i="25"/>
  <c r="C184" i="25"/>
  <c r="C138" i="25"/>
  <c r="C208" i="25"/>
  <c r="C142" i="25"/>
  <c r="C212" i="25"/>
  <c r="I44" i="28"/>
  <c r="H6" i="28" s="1"/>
  <c r="D7" i="26" s="1"/>
  <c r="I136" i="3"/>
  <c r="A120" i="3"/>
  <c r="A88" i="3"/>
  <c r="A11" i="3"/>
  <c r="A12" i="3" s="1"/>
  <c r="A13" i="3" s="1"/>
  <c r="A14" i="3" s="1"/>
  <c r="A15" i="3" s="1"/>
  <c r="A16" i="3" s="1"/>
  <c r="A17" i="3" s="1"/>
  <c r="A18" i="3" s="1"/>
  <c r="A19" i="3" s="1"/>
  <c r="A20" i="3" s="1"/>
  <c r="A21" i="3" s="1"/>
  <c r="A22" i="3" s="1"/>
  <c r="A23" i="3" s="1"/>
  <c r="A24" i="3" s="1"/>
  <c r="A25" i="3" s="1"/>
  <c r="A26" i="3" s="1"/>
  <c r="A27" i="3" s="1"/>
  <c r="A28" i="3" s="1"/>
  <c r="A29" i="3" s="1"/>
  <c r="A30" i="3" s="1"/>
  <c r="A297" i="23"/>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A771" i="23" s="1"/>
  <c r="A772" i="23" s="1"/>
  <c r="A773" i="23" s="1"/>
  <c r="A774" i="23" s="1"/>
  <c r="A775" i="23" s="1"/>
  <c r="A776" i="23" s="1"/>
  <c r="A777" i="23" s="1"/>
  <c r="A778" i="23" s="1"/>
  <c r="A779" i="23" s="1"/>
  <c r="A780" i="23" s="1"/>
  <c r="A781" i="23" s="1"/>
  <c r="A782" i="23" s="1"/>
  <c r="A783" i="23" s="1"/>
  <c r="A784" i="23" s="1"/>
  <c r="A785" i="23" s="1"/>
  <c r="A786" i="23" s="1"/>
  <c r="A787" i="23" s="1"/>
  <c r="A788" i="23" s="1"/>
  <c r="A789" i="23" s="1"/>
  <c r="I47" i="3"/>
  <c r="G31" i="5"/>
  <c r="G49" i="5"/>
  <c r="I61" i="5"/>
  <c r="G12" i="5"/>
  <c r="I49" i="5"/>
  <c r="I108" i="5"/>
  <c r="I56" i="5"/>
  <c r="G17" i="5"/>
  <c r="G39" i="5"/>
  <c r="I93" i="5"/>
  <c r="I57" i="5"/>
  <c r="E106" i="5"/>
  <c r="G40" i="5"/>
  <c r="G69" i="5"/>
  <c r="H103" i="25"/>
  <c r="F13" i="11" s="1"/>
  <c r="H117" i="25"/>
  <c r="F20" i="11" s="1"/>
  <c r="H33" i="25"/>
  <c r="H47" i="25"/>
  <c r="F10" i="11" s="1"/>
  <c r="H173" i="25"/>
  <c r="H61" i="25"/>
  <c r="G10" i="5"/>
  <c r="E43" i="5"/>
  <c r="E5" i="5" s="1"/>
  <c r="I18" i="5"/>
  <c r="H145" i="25"/>
  <c r="I37" i="5"/>
  <c r="G70" i="5"/>
  <c r="G86" i="5"/>
  <c r="G121" i="5"/>
  <c r="G125" i="5"/>
  <c r="H89" i="25"/>
  <c r="F33" i="11" s="1"/>
  <c r="E75" i="25"/>
  <c r="H75" i="25" s="1"/>
  <c r="I476" i="1"/>
  <c r="H159" i="25"/>
  <c r="H201" i="25"/>
  <c r="A18" i="1"/>
  <c r="A19" i="1" s="1"/>
  <c r="A20" i="1" s="1"/>
  <c r="A21" i="1" s="1"/>
  <c r="A22" i="1" s="1"/>
  <c r="A23" i="1" s="1"/>
  <c r="A24" i="1" s="1"/>
  <c r="A25" i="1" s="1"/>
  <c r="A26" i="1" s="1"/>
  <c r="A27" i="1" s="1"/>
  <c r="A28" i="1" s="1"/>
  <c r="A29" i="1" s="1"/>
  <c r="A30" i="1" s="1"/>
  <c r="A31" i="1" s="1"/>
  <c r="A32" i="1" s="1"/>
  <c r="A33" i="1" s="1"/>
  <c r="A34" i="1" s="1"/>
  <c r="A35" i="1" s="1"/>
  <c r="A36" i="1" s="1"/>
  <c r="I310" i="1"/>
  <c r="I511" i="1"/>
  <c r="G8" i="3" s="1"/>
  <c r="G14" i="3" s="1"/>
  <c r="F501" i="1"/>
  <c r="I501" i="1" s="1"/>
  <c r="I285" i="1"/>
  <c r="H19" i="25"/>
  <c r="A62" i="3"/>
  <c r="D54" i="2"/>
  <c r="D50" i="2"/>
  <c r="I48" i="3"/>
  <c r="D49" i="2"/>
  <c r="I500" i="1"/>
  <c r="D20" i="11"/>
  <c r="D21" i="11" s="1"/>
  <c r="H9" i="2"/>
  <c r="I294" i="1"/>
  <c r="I305" i="1" s="1"/>
  <c r="E305" i="1"/>
  <c r="G11" i="5"/>
  <c r="I11" i="5"/>
  <c r="G15" i="5"/>
  <c r="I15" i="5"/>
  <c r="I19" i="5"/>
  <c r="G19" i="5"/>
  <c r="I25" i="5"/>
  <c r="G25" i="5"/>
  <c r="I29" i="5"/>
  <c r="G29" i="5"/>
  <c r="G58" i="5"/>
  <c r="I58" i="5"/>
  <c r="I62" i="5"/>
  <c r="G62" i="5"/>
  <c r="G74" i="5"/>
  <c r="I74" i="5"/>
  <c r="I78" i="5"/>
  <c r="G78" i="5"/>
  <c r="G90" i="5"/>
  <c r="I90" i="5"/>
  <c r="I94" i="5"/>
  <c r="G94" i="5"/>
  <c r="I98" i="5"/>
  <c r="G98" i="5"/>
  <c r="G112" i="5"/>
  <c r="I112" i="5"/>
  <c r="G116" i="5"/>
  <c r="I116" i="5"/>
  <c r="I122" i="5"/>
  <c r="G122" i="5"/>
  <c r="I137" i="3"/>
  <c r="D69" i="2"/>
  <c r="I121" i="1"/>
  <c r="I312" i="1"/>
  <c r="I473" i="1" s="1"/>
  <c r="G473" i="1"/>
  <c r="G512" i="1" s="1"/>
  <c r="G513" i="1" s="1"/>
  <c r="C9" i="3" s="1"/>
  <c r="D51" i="2"/>
  <c r="I16" i="5"/>
  <c r="G16" i="5"/>
  <c r="I22" i="5"/>
  <c r="I26" i="5"/>
  <c r="G26" i="5"/>
  <c r="I30" i="5"/>
  <c r="G30" i="5"/>
  <c r="I34" i="5"/>
  <c r="G34" i="5"/>
  <c r="I38" i="5"/>
  <c r="G38" i="5"/>
  <c r="I42" i="5"/>
  <c r="G42" i="5"/>
  <c r="G59" i="5"/>
  <c r="I59" i="5"/>
  <c r="G63" i="5"/>
  <c r="I63" i="5"/>
  <c r="G67" i="5"/>
  <c r="I67" i="5"/>
  <c r="G71" i="5"/>
  <c r="I71" i="5"/>
  <c r="G75" i="5"/>
  <c r="I75" i="5"/>
  <c r="G79" i="5"/>
  <c r="I79" i="5"/>
  <c r="G83" i="5"/>
  <c r="I83" i="5"/>
  <c r="G87" i="5"/>
  <c r="I87" i="5"/>
  <c r="G91" i="5"/>
  <c r="I91" i="5"/>
  <c r="G95" i="5"/>
  <c r="I95" i="5"/>
  <c r="I113" i="5"/>
  <c r="G113" i="5"/>
  <c r="G119" i="5"/>
  <c r="I119" i="5"/>
  <c r="G123" i="5"/>
  <c r="I123" i="5"/>
  <c r="K128" i="3"/>
  <c r="K135" i="3" s="1"/>
  <c r="A13" i="2"/>
  <c r="I201" i="1"/>
  <c r="I265" i="1" s="1"/>
  <c r="E265" i="1"/>
  <c r="E512" i="1" s="1"/>
  <c r="E513" i="1" s="1"/>
  <c r="C7" i="3" s="1"/>
  <c r="K7" i="3" s="1"/>
  <c r="I13" i="5"/>
  <c r="H144" i="2" l="1"/>
  <c r="A37" i="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G106" i="5"/>
  <c r="I6" i="5"/>
  <c r="H287" i="1" s="1"/>
  <c r="I287" i="1" s="1"/>
  <c r="I127" i="5"/>
  <c r="I47" i="28"/>
  <c r="G5" i="28"/>
  <c r="G47" i="28"/>
  <c r="H5" i="28"/>
  <c r="I6" i="28"/>
  <c r="A31" i="3"/>
  <c r="A32" i="3" s="1"/>
  <c r="A33" i="3" s="1"/>
  <c r="A34" i="3" s="1"/>
  <c r="A35" i="3" s="1"/>
  <c r="A36" i="3" s="1"/>
  <c r="A37" i="3" s="1"/>
  <c r="A38" i="3" s="1"/>
  <c r="A39" i="3" s="1"/>
  <c r="A40" i="3" s="1"/>
  <c r="I7" i="5"/>
  <c r="H7" i="5" s="1"/>
  <c r="H288" i="1" s="1"/>
  <c r="I288" i="1" s="1"/>
  <c r="F11" i="11"/>
  <c r="G127" i="5"/>
  <c r="G47" i="3"/>
  <c r="G48" i="3" s="1"/>
  <c r="E17" i="4" s="1"/>
  <c r="G136" i="3"/>
  <c r="D120" i="2"/>
  <c r="H122" i="2" s="1"/>
  <c r="F51" i="2" s="1"/>
  <c r="H51" i="2" s="1"/>
  <c r="E8" i="3"/>
  <c r="F512" i="1"/>
  <c r="F513" i="1" s="1"/>
  <c r="F516" i="1" s="1"/>
  <c r="I73" i="3"/>
  <c r="H231" i="25"/>
  <c r="D61" i="2"/>
  <c r="D42" i="2" s="1"/>
  <c r="D45" i="2" s="1"/>
  <c r="E7" i="5"/>
  <c r="E8" i="5" s="1"/>
  <c r="I43" i="5"/>
  <c r="I5" i="5" s="1"/>
  <c r="C13" i="3"/>
  <c r="C20" i="3" s="1"/>
  <c r="K20" i="3" s="1"/>
  <c r="A14" i="2"/>
  <c r="G43" i="5"/>
  <c r="C25" i="3" l="1"/>
  <c r="K9" i="3"/>
  <c r="C10" i="3"/>
  <c r="K10" i="3" s="1"/>
  <c r="G8" i="28"/>
  <c r="C11" i="3" s="1"/>
  <c r="K11" i="3" s="1"/>
  <c r="H8" i="28"/>
  <c r="C12" i="3" s="1"/>
  <c r="K12" i="3" s="1"/>
  <c r="I5" i="28"/>
  <c r="I8" i="28" s="1"/>
  <c r="A300" i="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D117" i="2"/>
  <c r="H119" i="2" s="1"/>
  <c r="F50" i="2" s="1"/>
  <c r="F55" i="2" s="1"/>
  <c r="H55" i="2" s="1"/>
  <c r="A41" i="3"/>
  <c r="A45" i="3" s="1"/>
  <c r="A46" i="3" s="1"/>
  <c r="A47" i="3" s="1"/>
  <c r="A48" i="3" s="1"/>
  <c r="A49" i="3" s="1"/>
  <c r="C16" i="3"/>
  <c r="C73" i="3"/>
  <c r="G73" i="3"/>
  <c r="F66" i="2"/>
  <c r="H66" i="2" s="1"/>
  <c r="E10" i="4"/>
  <c r="E36" i="4" s="1"/>
  <c r="D13" i="2"/>
  <c r="G13" i="3"/>
  <c r="G137" i="3" s="1"/>
  <c r="E7" i="4" s="1"/>
  <c r="E9" i="4" s="1"/>
  <c r="E14" i="3"/>
  <c r="E19" i="3" s="1"/>
  <c r="E24" i="3" s="1"/>
  <c r="D115" i="2"/>
  <c r="H5" i="5"/>
  <c r="I8" i="5"/>
  <c r="C93" i="2"/>
  <c r="A15" i="2"/>
  <c r="F65" i="2" l="1"/>
  <c r="H65" i="2" s="1"/>
  <c r="K74" i="3"/>
  <c r="D25" i="4" s="1"/>
  <c r="D32" i="4" s="1"/>
  <c r="C15" i="3"/>
  <c r="C17" i="3"/>
  <c r="G7" i="4" s="1"/>
  <c r="G9" i="4" s="1"/>
  <c r="E7" i="27"/>
  <c r="C110" i="3"/>
  <c r="C138" i="3"/>
  <c r="K22" i="3"/>
  <c r="H50" i="2"/>
  <c r="A50" i="3"/>
  <c r="A51" i="3" s="1"/>
  <c r="A52" i="3" s="1"/>
  <c r="A53" i="3" s="1"/>
  <c r="A54" i="3" s="1"/>
  <c r="A55" i="3" s="1"/>
  <c r="A56" i="3" s="1"/>
  <c r="A57" i="3" s="1"/>
  <c r="A58" i="3" s="1"/>
  <c r="A59" i="3" s="1"/>
  <c r="A60" i="3" s="1"/>
  <c r="A61"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C50" i="3"/>
  <c r="F17" i="4" s="1"/>
  <c r="E47" i="3"/>
  <c r="E11" i="4"/>
  <c r="E27" i="4" s="1"/>
  <c r="E14" i="4"/>
  <c r="E18" i="4" s="1"/>
  <c r="E19" i="4" s="1"/>
  <c r="E29" i="4" s="1"/>
  <c r="E107" i="3"/>
  <c r="E136" i="3"/>
  <c r="C49" i="3"/>
  <c r="K49" i="3" s="1"/>
  <c r="C8" i="6" s="1"/>
  <c r="C109" i="3"/>
  <c r="H8" i="5"/>
  <c r="H286" i="1"/>
  <c r="C7" i="9"/>
  <c r="C7" i="10"/>
  <c r="C108" i="3"/>
  <c r="C48" i="3"/>
  <c r="C137" i="3"/>
  <c r="A16" i="2"/>
  <c r="F9" i="4" l="1"/>
  <c r="G6" i="27"/>
  <c r="N7" i="27"/>
  <c r="G7" i="27"/>
  <c r="A92" i="3"/>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K110" i="3"/>
  <c r="F13" i="4"/>
  <c r="K48" i="3"/>
  <c r="D17" i="4" s="1"/>
  <c r="K108" i="3"/>
  <c r="D13" i="4" s="1"/>
  <c r="C7" i="6"/>
  <c r="K109" i="3"/>
  <c r="K21" i="3"/>
  <c r="C51" i="3"/>
  <c r="G17" i="4" s="1"/>
  <c r="C111" i="3"/>
  <c r="I8" i="26" s="1"/>
  <c r="G7" i="26"/>
  <c r="G8" i="26"/>
  <c r="I7" i="27"/>
  <c r="I6" i="27"/>
  <c r="H8" i="26"/>
  <c r="H6" i="26"/>
  <c r="H19" i="26" s="1"/>
  <c r="H7" i="26"/>
  <c r="H7" i="27"/>
  <c r="H6" i="27"/>
  <c r="F7" i="27"/>
  <c r="K7" i="27" s="1"/>
  <c r="K138" i="3"/>
  <c r="K139" i="3"/>
  <c r="K137" i="3"/>
  <c r="D7" i="4" s="1"/>
  <c r="D9" i="4" s="1"/>
  <c r="K50" i="3"/>
  <c r="K51" i="3"/>
  <c r="E15" i="4"/>
  <c r="E28" i="4" s="1"/>
  <c r="E25" i="4"/>
  <c r="E32" i="4" s="1"/>
  <c r="A17" i="2"/>
  <c r="D20" i="2"/>
  <c r="K25" i="3"/>
  <c r="D10" i="4" s="1"/>
  <c r="I286" i="1"/>
  <c r="H289" i="1"/>
  <c r="H512" i="1" s="1"/>
  <c r="H513" i="1" s="1"/>
  <c r="G19" i="26" l="1"/>
  <c r="E33" i="4"/>
  <c r="E35" i="4" s="1"/>
  <c r="C6" i="9" s="1"/>
  <c r="C8" i="9" s="1"/>
  <c r="C10" i="9" s="1"/>
  <c r="C15" i="9" s="1"/>
  <c r="F38" i="11" s="1"/>
  <c r="K27" i="3"/>
  <c r="F10" i="4"/>
  <c r="K111" i="3"/>
  <c r="G13" i="4"/>
  <c r="I7" i="26"/>
  <c r="I6" i="26"/>
  <c r="I19" i="26" s="1"/>
  <c r="I19" i="27"/>
  <c r="H19" i="27"/>
  <c r="G19" i="27"/>
  <c r="F19" i="27"/>
  <c r="K19" i="27"/>
  <c r="K26" i="3"/>
  <c r="C13" i="6"/>
  <c r="I289" i="1"/>
  <c r="I512" i="1" s="1"/>
  <c r="I513" i="1" s="1"/>
  <c r="C8" i="3" s="1"/>
  <c r="D27" i="2"/>
  <c r="A18" i="2"/>
  <c r="A20" i="2" s="1"/>
  <c r="C18" i="2"/>
  <c r="D36" i="4"/>
  <c r="D14" i="4"/>
  <c r="D11" i="4"/>
  <c r="D27" i="4" s="1"/>
  <c r="C14" i="3" l="1"/>
  <c r="C71" i="3"/>
  <c r="E37" i="4"/>
  <c r="C6" i="10"/>
  <c r="C8" i="10" s="1"/>
  <c r="C10" i="10" s="1"/>
  <c r="C12" i="10" s="1"/>
  <c r="C14" i="10" s="1"/>
  <c r="F35" i="11" s="1"/>
  <c r="F36" i="4"/>
  <c r="F14" i="4"/>
  <c r="F11" i="4"/>
  <c r="F27" i="4" s="1"/>
  <c r="K8" i="3"/>
  <c r="I516" i="1"/>
  <c r="C20" i="6" s="1"/>
  <c r="D18" i="4"/>
  <c r="D19" i="4" s="1"/>
  <c r="D29" i="4" s="1"/>
  <c r="D15" i="4"/>
  <c r="D28" i="4" s="1"/>
  <c r="A21" i="2"/>
  <c r="C27" i="2"/>
  <c r="F18" i="4" l="1"/>
  <c r="F19" i="4" s="1"/>
  <c r="F29" i="4" s="1"/>
  <c r="F15" i="4"/>
  <c r="F28" i="4" s="1"/>
  <c r="D33" i="4"/>
  <c r="D35" i="4" s="1"/>
  <c r="D37" i="4" s="1"/>
  <c r="A22" i="2"/>
  <c r="C28" i="2"/>
  <c r="D14" i="2"/>
  <c r="D114" i="2"/>
  <c r="H116" i="2" s="1"/>
  <c r="F49" i="2" s="1"/>
  <c r="G71" i="3"/>
  <c r="E71" i="3"/>
  <c r="D15" i="2"/>
  <c r="K72" i="3" l="1"/>
  <c r="C25" i="4" s="1"/>
  <c r="C19" i="3"/>
  <c r="C28" i="3" s="1"/>
  <c r="C136" i="3"/>
  <c r="K136" i="3" s="1"/>
  <c r="C7" i="4" s="1"/>
  <c r="C9" i="4" s="1"/>
  <c r="H93" i="2"/>
  <c r="D18" i="2"/>
  <c r="D130" i="2"/>
  <c r="C107" i="3"/>
  <c r="K107" i="3" s="1"/>
  <c r="C47" i="3"/>
  <c r="D133" i="2"/>
  <c r="D135" i="2" s="1"/>
  <c r="H49" i="2"/>
  <c r="F54" i="2"/>
  <c r="H54" i="2" s="1"/>
  <c r="F64" i="2"/>
  <c r="H64" i="2" s="1"/>
  <c r="A23" i="2"/>
  <c r="C29" i="2"/>
  <c r="K47" i="3" l="1"/>
  <c r="C17" i="4" s="1"/>
  <c r="K23" i="3"/>
  <c r="K19" i="3"/>
  <c r="F7" i="26"/>
  <c r="K7" i="26" s="1"/>
  <c r="C24" i="3"/>
  <c r="K24" i="3" s="1"/>
  <c r="C10" i="4" s="1"/>
  <c r="C12" i="6"/>
  <c r="C14" i="6" s="1"/>
  <c r="F133" i="2"/>
  <c r="D108" i="2"/>
  <c r="C13" i="4"/>
  <c r="D21" i="2"/>
  <c r="D22" i="2"/>
  <c r="D29" i="2" s="1"/>
  <c r="H96" i="2"/>
  <c r="H97" i="2" s="1"/>
  <c r="H103" i="2" s="1"/>
  <c r="E135" i="2"/>
  <c r="E133" i="2"/>
  <c r="E134" i="2"/>
  <c r="H134" i="2" s="1"/>
  <c r="C32" i="4"/>
  <c r="F25" i="4"/>
  <c r="A24" i="2"/>
  <c r="C30" i="2"/>
  <c r="K28" i="3" l="1"/>
  <c r="G10" i="4"/>
  <c r="F8" i="26"/>
  <c r="K8" i="26" s="1"/>
  <c r="F6" i="26"/>
  <c r="J7" i="27"/>
  <c r="L7" i="27" s="1"/>
  <c r="M7" i="27" s="1"/>
  <c r="J6" i="27"/>
  <c r="L6" i="27" s="1"/>
  <c r="M6" i="27" s="1"/>
  <c r="O6" i="27" s="1"/>
  <c r="C16" i="6"/>
  <c r="H133" i="2"/>
  <c r="H135" i="2" s="1"/>
  <c r="D82" i="2" s="1"/>
  <c r="A25" i="2"/>
  <c r="A27" i="2" s="1"/>
  <c r="C31" i="2"/>
  <c r="C25" i="2"/>
  <c r="F14" i="2"/>
  <c r="H14" i="2" s="1"/>
  <c r="H104" i="2"/>
  <c r="F21" i="2"/>
  <c r="E108" i="2"/>
  <c r="F108" i="2" s="1"/>
  <c r="F111" i="2" s="1"/>
  <c r="D111" i="2"/>
  <c r="G25" i="4"/>
  <c r="J6" i="26" s="1"/>
  <c r="F32" i="4"/>
  <c r="F33" i="4" s="1"/>
  <c r="F35" i="4" s="1"/>
  <c r="F37" i="4" s="1"/>
  <c r="C14" i="4"/>
  <c r="C18" i="4" s="1"/>
  <c r="C19" i="4" s="1"/>
  <c r="C29" i="4" s="1"/>
  <c r="C36" i="4"/>
  <c r="D25" i="2"/>
  <c r="D28" i="2"/>
  <c r="D32" i="2" s="1"/>
  <c r="D46" i="2" s="1"/>
  <c r="C11" i="4"/>
  <c r="C27" i="4" s="1"/>
  <c r="F19" i="26" l="1"/>
  <c r="K6" i="26"/>
  <c r="G36" i="4"/>
  <c r="G14" i="4"/>
  <c r="G11" i="4"/>
  <c r="G27" i="4" s="1"/>
  <c r="C17" i="6"/>
  <c r="C18" i="6" s="1"/>
  <c r="L19" i="27"/>
  <c r="O7" i="27"/>
  <c r="J8" i="26"/>
  <c r="L8" i="26" s="1"/>
  <c r="M8" i="26" s="1"/>
  <c r="J7" i="26"/>
  <c r="L7" i="26" s="1"/>
  <c r="M7" i="26" s="1"/>
  <c r="G32" i="4"/>
  <c r="F12" i="11"/>
  <c r="D89" i="2"/>
  <c r="D86" i="2" s="1"/>
  <c r="D88" i="2" s="1"/>
  <c r="D90" i="2" s="1"/>
  <c r="H137" i="2"/>
  <c r="H111" i="2"/>
  <c r="F57" i="2" s="1"/>
  <c r="H57" i="2" s="1"/>
  <c r="C15" i="4"/>
  <c r="C28" i="4" s="1"/>
  <c r="C33" i="4" s="1"/>
  <c r="C35" i="4" s="1"/>
  <c r="C37" i="4" s="1"/>
  <c r="F40" i="2"/>
  <c r="H40" i="2" s="1"/>
  <c r="H21" i="2"/>
  <c r="H28" i="2" s="1"/>
  <c r="F43" i="2"/>
  <c r="H43" i="2" s="1"/>
  <c r="F58" i="2"/>
  <c r="H58" i="2" s="1"/>
  <c r="A28" i="2"/>
  <c r="A29" i="2" s="1"/>
  <c r="A30" i="2" s="1"/>
  <c r="A31" i="2" s="1"/>
  <c r="A32" i="2" s="1"/>
  <c r="K19" i="26" l="1"/>
  <c r="L6" i="26"/>
  <c r="G18" i="4"/>
  <c r="G19" i="4" s="1"/>
  <c r="G29" i="4" s="1"/>
  <c r="G15" i="4"/>
  <c r="G28" i="4" s="1"/>
  <c r="F32" i="11"/>
  <c r="O7" i="26"/>
  <c r="O8" i="26"/>
  <c r="M19" i="27"/>
  <c r="F28" i="11" s="1"/>
  <c r="O19" i="27"/>
  <c r="H8" i="2"/>
  <c r="C32" i="2"/>
  <c r="F56" i="2"/>
  <c r="H56" i="2" s="1"/>
  <c r="F16" i="2"/>
  <c r="H16" i="2" s="1"/>
  <c r="H126" i="2"/>
  <c r="I124" i="2" s="1"/>
  <c r="F59" i="2" s="1"/>
  <c r="F67" i="2"/>
  <c r="F72" i="2" s="1"/>
  <c r="A34" i="2"/>
  <c r="L19" i="26" l="1"/>
  <c r="M6" i="26"/>
  <c r="O6" i="26" s="1"/>
  <c r="F31" i="11"/>
  <c r="G33" i="4"/>
  <c r="G35" i="4" s="1"/>
  <c r="G37" i="4" s="1"/>
  <c r="F23" i="2"/>
  <c r="H23" i="2" s="1"/>
  <c r="H30" i="2" s="1"/>
  <c r="F17" i="2"/>
  <c r="F24" i="2" s="1"/>
  <c r="H24" i="2" s="1"/>
  <c r="H67" i="2"/>
  <c r="H59" i="2"/>
  <c r="H61" i="2" s="1"/>
  <c r="F68" i="2"/>
  <c r="H68" i="2" s="1"/>
  <c r="F73" i="2"/>
  <c r="H73" i="2" s="1"/>
  <c r="H72" i="2"/>
  <c r="A35" i="2"/>
  <c r="A36" i="2" s="1"/>
  <c r="A37" i="2" s="1"/>
  <c r="A38" i="2" s="1"/>
  <c r="A39" i="2" s="1"/>
  <c r="M19" i="26" l="1"/>
  <c r="F23" i="11" s="1"/>
  <c r="H17" i="2"/>
  <c r="H18" i="2" s="1"/>
  <c r="F18" i="2" s="1"/>
  <c r="F44" i="2" s="1"/>
  <c r="H44" i="2" s="1"/>
  <c r="H45" i="2" s="1"/>
  <c r="H25" i="2"/>
  <c r="H69" i="2"/>
  <c r="C39" i="2"/>
  <c r="A40" i="2"/>
  <c r="A42" i="2" s="1"/>
  <c r="F75" i="2" l="1"/>
  <c r="F77" i="2" s="1"/>
  <c r="H31" i="2"/>
  <c r="H32" i="2" s="1"/>
  <c r="F32" i="2" s="1"/>
  <c r="F35" i="2" s="1"/>
  <c r="A43" i="2"/>
  <c r="A44" i="2" s="1"/>
  <c r="A45" i="2" s="1"/>
  <c r="A46" i="2" s="1"/>
  <c r="H75" i="2" l="1"/>
  <c r="F87" i="2"/>
  <c r="H87" i="2" s="1"/>
  <c r="A49" i="2"/>
  <c r="C46" i="2"/>
  <c r="F78" i="2"/>
  <c r="H78" i="2" s="1"/>
  <c r="H77" i="2"/>
  <c r="C45" i="2"/>
  <c r="H35" i="2"/>
  <c r="F36" i="2"/>
  <c r="H79" i="2" l="1"/>
  <c r="H36" i="2"/>
  <c r="F38" i="2"/>
  <c r="H38" i="2" s="1"/>
  <c r="F37" i="2"/>
  <c r="H37" i="2" s="1"/>
  <c r="A50" i="2"/>
  <c r="A51" i="2" s="1"/>
  <c r="A52" i="2" s="1"/>
  <c r="A54" i="2" s="1"/>
  <c r="A55" i="2" s="1"/>
  <c r="A56" i="2" s="1"/>
  <c r="A57" i="2" s="1"/>
  <c r="H39" i="2" l="1"/>
  <c r="H46" i="2" s="1"/>
  <c r="H89" i="2" s="1"/>
  <c r="H86" i="2" s="1"/>
  <c r="H88" i="2" s="1"/>
  <c r="H90" i="2" s="1"/>
  <c r="H7" i="2" s="1"/>
  <c r="A58" i="2"/>
  <c r="A59" i="2" s="1"/>
  <c r="A60" i="2" s="1"/>
  <c r="A61" i="2" s="1"/>
  <c r="C99" i="2"/>
  <c r="B157" i="2" l="1"/>
  <c r="C61" i="2"/>
  <c r="F8" i="11"/>
  <c r="H10" i="2"/>
  <c r="A63" i="2"/>
  <c r="B154" i="2"/>
  <c r="F19" i="11" l="1"/>
  <c r="A64" i="2"/>
  <c r="A65" i="2" s="1"/>
  <c r="A66" i="2" s="1"/>
  <c r="A67" i="2" s="1"/>
  <c r="A68" i="2" s="1"/>
  <c r="A69" i="2" s="1"/>
  <c r="A72" i="2" l="1"/>
  <c r="C69" i="2"/>
  <c r="A73" i="2" l="1"/>
  <c r="A75" i="2" s="1"/>
  <c r="A76" i="2" s="1"/>
  <c r="A77" i="2" s="1"/>
  <c r="A78" i="2" s="1"/>
  <c r="A79" i="2" s="1"/>
  <c r="A81" i="2" l="1"/>
  <c r="C79" i="2"/>
  <c r="A82" i="2" l="1"/>
  <c r="B84" i="2"/>
  <c r="A84" i="2" l="1"/>
  <c r="A85" i="2" l="1"/>
  <c r="A86" i="2" s="1"/>
  <c r="C87" i="2"/>
  <c r="A87" i="2" l="1"/>
  <c r="A88" i="2" s="1"/>
  <c r="C88" i="2"/>
  <c r="A89" i="2" l="1"/>
  <c r="C90" i="2" s="1"/>
  <c r="A90" i="2" l="1"/>
  <c r="C86" i="2"/>
  <c r="A93" i="2" l="1"/>
  <c r="C7" i="2"/>
  <c r="A94" i="2" l="1"/>
  <c r="A95" i="2" s="1"/>
  <c r="A96" i="2" s="1"/>
  <c r="C96" i="2" l="1"/>
  <c r="C97" i="2"/>
  <c r="A97" i="2"/>
  <c r="A99" i="2" l="1"/>
  <c r="C103" i="2"/>
  <c r="A100" i="2" l="1"/>
  <c r="A101" i="2" s="1"/>
  <c r="A102" i="2" l="1"/>
  <c r="A103" i="2" s="1"/>
  <c r="C102" i="2"/>
  <c r="C101" i="2"/>
  <c r="A104" i="2" l="1"/>
  <c r="A107" i="2" s="1"/>
  <c r="C104" i="2"/>
  <c r="A108" i="2" l="1"/>
  <c r="A109" i="2" s="1"/>
  <c r="A110" i="2" s="1"/>
  <c r="A111" i="2" s="1"/>
  <c r="A114" i="2" l="1"/>
  <c r="H125" i="2"/>
  <c r="C111" i="2"/>
  <c r="A115" i="2" l="1"/>
  <c r="A116" i="2" s="1"/>
  <c r="A117" i="2" s="1"/>
  <c r="A118" i="2" l="1"/>
  <c r="A119" i="2" s="1"/>
  <c r="A120" i="2" s="1"/>
  <c r="C116" i="2"/>
  <c r="A121" i="2" l="1"/>
  <c r="A122" i="2" s="1"/>
  <c r="A125" i="2" s="1"/>
  <c r="C119" i="2"/>
  <c r="A126" i="2" l="1"/>
  <c r="A127" i="2" s="1"/>
  <c r="A128" i="2" s="1"/>
  <c r="A130" i="2" s="1"/>
  <c r="C122" i="2"/>
  <c r="F125" i="2" l="1"/>
  <c r="A133" i="2"/>
  <c r="C128" i="2"/>
  <c r="A134" i="2" l="1"/>
  <c r="A135" i="2" s="1"/>
  <c r="B83" i="2"/>
  <c r="B168" i="2"/>
  <c r="C135" i="2" l="1"/>
  <c r="A136" i="2"/>
  <c r="A137" i="2" s="1"/>
  <c r="A141" i="2" s="1"/>
  <c r="C89" i="2"/>
  <c r="B169" i="2" l="1"/>
  <c r="A142" i="2"/>
  <c r="A143" i="2" s="1"/>
  <c r="A144" i="2" s="1"/>
  <c r="A145" i="2" s="1"/>
  <c r="A146" i="2" s="1"/>
  <c r="A147" i="2" s="1"/>
  <c r="A148" i="2" s="1"/>
  <c r="O19" i="26" l="1"/>
</calcChain>
</file>

<file path=xl/sharedStrings.xml><?xml version="1.0" encoding="utf-8"?>
<sst xmlns="http://schemas.openxmlformats.org/spreadsheetml/2006/main" count="6549" uniqueCount="2709">
  <si>
    <t>Worksheet</t>
  </si>
  <si>
    <t>Change From</t>
  </si>
  <si>
    <t>Change To</t>
  </si>
  <si>
    <t>Western Area Power Administration (WAPA)</t>
  </si>
  <si>
    <t>Upper Great Plains Region (WAPA-UGP)</t>
  </si>
  <si>
    <t>Transmission and Ancillary Services</t>
  </si>
  <si>
    <t>Rate True-up Calculation</t>
  </si>
  <si>
    <t>Effective January 1, 2022</t>
  </si>
  <si>
    <t>WAPA-UGP 2020 Rate True-up Calculation</t>
  </si>
  <si>
    <t>(Rate Order No. WAPA-188)</t>
  </si>
  <si>
    <t>WAPA-UGP</t>
  </si>
  <si>
    <t xml:space="preserve"> Transmission and Ancillary Services List of Workpapers and Schedules</t>
  </si>
  <si>
    <t>Worksheet Tab Label</t>
  </si>
  <si>
    <t>Worksheet Tab Description</t>
  </si>
  <si>
    <t>Summary-TrueUp</t>
  </si>
  <si>
    <t>Worksheet "Summary-TrueUp" -- Calculation of True-ups</t>
  </si>
  <si>
    <t>WS1-RateBase</t>
  </si>
  <si>
    <t>Worksheet 1 -- Calculation of Rate Base</t>
  </si>
  <si>
    <t>WS2-AllocFactor</t>
  </si>
  <si>
    <t>Worksheet 2 -- Allocation Factors</t>
  </si>
  <si>
    <t>WS3-RevCredits</t>
  </si>
  <si>
    <t>Worksheet 3 -- Revenue Credit detail</t>
  </si>
  <si>
    <t>WS4-CostData</t>
  </si>
  <si>
    <t>Worksheet 4 -- Cost Support Data</t>
  </si>
  <si>
    <t>WS5-BPUz</t>
  </si>
  <si>
    <t>Worksheet 5 -- SPP Base Plan Upgrades (BPU) - Zonal</t>
  </si>
  <si>
    <t>WS6-BPUr</t>
  </si>
  <si>
    <t>Worksheet 6 -- SPP Base Plan Upgrades (BPU) - Regional</t>
  </si>
  <si>
    <t>WS7-BPUFac</t>
  </si>
  <si>
    <t>Worksheet 7 -- SPP Base Plan Upgrades (BPU) - Facilities</t>
  </si>
  <si>
    <t>WS8-TranFac</t>
  </si>
  <si>
    <t>Worksheet 8 -- Transmission Facilities</t>
  </si>
  <si>
    <t>WS9-AI-Inc</t>
  </si>
  <si>
    <t>Worksheet 9 -- WAPA-UGP Facilities Included per SPP Tariff Attachment AI</t>
  </si>
  <si>
    <t>WS10-AI-Excl</t>
  </si>
  <si>
    <t>Worksheet 10 -- WAPA-UGP Facilities Excluded per SPP Tariff Attachment AI</t>
  </si>
  <si>
    <t>WS11-FacChanges</t>
  </si>
  <si>
    <t>Worksheet 11 -- Facility Changes Detail</t>
  </si>
  <si>
    <t>WS12-SSCD</t>
  </si>
  <si>
    <t>Worksheet 12 -- Scheduling, System Control and Dispatch Service (SSCD) ARR</t>
  </si>
  <si>
    <t>WS13-SSCDFac</t>
  </si>
  <si>
    <t>Worksheet 13 -- Scheduling, System Conrol and Dispatch Service (SSCD) Facilities</t>
  </si>
  <si>
    <t>WS14-Reg</t>
  </si>
  <si>
    <t>WS15-Res</t>
  </si>
  <si>
    <t>Worksheet 15 -- Reserves ARR</t>
  </si>
  <si>
    <t>Back to Worksheet Links</t>
  </si>
  <si>
    <t>12 Months Ending 09/30/2020 True-up</t>
  </si>
  <si>
    <t>Western-UGP</t>
  </si>
  <si>
    <t>True-up Summary</t>
  </si>
  <si>
    <t>Line No.</t>
  </si>
  <si>
    <t>Description</t>
  </si>
  <si>
    <t>Reference</t>
  </si>
  <si>
    <t>Allocation</t>
  </si>
  <si>
    <t>Annual</t>
  </si>
  <si>
    <t>Gross Zonal Revenue Requirement-Sch 9</t>
  </si>
  <si>
    <t>WS1-RateBase C5L1</t>
  </si>
  <si>
    <t xml:space="preserve">     Firm Point-to-Point Transmission Service Credit/1</t>
  </si>
  <si>
    <t xml:space="preserve">     Non-Firm Point-to-Point Transmission Service Credit</t>
  </si>
  <si>
    <t>WS3-RevCredits C5L42</t>
  </si>
  <si>
    <t xml:space="preserve">     Revenue from Existing Transmission Agreements</t>
  </si>
  <si>
    <t>WS3-RevCredits C5L56+L70</t>
  </si>
  <si>
    <t xml:space="preserve">     Scheduling, System Control, and Dispatch Service Credit</t>
  </si>
  <si>
    <t>WS12-SSCD C2L11</t>
  </si>
  <si>
    <t xml:space="preserve">     Account No. 454</t>
  </si>
  <si>
    <t>WS3-RevCredits C5L98</t>
  </si>
  <si>
    <t xml:space="preserve">     Z2 Nonfirm Point-to-Point Revenue Credit/2</t>
  </si>
  <si>
    <t xml:space="preserve">     Schedule 11 Point-to-Point Revenue Credit/2</t>
  </si>
  <si>
    <t>Summary-ATRR C5L9</t>
  </si>
  <si>
    <t>Total Revenue Credits</t>
  </si>
  <si>
    <t>Subtotal</t>
  </si>
  <si>
    <t>Total Net Schedule 11 Revenue Requirement/3</t>
  </si>
  <si>
    <t>Prior Year True Up</t>
  </si>
  <si>
    <t>WS1-RateBase C5L3</t>
  </si>
  <si>
    <t>2020 Net Revenue Requirement-Sch 9</t>
  </si>
  <si>
    <t xml:space="preserve">  2020 Network Revenue (estimated/received)</t>
  </si>
  <si>
    <t>WS3-RevCredits C5L112</t>
  </si>
  <si>
    <t>SPP BPU - Gross Zonal Schedule 11 Revenue Requirement</t>
  </si>
  <si>
    <t xml:space="preserve">     BPU Zonal Schedule 11 PTP Revenue</t>
  </si>
  <si>
    <t xml:space="preserve">     BPU Zonal Schedule 11 Revenue (estimated/received)</t>
  </si>
  <si>
    <r>
      <t xml:space="preserve">Total SPP BPU - Zonal Schedule 11 2020 True-up </t>
    </r>
    <r>
      <rPr>
        <sz val="10"/>
        <color rgb="FFFF0000"/>
        <rFont val="Calibri"/>
        <family val="2"/>
        <scheme val="minor"/>
      </rPr>
      <t xml:space="preserve">(to WS5-BPUz, C14L12, 2022 est) </t>
    </r>
  </si>
  <si>
    <t>SPP BPU - Gross Regional Schedule 11 Revenue Requirement</t>
  </si>
  <si>
    <t xml:space="preserve">     BPU Regional Schedule 11 PTP Revenue</t>
  </si>
  <si>
    <t xml:space="preserve">     BPU Regional Schedule 11 Revenue (estimated/received)</t>
  </si>
  <si>
    <r>
      <t xml:space="preserve">Total SPP BPU - Regional Schedule 11 2020 True-up </t>
    </r>
    <r>
      <rPr>
        <sz val="10"/>
        <color rgb="FFFF0000"/>
        <rFont val="Calibri"/>
        <family val="2"/>
        <scheme val="minor"/>
      </rPr>
      <t>(to WS6-BPUz, C14L12, 2022 est)</t>
    </r>
    <r>
      <rPr>
        <b/>
        <sz val="10"/>
        <color theme="1"/>
        <rFont val="Calibri"/>
        <family val="2"/>
        <scheme val="minor"/>
      </rPr>
      <t xml:space="preserve"> </t>
    </r>
  </si>
  <si>
    <t xml:space="preserve">2020 Actual SSCD Revenue Requirement </t>
  </si>
  <si>
    <t>WS12-SSCD C2L13</t>
  </si>
  <si>
    <t>2020 Revenue received for SSCD service</t>
  </si>
  <si>
    <t>WS3-RevCredits C5L84</t>
  </si>
  <si>
    <t>2020 Actual Regulation &amp; Frequency Response Revenue Requirement</t>
  </si>
  <si>
    <t>WS14-Reg C2L9</t>
  </si>
  <si>
    <t>2020 Revenue received (estimated/received)</t>
  </si>
  <si>
    <t>WS3-RevCredits C5L154</t>
  </si>
  <si>
    <t>2020 Actual Reserves Revenue Requirement</t>
  </si>
  <si>
    <t>WS15-Res C2L11</t>
  </si>
  <si>
    <t>WS3-RevCredits C5L126+L140</t>
  </si>
  <si>
    <t>2/ True-up reference amounts from 10/1/2020 estimate sheet</t>
  </si>
  <si>
    <t>3/ True-up reference amounts from 1/1/2020 estimate sheet</t>
  </si>
  <si>
    <t>(Back to Worksheet Links)</t>
  </si>
  <si>
    <t>Worksheet 1 - Schedule 9 Revenue Requirement - Non-Levelized</t>
  </si>
  <si>
    <t>Utilizing Financial Statement Results of Operations (ROOs)</t>
  </si>
  <si>
    <t>TRANSMISSION</t>
  </si>
  <si>
    <t>Line</t>
  </si>
  <si>
    <t>REFERENCE</t>
  </si>
  <si>
    <t>COMPANY TOTAL</t>
  </si>
  <si>
    <t>ALLOCATOR</t>
  </si>
  <si>
    <t>ALLOCATED AMOUNT</t>
  </si>
  <si>
    <t>No.</t>
  </si>
  <si>
    <t>(1)</t>
  </si>
  <si>
    <t>(2)</t>
  </si>
  <si>
    <t>(3)</t>
  </si>
  <si>
    <t>(4)</t>
  </si>
  <si>
    <t>(5)</t>
  </si>
  <si>
    <t>GROSS REVENUE REQUIREMENT</t>
  </si>
  <si>
    <t>REVENUE CREDITS</t>
  </si>
  <si>
    <t>(Note R)</t>
  </si>
  <si>
    <t>PRIOR PERIOD TRUE-UP</t>
  </si>
  <si>
    <t>NET REVENUE REQUIREMENT</t>
  </si>
  <si>
    <t xml:space="preserve"> </t>
  </si>
  <si>
    <t>RATE BASE:</t>
  </si>
  <si>
    <t>(Col 3 times Col 4)</t>
  </si>
  <si>
    <t>GROSS PLANT IN SERVICE</t>
  </si>
  <si>
    <t>(Note A)</t>
  </si>
  <si>
    <t xml:space="preserve">  Production</t>
  </si>
  <si>
    <t>WS4-CostData L4 C2+C3+C4</t>
  </si>
  <si>
    <t>NA</t>
  </si>
  <si>
    <t xml:space="preserve">  Transmission</t>
  </si>
  <si>
    <t>WS4-CostData L3 C2+C3+C4</t>
  </si>
  <si>
    <t>TP</t>
  </si>
  <si>
    <t xml:space="preserve">  Distribution</t>
  </si>
  <si>
    <t>WS4-CostData C2 L2-L3-L4</t>
  </si>
  <si>
    <t xml:space="preserve">  General &amp; Intangible</t>
  </si>
  <si>
    <t>Bal Sheet - Other Assets - SGL 175002</t>
  </si>
  <si>
    <t>W/S</t>
  </si>
  <si>
    <t xml:space="preserve">  Common</t>
  </si>
  <si>
    <t>CE</t>
  </si>
  <si>
    <t xml:space="preserve">TOTAL GROSS PLANT </t>
  </si>
  <si>
    <t>GP=</t>
  </si>
  <si>
    <t>ACCUMULATED DEPRECIATION</t>
  </si>
  <si>
    <t>WS4-CostData L15 C2+C3+C4</t>
  </si>
  <si>
    <t>WS4-CostData L14 C2+C3+C4</t>
  </si>
  <si>
    <t>WS4-CostData C2 L13-L14-L15</t>
  </si>
  <si>
    <t>Bal Sheet - Other Assets - SGL 175902</t>
  </si>
  <si>
    <t>TOTAL ACCUM. DEPRECIATION</t>
  </si>
  <si>
    <t>NET PLANT IN SERVICE</t>
  </si>
  <si>
    <t>TOTAL NET PLANT</t>
  </si>
  <si>
    <t>NP=</t>
  </si>
  <si>
    <t xml:space="preserve">ADJUSTMENTS TO RATE BASE </t>
  </si>
  <si>
    <t>(Note B)</t>
  </si>
  <si>
    <t xml:space="preserve">  Account No. 281</t>
  </si>
  <si>
    <t>(enter negative)</t>
  </si>
  <si>
    <t xml:space="preserve">  Account No. 282</t>
  </si>
  <si>
    <t>NP</t>
  </si>
  <si>
    <t xml:space="preserve">  Account No. 283</t>
  </si>
  <si>
    <t xml:space="preserve">  Account No. 190</t>
  </si>
  <si>
    <t xml:space="preserve">  Account No. 255</t>
  </si>
  <si>
    <t>TOTAL ADJUSTMENTS</t>
  </si>
  <si>
    <t xml:space="preserve">LAND HELD FOR FUTURE USE </t>
  </si>
  <si>
    <t>(Note C)</t>
  </si>
  <si>
    <t>WORKING CAPITAL</t>
  </si>
  <si>
    <t>(Note D)</t>
  </si>
  <si>
    <t xml:space="preserve">  CWC  </t>
  </si>
  <si>
    <t>calculated</t>
  </si>
  <si>
    <t xml:space="preserve">  Materials &amp; Supplies</t>
  </si>
  <si>
    <t>Bal Sheet - Other Assets - SGL 151191 (Note C)</t>
  </si>
  <si>
    <t>TE</t>
  </si>
  <si>
    <t xml:space="preserve">  Prepayments</t>
  </si>
  <si>
    <t xml:space="preserve">Bal Sheet Other Assets  </t>
  </si>
  <si>
    <t>GP</t>
  </si>
  <si>
    <t>TOTAL WORKING CAPITAL</t>
  </si>
  <si>
    <t>RATE BASE</t>
  </si>
  <si>
    <t>O&amp;M</t>
  </si>
  <si>
    <t xml:space="preserve">  Transmission </t>
  </si>
  <si>
    <t>ROOs Schedule 11 (Note E)</t>
  </si>
  <si>
    <t xml:space="preserve">          Western-UGP</t>
  </si>
  <si>
    <t>WS4-CostData L118 C2</t>
  </si>
  <si>
    <t>PTP/UGP</t>
  </si>
  <si>
    <t xml:space="preserve">          Western-RMR</t>
  </si>
  <si>
    <t>WS4-CostData L118 C3</t>
  </si>
  <si>
    <t>PTP/RMR</t>
  </si>
  <si>
    <t xml:space="preserve">          COE</t>
  </si>
  <si>
    <t>WS4-CostData L118 C4</t>
  </si>
  <si>
    <t>PTP/COE</t>
  </si>
  <si>
    <t xml:space="preserve">     Less Account 565</t>
  </si>
  <si>
    <t>(Note E)</t>
  </si>
  <si>
    <t xml:space="preserve">  A&amp;G</t>
  </si>
  <si>
    <t>ROOs Schedule 11 (Note F)</t>
  </si>
  <si>
    <t>WS4-CostData L92 C2</t>
  </si>
  <si>
    <t>WS4-CostData L92 C3</t>
  </si>
  <si>
    <t xml:space="preserve">     Less FERC Annual Fees</t>
  </si>
  <si>
    <t xml:space="preserve">     Less EPRI &amp; Reg. Comm. Exp. &amp; Non-safety Ad</t>
  </si>
  <si>
    <t>(Note G)</t>
  </si>
  <si>
    <t xml:space="preserve">     Plus Transmission Related Reg. Comm. Exp</t>
  </si>
  <si>
    <t xml:space="preserve">  Transmission Lease Payments</t>
  </si>
  <si>
    <t xml:space="preserve">TOTAL O&amp;M </t>
  </si>
  <si>
    <t>DEPRECIATION EXPENSE</t>
  </si>
  <si>
    <t>ROOs Schedule 4</t>
  </si>
  <si>
    <t>WS4-CostData L38 C2</t>
  </si>
  <si>
    <t>WS4-CostData L38 C3</t>
  </si>
  <si>
    <t>WS4-CostData L38 C4</t>
  </si>
  <si>
    <t xml:space="preserve">  General </t>
  </si>
  <si>
    <t>TOTAL DEPRECIATION</t>
  </si>
  <si>
    <t>TAXES OTHER THAN INCOME TAXES</t>
  </si>
  <si>
    <t>(Note H)</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</si>
  <si>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</si>
  <si>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</si>
  <si>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</si>
  <si>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</si>
  <si>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</si>
  <si>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</si>
  <si>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</si>
  <si>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</si>
  <si>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t>
  </si>
  <si>
    <t xml:space="preserve">INCOME TAXES          </t>
  </si>
  <si>
    <t>(Note I)</t>
  </si>
  <si>
    <t xml:space="preserve">     T=1 - {[(1 - SIT) * (1 - FIT)] / (1 - SIT * FIT * p)} =</t>
  </si>
  <si>
    <t xml:space="preserve">     CIT=(T/1-T) * (1-(WCLTD/R)) =</t>
  </si>
  <si>
    <t>Amortized Investment Tax Credit</t>
  </si>
  <si>
    <t>Income Tax Calculation</t>
  </si>
  <si>
    <t>ITC adjustment</t>
  </si>
  <si>
    <t>Total Income Taxes</t>
  </si>
  <si>
    <t>RETURN  [ Rate Base * Rate of Return]</t>
  </si>
  <si>
    <t>REV. REQUIREMENT</t>
  </si>
  <si>
    <t xml:space="preserve">                                      SUPPORTING CALCULATIONS AND NOTES</t>
  </si>
  <si>
    <t>TRANSMISSION PLANT INCLUDED IN UMZ RATES</t>
  </si>
  <si>
    <t>Total transmission plant</t>
  </si>
  <si>
    <t>Less transmission plant excluded from UMZ rates</t>
  </si>
  <si>
    <t>(Note K)</t>
  </si>
  <si>
    <t>Less transmission plant included in OATT Ancillary Services</t>
  </si>
  <si>
    <t>(Note L)</t>
  </si>
  <si>
    <t>Transmission plant included in UMZ rates</t>
  </si>
  <si>
    <t xml:space="preserve">Percentage of transmission plant included in UMZ Rates </t>
  </si>
  <si>
    <t>TP=</t>
  </si>
  <si>
    <t xml:space="preserve">TRANSMISSION EXPENSES </t>
  </si>
  <si>
    <t>Total transmission expenses</t>
  </si>
  <si>
    <t>Less transmission expenses included in OATT Ancillary Services</t>
  </si>
  <si>
    <t>(Note J)</t>
  </si>
  <si>
    <t>Included transmission expenses</t>
  </si>
  <si>
    <t>Percentage of transmission expenses after adjustment (line 8 divided by line 6)</t>
  </si>
  <si>
    <t>Percentage of transmission plant included in UMZ Rates</t>
  </si>
  <si>
    <t>Percentage of transmission expenses included in UMZ Rates</t>
  </si>
  <si>
    <t>TE=</t>
  </si>
  <si>
    <t>WAGES &amp; SALARY ALLOCATOR   (W&amp;S)</t>
  </si>
  <si>
    <t>$</t>
  </si>
  <si>
    <t>W&amp;S Allocator</t>
  </si>
  <si>
    <t xml:space="preserve">  Other</t>
  </si>
  <si>
    <t>($ / Allocation)</t>
  </si>
  <si>
    <t xml:space="preserve">  Total</t>
  </si>
  <si>
    <t>=</t>
  </si>
  <si>
    <t>PERCENTAGE OF TOTAL PLANT ALLOCATOR    PTP</t>
  </si>
  <si>
    <t>(Note M)</t>
  </si>
  <si>
    <t>Transmission Plant in Service Western-UGP</t>
  </si>
  <si>
    <t>Total Plant in Service Western-UGP</t>
  </si>
  <si>
    <t>UGP Percentage of Transmission Plant to Total Plant</t>
  </si>
  <si>
    <t>Transmission Plant in Service Western-RMR</t>
  </si>
  <si>
    <t>Total Plant in Service Western-RMR</t>
  </si>
  <si>
    <t>RMR Percentage of Transmission Plant to Total Plant</t>
  </si>
  <si>
    <t>Transmission Plant in Service COE</t>
  </si>
  <si>
    <t>Total Plant in Service COE</t>
  </si>
  <si>
    <t>COE Percentage of Transmission Plant to Total Plant</t>
  </si>
  <si>
    <t>COMMON PLANT ALLOCATOR  (CE)</t>
  </si>
  <si>
    <t>(Note N)</t>
  </si>
  <si>
    <t>% Electric</t>
  </si>
  <si>
    <t>Labor Ratio =</t>
  </si>
  <si>
    <t xml:space="preserve">  Electric</t>
  </si>
  <si>
    <t xml:space="preserve">  Gas</t>
  </si>
  <si>
    <t>*</t>
  </si>
  <si>
    <t xml:space="preserve">  Water</t>
  </si>
  <si>
    <t>RETURN (R)</t>
  </si>
  <si>
    <t xml:space="preserve">              Long Term Interest ROOs Schedule 5</t>
  </si>
  <si>
    <t>Cost</t>
  </si>
  <si>
    <t>=WCLTD</t>
  </si>
  <si>
    <t>%</t>
  </si>
  <si>
    <t>(Note O)</t>
  </si>
  <si>
    <t>Weighted</t>
  </si>
  <si>
    <t xml:space="preserve">  Long Term Debt</t>
  </si>
  <si>
    <t>HFD Sch's 21RX &amp; 21X Col 8 L 23,25,26,29,30</t>
  </si>
  <si>
    <t>=R</t>
  </si>
  <si>
    <t xml:space="preserve">  Proprietary Capital</t>
  </si>
  <si>
    <t>Total (sum lines 31-32)</t>
  </si>
  <si>
    <t xml:space="preserve">                                      Proprietary Capital Cost Rate =    </t>
  </si>
  <si>
    <t>TIER =</t>
  </si>
  <si>
    <t>Load</t>
  </si>
  <si>
    <t>ACCOUNT 447 (SALES FOR RESALE)</t>
  </si>
  <si>
    <t xml:space="preserve">  a. Bundled Non-RQ Sales for Resale</t>
  </si>
  <si>
    <t>(Note P)</t>
  </si>
  <si>
    <t xml:space="preserve">  b. Bundled Sales for Resale included in Divisor on page 1 </t>
  </si>
  <si>
    <t xml:space="preserve">  Total of (a)-(b)</t>
  </si>
  <si>
    <t>ACCOUNT 454 (RENT FROM ELECTRIC PROPERTY)</t>
  </si>
  <si>
    <t>(Note Q)</t>
  </si>
  <si>
    <t>ACCOUNT 456 (OTHER ELECTRIC REVENUES)</t>
  </si>
  <si>
    <t xml:space="preserve">  a. Transmission charges for all transmission transactions </t>
  </si>
  <si>
    <t xml:space="preserve">  b. Transmission charges for all transmission transactions included in Divisor on page 1</t>
  </si>
  <si>
    <t>Note</t>
  </si>
  <si>
    <t xml:space="preserve">General Note:  References to Results of Operations in this revenue requirement template indicate the Financial Statement Results of Operations (ROOs) Schedule where data is located </t>
  </si>
  <si>
    <t>Letter</t>
  </si>
  <si>
    <t>To the extent the references to ROOs data are missing, the entity will include a "Notes" section  to provide this data.</t>
  </si>
  <si>
    <t>A</t>
  </si>
  <si>
    <t>Combines plant data for both the Western-Upper Great Plains Region (Western-UGP) and Western-Rocky Mountain Region (Western-RMR).</t>
  </si>
  <si>
    <t>B</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</si>
  <si>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</si>
  <si>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C</t>
  </si>
  <si>
    <t>Transmission related only.</t>
  </si>
  <si>
    <t>D</t>
  </si>
  <si>
    <t>E</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</si>
  <si>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</si>
  <si>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F</t>
  </si>
  <si>
    <t>Totals of ROOs Schedule 11A Object Classes 1411, 1412, 1415, 1416, 1421, 1422, 1425, 1426, 1431, 1432, 1441, 1442.</t>
  </si>
  <si>
    <t>G</t>
  </si>
  <si>
    <t>H</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</si>
  <si>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</si>
  <si>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I</t>
  </si>
  <si>
    <t>Western is not subject to Federal or State Income Tax.</t>
  </si>
  <si>
    <t xml:space="preserve">         Inputs Required:</t>
  </si>
  <si>
    <t>FIT =</t>
  </si>
  <si>
    <t>SIT=</t>
  </si>
  <si>
    <t xml:space="preserve">  (State Income Tax Rate or Composite SIT)</t>
  </si>
  <si>
    <t>p =</t>
  </si>
  <si>
    <t xml:space="preserve">  (percent of federal income tax deductible for state purposes)</t>
  </si>
  <si>
    <t>J</t>
  </si>
  <si>
    <t>Removes dollar amount of transmission expenses included in the OATT ancillary services rates, including Acct No. 561.  Western does not include transmission expenses in ancillary service rates.</t>
  </si>
  <si>
    <t>K</t>
  </si>
  <si>
    <t>Removes transmission plant determined by Commission order to be state-jurisdictional according to the seven-factor test (until RUS 12 balances are adjusted to reflect application of seven-factor test).</t>
  </si>
  <si>
    <t>L</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</si>
  <si>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</si>
  <si>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M</t>
  </si>
  <si>
    <t>Percentage of Total Plant Allocators are developed separately for Western-UGP and Western-RMR to allocate O&amp;M, A&amp;G, and Depreciation Expenses between Transmission and Generation.</t>
  </si>
  <si>
    <t>N</t>
  </si>
  <si>
    <t xml:space="preserve">Western does not have Common Plant. </t>
  </si>
  <si>
    <t>O</t>
  </si>
  <si>
    <t>P</t>
  </si>
  <si>
    <t>Q</t>
  </si>
  <si>
    <t>Includes income related only to transmission facilities, such as pole attachments, rentals and special use.</t>
  </si>
  <si>
    <t>R</t>
  </si>
  <si>
    <t>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t>
  </si>
  <si>
    <t xml:space="preserve">  </t>
  </si>
  <si>
    <t>Worksheet 3 - Revenue Credit Calculation</t>
  </si>
  <si>
    <t>ACCOUNT</t>
  </si>
  <si>
    <t>MONTH</t>
  </si>
  <si>
    <t>ALLOCATION %</t>
  </si>
  <si>
    <t>Z2 Sch 7/8</t>
  </si>
  <si>
    <t>Z2</t>
  </si>
  <si>
    <t>Adjustments</t>
  </si>
  <si>
    <t>Schedule 7</t>
  </si>
  <si>
    <t>FIRM PTP</t>
  </si>
  <si>
    <t>Schedule 8</t>
  </si>
  <si>
    <t>NONFIRM PTP</t>
  </si>
  <si>
    <t>Sch 7/8/11</t>
  </si>
  <si>
    <t>MISO SEAMS</t>
  </si>
  <si>
    <t>Sch 11</t>
  </si>
  <si>
    <t>ZONAL PTP ADJUSTMENTS</t>
  </si>
  <si>
    <t>BP</t>
  </si>
  <si>
    <t>SSCD</t>
  </si>
  <si>
    <t>RENT FROM ELECTRIC PROPERTY</t>
  </si>
  <si>
    <t>-</t>
  </si>
  <si>
    <t>REVENUE FROM TRANS.</t>
  </si>
  <si>
    <t>RESRV-SUPPLEMENTAL</t>
  </si>
  <si>
    <t>RESRV-SPIN</t>
  </si>
  <si>
    <t>REGULATION</t>
  </si>
  <si>
    <t>BPU-ZONAL REVENUE</t>
  </si>
  <si>
    <t>BPU-ZONAL PTP</t>
  </si>
  <si>
    <t>BPU-REGIONAL REVENUE</t>
  </si>
  <si>
    <t>BPU-REGIONAL PTP</t>
  </si>
  <si>
    <t>NOTES:</t>
  </si>
  <si>
    <t>Includes twelve months of revenue credits from January-December or February-January depending on when WAPA began receiving revenue credits from SPP.  Revenue credit sheet may be updated</t>
  </si>
  <si>
    <t xml:space="preserve"> or adjusted as necessary to include all revenue credits received.  Reference to FERC Code or Object Class indicates Financial Account source.   Other reference indicates SPP Invoice as source document.</t>
  </si>
  <si>
    <t>Z2 Schedule 7/8 clawbacks</t>
  </si>
  <si>
    <t xml:space="preserve">Schedule 7 - Firm PTP Transmission revenues </t>
  </si>
  <si>
    <t>Schedule 8 - Non-Firm PTP Transmission revenues</t>
  </si>
  <si>
    <t>Schedule 7/8/11 - MISO's SPP PTP transmission service revenues</t>
  </si>
  <si>
    <t>Schedule 11 - Zonal PTP adjustment revenues</t>
  </si>
  <si>
    <t>7088 - Scheduling, System Control and Dispatch Services revenues</t>
  </si>
  <si>
    <t>45420 - Other Rental revenues</t>
  </si>
  <si>
    <t>45643 - Firm Network Transmission revenues</t>
  </si>
  <si>
    <t>7080 - Supplemental Reserves revenues</t>
  </si>
  <si>
    <t>7089 - Spinning Reserves revenues</t>
  </si>
  <si>
    <t>7091 - Regulation Service revenues</t>
  </si>
  <si>
    <t>Schedule 11 Base Plan Upgrade, Zonal and Regional revenues</t>
  </si>
  <si>
    <t>Worksheet 2 - Determination of Pick-Sloan Missouri Basin Program, Eastern Division Annual Costs</t>
  </si>
  <si>
    <t>DESCRIPTION</t>
  </si>
  <si>
    <t>GENERATION</t>
  </si>
  <si>
    <t>COE GENERATION</t>
  </si>
  <si>
    <t>BASE PLAN UPGRADES-REGIONAL</t>
  </si>
  <si>
    <t>BASE PLAN UPGRADES-ZONAL</t>
  </si>
  <si>
    <t xml:space="preserve"> Line No.</t>
  </si>
  <si>
    <t>A. Operation and Maintenance Expense</t>
  </si>
  <si>
    <t xml:space="preserve">     O&amp;M Expense</t>
  </si>
  <si>
    <t>WS4-CostData (O&amp;M Expenses Worksheet)</t>
  </si>
  <si>
    <t xml:space="preserve">     Transmission of Electricity by Others</t>
  </si>
  <si>
    <t xml:space="preserve">     Total O&amp;M Expense</t>
  </si>
  <si>
    <t>L2 + L3</t>
  </si>
  <si>
    <t xml:space="preserve">     Net Plant Investment</t>
  </si>
  <si>
    <t>WS4-CostData (Net Plant Investment Worksheet)</t>
  </si>
  <si>
    <t xml:space="preserve">     O&amp;M as % of Net Plant Investment</t>
  </si>
  <si>
    <t>L4/L5</t>
  </si>
  <si>
    <t xml:space="preserve">B.  A&amp;G Expense                              </t>
  </si>
  <si>
    <t xml:space="preserve">      A&amp;G Expense</t>
  </si>
  <si>
    <t>WS4-CostData (A&amp;G Expenses Worksheet)</t>
  </si>
  <si>
    <t xml:space="preserve">      Net Plant Investment</t>
  </si>
  <si>
    <t>L5</t>
  </si>
  <si>
    <t xml:space="preserve">      A&amp;G as % of Net Plant Investment</t>
  </si>
  <si>
    <t>L8/L9</t>
  </si>
  <si>
    <t xml:space="preserve">C.  Depreciation Expense                    </t>
  </si>
  <si>
    <t xml:space="preserve">     Depreciation Expense</t>
  </si>
  <si>
    <t>WS4-CostData (Depreciation Expense Worksheet)</t>
  </si>
  <si>
    <t xml:space="preserve">     Depreciation as a % of Net Plant Investment</t>
  </si>
  <si>
    <t>L12/L13</t>
  </si>
  <si>
    <t xml:space="preserve">D.  Taxes Other than Income Taxes for Transmission     </t>
  </si>
  <si>
    <t xml:space="preserve">     Not applicable.</t>
  </si>
  <si>
    <t xml:space="preserve">E.  Allocation of General Plant </t>
  </si>
  <si>
    <t xml:space="preserve">     No General Plant identified at this time, all plant is identified as either generation or transmission related.</t>
  </si>
  <si>
    <t>F.  Cost of Capital</t>
  </si>
  <si>
    <t xml:space="preserve">     Weighted Transmission Composite Interest Rate</t>
  </si>
  <si>
    <t>WS4-CostData (Cost of Capital Worksheet)</t>
  </si>
  <si>
    <t>G.  Fixed Charge Rate</t>
  </si>
  <si>
    <t xml:space="preserve">     Operation and Maintenance Expense</t>
  </si>
  <si>
    <t>L6</t>
  </si>
  <si>
    <t xml:space="preserve">     A&amp;G Expense</t>
  </si>
  <si>
    <t>L10</t>
  </si>
  <si>
    <t>L14</t>
  </si>
  <si>
    <t xml:space="preserve">     Taxes Other than Income Taxes</t>
  </si>
  <si>
    <t xml:space="preserve">     Allocation of General Plant to Transmission</t>
  </si>
  <si>
    <t xml:space="preserve">     Cost of Capital</t>
  </si>
  <si>
    <t>L20</t>
  </si>
  <si>
    <t xml:space="preserve">             Total</t>
  </si>
  <si>
    <t>H.  Revenue Requirement</t>
  </si>
  <si>
    <t xml:space="preserve">      Fixed Charge Rate</t>
  </si>
  <si>
    <t>L28</t>
  </si>
  <si>
    <t xml:space="preserve">     Annual Western-UGPR Cost</t>
  </si>
  <si>
    <t>L30 * L31</t>
  </si>
  <si>
    <t>Worksheet 4 - Cost Support Data</t>
  </si>
  <si>
    <t xml:space="preserve">WESTERN-UGP </t>
  </si>
  <si>
    <t>WESTERN-RMR</t>
  </si>
  <si>
    <t>COE</t>
  </si>
  <si>
    <t>BOR</t>
  </si>
  <si>
    <t>TOTAL</t>
  </si>
  <si>
    <t>Net Plant Investment Worksheet</t>
  </si>
  <si>
    <t>Total PS Plant-in-Service</t>
  </si>
  <si>
    <t>1/</t>
  </si>
  <si>
    <t>2/</t>
  </si>
  <si>
    <t>3/</t>
  </si>
  <si>
    <t>12/</t>
  </si>
  <si>
    <t>PS-ED Transmission Plant-in-Service</t>
  </si>
  <si>
    <t>4/</t>
  </si>
  <si>
    <t>5/</t>
  </si>
  <si>
    <t>6/</t>
  </si>
  <si>
    <t>PS-ED Generation Plant-in-Service</t>
  </si>
  <si>
    <t>7/</t>
  </si>
  <si>
    <t>L2-L3</t>
  </si>
  <si>
    <t>PS-ED SSCD Plant-in-Service</t>
  </si>
  <si>
    <t>8/</t>
  </si>
  <si>
    <t>BPU-Regional Plant-in-Service</t>
  </si>
  <si>
    <t>13/</t>
  </si>
  <si>
    <t>BPU-Zonal Plant-in-Service</t>
  </si>
  <si>
    <t>Generation Plant to Total Plant</t>
  </si>
  <si>
    <t>L4/L2</t>
  </si>
  <si>
    <t>Transmission Plant to Total Plant</t>
  </si>
  <si>
    <t>L3/L2</t>
  </si>
  <si>
    <t>SSCD Plant to Total Plant</t>
  </si>
  <si>
    <t>L5/L2</t>
  </si>
  <si>
    <t>BPU-Regional Plant to Total Plant</t>
  </si>
  <si>
    <t>L6/L2</t>
  </si>
  <si>
    <t>BPU-Zonal Plant to Total Plant</t>
  </si>
  <si>
    <t>L7/L2</t>
  </si>
  <si>
    <t>PS Accumulated Depreciation</t>
  </si>
  <si>
    <t>9/</t>
  </si>
  <si>
    <t>10/</t>
  </si>
  <si>
    <t>11/</t>
  </si>
  <si>
    <t>PS-ED Trans. Accumulated Depreciation</t>
  </si>
  <si>
    <t>L9*L13</t>
  </si>
  <si>
    <t>PS-ED Gen. Accumulated Depreciation</t>
  </si>
  <si>
    <t>L8*L13</t>
  </si>
  <si>
    <t>L6*L9</t>
  </si>
  <si>
    <t>L13-L14</t>
  </si>
  <si>
    <t>PS-ED SSCD Accumulated Depreciation</t>
  </si>
  <si>
    <t>L10*L13</t>
  </si>
  <si>
    <t>BPU-Regional Accumulated Depreciation</t>
  </si>
  <si>
    <t>L11*L13</t>
  </si>
  <si>
    <t>BPU-Zonal Accumulated Depreciation</t>
  </si>
  <si>
    <t>L12*L13</t>
  </si>
  <si>
    <t>PS-ED Net Transmission Plant</t>
  </si>
  <si>
    <t>L3-L14</t>
  </si>
  <si>
    <t>PS-ED Net Generation Plant</t>
  </si>
  <si>
    <t>L4-L15</t>
  </si>
  <si>
    <t>PS-ED Net SSCD Plant</t>
  </si>
  <si>
    <t>L5-L16</t>
  </si>
  <si>
    <t>BPU-Regional Net Plant</t>
  </si>
  <si>
    <t>L6-L17</t>
  </si>
  <si>
    <t>BPU-Zonal Net Plant</t>
  </si>
  <si>
    <t>L7-L18</t>
  </si>
  <si>
    <t>1/  WS8-TransFac, C1L509</t>
  </si>
  <si>
    <t>2/  RMCSR - Pick-Sloan Missouri River Basin Results of Operations (ROOs), Schedule 1</t>
  </si>
  <si>
    <t>3/  Corps of Engineers (COE) Financial Statements, Electric and Power Multi-Purpose Plant in Service</t>
  </si>
  <si>
    <t>4/  WS8-TransFac, C5L509</t>
  </si>
  <si>
    <t>5/  WS8-TransFac, C5L500</t>
  </si>
  <si>
    <t>6/  WS8-TransFac, C5L507</t>
  </si>
  <si>
    <t>7/  WS8-TransFac, C3L509</t>
  </si>
  <si>
    <t>8/ SSCD Plant-in-Service is based on a percentage of Watertown Operations Centers cost, based on FTE</t>
  </si>
  <si>
    <t>9/  UGPCSR - Pick-Sloan Missouri River Basin and UGPCSR - Ft. Peck Power System Results of Operations, Schedule 4</t>
  </si>
  <si>
    <t>10/  RMCSR - Pick-Sloan Missouri River Basin Results of Operations, Schedule 4</t>
  </si>
  <si>
    <t>11/  Corps of Engineers Financial Statements, Statement of Assets and Liabilities</t>
  </si>
  <si>
    <t>12/  Combined Financial Statements, Combining Schedules of Revenues and Expenses Data by Agency</t>
  </si>
  <si>
    <t>13/  WS7-BPUFac</t>
  </si>
  <si>
    <t>Depreciation Worksheet</t>
  </si>
  <si>
    <t>PS Depreciation Expense</t>
  </si>
  <si>
    <t>PS-ED Transmission Depreciation  5/</t>
  </si>
  <si>
    <t>PS-ED Generation Depreciation  6/</t>
  </si>
  <si>
    <t>PS-ED SSCD Depreciation  7/</t>
  </si>
  <si>
    <t>BPU-Regional Depreciation</t>
  </si>
  <si>
    <t>BPU-Zonal Depreciation</t>
  </si>
  <si>
    <t>1/  FY UGPCSR - Pick-Sloan Missouri River Basin and UGPCSR - Ft. Peck Power System Results of Operations, Schedule 4</t>
  </si>
  <si>
    <t>2/  FY RMCSR - Pick-Sloan Missouri River Basin Results of Operations, Schedule 4</t>
  </si>
  <si>
    <t>3/  FY Corps of Engineers Statement of Revenues and Expenses</t>
  </si>
  <si>
    <t>4/  Combined Financial Statements, Detail by Agency</t>
  </si>
  <si>
    <t xml:space="preserve">5/  For UGPR, RMR, COE, and BOR the portion of depreciation expense allocated to PS-ED transmission is based on the ratio of transmission plant-in-service to total plant-in-service, </t>
  </si>
  <si>
    <t>calculated on L9 of the Net Plant Investment Worksheet</t>
  </si>
  <si>
    <t xml:space="preserve">6/  For UGPR, RMR and BOR the portion of depreciation expense allocated to PS-ED generation is based on the ratio of generation plant-in-service to total plant-in-service, calculated </t>
  </si>
  <si>
    <t>on L8 of the Net Plant Investment Worksheet.  COE generation depreciation is COE total depreciation less transmission depreciation</t>
  </si>
  <si>
    <t>7/ For UGPR, the portion of depreciation expense allocated to PS-ED SSCD is based on the ratio of SSCD plant-in-service to total plant in service, calculated on L10 of the Net Plant</t>
  </si>
  <si>
    <t xml:space="preserve"> Investment Worksheet</t>
  </si>
  <si>
    <t>Cost of Capital Worksheet</t>
  </si>
  <si>
    <t>Long Term Debt:</t>
  </si>
  <si>
    <t>FY Balances</t>
  </si>
  <si>
    <t>Interest Expenses:</t>
  </si>
  <si>
    <t>FY Interest</t>
  </si>
  <si>
    <t>Average Interest Rate</t>
  </si>
  <si>
    <t>L58/L56</t>
  </si>
  <si>
    <t>Transmission Plant Factor</t>
  </si>
  <si>
    <t>Weighted Trans. Composite Rate</t>
  </si>
  <si>
    <t>Generation Plant Factor</t>
  </si>
  <si>
    <t>Weighted Gen. Composite Rate</t>
  </si>
  <si>
    <t>1/   Historical Financial Data in Support of the Power Repayment Study for the P-SMBP, Schedules 21X and 21RX</t>
  </si>
  <si>
    <t>2/  Interest from Combined Financial Statements, Detail By Agency/Col M L53</t>
  </si>
  <si>
    <t>3/  C2L3, Net Plant Investment Worksheet/C6L3, Net Plant Investment Worksheet</t>
  </si>
  <si>
    <t>4/  C3L3, Net Plant Investment Worksheet/C6L3, Net Plant Investment Worksheet</t>
  </si>
  <si>
    <t>5/  C4L3, Net Plant Investment Worksheet/C6L3, Net Plant Investment Worksheet</t>
  </si>
  <si>
    <t>6/  C5L3, Net Plant Investment Worksheet/C6L3, Net Plant Investment Worksheet</t>
  </si>
  <si>
    <t>7/  (C2L59*C2L60)+(C3L59*C3L60)+(C4L59*C4L60)+(C5L59*C5L60)</t>
  </si>
  <si>
    <t>8/  C2L4, Net Plant Investment Worksheet/C6L4, Net Plant Investment Worksheet</t>
  </si>
  <si>
    <t>9/  C3L4, Net Plant Investment Worksheet/C6L4, Net Plant Investment Worksheet</t>
  </si>
  <si>
    <t>10/  C4L4, Net Plant Investment Worksheet/C6L4, Net Plant Investment Worksheet</t>
  </si>
  <si>
    <t>11/  C5L4, Net Plant Investment Worksheet/C6L4, Net Plant Investment Worksheet</t>
  </si>
  <si>
    <t>12/  (C2L59*C2L62)+(C3L59*C3L62)+(C4L59*C4L62)+(C5L59*C5L62)</t>
  </si>
  <si>
    <t>13/  FY UGPCSR - Pick-Sloan Missouri River Basin and UGPCSR - Ft. Peck Power System Results of Operations, Schedule 5</t>
  </si>
  <si>
    <t>WESTERN RMR</t>
  </si>
  <si>
    <t>A&amp;G Expenses Worksheet</t>
  </si>
  <si>
    <t xml:space="preserve">Object Class    </t>
  </si>
  <si>
    <t>WESTERN UGPR 1/</t>
  </si>
  <si>
    <t>WESTERN RMR 2/</t>
  </si>
  <si>
    <t>COE  3/</t>
  </si>
  <si>
    <t>BOR  3/</t>
  </si>
  <si>
    <t>Total</t>
  </si>
  <si>
    <t>PS Total A&amp;G</t>
  </si>
  <si>
    <t>PS-ED Transmission A&amp;G  4/</t>
  </si>
  <si>
    <t>PS-ED Generation A&amp;G  5/</t>
  </si>
  <si>
    <t>PS-ED SSCD A&amp;G  6/</t>
  </si>
  <si>
    <t>BPU-Regional A&amp;G</t>
  </si>
  <si>
    <t>BPU-Zonal A&amp;G</t>
  </si>
  <si>
    <t>1/  Western-UGP A&amp;G Expenses are from the UGPCSR - Pick-Sloan Missouri River Basin and UGPCSR - Ft. Peck Power System Results of Operations, Schedule 11A</t>
  </si>
  <si>
    <t>2/  Western RMR A&amp;G Expenses are from the RMCSR - Pick-Sloan Missouri River Basin Results of Operations, Schedule 11A</t>
  </si>
  <si>
    <t>3/  A&amp;G Expenses for COE and BOR are unavailable.  All COE and BOR A&amp;G expenses are included in O&amp;M Expenses</t>
  </si>
  <si>
    <t xml:space="preserve">4/  The portion of A&amp;G expenses allocated to PS-ED transmission is based on the ratio of transmission plant-in-service to total plant-in-service, calculated on L9 of the Net Plant </t>
  </si>
  <si>
    <t>Investment Worksheet</t>
  </si>
  <si>
    <t xml:space="preserve">5/  The portion of A&amp;G expenses allocated to PS-ED generation is based on the ratio of generation plant-in-service to total plant-in-service, calculated on L8 of the Net Plant </t>
  </si>
  <si>
    <t>6/  The portion of A&amp;G expenses allocated to PS-ED SSCD is based on the ratio of SSCD plant-in-service to total plant-in-service, calculated on L10 of the Net Plant Investment Worksheet</t>
  </si>
  <si>
    <t>O&amp;M Expenses Worksheet</t>
  </si>
  <si>
    <t xml:space="preserve"> WESTERN-UGP  1/</t>
  </si>
  <si>
    <t>WESTERN-RMR  2/</t>
  </si>
  <si>
    <t>BOR  4/</t>
  </si>
  <si>
    <t>Total Electric Operating Expense</t>
  </si>
  <si>
    <t>Less:</t>
  </si>
  <si>
    <t xml:space="preserve">  Other Power Supply Expenses</t>
  </si>
  <si>
    <t xml:space="preserve">  A&amp;G Expenses</t>
  </si>
  <si>
    <t xml:space="preserve">  Prior Year Adjustments</t>
  </si>
  <si>
    <t xml:space="preserve">  Annual Reserve Sharing Group Cost</t>
  </si>
  <si>
    <t>Plus:</t>
  </si>
  <si>
    <t xml:space="preserve">  Moveable Property Interest</t>
  </si>
  <si>
    <t xml:space="preserve">  Warehouse Stores Interest</t>
  </si>
  <si>
    <t xml:space="preserve">  Scheduling, System Control &amp; Dispatch</t>
  </si>
  <si>
    <t>PS Total O&amp;M</t>
  </si>
  <si>
    <t>PS-ED Transmission O&amp;M  5/</t>
  </si>
  <si>
    <t>PS-ED Generation O&amp;M  6/</t>
  </si>
  <si>
    <t>BPU-Regional O&amp;M</t>
  </si>
  <si>
    <t>BPU-Zonal O&amp;M</t>
  </si>
  <si>
    <t xml:space="preserve">1/  All Western-UGP O&amp;M Expenses are from the UGPCSR - Pick-Sloan Missouri River Basin and UGPCSR -  Ft. Peck Power System Results of Operations, Schedule 11; except </t>
  </si>
  <si>
    <t>Moveable Property and Warehouse Stores Interest,  which are from Schedule 5</t>
  </si>
  <si>
    <t xml:space="preserve">2/  All Western RMR O&amp;M Expenses are from the RMCSR - Pick-Sloan Missouri River Basin Results of Operations, Schedule 11; except Moveable Property and Warehouse </t>
  </si>
  <si>
    <t>Stores Interest, which are from Schedule 5</t>
  </si>
  <si>
    <t>3/  Total Corps O&amp;M Expenses are from the Corps of Engineers Financial Statements</t>
  </si>
  <si>
    <t>4/  Total BOR O&amp;M Expenses are from the Combined Financial Statements</t>
  </si>
  <si>
    <t>5/  The portion of O&amp;M expenses allocated to PS-ED transmission is based on the ratio of transmission plant-in-service to total plant-in-service, calculated on L9 of the</t>
  </si>
  <si>
    <t xml:space="preserve"> Net Plant Investment Worksheet</t>
  </si>
  <si>
    <t xml:space="preserve">6/  The portion of O&amp;M expenses allocated to PS-ED generation is based on the ratio of generation plant-in-service to total plant-in-service, calculated on L8 of the </t>
  </si>
  <si>
    <t>Worksheet 5 - Zonal SPP Upgrade Calculations</t>
  </si>
  <si>
    <t>Project Name and #</t>
  </si>
  <si>
    <t>Type</t>
  </si>
  <si>
    <t>Project Gross Plant (Zonal Allocation) $</t>
  </si>
  <si>
    <t>Allocation Factor %</t>
  </si>
  <si>
    <t>Project Accumulated Depreciation $</t>
  </si>
  <si>
    <t>Allocation for Transmission O&amp;M $</t>
  </si>
  <si>
    <t>Allocation for General Plant Depreciation $</t>
  </si>
  <si>
    <t>Allocation for A&amp;G $</t>
  </si>
  <si>
    <t>Cost of Capital</t>
  </si>
  <si>
    <t>Project Net Plant $</t>
  </si>
  <si>
    <t>Cost of Capital $</t>
  </si>
  <si>
    <t>Project ATRR $</t>
  </si>
  <si>
    <t>Revenue Credit Allocation $ /1</t>
  </si>
  <si>
    <t>Net ATRR $</t>
  </si>
  <si>
    <t>SUB</t>
  </si>
  <si>
    <t>1/ Revenue Credit Allocation Total from WS3-Rev Credit C5L182 and allocated based on the ratio of Zonal project plant-in-service to total Zonal plant-in-service, calculated in column 4 of this worksheet</t>
  </si>
  <si>
    <t>Worksheet 6 - Base Plan Upgrades-Regional</t>
  </si>
  <si>
    <t>Project Gross Plant (Regional Allocation) $</t>
  </si>
  <si>
    <t>Roberts County 115 kV Substation, 71926</t>
  </si>
  <si>
    <t>Williston Substation 115 kV Terminal Upgrades, 61856</t>
  </si>
  <si>
    <t>1/ Revenue Credit Allocation Total from WS3-Rev Credit C5L210 and allocated based on the ratio of Regional project plant-in-service to total Regional plant-in-service, calculated in column 4 of this worksheet</t>
  </si>
  <si>
    <t>Worksheet 7 - SPP Base Plan Upgrades-Facilities</t>
  </si>
  <si>
    <t>2020 SPP TRUE-UP SUMMARY</t>
  </si>
  <si>
    <t>FID</t>
  </si>
  <si>
    <t>DATA SOURCE:</t>
  </si>
  <si>
    <t>PRIOR YEAR FACILITY TOTALS ($)</t>
  </si>
  <si>
    <t>FY2020 SPP TOTALS ($)</t>
  </si>
  <si>
    <t>ROBERTS COUNTY SUBSTATION</t>
  </si>
  <si>
    <t>RCO</t>
  </si>
  <si>
    <t>ROBERTS COUNTY 115 kV SUBSTATION, 71926</t>
  </si>
  <si>
    <t>ROBERTS COUNTY 115/69 kV TRANSFORMER, 71927</t>
  </si>
  <si>
    <t>WILLISTON SUBSTATION</t>
  </si>
  <si>
    <t>WN</t>
  </si>
  <si>
    <t>WILLISTON SUBSTATION 115 kV TERMINAL UPGRADES, 61856</t>
  </si>
  <si>
    <t>2020 ROOS BALANCE</t>
  </si>
  <si>
    <t xml:space="preserve">2020 SPP TRUE-UP DETAIL: </t>
  </si>
  <si>
    <t>ADDITIONAL:</t>
  </si>
  <si>
    <t>FID COST DETAIL ($)</t>
  </si>
  <si>
    <t>REG %</t>
  </si>
  <si>
    <t>REG TOTAL ($)</t>
  </si>
  <si>
    <t>ZONAL %</t>
  </si>
  <si>
    <t>ZONAL TOTAL ($)</t>
  </si>
  <si>
    <t>STEEL STRUCTURE</t>
  </si>
  <si>
    <t>DISCONNECT SWITCH</t>
  </si>
  <si>
    <t>CCVT</t>
  </si>
  <si>
    <t>CIRCUIT BREAKER</t>
  </si>
  <si>
    <t>STATION SERVICE, LAND, CONTROL BUILDING</t>
  </si>
  <si>
    <t>ROBERTS COUNTY 115 kV SUBSTATION, 71926 - SUBTOTAL</t>
  </si>
  <si>
    <t>POWER TRANSFORMER</t>
  </si>
  <si>
    <t>VOLTAGE TRANSFORMER</t>
  </si>
  <si>
    <t>INSTRUMENT TRANSFORMER</t>
  </si>
  <si>
    <t>ARRESTER</t>
  </si>
  <si>
    <t>OIL STORAGE TANK</t>
  </si>
  <si>
    <t>ROBERTS COUNTY 115/69 kV TRANSFORMER, 71927 - SUBTOTAL</t>
  </si>
  <si>
    <t>RELAYS</t>
  </si>
  <si>
    <t>WILLISTON SUBSTATION 115 kV TERMINAL UPGRADES, 61856 - SUBTOTAL</t>
  </si>
  <si>
    <t>Worksheet 8 - Transmission Facilities</t>
  </si>
  <si>
    <t>ATTACHMENT AI ADJUSTMENTS ($)</t>
  </si>
  <si>
    <t>GENERATION ADJUSTMENTS ($)</t>
  </si>
  <si>
    <t>OTHER ADJUSTMENTS ($)</t>
  </si>
  <si>
    <t>FY2020 ACT SPP TOTALS ($)</t>
  </si>
  <si>
    <t>NOTES</t>
  </si>
  <si>
    <t>TL</t>
  </si>
  <si>
    <t>AUR BR</t>
  </si>
  <si>
    <t>AURORA- BROOKINGS 115-KV T/L</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</si>
  <si>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</si>
  <si>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</si>
  <si>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</si>
  <si>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</si>
  <si>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</si>
  <si>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</si>
  <si>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</si>
  <si>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</si>
  <si>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</si>
  <si>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</si>
  <si>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</si>
  <si>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</si>
  <si>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</si>
  <si>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</si>
  <si>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</si>
  <si>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</si>
  <si>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</si>
  <si>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</si>
  <si>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</si>
  <si>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</si>
  <si>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</si>
  <si>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</si>
  <si>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</si>
  <si>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</si>
  <si>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CA JT</t>
  </si>
  <si>
    <t>CARRINGTON-JAMESTOWN</t>
  </si>
  <si>
    <t>WC BU</t>
  </si>
  <si>
    <t>CHARLIE CREEK - WATFORD CITY</t>
  </si>
  <si>
    <t>CCRBEF</t>
  </si>
  <si>
    <t>CHARLIE CREEK-BELFIELD</t>
  </si>
  <si>
    <t>CR DC</t>
  </si>
  <si>
    <t>CIRCLE-DAWSON COUNTY</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</si>
  <si>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</si>
  <si>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</si>
  <si>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</si>
  <si>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</si>
  <si>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</si>
  <si>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</si>
  <si>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</si>
  <si>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</si>
  <si>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</si>
  <si>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</si>
  <si>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</si>
  <si>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</si>
  <si>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</si>
  <si>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</si>
  <si>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</si>
  <si>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</si>
  <si>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</si>
  <si>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</si>
  <si>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</si>
  <si>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</si>
  <si>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</si>
  <si>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</si>
  <si>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</si>
  <si>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</si>
  <si>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</si>
  <si>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</si>
  <si>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</si>
  <si>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</si>
  <si>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</si>
  <si>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</si>
  <si>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RCO</t>
  </si>
  <si>
    <t>FORMAN-ROBERTS COUNTY</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</si>
  <si>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</si>
  <si>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</si>
  <si>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</si>
  <si>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</si>
  <si>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</si>
  <si>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</si>
  <si>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</si>
  <si>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</si>
  <si>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</si>
  <si>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</si>
  <si>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</si>
  <si>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</si>
  <si>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</si>
  <si>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</si>
  <si>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</si>
  <si>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</si>
  <si>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</si>
  <si>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</si>
  <si>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</si>
  <si>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</si>
  <si>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</si>
  <si>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</si>
  <si>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</si>
  <si>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</si>
  <si>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</si>
  <si>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</si>
  <si>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</si>
  <si>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</si>
  <si>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</si>
  <si>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</si>
  <si>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</si>
  <si>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</si>
  <si>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</si>
  <si>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</si>
  <si>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</si>
  <si>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</si>
  <si>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</si>
  <si>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</si>
  <si>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</si>
  <si>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</si>
  <si>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</si>
  <si>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</si>
  <si>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</si>
  <si>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</si>
  <si>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</si>
  <si>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</si>
  <si>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</si>
  <si>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</si>
  <si>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</si>
  <si>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</si>
  <si>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</si>
  <si>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</si>
  <si>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</si>
  <si>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</si>
  <si>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</si>
  <si>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</si>
  <si>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</si>
  <si>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</si>
  <si>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</si>
  <si>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</si>
  <si>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</si>
  <si>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</si>
  <si>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</si>
  <si>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</si>
  <si>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</si>
  <si>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</si>
  <si>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</si>
  <si>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</si>
  <si>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</si>
  <si>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</si>
  <si>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</si>
  <si>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</si>
  <si>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</si>
  <si>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</si>
  <si>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</si>
  <si>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</si>
  <si>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</si>
  <si>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</si>
  <si>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</si>
  <si>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</si>
  <si>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LAHCF</t>
  </si>
  <si>
    <t>LAKE HELENA SWITCHYARD - CANYON FERRY 100 KV</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</si>
  <si>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</si>
  <si>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</si>
  <si>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</si>
  <si>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</si>
  <si>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</si>
  <si>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</si>
  <si>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</si>
  <si>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</si>
  <si>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</si>
  <si>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</si>
  <si>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</si>
  <si>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</si>
  <si>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</si>
  <si>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</si>
  <si>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</si>
  <si>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</si>
  <si>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</si>
  <si>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</si>
  <si>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</si>
  <si>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</si>
  <si>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</si>
  <si>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</si>
  <si>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</si>
  <si>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</si>
  <si>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</si>
  <si>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</si>
  <si>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</si>
  <si>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</si>
  <si>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</si>
  <si>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</si>
  <si>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</si>
  <si>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</si>
  <si>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</si>
  <si>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</si>
  <si>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</si>
  <si>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</si>
  <si>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</si>
  <si>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</si>
  <si>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</si>
  <si>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</si>
  <si>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RC DRY</t>
  </si>
  <si>
    <t>RAPID CITY-DRY CREEK</t>
  </si>
  <si>
    <t>ELCRC</t>
  </si>
  <si>
    <t>RAPID CITY-ELK CREEK 115-kV T/L</t>
  </si>
  <si>
    <t>RCOSU</t>
  </si>
  <si>
    <t>ROBERTS COUNTY-SUMMIT</t>
  </si>
  <si>
    <t>RG LE</t>
  </si>
  <si>
    <t>RUGBY-LEEDS</t>
  </si>
  <si>
    <t>SH SH2</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</si>
  <si>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</si>
  <si>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</si>
  <si>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</si>
  <si>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</si>
  <si>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</si>
  <si>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</si>
  <si>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</si>
  <si>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</si>
  <si>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</si>
  <si>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</si>
  <si>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</si>
  <si>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</si>
  <si>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</si>
  <si>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</si>
  <si>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</si>
  <si>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</si>
  <si>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</si>
  <si>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</si>
  <si>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</si>
  <si>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</si>
  <si>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</si>
  <si>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</si>
  <si>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</si>
  <si>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</si>
  <si>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</si>
  <si>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</si>
  <si>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</si>
  <si>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</si>
  <si>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</si>
  <si>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</si>
  <si>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</si>
  <si>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</si>
  <si>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</si>
  <si>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</si>
  <si>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</si>
  <si>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</si>
  <si>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AN</t>
  </si>
  <si>
    <t>ANITA</t>
  </si>
  <si>
    <t>APD</t>
  </si>
  <si>
    <t>APPELDORN SUBSTATION</t>
  </si>
  <si>
    <t>AR</t>
  </si>
  <si>
    <t>ARMOUR SUBSTATION</t>
  </si>
  <si>
    <t>AHS</t>
  </si>
  <si>
    <t>ASH SUBSTATION</t>
  </si>
  <si>
    <t>AB</t>
  </si>
  <si>
    <t>ASSINNIBOINE</t>
  </si>
  <si>
    <t>AUR</t>
  </si>
  <si>
    <t>AURORA SUBSTATION</t>
  </si>
  <si>
    <t>BK</t>
  </si>
  <si>
    <t xml:space="preserve">BAKER </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</si>
  <si>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</si>
  <si>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</si>
  <si>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</si>
  <si>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</si>
  <si>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</si>
  <si>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</si>
  <si>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</si>
  <si>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</si>
  <si>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</si>
  <si>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</si>
  <si>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</si>
  <si>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</si>
  <si>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</si>
  <si>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</si>
  <si>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</si>
  <si>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</si>
  <si>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</si>
  <si>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</si>
  <si>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CBC</t>
  </si>
  <si>
    <t>CAMPBELL COUNTY SWITCHING STATION</t>
  </si>
  <si>
    <t>CF</t>
  </si>
  <si>
    <t>CANYON FERRY</t>
  </si>
  <si>
    <t>CRP</t>
  </si>
  <si>
    <t>CARPENTER SUBSTATION</t>
  </si>
  <si>
    <t xml:space="preserve">CA </t>
  </si>
  <si>
    <t>CARRINGTON SUBSTATION</t>
  </si>
  <si>
    <t>CCR</t>
  </si>
  <si>
    <t>CHARLIE CREEK</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</si>
  <si>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</si>
  <si>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</si>
  <si>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</si>
  <si>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</si>
  <si>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</si>
  <si>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</si>
  <si>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</si>
  <si>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</si>
  <si>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</si>
  <si>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</si>
  <si>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</si>
  <si>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</si>
  <si>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</si>
  <si>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</si>
  <si>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</si>
  <si>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</si>
  <si>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t>
  </si>
  <si>
    <t>DENBIGH TAP</t>
  </si>
  <si>
    <t>DN</t>
  </si>
  <si>
    <t>DENISON SUBSTATION</t>
  </si>
  <si>
    <t>DV</t>
  </si>
  <si>
    <t>DEVAUL SUBSTATION</t>
  </si>
  <si>
    <t>DL</t>
  </si>
  <si>
    <t>DEVILS LAKE SUBSTATION</t>
  </si>
  <si>
    <t>DK</t>
  </si>
  <si>
    <t>DICKINSON</t>
  </si>
  <si>
    <t>EJ</t>
  </si>
  <si>
    <t>E. J. MANNING</t>
  </si>
  <si>
    <t>EA</t>
  </si>
  <si>
    <t>EAGLE</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</si>
  <si>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</si>
  <si>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</si>
  <si>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</si>
  <si>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</si>
  <si>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</si>
  <si>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</si>
  <si>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</si>
  <si>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</si>
  <si>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</si>
  <si>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</si>
  <si>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</si>
  <si>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</si>
  <si>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</si>
  <si>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</si>
  <si>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</si>
  <si>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</si>
  <si>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</si>
  <si>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</si>
  <si>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</si>
  <si>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</si>
  <si>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</si>
  <si>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</si>
  <si>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</si>
  <si>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</si>
  <si>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</si>
  <si>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</si>
  <si>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</si>
  <si>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</si>
  <si>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</si>
  <si>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</si>
  <si>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</si>
  <si>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</si>
  <si>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</si>
  <si>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</si>
  <si>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</si>
  <si>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</si>
  <si>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GRP</t>
  </si>
  <si>
    <t>GRAND PRAIRIE SUBSTATION /1</t>
  </si>
  <si>
    <t>GF</t>
  </si>
  <si>
    <t>GRANITE FALLS SUBSTATION</t>
  </si>
  <si>
    <t>GTF</t>
  </si>
  <si>
    <t xml:space="preserve">GREAT FALLS SUB </t>
  </si>
  <si>
    <t>GY</t>
  </si>
  <si>
    <t>GREGORY SUBSTATION</t>
  </si>
  <si>
    <t>GR</t>
  </si>
  <si>
    <t>GROTON SUBSTATION</t>
  </si>
  <si>
    <t>GSO</t>
  </si>
  <si>
    <t>GROTON SOUTH SUBSTATION</t>
  </si>
  <si>
    <t>HA</t>
  </si>
  <si>
    <t>HARLEM</t>
  </si>
  <si>
    <t>HV</t>
  </si>
  <si>
    <t>HAVRE SUBSTATION</t>
  </si>
  <si>
    <t>HBN</t>
  </si>
  <si>
    <t>HEBRON SUBSTATION</t>
  </si>
  <si>
    <t>HET</t>
  </si>
  <si>
    <t>HETTINGER</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</si>
  <si>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</si>
  <si>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</si>
  <si>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</si>
  <si>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</si>
  <si>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</si>
  <si>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</si>
  <si>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</si>
  <si>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</si>
  <si>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</si>
  <si>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</si>
  <si>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</si>
  <si>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</si>
  <si>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</si>
  <si>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</si>
  <si>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ML</t>
  </si>
  <si>
    <t>MALLARD</t>
  </si>
  <si>
    <t>MT</t>
  </si>
  <si>
    <t>MALTA</t>
  </si>
  <si>
    <t>MDN</t>
  </si>
  <si>
    <t>MANDAN SUBSTATION</t>
  </si>
  <si>
    <t>MR</t>
  </si>
  <si>
    <t>MARTIN SUBSTATION</t>
  </si>
  <si>
    <t>MA</t>
  </si>
  <si>
    <t>MAURINE SUBSTATION</t>
  </si>
  <si>
    <t>MD</t>
  </si>
  <si>
    <t>MIDLAND SUBSTATION</t>
  </si>
  <si>
    <t>MC2</t>
  </si>
  <si>
    <t>MILES CITY SUB #2</t>
  </si>
  <si>
    <t>MC3</t>
  </si>
  <si>
    <t>MILES CITY SUB #3</t>
  </si>
  <si>
    <t>MC</t>
  </si>
  <si>
    <t>MILES CITY SUBSTATION</t>
  </si>
  <si>
    <t>MGV</t>
  </si>
  <si>
    <t>MINGUSVILLE SUBSTATION</t>
  </si>
  <si>
    <t>MS</t>
  </si>
  <si>
    <t>MISSION SUBSTATION</t>
  </si>
  <si>
    <t>MO</t>
  </si>
  <si>
    <t>MORRIS SUBSTATION</t>
  </si>
  <si>
    <t>MV</t>
  </si>
  <si>
    <t>MT VERNON SUBSTATION</t>
  </si>
  <si>
    <t>NASHUA SUB</t>
  </si>
  <si>
    <t>NEL</t>
  </si>
  <si>
    <t>NELSON SUBSTATION</t>
  </si>
  <si>
    <t>NU</t>
  </si>
  <si>
    <t>NEW UNDERWOOD SUBSTATION</t>
  </si>
  <si>
    <t>NL</t>
  </si>
  <si>
    <t>NEWELL SUBSTATION</t>
  </si>
  <si>
    <t>OF</t>
  </si>
  <si>
    <t>O'FALLON CREEK SUBSTATION</t>
  </si>
  <si>
    <t>ON</t>
  </si>
  <si>
    <t>O'NEILL SUB (NPP)</t>
  </si>
  <si>
    <t>PET</t>
  </si>
  <si>
    <t>PENN TAP</t>
  </si>
  <si>
    <t>PL</t>
  </si>
  <si>
    <t>PHILIP SUBSTATION</t>
  </si>
  <si>
    <t>PI</t>
  </si>
  <si>
    <t>PIERRE SUBSTATION</t>
  </si>
  <si>
    <t>PLL</t>
  </si>
  <si>
    <t>PLEASANT LAKE TAP</t>
  </si>
  <si>
    <t>RB</t>
  </si>
  <si>
    <t>RAINBOW SUBSTATION</t>
  </si>
  <si>
    <t>RC</t>
  </si>
  <si>
    <t>RAPID CITY SUBSTATION</t>
  </si>
  <si>
    <t>RH</t>
  </si>
  <si>
    <t>RICHLAND SUBSTATION</t>
  </si>
  <si>
    <t>ROBERTS COUNTY /2</t>
  </si>
  <si>
    <t>RL</t>
  </si>
  <si>
    <t>ROLLA SUBSTATION</t>
  </si>
  <si>
    <t>RY</t>
  </si>
  <si>
    <t>RUDYARD SUBSTATION</t>
  </si>
  <si>
    <t>RG</t>
  </si>
  <si>
    <t>RUGBY SUBSTATION</t>
  </si>
  <si>
    <t>SA</t>
  </si>
  <si>
    <t>SAVAGE SUB</t>
  </si>
  <si>
    <t>SH</t>
  </si>
  <si>
    <t>SHELBY SUBSTATION</t>
  </si>
  <si>
    <t>SH2</t>
  </si>
  <si>
    <t>SHELBY SUBSTATION #2</t>
  </si>
  <si>
    <t>SL</t>
  </si>
  <si>
    <t>SHIRLEY TAP</t>
  </si>
  <si>
    <t>SC2</t>
  </si>
  <si>
    <t>SIOUX CITY #2</t>
  </si>
  <si>
    <t xml:space="preserve">SC </t>
  </si>
  <si>
    <t>SIOUX CITY SUBSTATION</t>
  </si>
  <si>
    <t>SF</t>
  </si>
  <si>
    <t>SIOUX FALLS SUBSTATION</t>
  </si>
  <si>
    <t>SP</t>
  </si>
  <si>
    <t>SPENCER</t>
  </si>
  <si>
    <t>SNY</t>
  </si>
  <si>
    <t>STANLEY</t>
  </si>
  <si>
    <t>SB</t>
  </si>
  <si>
    <t>SULLY BUTTES</t>
  </si>
  <si>
    <t>SU</t>
  </si>
  <si>
    <t>SUMMIT SUBSTATION</t>
  </si>
  <si>
    <t>TR</t>
  </si>
  <si>
    <t>TERRY TAP</t>
  </si>
  <si>
    <t>TT</t>
  </si>
  <si>
    <t>TIBER TAP</t>
  </si>
  <si>
    <t>TN</t>
  </si>
  <si>
    <t>TOWNER</t>
  </si>
  <si>
    <t>TY</t>
  </si>
  <si>
    <t>TYNDALL SUBSTATION</t>
  </si>
  <si>
    <t>UJ</t>
  </si>
  <si>
    <t>UTICA JCT.</t>
  </si>
  <si>
    <t>VH</t>
  </si>
  <si>
    <t>V. T. HANLON</t>
  </si>
  <si>
    <t>VC</t>
  </si>
  <si>
    <t>VALLEY CITY SUBSTATION</t>
  </si>
  <si>
    <t>VR</t>
  </si>
  <si>
    <t>VERONA</t>
  </si>
  <si>
    <t>VE</t>
  </si>
  <si>
    <t>VETAL TAP</t>
  </si>
  <si>
    <t>VFO</t>
  </si>
  <si>
    <t>VIRGIL FODNESS SUBSTATION</t>
  </si>
  <si>
    <t>WL</t>
  </si>
  <si>
    <t>WALL SUBSTATION</t>
  </si>
  <si>
    <t>WNB</t>
  </si>
  <si>
    <t>WANBLEE TAP</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</si>
  <si>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</si>
  <si>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</si>
  <si>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</si>
  <si>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</si>
  <si>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</si>
  <si>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</si>
  <si>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</si>
  <si>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</si>
  <si>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</si>
  <si>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</si>
  <si>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</si>
  <si>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</si>
  <si>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</si>
  <si>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</si>
  <si>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</si>
  <si>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</si>
  <si>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</si>
  <si>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</si>
  <si>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</si>
  <si>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</si>
  <si>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</si>
  <si>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</si>
  <si>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</si>
  <si>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</si>
  <si>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WILLISTON SUBSTATION /2</t>
  </si>
  <si>
    <t>WI</t>
  </si>
  <si>
    <t>WINNER SUBSTATION</t>
  </si>
  <si>
    <t>WJ</t>
  </si>
  <si>
    <t>WM. J. NEAL</t>
  </si>
  <si>
    <t>WP</t>
  </si>
  <si>
    <t>WOLF POINT SUBSTATION</t>
  </si>
  <si>
    <t>WO</t>
  </si>
  <si>
    <t>WOONSOCKET SUBSTATION</t>
  </si>
  <si>
    <t>YJ</t>
  </si>
  <si>
    <t>YANKTON JCT.</t>
  </si>
  <si>
    <t>YA</t>
  </si>
  <si>
    <t>YANKTON SUBSTATION</t>
  </si>
  <si>
    <t>SUB Total</t>
  </si>
  <si>
    <t>SUBSTATIONS</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</si>
  <si>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</si>
  <si>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</si>
  <si>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</si>
  <si>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</si>
  <si>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</si>
  <si>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</si>
  <si>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</si>
  <si>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</si>
  <si>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</si>
  <si>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</si>
  <si>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</si>
  <si>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</si>
  <si>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</si>
  <si>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</si>
  <si>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</si>
  <si>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</si>
  <si>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</si>
  <si>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</si>
  <si>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</si>
  <si>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</si>
  <si>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</si>
  <si>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</si>
  <si>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</si>
  <si>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</si>
  <si>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</si>
  <si>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</si>
  <si>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</si>
  <si>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</si>
  <si>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</si>
  <si>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</si>
  <si>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</si>
  <si>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</si>
  <si>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</si>
  <si>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</si>
  <si>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</si>
  <si>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</si>
  <si>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</si>
  <si>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</si>
  <si>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</si>
  <si>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</si>
  <si>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</si>
  <si>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</si>
  <si>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</si>
  <si>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Column 4 shows percentage of the Watertown Operations Center that was prorated to generation based on FTE associated with generation.</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</si>
  <si>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</si>
  <si>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</si>
  <si>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</si>
  <si>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</si>
  <si>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</si>
  <si>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</si>
  <si>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</si>
  <si>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</si>
  <si>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</si>
  <si>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</si>
  <si>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</si>
  <si>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</si>
  <si>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</si>
  <si>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</si>
  <si>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</si>
  <si>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</si>
  <si>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</si>
  <si>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</si>
  <si>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</si>
  <si>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</si>
  <si>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</si>
  <si>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</si>
  <si>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</si>
  <si>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</si>
  <si>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</si>
  <si>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</si>
  <si>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</si>
  <si>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</si>
  <si>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</si>
  <si>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MOBS10</t>
  </si>
  <si>
    <t>MOBILE SUB 115KV/41.8 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</si>
  <si>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</si>
  <si>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</si>
  <si>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</si>
  <si>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</si>
  <si>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</si>
  <si>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</si>
  <si>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</si>
  <si>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</si>
  <si>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</si>
  <si>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</si>
  <si>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</si>
  <si>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</si>
  <si>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</si>
  <si>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</si>
  <si>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</si>
  <si>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</si>
  <si>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</si>
  <si>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</si>
  <si>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</si>
  <si>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</si>
  <si>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</si>
  <si>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</si>
  <si>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</si>
  <si>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</si>
  <si>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</si>
  <si>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</si>
  <si>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</si>
  <si>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</si>
  <si>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</si>
  <si>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</si>
  <si>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</si>
  <si>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</si>
  <si>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</si>
  <si>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</si>
  <si>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</si>
  <si>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</si>
  <si>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</si>
  <si>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</si>
  <si>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</si>
  <si>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</si>
  <si>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BAO</t>
  </si>
  <si>
    <t>BILLINGS AREA OFFICE</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</si>
  <si>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</si>
  <si>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</si>
  <si>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</si>
  <si>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</si>
  <si>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</si>
  <si>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</si>
  <si>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</si>
  <si>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</si>
  <si>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</si>
  <si>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</si>
  <si>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</si>
  <si>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</si>
  <si>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</si>
  <si>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</si>
  <si>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</si>
  <si>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</si>
  <si>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</si>
  <si>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</si>
  <si>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</si>
  <si>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</si>
  <si>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</si>
  <si>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</si>
  <si>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</si>
  <si>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</si>
  <si>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</si>
  <si>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</si>
  <si>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</si>
  <si>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</si>
  <si>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</si>
  <si>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</si>
  <si>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</si>
  <si>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</si>
  <si>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</si>
  <si>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</si>
  <si>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</si>
  <si>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</si>
  <si>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</si>
  <si>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</si>
  <si>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</si>
  <si>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</si>
  <si>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</si>
  <si>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</si>
  <si>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</si>
  <si>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</si>
  <si>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CQR</t>
  </si>
  <si>
    <t>CULBERTSON REPEATER</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</si>
  <si>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</si>
  <si>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</si>
  <si>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</si>
  <si>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</si>
  <si>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</si>
  <si>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</si>
  <si>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</si>
  <si>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</si>
  <si>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</si>
  <si>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</si>
  <si>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</si>
  <si>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</si>
  <si>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</si>
  <si>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</si>
  <si>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</si>
  <si>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</si>
  <si>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</si>
  <si>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</si>
  <si>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</si>
  <si>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</si>
  <si>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</si>
  <si>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</si>
  <si>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</si>
  <si>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</si>
  <si>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</si>
  <si>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</si>
  <si>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</si>
  <si>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</si>
  <si>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</si>
  <si>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</si>
  <si>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</si>
  <si>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</si>
  <si>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</si>
  <si>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</si>
  <si>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</si>
  <si>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</si>
  <si>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</si>
  <si>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</si>
  <si>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FAC</t>
  </si>
  <si>
    <t>FARGO MICROWAVE</t>
  </si>
  <si>
    <t>FCS</t>
  </si>
  <si>
    <t>FERGUS FALLS COMMUNICATIONS SITE</t>
  </si>
  <si>
    <t>FLW</t>
  </si>
  <si>
    <t>FLOWING WELLS</t>
  </si>
  <si>
    <t>FBS</t>
  </si>
  <si>
    <t>FORBES COMMUNICATION SITE</t>
  </si>
  <si>
    <t>FTH</t>
  </si>
  <si>
    <t>FORSYTH</t>
  </si>
  <si>
    <t>FP1</t>
  </si>
  <si>
    <t>FORT PECK RELAY (WES)</t>
  </si>
  <si>
    <t>FPC</t>
  </si>
  <si>
    <t>FORT PECK COMMUNICATIONS BUILDING</t>
  </si>
  <si>
    <t>FPR</t>
  </si>
  <si>
    <t>FORT PECK REPEATER</t>
  </si>
  <si>
    <t>FPI</t>
  </si>
  <si>
    <t>FORT PIERRE POLE YARD</t>
  </si>
  <si>
    <t>FTR</t>
  </si>
  <si>
    <t>FORT THOMPSON REPEATER</t>
  </si>
  <si>
    <t>FTP</t>
  </si>
  <si>
    <t>FORT THOMPSON REPEATER (EAST RIVER)</t>
  </si>
  <si>
    <t>FCR</t>
  </si>
  <si>
    <t>FOX CREEK MICROWAVE</t>
  </si>
  <si>
    <t>FRY</t>
  </si>
  <si>
    <t>FRYBURG SUB &amp; MICROWAVE</t>
  </si>
  <si>
    <t>GA</t>
  </si>
  <si>
    <t>GARRISON</t>
  </si>
  <si>
    <t>GRR</t>
  </si>
  <si>
    <t>GARY REPEATER</t>
  </si>
  <si>
    <t>GAVIN'S POINT</t>
  </si>
  <si>
    <t>GPR</t>
  </si>
  <si>
    <t>GAVINS POINT REPEATER</t>
  </si>
  <si>
    <t>GET</t>
  </si>
  <si>
    <t>GETTYSBURG REPEATER</t>
  </si>
  <si>
    <t>GH</t>
  </si>
  <si>
    <t>GLENHAM</t>
  </si>
  <si>
    <t>GKM</t>
  </si>
  <si>
    <t>GRAND FORKS MINNKOTA (MPC)</t>
  </si>
  <si>
    <t>GWN</t>
  </si>
  <si>
    <t>GWINNER COMMUNICATIONS SITE</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</si>
  <si>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</si>
  <si>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</si>
  <si>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</si>
  <si>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</si>
  <si>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</si>
  <si>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</si>
  <si>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</si>
  <si>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</si>
  <si>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</si>
  <si>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</si>
  <si>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</si>
  <si>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</si>
  <si>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</si>
  <si>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</si>
  <si>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</si>
  <si>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</si>
  <si>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</si>
  <si>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</si>
  <si>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</si>
  <si>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</si>
  <si>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</si>
  <si>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</si>
  <si>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</si>
  <si>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</si>
  <si>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</si>
  <si>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</si>
  <si>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</si>
  <si>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</si>
  <si>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</si>
  <si>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</si>
  <si>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</si>
  <si>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</si>
  <si>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</si>
  <si>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</si>
  <si>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</si>
  <si>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</si>
  <si>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</si>
  <si>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</si>
  <si>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</si>
  <si>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</si>
  <si>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</si>
  <si>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</si>
  <si>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</si>
  <si>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</si>
  <si>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</si>
  <si>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</si>
  <si>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LCS</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</si>
  <si>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</si>
  <si>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</si>
  <si>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</si>
  <si>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</si>
  <si>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</si>
  <si>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</si>
  <si>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</si>
  <si>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</si>
  <si>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</si>
  <si>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</si>
  <si>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</si>
  <si>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</si>
  <si>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</si>
  <si>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</si>
  <si>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</si>
  <si>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</si>
  <si>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</si>
  <si>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</si>
  <si>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</si>
  <si>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</si>
  <si>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</si>
  <si>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</si>
  <si>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</si>
  <si>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</si>
  <si>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</si>
  <si>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</si>
  <si>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</si>
  <si>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</si>
  <si>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</si>
  <si>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</si>
  <si>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</si>
  <si>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</si>
  <si>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</si>
  <si>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</si>
  <si>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</si>
  <si>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</si>
  <si>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</si>
  <si>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</si>
  <si>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</si>
  <si>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</si>
  <si>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</si>
  <si>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</si>
  <si>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</si>
  <si>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PKT</t>
  </si>
  <si>
    <t>PICKERT MINNKOTA (MPC)</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</si>
  <si>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</si>
  <si>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</si>
  <si>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</si>
  <si>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</si>
  <si>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</si>
  <si>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</si>
  <si>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</si>
  <si>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</si>
  <si>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</si>
  <si>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</si>
  <si>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</si>
  <si>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</si>
  <si>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</si>
  <si>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</si>
  <si>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</si>
  <si>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</si>
  <si>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</si>
  <si>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</si>
  <si>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</si>
  <si>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</si>
  <si>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</si>
  <si>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</si>
  <si>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</si>
  <si>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</si>
  <si>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</si>
  <si>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</si>
  <si>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</si>
  <si>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</si>
  <si>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</si>
  <si>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</si>
  <si>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</si>
  <si>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</si>
  <si>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</si>
  <si>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</si>
  <si>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</si>
  <si>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</si>
  <si>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</si>
  <si>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</si>
  <si>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</si>
  <si>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</si>
  <si>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</si>
  <si>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</si>
  <si>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</si>
  <si>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</si>
  <si>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</si>
  <si>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</si>
  <si>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</si>
  <si>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</si>
  <si>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</si>
  <si>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</si>
  <si>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</si>
  <si>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</si>
  <si>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</si>
  <si>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</si>
  <si>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</si>
  <si>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</si>
  <si>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</si>
  <si>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</si>
  <si>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</si>
  <si>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</si>
  <si>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</si>
  <si>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</si>
  <si>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</si>
  <si>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</si>
  <si>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</si>
  <si>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</si>
  <si>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</si>
  <si>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</si>
  <si>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</si>
  <si>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</si>
  <si>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</si>
  <si>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</si>
  <si>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</si>
  <si>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</si>
  <si>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</si>
  <si>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</si>
  <si>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</si>
  <si>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</si>
  <si>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WRP</t>
  </si>
  <si>
    <t>WILLISTON REPEATER</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</si>
  <si>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</si>
  <si>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</si>
  <si>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</si>
  <si>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</si>
  <si>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</si>
  <si>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</si>
  <si>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</si>
  <si>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</si>
  <si>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</si>
  <si>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</si>
  <si>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</si>
  <si>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</si>
  <si>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</si>
  <si>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</si>
  <si>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</si>
  <si>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BUFORD TRENTON PUMP SUB</t>
  </si>
  <si>
    <t>FN</t>
  </si>
  <si>
    <t>FALLON PUMPING PLANT SUB</t>
  </si>
  <si>
    <t>FE</t>
  </si>
  <si>
    <t>FALLON RELIFT PUMPING PLANT</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</si>
  <si>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</si>
  <si>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</si>
  <si>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</si>
  <si>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</si>
  <si>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</si>
  <si>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</si>
  <si>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</si>
  <si>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</si>
  <si>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</si>
  <si>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</si>
  <si>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</si>
  <si>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</si>
  <si>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</si>
  <si>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</si>
  <si>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</si>
  <si>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t>
  </si>
  <si>
    <t>SY</t>
  </si>
  <si>
    <t>SHIRLEY PUMP SUBSTATION</t>
  </si>
  <si>
    <t>SK</t>
  </si>
  <si>
    <t>SNAKE CREEK PUMP SUBSTATION</t>
  </si>
  <si>
    <t>TERRY PUMPING PLANT SWITCH</t>
  </si>
  <si>
    <t>TI</t>
  </si>
  <si>
    <t>TIBER DAM SUBSTATION</t>
  </si>
  <si>
    <t>VA</t>
  </si>
  <si>
    <t>WIOTA SUBSTATION</t>
  </si>
  <si>
    <t>DIST Total</t>
  </si>
  <si>
    <t>DISTRIBUTION FACILITIES</t>
  </si>
  <si>
    <t>RMR</t>
  </si>
  <si>
    <t>NU SG J</t>
  </si>
  <si>
    <t>NEW UNDERWOOD-STEGALL</t>
  </si>
  <si>
    <t>SG</t>
  </si>
  <si>
    <t>STEGALL SUBSTATION</t>
  </si>
  <si>
    <t>SG WS</t>
  </si>
  <si>
    <t>STEGALL-WAYSIDE</t>
  </si>
  <si>
    <t xml:space="preserve">YT PY </t>
  </si>
  <si>
    <t>YELLOWTAIL SWITCHYARD-YELLOWTAIL (PPL)</t>
  </si>
  <si>
    <t xml:space="preserve">PY </t>
  </si>
  <si>
    <t>YELLOWTAIL (PPL)</t>
  </si>
  <si>
    <t xml:space="preserve">YT P </t>
  </si>
  <si>
    <t>YELLOWTAIL SWITCHYARD</t>
  </si>
  <si>
    <t>YT</t>
  </si>
  <si>
    <t>YELLOWTAIL SWITCHYARD (YT)</t>
  </si>
  <si>
    <t>RMR Total</t>
  </si>
  <si>
    <t>ROCKY MOUNTAIN REGION FACILITIES</t>
  </si>
  <si>
    <t>FORT PECK</t>
  </si>
  <si>
    <t>GAVINS POINT</t>
  </si>
  <si>
    <t>COE Total</t>
  </si>
  <si>
    <t>CORPS OF ENGINEERS FACILITIES</t>
  </si>
  <si>
    <t>Grand Total</t>
  </si>
  <si>
    <t>TOTAL FACILITIES</t>
  </si>
  <si>
    <t>SUBTOTAL WESTERN-UGP ONLY</t>
  </si>
  <si>
    <t>1/ Plant balance does not include customer liability for network upgrades.  Investment is only brought into plant balance as WAPA incurs expense (e.g. if transmission credits are provided to customer)</t>
  </si>
  <si>
    <t>2/ Plant balance does not include facilities included in Zonal and Regional Worksheet, WS7-BPUFac</t>
  </si>
  <si>
    <t>Worksheet 9 - WAPA-UGP Facilities Included per SPP Tariff Attachment AI*</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</si>
  <si>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</si>
  <si>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</si>
  <si>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</si>
  <si>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</si>
  <si>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</si>
  <si>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</si>
  <si>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</si>
  <si>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</si>
  <si>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</si>
  <si>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</si>
  <si>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</si>
  <si>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</si>
  <si>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</si>
  <si>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</si>
  <si>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</si>
  <si>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</si>
  <si>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</si>
  <si>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</si>
  <si>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</si>
  <si>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</si>
  <si>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</si>
  <si>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</si>
  <si>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</si>
  <si>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</si>
  <si>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</si>
  <si>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</si>
  <si>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</si>
  <si>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</si>
  <si>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</si>
  <si>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</si>
  <si>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</si>
  <si>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</si>
  <si>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</si>
  <si>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</si>
  <si>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</si>
  <si>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</si>
  <si>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</si>
  <si>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</si>
  <si>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</si>
  <si>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</si>
  <si>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</si>
  <si>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</si>
  <si>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</si>
  <si>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</si>
  <si>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</si>
  <si>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</si>
  <si>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</si>
  <si>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</si>
  <si>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</si>
  <si>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</si>
  <si>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</si>
  <si>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</si>
  <si>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</si>
  <si>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482, 582, 682, 782, 882, 986, 9182, 9282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</si>
  <si>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</si>
  <si>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</si>
  <si>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</si>
  <si>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</si>
  <si>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</si>
  <si>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</si>
  <si>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</si>
  <si>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W</t>
  </si>
  <si>
    <t xml:space="preserve">station service KW21A, switch 2123 </t>
  </si>
  <si>
    <t>230/69-kV transformer KV1A</t>
  </si>
  <si>
    <t>69-kV switches 1351, 1355</t>
  </si>
  <si>
    <t>69-kV breaker 1152 and assoc. switches</t>
  </si>
  <si>
    <t>Sun River Electric Cooperative and NorthWestern MT</t>
  </si>
  <si>
    <t>Bonesteel</t>
  </si>
  <si>
    <t>115-kV breakers 664, 764 and assoc. switches</t>
  </si>
  <si>
    <t>capacitors PY6A, PY7A</t>
  </si>
  <si>
    <t>115-kV switches 46x, 26x</t>
  </si>
  <si>
    <t>station service KW1A, switch 1521</t>
  </si>
  <si>
    <t>Brookings</t>
  </si>
  <si>
    <t>115-kV breakers 1362, 1462, 1666, 1862, 1962 and assoc. switches</t>
  </si>
  <si>
    <t>capacitors PY11A and PY20A, breakers 1164, 2064</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</si>
  <si>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</si>
  <si>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</si>
  <si>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</si>
  <si>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</si>
  <si>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</si>
  <si>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Campbell County</t>
  </si>
  <si>
    <t>230-kV breakers 182, 282, 382 and assoc. switches</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</si>
  <si>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</si>
  <si>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</si>
  <si>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</si>
  <si>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</si>
  <si>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</si>
  <si>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</si>
  <si>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</si>
  <si>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</si>
  <si>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</si>
  <si>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</si>
  <si>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</si>
  <si>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</si>
  <si>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</si>
  <si>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</si>
  <si>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Charlie Creek</t>
  </si>
  <si>
    <t>345-kV breakers 4096, 4192 and assoc switches</t>
  </si>
  <si>
    <t xml:space="preserve">CR </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</si>
  <si>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</si>
  <si>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</si>
  <si>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</si>
  <si>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</si>
  <si>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</si>
  <si>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</si>
  <si>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</si>
  <si>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</si>
  <si>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</si>
  <si>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</si>
  <si>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</si>
  <si>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</si>
  <si>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</si>
  <si>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</si>
  <si>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</si>
  <si>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</si>
  <si>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</si>
  <si>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</si>
  <si>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</si>
  <si>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</si>
  <si>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</si>
  <si>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</si>
  <si>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</si>
  <si>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</si>
  <si>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</si>
  <si>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</si>
  <si>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</si>
  <si>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</si>
  <si>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</si>
  <si>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</si>
  <si>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</si>
  <si>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</si>
  <si>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</si>
  <si>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</si>
  <si>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</si>
  <si>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</si>
  <si>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</si>
  <si>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</si>
  <si>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</si>
  <si>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</si>
  <si>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</si>
  <si>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</si>
  <si>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</si>
  <si>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</si>
  <si>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</si>
  <si>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</si>
  <si>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</si>
  <si>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</si>
  <si>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</si>
  <si>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</si>
  <si>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</si>
  <si>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</si>
  <si>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</si>
  <si>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</si>
  <si>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</si>
  <si>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</si>
  <si>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</si>
  <si>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</si>
  <si>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</si>
  <si>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</si>
  <si>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</si>
  <si>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</si>
  <si>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</si>
  <si>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</si>
  <si>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</si>
  <si>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</si>
  <si>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</si>
  <si>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</si>
  <si>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</si>
  <si>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</si>
  <si>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</si>
  <si>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</si>
  <si>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</si>
  <si>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</si>
  <si>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</si>
  <si>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</si>
  <si>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</si>
  <si>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</si>
  <si>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</si>
  <si>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</si>
  <si>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</si>
  <si>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</si>
  <si>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</si>
  <si>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</si>
  <si>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</si>
  <si>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</si>
  <si>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</si>
  <si>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</si>
  <si>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</si>
  <si>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</si>
  <si>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</si>
  <si>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</si>
  <si>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</si>
  <si>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</si>
  <si>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</si>
  <si>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</si>
  <si>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</si>
  <si>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</si>
  <si>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</si>
  <si>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</si>
  <si>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</si>
  <si>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</si>
  <si>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</si>
  <si>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</si>
  <si>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</si>
  <si>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</si>
  <si>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</si>
  <si>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452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</si>
  <si>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</si>
  <si>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</si>
  <si>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</si>
  <si>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</si>
  <si>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</si>
  <si>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</si>
  <si>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</si>
  <si>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</si>
  <si>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</si>
  <si>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</si>
  <si>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</si>
  <si>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</si>
  <si>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</si>
  <si>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</si>
  <si>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</si>
  <si>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</si>
  <si>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</si>
  <si>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</si>
  <si>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</si>
  <si>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</si>
  <si>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</si>
  <si>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</si>
  <si>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</si>
  <si>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</si>
  <si>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</si>
  <si>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</si>
  <si>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</si>
  <si>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</si>
  <si>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</si>
  <si>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</si>
  <si>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</si>
  <si>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</si>
  <si>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</si>
  <si>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</si>
  <si>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</si>
  <si>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</si>
  <si>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</si>
  <si>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</si>
  <si>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Grande Prairie</t>
  </si>
  <si>
    <t>345-kV breakers 196, 292, 396, 298, 198 and assoc. switches</t>
  </si>
  <si>
    <t>reactors KU1A and KU2A</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</si>
  <si>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</si>
  <si>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</si>
  <si>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</si>
  <si>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</si>
  <si>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</si>
  <si>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</si>
  <si>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</si>
  <si>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</si>
  <si>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</si>
  <si>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</si>
  <si>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</si>
  <si>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</si>
  <si>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</si>
  <si>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</si>
  <si>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</si>
  <si>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</si>
  <si>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</si>
  <si>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</si>
  <si>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</si>
  <si>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Groton</t>
  </si>
  <si>
    <t>station service KW1A and switch 521</t>
  </si>
  <si>
    <t>115-kV  breakers 262, 362, 462, 562, 862, 966 and assoc. switches / switches 16x</t>
  </si>
  <si>
    <t>862 due to Groton Synch Condensor</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</si>
  <si>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</si>
  <si>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</si>
  <si>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</si>
  <si>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</si>
  <si>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</si>
  <si>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</si>
  <si>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69-kV breakers 1152 and 1352 and assoc. switches</t>
  </si>
  <si>
    <t>East River 2 customers</t>
  </si>
  <si>
    <t>Groton South</t>
  </si>
  <si>
    <t>115-kV breakers 1162, 1262, 1266, 1362, 1462, 1466, 1562, 1662, 1666, 2062, 2066 and assoc. switches</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</si>
  <si>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</si>
  <si>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</si>
  <si>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</si>
  <si>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</si>
  <si>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</si>
  <si>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</si>
  <si>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</si>
  <si>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</si>
  <si>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Hebron</t>
  </si>
  <si>
    <t>230-kV breakers 586, 682, 882, 986 and assoc switches</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</si>
  <si>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</si>
  <si>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</si>
  <si>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</si>
  <si>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</si>
  <si>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</si>
  <si>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</si>
  <si>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</si>
  <si>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1962 and assoc. switches, switches 126x, 1761</t>
  </si>
  <si>
    <t>JT</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</si>
  <si>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</si>
  <si>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</si>
  <si>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</si>
  <si>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</si>
  <si>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</si>
  <si>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</si>
  <si>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</si>
  <si>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</si>
  <si>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</si>
  <si>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</si>
  <si>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</si>
  <si>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</si>
  <si>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</si>
  <si>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</si>
  <si>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</si>
  <si>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</si>
  <si>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</si>
  <si>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</si>
  <si>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</si>
  <si>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</si>
  <si>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</si>
  <si>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</si>
  <si>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</si>
  <si>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</si>
  <si>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</si>
  <si>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</si>
  <si>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</si>
  <si>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</si>
  <si>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</si>
  <si>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</si>
  <si>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</si>
  <si>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breakers 262, 362, 462, 662 and assoc. switches</t>
  </si>
  <si>
    <t>station service KW1A and switch 2021</t>
  </si>
  <si>
    <t>Maurine</t>
  </si>
  <si>
    <t>230-kV breakers 182, 282, 582 and assoc. switches</t>
  </si>
  <si>
    <t>115-kV breakers 1362, 1462, 1562, 1662,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</si>
  <si>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</si>
  <si>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</si>
  <si>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</si>
  <si>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</si>
  <si>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</si>
  <si>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</si>
  <si>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</si>
  <si>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</si>
  <si>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</si>
  <si>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</si>
  <si>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</si>
  <si>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</si>
  <si>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</si>
  <si>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</si>
  <si>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</si>
  <si>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</si>
  <si>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</si>
  <si>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</si>
  <si>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Mingusville</t>
  </si>
  <si>
    <t>230-kV breakers 182, 282, 382 and assoc. switches, and line disconnects</t>
  </si>
  <si>
    <t>station service transformer KV10A and station service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</si>
  <si>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</si>
  <si>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</si>
  <si>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</si>
  <si>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</si>
  <si>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</si>
  <si>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</si>
  <si>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</si>
  <si>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</si>
  <si>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</si>
  <si>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</si>
  <si>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</si>
  <si>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</si>
  <si>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</si>
  <si>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</si>
  <si>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</si>
  <si>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</si>
  <si>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</si>
  <si>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</si>
  <si>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</si>
  <si>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</si>
  <si>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</si>
  <si>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</si>
  <si>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</si>
  <si>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1162, 1262, 1362 and assoc switches</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</si>
  <si>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</si>
  <si>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</si>
  <si>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</si>
  <si>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</si>
  <si>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</si>
  <si>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</si>
  <si>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</si>
  <si>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</si>
  <si>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</si>
  <si>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</si>
  <si>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</si>
  <si>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</si>
  <si>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</si>
  <si>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</si>
  <si>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</si>
  <si>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</si>
  <si>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</si>
  <si>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</si>
  <si>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</si>
  <si>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</si>
  <si>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</si>
  <si>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</si>
  <si>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</si>
  <si>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</si>
  <si>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</si>
  <si>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Roberts County</t>
  </si>
  <si>
    <t>115-kV breakers 2162, 2262, 2362 and assoc. switches</t>
  </si>
  <si>
    <t>69-kV breakers 5152, 5252, 5456, 5652 and assoc. switches</t>
  </si>
  <si>
    <t>station service KY21A</t>
  </si>
  <si>
    <t>Rolla</t>
  </si>
  <si>
    <t>115-kV breaker 1162 and assoc switches</t>
  </si>
  <si>
    <t>Rudyard</t>
  </si>
  <si>
    <t>115-kV switches 260, 261, 160, 161</t>
  </si>
  <si>
    <t>station service KW1A, switches 521, 523</t>
  </si>
  <si>
    <t>Rugby</t>
  </si>
  <si>
    <t>115-kV breakers 1262, 1362, 1462, 1566, 1662, 1762, 1864, 1966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</si>
  <si>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</si>
  <si>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</si>
  <si>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</si>
  <si>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</si>
  <si>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</si>
  <si>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</si>
  <si>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</si>
  <si>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</si>
  <si>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</si>
  <si>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</si>
  <si>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</si>
  <si>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</si>
  <si>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</si>
  <si>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</si>
  <si>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</si>
  <si>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</si>
  <si>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</si>
  <si>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</si>
  <si>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</si>
  <si>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</si>
  <si>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</si>
  <si>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</si>
  <si>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</si>
  <si>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</si>
  <si>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</si>
  <si>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</si>
  <si>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</si>
  <si>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</si>
  <si>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</si>
  <si>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rPr>
      <t xml:space="preserve">, 762, </t>
    </r>
    <r>
      <rPr>
        <sz val="11"/>
        <color theme="1"/>
        <rFont val="Calibri"/>
        <family val="2"/>
        <scheme val="minor"/>
      </rPr>
      <t>966, 7162 and assoc switches</t>
    </r>
  </si>
  <si>
    <t>Spencer</t>
  </si>
  <si>
    <t>161-kV breakers 162,462,562, 662 and assoc switches</t>
  </si>
  <si>
    <t>Reactor PY6A</t>
  </si>
  <si>
    <t>161/69-kV transformer KY1A</t>
  </si>
  <si>
    <t>69-kV breakers 1142, 1242, 1342, 1442, 1542 and assoc switches</t>
  </si>
  <si>
    <t>to NIPCO and Wisdom Sub</t>
  </si>
  <si>
    <t>station service KW10A and assoc switches</t>
  </si>
  <si>
    <t>Stegall</t>
  </si>
  <si>
    <t>230 kV main and transfer bus, breaker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</si>
  <si>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</si>
  <si>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</si>
  <si>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</si>
  <si>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</si>
  <si>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</si>
  <si>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</si>
  <si>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</si>
  <si>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</si>
  <si>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</si>
  <si>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</si>
  <si>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Towner</t>
  </si>
  <si>
    <t>115-kV breakers 2166, 2262, 2362 and assoc switches</t>
  </si>
  <si>
    <t>station service KY1A1</t>
  </si>
  <si>
    <t>Tyndall</t>
  </si>
  <si>
    <t>115-kV switches 16x, 26x, 361</t>
  </si>
  <si>
    <t>Station Service KZ1A and switches 351 and 751</t>
  </si>
  <si>
    <t>Utica Junction</t>
  </si>
  <si>
    <t>230-kV breakers 282, 286, 382, 482, 486, 582, 682,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</si>
  <si>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</si>
  <si>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</si>
  <si>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</si>
  <si>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</si>
  <si>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</si>
  <si>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</si>
  <si>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</si>
  <si>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</si>
  <si>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</si>
  <si>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VT Hanlon</t>
  </si>
  <si>
    <t>230-kV breakers 382, 482, 582, 682, 686 and assoc switches</t>
  </si>
  <si>
    <t>Reactor KW70A and breaker 7024</t>
  </si>
  <si>
    <t>69-kV breaker 5053 and assoc switch</t>
  </si>
  <si>
    <t>station service KW60A, KW24A, breaker 7423 and assoc switches</t>
  </si>
  <si>
    <t>Wall</t>
  </si>
  <si>
    <t>115-kV switches 16x, 26x, 36x, 461</t>
  </si>
  <si>
    <t>station service KW1B, switch 821</t>
  </si>
  <si>
    <t>Wanblee Tap</t>
  </si>
  <si>
    <t>115-kV interrupters 162 and 262 and assoc. switches</t>
  </si>
  <si>
    <t>Zero costs, customer funded</t>
  </si>
  <si>
    <t>Ward</t>
  </si>
  <si>
    <t>230-kV breakers 182, 282, 286 and assoc switches</t>
  </si>
  <si>
    <t>new 230-kV breaker in ring bus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</si>
  <si>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</si>
  <si>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</si>
  <si>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</si>
  <si>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</si>
  <si>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</si>
  <si>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</si>
  <si>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</si>
  <si>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</si>
  <si>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</si>
  <si>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</si>
  <si>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</si>
  <si>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</si>
  <si>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</si>
  <si>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</si>
  <si>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</si>
  <si>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</si>
  <si>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</si>
  <si>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</si>
  <si>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</si>
  <si>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</si>
  <si>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</si>
  <si>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</si>
  <si>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982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</si>
  <si>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</si>
  <si>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</si>
  <si>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</si>
  <si>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</si>
  <si>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</si>
  <si>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</si>
  <si>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</si>
  <si>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</si>
  <si>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</si>
  <si>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</si>
  <si>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</si>
  <si>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</si>
  <si>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</si>
  <si>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</si>
  <si>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</si>
  <si>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</si>
  <si>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</si>
  <si>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</si>
  <si>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</si>
  <si>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</si>
  <si>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</si>
  <si>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</si>
  <si>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</si>
  <si>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</si>
  <si>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</si>
  <si>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</si>
  <si>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</si>
  <si>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2266, 2362, 2466, 2562, 2662, 2666 and assoc switches</t>
  </si>
  <si>
    <t>Reactors KW1C and KW2C, breakers 1224 and 2224 and switches 1223 and 2223</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</si>
  <si>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</si>
  <si>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</si>
  <si>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</si>
  <si>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</si>
  <si>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</si>
  <si>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</si>
  <si>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</si>
  <si>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</si>
  <si>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</si>
  <si>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</si>
  <si>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</si>
  <si>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</si>
  <si>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EAST HELENA A</t>
  </si>
  <si>
    <t>CHARLIE CREEK - BEULAH</t>
  </si>
  <si>
    <t>230-kV</t>
  </si>
  <si>
    <t>FORT PECK-DAWSON #1</t>
  </si>
  <si>
    <t>FORT PECK-DAWSON #2</t>
  </si>
  <si>
    <t>161-kV</t>
  </si>
  <si>
    <t>69-kV</t>
  </si>
  <si>
    <t>HAVRE-VERONA</t>
  </si>
  <si>
    <t>115-kV</t>
  </si>
  <si>
    <t>VERONA GREAT FALLS</t>
  </si>
  <si>
    <t>YELLOWTAIL-YELLOWTAIL (PACE)</t>
  </si>
  <si>
    <t>230-kV, 110 MW Capacity Rights on RMR Line</t>
  </si>
  <si>
    <t>Taps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</si>
  <si>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</si>
  <si>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</si>
  <si>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</si>
  <si>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</si>
  <si>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</si>
  <si>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</si>
  <si>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</si>
  <si>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</si>
  <si>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</si>
  <si>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</si>
  <si>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</si>
  <si>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</si>
  <si>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</si>
  <si>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</si>
  <si>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</si>
  <si>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</si>
  <si>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</si>
  <si>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</si>
  <si>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</si>
  <si>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</si>
  <si>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SCADA</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</si>
  <si>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</si>
  <si>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</si>
  <si>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</si>
  <si>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</si>
  <si>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</si>
  <si>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</si>
  <si>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</si>
  <si>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</si>
  <si>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</si>
  <si>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</si>
  <si>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</si>
  <si>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</si>
  <si>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</si>
  <si>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</si>
  <si>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</si>
  <si>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</si>
  <si>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</si>
  <si>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</si>
  <si>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</si>
  <si>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</si>
  <si>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</si>
  <si>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</si>
  <si>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</si>
  <si>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</si>
  <si>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</si>
  <si>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</si>
  <si>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</si>
  <si>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</si>
  <si>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</si>
  <si>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</si>
  <si>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230-kV breakers 182, 282, 9182 and assoc switches</t>
  </si>
  <si>
    <t>Corps Switchyard Facilities</t>
  </si>
  <si>
    <t>Big Bend</t>
  </si>
  <si>
    <t>230-kV interrupters 1083, 7089, 4083 and assoc. switches</t>
  </si>
  <si>
    <t>Fort Peck</t>
  </si>
  <si>
    <t>69-kV breaker 1142 and assoc. switches</t>
  </si>
  <si>
    <t>161-kV breaker 762</t>
  </si>
  <si>
    <t>115-kV breakers 772, 776, 1572, 1576, 1672, 1676 and assoc switches</t>
  </si>
  <si>
    <t>230-kV breaker 1382 and associated switches</t>
  </si>
  <si>
    <t>230/115-kV transformer</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</si>
  <si>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</si>
  <si>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</si>
  <si>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</si>
  <si>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</si>
  <si>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Garrison</t>
  </si>
  <si>
    <t>115-kV breakers 2062, 2066, 2162, 2166, 2262, 2266, 2362, 2366, 2462, 2466, 2562, 2566, 2662, 2666, 2769 and assoc switches</t>
  </si>
  <si>
    <t>230-kV breakers 3389, 3482, 3486, 3682, 3686, 3782, 3786, 3882, 3886, 3982, 3986, 4082, 4086, 4182, 4186 and assoc switches, switches 33xx</t>
  </si>
  <si>
    <t>Gavins Point</t>
  </si>
  <si>
    <t>115-kV breakers 462, 562, 662, 762, 862 and assoc switches</t>
  </si>
  <si>
    <t>Oahe</t>
  </si>
  <si>
    <t>230-kV breakers 2182, 2282, 2286, 2382, 2482, 2486, 2582, 2682, 2782, 2982, 3082 and assoc switches</t>
  </si>
  <si>
    <t>115-kV breakers 1062, 1262, 1362, 1386, 1462, 1562, 1566 and assoc switches</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</si>
  <si>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</si>
  <si>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</si>
  <si>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</si>
  <si>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</si>
  <si>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</si>
  <si>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</si>
  <si>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</si>
  <si>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</si>
  <si>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</si>
  <si>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Group in FERC docket ER15-1775-000.</t>
  </si>
  <si>
    <t>Worksheet 10 - WAPA-UGP Facilities Excluded under SPP Tariff Attachment AI*</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</si>
  <si>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</si>
  <si>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</si>
  <si>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</si>
  <si>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</si>
  <si>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</si>
  <si>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</si>
  <si>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</si>
  <si>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BE</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</si>
  <si>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</si>
  <si>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</si>
  <si>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</si>
  <si>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</si>
  <si>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</si>
  <si>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</si>
  <si>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</si>
  <si>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</si>
  <si>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</si>
  <si>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</si>
  <si>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</si>
  <si>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</si>
  <si>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</si>
  <si>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</si>
  <si>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BO</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</si>
  <si>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</si>
  <si>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</si>
  <si>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</si>
  <si>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</si>
  <si>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</si>
  <si>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</si>
  <si>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</si>
  <si>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</si>
  <si>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</si>
  <si>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</si>
  <si>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</si>
  <si>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</si>
  <si>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</si>
  <si>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</si>
  <si>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</si>
  <si>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</si>
  <si>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</si>
  <si>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</si>
  <si>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</si>
  <si>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</si>
  <si>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</si>
  <si>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</si>
  <si>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</si>
  <si>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</si>
  <si>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</si>
  <si>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</si>
  <si>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</si>
  <si>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</si>
  <si>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</si>
  <si>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</si>
  <si>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</si>
  <si>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</si>
  <si>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</si>
  <si>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</si>
  <si>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</si>
  <si>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</si>
  <si>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</si>
  <si>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</si>
  <si>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</si>
  <si>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</si>
  <si>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</si>
  <si>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</si>
  <si>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</si>
  <si>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</si>
  <si>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</si>
  <si>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</si>
  <si>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</si>
  <si>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</si>
  <si>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</si>
  <si>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</si>
  <si>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</si>
  <si>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</si>
  <si>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</si>
  <si>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</si>
  <si>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</si>
  <si>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</si>
  <si>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</si>
  <si>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</si>
  <si>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</si>
  <si>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</si>
  <si>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</si>
  <si>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</si>
  <si>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</si>
  <si>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</si>
  <si>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</si>
  <si>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</si>
  <si>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</si>
  <si>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</si>
  <si>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</si>
  <si>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</si>
  <si>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</si>
  <si>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</si>
  <si>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</si>
  <si>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breakers 2862, 3262 and assoc. switches</t>
  </si>
  <si>
    <t>115-kV Disconnect Switch 463</t>
  </si>
  <si>
    <t>12.47-kV breaker 422 and asswoc. Switches</t>
  </si>
  <si>
    <t>12.5-kV breaker 822 and assoc. switches</t>
  </si>
  <si>
    <t>Hill County</t>
  </si>
  <si>
    <t>230-kV switches 989 and 589</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</si>
  <si>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</si>
  <si>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</si>
  <si>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</si>
  <si>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</si>
  <si>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</si>
  <si>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</si>
  <si>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</si>
  <si>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</si>
  <si>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</si>
  <si>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</si>
  <si>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</si>
  <si>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</si>
  <si>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</si>
  <si>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</si>
  <si>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</si>
  <si>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</si>
  <si>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</si>
  <si>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</si>
  <si>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115/69-kV transformer KY1A, switches 362, 363</t>
  </si>
  <si>
    <t>69/12.5-kV transformer KZ3A and switch 645</t>
  </si>
  <si>
    <t>12.5-kV breaker 624 and assoc. switches</t>
  </si>
  <si>
    <t>115/34.5-kV tranformer KY1A and interrupter 962</t>
  </si>
  <si>
    <t>34.5-kV breaker 1242 and assoc. switches</t>
  </si>
  <si>
    <t>LaCreek</t>
  </si>
  <si>
    <t>115/69-kV transformer KY1A and switches 1263, 1265</t>
  </si>
  <si>
    <t>115-kV breaker 1762</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</si>
  <si>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</si>
  <si>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</si>
  <si>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</si>
  <si>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</si>
  <si>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</si>
  <si>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</si>
  <si>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</si>
  <si>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</si>
  <si>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</si>
  <si>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</si>
  <si>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</si>
  <si>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</si>
  <si>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</si>
  <si>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</si>
  <si>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</si>
  <si>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</si>
  <si>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</si>
  <si>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</si>
  <si>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</si>
  <si>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</si>
  <si>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</si>
  <si>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</si>
  <si>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</si>
  <si>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</si>
  <si>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</si>
  <si>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</si>
  <si>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</si>
  <si>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</si>
  <si>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</si>
  <si>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breaker 1162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</si>
  <si>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</si>
  <si>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</si>
  <si>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</si>
  <si>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</si>
  <si>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</si>
  <si>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</si>
  <si>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</si>
  <si>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</si>
  <si>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</si>
  <si>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</si>
  <si>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</si>
  <si>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</si>
  <si>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</si>
  <si>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</si>
  <si>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</si>
  <si>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</si>
  <si>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</si>
  <si>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</si>
  <si>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</si>
  <si>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</si>
  <si>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</si>
  <si>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</si>
  <si>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</si>
  <si>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</si>
  <si>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</si>
  <si>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</si>
  <si>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</si>
  <si>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</si>
  <si>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</si>
  <si>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</si>
  <si>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</si>
  <si>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</si>
  <si>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</si>
  <si>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</si>
  <si>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</si>
  <si>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</si>
  <si>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</si>
  <si>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</si>
  <si>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</si>
  <si>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</si>
  <si>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</si>
  <si>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</si>
  <si>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</si>
  <si>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</si>
  <si>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</si>
  <si>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</si>
  <si>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</si>
  <si>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</si>
  <si>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</si>
  <si>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</si>
  <si>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</si>
  <si>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230-kV interrupters 1081, 2081, 3081, 4081 and assoc switches</t>
  </si>
  <si>
    <t>230-kV interrupters 481, 581 and assoc switches</t>
  </si>
  <si>
    <t>115-kV switches 861, 961</t>
  </si>
  <si>
    <t>115-kV switch 960</t>
  </si>
  <si>
    <t>230-kV switches 1180, 1280, 1380</t>
  </si>
  <si>
    <t>230-kV breakers 182, 282, 382 and assoc switches</t>
  </si>
  <si>
    <t>115-kV breakers 462, 561, 1762 and assoc switches</t>
  </si>
  <si>
    <t>13.8-kV breaker 2722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</si>
  <si>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</si>
  <si>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</si>
  <si>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</si>
  <si>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t>Worksheet 11 - Facility Changes</t>
  </si>
  <si>
    <t>Roberts County 115kV Substation, 71926</t>
  </si>
  <si>
    <t xml:space="preserve">New 115-kV substation added due to 2017 ITP.  NTC ID 200452.  </t>
  </si>
  <si>
    <t>Roberts County 115/69kV Transformer, 71927</t>
  </si>
  <si>
    <t>Roberts County 115/69 kV transformer and 69-kV yard added due to 2017 ITP.  NTC ID 200452.</t>
  </si>
  <si>
    <t>Williston 115kV Terminal Upgrades, 61856</t>
  </si>
  <si>
    <t>115kV terminal upgrades due to 2017 ITP. NTC 200476.</t>
  </si>
  <si>
    <t>Wind GIA drove conversion of the 230-kV from a ring bus to a break and half.  Customer Funded.  230-kV breakers 182, 282, 286, 271, 482, 486, 582, 682, 686, 782, 882, 886 and assoc switches.</t>
  </si>
  <si>
    <t>Customer funded 230kV Breaker 982 and Switches 983, 981 in Ring Bus</t>
  </si>
  <si>
    <t>Lake Helena Switchyard-Canyon Ferry 100kV</t>
  </si>
  <si>
    <t>Customer funded.  Linework to reterminate two 100kV circuits into NWMT's Lake Helena switchyard (known as Canyon Ferry-East Helena "A". CF EH A)</t>
  </si>
  <si>
    <t>Worksheet 12 - Scheduling, System Control, and Dispatch Service</t>
  </si>
  <si>
    <t>Not Applicable</t>
  </si>
  <si>
    <t>No General Plant identified at this time, all plant is identified as either generation or transmission related</t>
  </si>
  <si>
    <t>WS4-CostData (C6 L61)</t>
  </si>
  <si>
    <t>WS4-CostData (C2 L21)</t>
  </si>
  <si>
    <t>L7*L8</t>
  </si>
  <si>
    <t>L1+L2+L3+L9</t>
  </si>
  <si>
    <t>SSCD Revenue from non-Transmission Facilities</t>
  </si>
  <si>
    <t>L11*L15</t>
  </si>
  <si>
    <t>Revenue Requirement for SSCD for Transmission Facilities</t>
  </si>
  <si>
    <t>L11-L12</t>
  </si>
  <si>
    <t>Ratio for Line 12</t>
  </si>
  <si>
    <t>WS8-TranFac (L512 C2/C5)</t>
  </si>
  <si>
    <t>Worksheet 13 - SSCD Facilities</t>
  </si>
  <si>
    <t>2020 SPP TRUE UP SUMMARY</t>
  </si>
  <si>
    <t>WATERTOWN OPERATIONS CENTER</t>
  </si>
  <si>
    <t xml:space="preserve">WATERTOWN OPERATIONS CENTER (BFPS) </t>
  </si>
  <si>
    <t xml:space="preserve">2020 SPP  DETAIL: </t>
  </si>
  <si>
    <t>SSCD %</t>
  </si>
  <si>
    <t>SSCD TOTAL ($)</t>
  </si>
  <si>
    <t>TRANS %</t>
  </si>
  <si>
    <t>TRANS TOTAL ($)</t>
  </si>
  <si>
    <t xml:space="preserve">WAO </t>
  </si>
  <si>
    <t>IDC</t>
  </si>
  <si>
    <t>LAND &amp; RIGHTS</t>
  </si>
  <si>
    <t>LAND &amp; LAND RIGHTS</t>
  </si>
  <si>
    <t>LAND AT KCR</t>
  </si>
  <si>
    <t>MICROWAVE TOWER</t>
  </si>
  <si>
    <t>ANTENNA TOWER</t>
  </si>
  <si>
    <t>PLANT NOT CLASSIFIED</t>
  </si>
  <si>
    <t>ANTENNA</t>
  </si>
  <si>
    <t>MICROWAVE SYSTEM</t>
  </si>
  <si>
    <t>SCADA COMMUNICATION EQUIPMENT</t>
  </si>
  <si>
    <t>SEQUENTIAL EVENT RECORDING SYSTEM</t>
  </si>
  <si>
    <t>INTEREST DURING CONSTRUCTION</t>
  </si>
  <si>
    <t>FIXED RADIO COMM EQUIPMENT</t>
  </si>
  <si>
    <t>BUILDINGS</t>
  </si>
  <si>
    <t>SERVICE BUILDINGS</t>
  </si>
  <si>
    <t>ROOFING</t>
  </si>
  <si>
    <t>OTHER STRUCTURES AND IMPROVEMENTS</t>
  </si>
  <si>
    <t>HEATING</t>
  </si>
  <si>
    <t>STATION EQUIPMENT</t>
  </si>
  <si>
    <t>AUXILIARY POWER SYSTEM</t>
  </si>
  <si>
    <t>REMOTE TERMINAL UNIT</t>
  </si>
  <si>
    <t>UNITERRUPTABLE POWER SUPPLY</t>
  </si>
  <si>
    <t>MICROWAVE COMMUNICATION EQUIPMENT</t>
  </si>
  <si>
    <t>BATTERY</t>
  </si>
  <si>
    <t>BATTERY CHARGER</t>
  </si>
  <si>
    <t>TELEPHONE COMMUNICATION EQUIPMENT</t>
  </si>
  <si>
    <t>PLANT COMM SYSTEM</t>
  </si>
  <si>
    <t>FIBER OPTIC EQUIPMENT</t>
  </si>
  <si>
    <t>FIBER OPTICS EQUIPMENT</t>
  </si>
  <si>
    <t>ADD DROP MULTIPLEXER</t>
  </si>
  <si>
    <t>CABLE TYPE OPGW</t>
  </si>
  <si>
    <t>CHANNEL BANK EQUIPMENT</t>
  </si>
  <si>
    <t>AIR CONDITIONER</t>
  </si>
  <si>
    <t>GATE</t>
  </si>
  <si>
    <t>FENCES</t>
  </si>
  <si>
    <t>ALCATEL 5620 FIBER TERMINAL EQUIP PART 2 OF 2</t>
  </si>
  <si>
    <t>TERMINATION EQUIPMENT</t>
  </si>
  <si>
    <t>ADD DROP MULTIPLEXER (PART 2 OF 2)</t>
  </si>
  <si>
    <t>POWER SYSTEM DISPATCH CONSOLES</t>
  </si>
  <si>
    <t>MICROWAVE ALARM SYSTEM MASTER STATION</t>
  </si>
  <si>
    <t>DATA STATION</t>
  </si>
  <si>
    <t>TELEPHONE SYSTEM</t>
  </si>
  <si>
    <t>MULTIPLEXER EXPANDED CAPABILITY ASSET 166934 - PROJECT WTO 0025C (PART 2)</t>
  </si>
  <si>
    <t>IDC - ASSET 166934 MULTIPLEXER EXPANSION (PART 2)</t>
  </si>
  <si>
    <t>ADD DROP MULTIPLEXER (PART 1 OF 2)</t>
  </si>
  <si>
    <t>ALCATEL 5620 FIBER TERMINAL EQUIP (PART 1 OF 2)</t>
  </si>
  <si>
    <t>VHF RADIO COMPARATOR</t>
  </si>
  <si>
    <t>TELEPHONE SYSTEM - 40 CHANNEL RECORDER &amp; CRASH KIT</t>
  </si>
  <si>
    <t>VOICE RECORDER SYSTEM</t>
  </si>
  <si>
    <t>SCADA SYSTEM HISTORIAN SOFTWARE</t>
  </si>
  <si>
    <t>AUX PWR SYS - BACKUP GENERATOR</t>
  </si>
  <si>
    <t>(5) DIGITAL VOICE RECORDERS - WTO F</t>
  </si>
  <si>
    <t>BATTERY BANK FOR UPS</t>
  </si>
  <si>
    <t>DIGITAL TRANS &amp; REC EQUIP</t>
  </si>
  <si>
    <t>FREQUENCY CONTROL ADDITIONS</t>
  </si>
  <si>
    <t>LOAD AND FREQUENCY CONTROL EQUIP</t>
  </si>
  <si>
    <t xml:space="preserve">TELEPHONE SYSTEM  </t>
  </si>
  <si>
    <t>WATERTOWN OPERATIONS BUILDING</t>
  </si>
  <si>
    <t>CONTROL BUILDING</t>
  </si>
  <si>
    <t>RESURFACE PARKING LOT AT WATERTOWN OPS OFFICE</t>
  </si>
  <si>
    <t>OFFICE BUILDING</t>
  </si>
  <si>
    <t>WALLS</t>
  </si>
  <si>
    <t>SYNC UNIT</t>
  </si>
  <si>
    <t>REMOTE STATION</t>
  </si>
  <si>
    <t>VEHICLE/STORAGE BUILDING</t>
  </si>
  <si>
    <t>GARAGE</t>
  </si>
  <si>
    <t>SIDEWALKS</t>
  </si>
  <si>
    <t>IDC - REPLACEMENTS</t>
  </si>
  <si>
    <t>IDC - ADDITIONS</t>
  </si>
  <si>
    <t>PSOO-WATER SYSTEM</t>
  </si>
  <si>
    <t>METER EQUIPMENT</t>
  </si>
  <si>
    <t>PWR SYS OPERATIONS OFFICE BUILDING (Part 1 of 2)</t>
  </si>
  <si>
    <t>STORAGE BUILDING</t>
  </si>
  <si>
    <t>WATERTOWN OPS BLDG EXPANSION (PSOO)</t>
  </si>
  <si>
    <t>WATERTOWN OPS BLDG EXPANSION</t>
  </si>
  <si>
    <t>Worksheet 14 - Rate for Regulation and Frequency Response</t>
  </si>
  <si>
    <t>REGULATION and FREQUENCY RESPONSE</t>
  </si>
  <si>
    <t>Fixed Charge Rate</t>
  </si>
  <si>
    <t>WS2-AllocFactor C4 L30</t>
  </si>
  <si>
    <t>Corps Generation Net Plant Costs ($)</t>
  </si>
  <si>
    <t>WS2-AllocFactor C4 L31</t>
  </si>
  <si>
    <t>Annual Corps Generation Cost  ($)</t>
  </si>
  <si>
    <t>L1*L2</t>
  </si>
  <si>
    <t>Plant Capacity (kW)</t>
  </si>
  <si>
    <t>Cost/kW ($/kW)</t>
  </si>
  <si>
    <t>L3/L4</t>
  </si>
  <si>
    <t>Capacity Used for Regulation (kW)</t>
  </si>
  <si>
    <t>Regulation Revenue Requirement ($) - Capacity</t>
  </si>
  <si>
    <t>L5*L6</t>
  </si>
  <si>
    <t>Regulation Revenue Requirement ($) - Purchases</t>
  </si>
  <si>
    <t xml:space="preserve">     Total Regulation Revenue Requirement ($)</t>
  </si>
  <si>
    <t xml:space="preserve">(1) </t>
  </si>
  <si>
    <t>WAPA Annual Report plant capacity</t>
  </si>
  <si>
    <t xml:space="preserve">Corps Generation Net Plant is Total Electric Plant in Service less </t>
  </si>
  <si>
    <t xml:space="preserve">(3) </t>
  </si>
  <si>
    <t>Cost of Purchases Required to Regulate for Intermittent Resources</t>
  </si>
  <si>
    <t>Worksheet 15 - Rate for Reserves</t>
  </si>
  <si>
    <t>RESERVES</t>
  </si>
  <si>
    <t>Cost/kW ($/kW-Yr)</t>
  </si>
  <si>
    <t>Western's Maximum Load in WAUW Control Area (kW)</t>
  </si>
  <si>
    <t>Maximum Generation in WAUW Control Area (kW)</t>
  </si>
  <si>
    <t>Capacity used for Reserves (kW) -- 3% Load + 3% Gen</t>
  </si>
  <si>
    <t>L8*3% + L9*3% (4)</t>
  </si>
  <si>
    <t>Annual Reserve Sharing Group Cost</t>
  </si>
  <si>
    <t>Annual Reserves Revenue Requirement</t>
  </si>
  <si>
    <t>L10*L5 + L11</t>
  </si>
  <si>
    <t>WAUW maximum load data</t>
  </si>
  <si>
    <t>WAUW maximum generation data</t>
  </si>
  <si>
    <t>Northwest Power Pool Reserve Sharing System</t>
  </si>
  <si>
    <t>Annual cost associated with Western-UGP's current reserve sharing group membership</t>
  </si>
  <si>
    <t>Western-UGP Difference</t>
  </si>
  <si>
    <t>1/ Short-Term Firm Point-to-Point Transmission Service Credit</t>
  </si>
  <si>
    <t>WS3-RevCredits C5L28</t>
  </si>
  <si>
    <t>WS3-RevCredits C5L14</t>
  </si>
  <si>
    <t>SPP January - September 2020 Estimate (Associated Ratio)</t>
  </si>
  <si>
    <t>SPP October - December 2020 Estimate (Associated Ratio) /4</t>
  </si>
  <si>
    <t>SPP January - December 2020 Actual /5</t>
  </si>
  <si>
    <t>4/ This column is only included when there are two rates implemented in the same calendar year (e.g. when new formula rate approved mid-year, such as 10/1/2020 formula rate update)</t>
  </si>
  <si>
    <r>
      <rPr>
        <b/>
        <sz val="10"/>
        <color theme="1"/>
        <rFont val="Calibri"/>
        <family val="2"/>
        <scheme val="minor"/>
      </rPr>
      <t>Total Schedule 9 2020 True-up</t>
    </r>
    <r>
      <rPr>
        <sz val="10"/>
        <color theme="1"/>
        <rFont val="Calibri"/>
        <family val="2"/>
        <scheme val="minor"/>
      </rPr>
      <t xml:space="preserve"> </t>
    </r>
    <r>
      <rPr>
        <sz val="10"/>
        <color rgb="FFFF0000"/>
        <rFont val="Calibri"/>
        <family val="2"/>
        <scheme val="minor"/>
      </rPr>
      <t xml:space="preserve">(to WS1-RateBase, Line 3, 2022 est) </t>
    </r>
  </si>
  <si>
    <r>
      <rPr>
        <b/>
        <sz val="10"/>
        <color theme="1"/>
        <rFont val="Calibri"/>
        <family val="2"/>
        <scheme val="minor"/>
      </rPr>
      <t>Total SSCD 2020 True-up</t>
    </r>
    <r>
      <rPr>
        <sz val="10"/>
        <color theme="1"/>
        <rFont val="Calibri"/>
        <family val="2"/>
        <scheme val="minor"/>
      </rPr>
      <t xml:space="preserve"> </t>
    </r>
    <r>
      <rPr>
        <sz val="10"/>
        <color rgb="FFFF0000"/>
        <rFont val="Calibri"/>
        <family val="2"/>
        <scheme val="minor"/>
      </rPr>
      <t>(to WS12-SSCD, Line 13, 2022 est)</t>
    </r>
  </si>
  <si>
    <r>
      <rPr>
        <b/>
        <sz val="10"/>
        <color theme="1"/>
        <rFont val="Calibri"/>
        <family val="2"/>
        <scheme val="minor"/>
      </rPr>
      <t>Total Regulation &amp; Freq Response 2020 True-up</t>
    </r>
    <r>
      <rPr>
        <sz val="10"/>
        <color theme="1"/>
        <rFont val="Calibri"/>
        <family val="2"/>
        <scheme val="minor"/>
      </rPr>
      <t xml:space="preserve"> </t>
    </r>
    <r>
      <rPr>
        <sz val="10"/>
        <color rgb="FFFF0000"/>
        <rFont val="Calibri"/>
        <family val="2"/>
        <scheme val="minor"/>
      </rPr>
      <t>(to WS14-Reg, Line 2, 2022 est)</t>
    </r>
  </si>
  <si>
    <r>
      <rPr>
        <b/>
        <sz val="10"/>
        <color theme="1"/>
        <rFont val="Calibri"/>
        <family val="2"/>
        <scheme val="minor"/>
      </rPr>
      <t>Total Reserves 2020 True-up</t>
    </r>
    <r>
      <rPr>
        <sz val="10"/>
        <color theme="1"/>
        <rFont val="Calibri"/>
        <family val="2"/>
        <scheme val="minor"/>
      </rPr>
      <t xml:space="preserve"> </t>
    </r>
    <r>
      <rPr>
        <sz val="10"/>
        <color rgb="FFFF0000"/>
        <rFont val="Calibri"/>
        <family val="2"/>
        <scheme val="minor"/>
      </rPr>
      <t>(to WS15-Res, Line 11, 2022 est)</t>
    </r>
  </si>
  <si>
    <t>5/  Actual calculated on a single annual basis, using current template, given the financial data is the same in both partial year rate estimate calculations, and the BPU actual calculations are correctly reflected for both partial year periods in this current template</t>
  </si>
  <si>
    <t>Subtotal L25+L26</t>
  </si>
  <si>
    <t>Subtotal L28+L29</t>
  </si>
  <si>
    <t>Subtotal L31+L32</t>
  </si>
  <si>
    <t>Reference Cell(s)</t>
  </si>
  <si>
    <t>Worksheet 14 -- Regulation and Frequency Response ARR</t>
  </si>
  <si>
    <t>Date</t>
  </si>
  <si>
    <r>
      <rPr>
        <b/>
        <sz val="11"/>
        <color theme="1"/>
        <rFont val="Calibri"/>
        <family val="2"/>
        <scheme val="minor"/>
      </rPr>
      <t>Summary of incremental changes:</t>
    </r>
    <r>
      <rPr>
        <sz val="11"/>
        <color theme="1"/>
        <rFont val="Calibri"/>
        <family val="2"/>
        <scheme val="minor"/>
      </rPr>
      <t xml:space="preserve"> thru XX/XX/XXXX --  Annual Update.</t>
    </r>
  </si>
  <si>
    <t>A. Operation and Maintenance Expense ($)</t>
  </si>
  <si>
    <t xml:space="preserve">B.  A&amp;G Expense ($)                             </t>
  </si>
  <si>
    <t xml:space="preserve">C.  Depreciation Expense ($)                    </t>
  </si>
  <si>
    <t xml:space="preserve">D.  Taxes Other than Income Taxes for Transmission ($)     </t>
  </si>
  <si>
    <t>Column 4 shows 31.95% of the Communication Facilities that were prorated to generation based on the number of communication channels dedicated to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</si>
</sst>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 numFmtId="180" formatCode="0_);\(0\)"/>
    <numFmt numFmtId="181" formatCode="0.0%"/>
  </numFmts>
  <fonts count="74">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b/>
      <sz val="10"/>
      <color theme="1"/>
      <name val="Calibri"/>
      <family val="2"/>
    </font>
    <font>
      <u/>
      <sz val="11"/>
      <color theme="10"/>
      <name val="Calibri"/>
      <family val="2"/>
      <scheme val="minor"/>
    </font>
    <font>
      <sz val="28"/>
      <color theme="1"/>
      <name val="Calibri"/>
      <family val="2"/>
      <scheme val="minor"/>
    </font>
    <font>
      <b/>
      <u/>
      <sz val="11"/>
      <color theme="1"/>
      <name val="Calibri"/>
      <family val="2"/>
      <scheme val="minor"/>
    </font>
    <font>
      <sz val="10"/>
      <color rgb="FF000000"/>
      <name val="Calibri"/>
      <family val="2"/>
    </font>
    <font>
      <sz val="12"/>
      <name val="Calibri"/>
      <family val="2"/>
    </font>
    <font>
      <sz val="36"/>
      <color rgb="FFFF0000"/>
      <name val="Calibri"/>
      <family val="2"/>
      <scheme val="minor"/>
    </font>
    <font>
      <sz val="10"/>
      <color theme="1"/>
      <name val="Calibri"/>
      <family val="2"/>
      <scheme val="minor"/>
    </font>
    <font>
      <sz val="11"/>
      <color theme="1"/>
      <name val="Calibri"/>
      <family val="2"/>
      <scheme val="minor"/>
    </font>
    <font>
      <sz val="8"/>
      <name val="Calibri"/>
      <family val="2"/>
      <scheme val="minor"/>
    </font>
  </fonts>
  <fills count="2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
      <patternFill patternType="solid">
        <fgColor theme="4" tint="0.79998168889431442"/>
        <bgColor indexed="64"/>
      </patternFill>
    </fill>
  </fills>
  <borders count="66">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3"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4"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5"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6"/>
    <xf numFmtId="0" fontId="30" fillId="0" borderId="0"/>
    <xf numFmtId="0" fontId="31" fillId="0" borderId="0" applyNumberFormat="0" applyFill="0" applyBorder="0" applyAlignment="0" applyProtection="0"/>
    <xf numFmtId="10" fontId="6" fillId="17" borderId="7"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6">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8" applyFill="0"/>
    <xf numFmtId="0" fontId="38" fillId="0" borderId="0">
      <alignment horizontal="left" indent="7"/>
    </xf>
    <xf numFmtId="41" fontId="15" fillId="0" borderId="8" applyFill="0">
      <alignment horizontal="left" indent="2"/>
    </xf>
    <xf numFmtId="166" fontId="39" fillId="0" borderId="9" applyFill="0">
      <alignment horizontal="right"/>
    </xf>
    <xf numFmtId="0" fontId="40" fillId="0" borderId="7" applyNumberFormat="0" applyFont="0" applyBorder="0">
      <alignment horizontal="right"/>
    </xf>
    <xf numFmtId="0" fontId="41" fillId="0" borderId="0" applyFill="0"/>
    <xf numFmtId="0" fontId="10" fillId="0" borderId="0" applyFill="0"/>
    <xf numFmtId="4" fontId="39" fillId="0" borderId="9"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0" applyBorder="0" applyProtection="0">
      <alignment horizontal="center"/>
    </xf>
    <xf numFmtId="0" fontId="44" fillId="0" borderId="0"/>
    <xf numFmtId="0" fontId="8" fillId="0" borderId="0" applyFont="0" applyFill="0" applyBorder="0" applyAlignment="0" applyProtection="0"/>
    <xf numFmtId="38" fontId="47"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5" fillId="0" borderId="0" applyNumberFormat="0" applyFill="0" applyBorder="0" applyAlignment="0" applyProtection="0"/>
  </cellStyleXfs>
  <cellXfs count="879">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8" applyFont="1" applyFill="1" applyAlignment="1"/>
    <xf numFmtId="0" fontId="45"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45" fillId="0" borderId="0" xfId="38578" applyNumberFormat="1" applyFont="1" applyFill="1"/>
    <xf numFmtId="0" fontId="45" fillId="0" borderId="0" xfId="38578" applyFont="1" applyFill="1" applyBorder="1" applyAlignment="1"/>
    <xf numFmtId="0" fontId="45" fillId="0" borderId="0" xfId="38578" applyNumberFormat="1" applyFont="1" applyFill="1" applyAlignment="1"/>
    <xf numFmtId="3" fontId="45" fillId="0" borderId="0" xfId="38578" applyNumberFormat="1" applyFont="1" applyFill="1" applyAlignment="1">
      <alignment horizontal="center"/>
    </xf>
    <xf numFmtId="3" fontId="45" fillId="0" borderId="0" xfId="38578" applyNumberFormat="1" applyFont="1" applyFill="1" applyAlignment="1"/>
    <xf numFmtId="0" fontId="3" fillId="0" borderId="0" xfId="38578" applyNumberFormat="1" applyFont="1" applyFill="1"/>
    <xf numFmtId="0" fontId="45" fillId="0" borderId="0" xfId="38578" applyFont="1" applyFill="1" applyAlignment="1">
      <alignment wrapText="1"/>
    </xf>
    <xf numFmtId="0" fontId="3" fillId="20" borderId="11" xfId="38578" applyNumberFormat="1" applyFont="1" applyFill="1" applyBorder="1"/>
    <xf numFmtId="3" fontId="3" fillId="20" borderId="6" xfId="38578" applyNumberFormat="1" applyFont="1" applyFill="1" applyBorder="1" applyAlignment="1"/>
    <xf numFmtId="0" fontId="3" fillId="20" borderId="6" xfId="38578" applyNumberFormat="1" applyFont="1" applyFill="1" applyBorder="1"/>
    <xf numFmtId="0" fontId="3" fillId="20" borderId="6" xfId="38578" applyNumberFormat="1" applyFont="1" applyFill="1" applyBorder="1" applyAlignment="1">
      <alignment horizontal="right"/>
    </xf>
    <xf numFmtId="0" fontId="3" fillId="20" borderId="6" xfId="38578" applyNumberFormat="1" applyFont="1" applyFill="1" applyBorder="1" applyAlignment="1">
      <alignment horizontal="center"/>
    </xf>
    <xf numFmtId="0" fontId="3" fillId="20" borderId="6" xfId="38578" applyFont="1" applyFill="1" applyBorder="1"/>
    <xf numFmtId="0" fontId="3" fillId="20" borderId="12" xfId="38578" applyFont="1" applyFill="1" applyBorder="1" applyAlignment="1"/>
    <xf numFmtId="0" fontId="3" fillId="20" borderId="13"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14" xfId="38578" applyFont="1" applyFill="1" applyBorder="1" applyAlignment="1"/>
    <xf numFmtId="0" fontId="3" fillId="20" borderId="14" xfId="38578" applyFont="1" applyFill="1" applyBorder="1" applyAlignment="1">
      <alignment horizontal="center" vertical="top"/>
    </xf>
    <xf numFmtId="0" fontId="3" fillId="20" borderId="14" xfId="38578" applyFont="1" applyFill="1" applyBorder="1" applyAlignment="1">
      <alignment horizontal="center"/>
    </xf>
    <xf numFmtId="3" fontId="45" fillId="0" borderId="0" xfId="38578" applyNumberFormat="1" applyFont="1" applyFill="1" applyAlignment="1">
      <alignment horizontal="left"/>
    </xf>
    <xf numFmtId="10" fontId="3" fillId="21" borderId="0" xfId="38578" applyNumberFormat="1" applyFont="1" applyFill="1" applyBorder="1"/>
    <xf numFmtId="0" fontId="3" fillId="20" borderId="14" xfId="38578" applyNumberFormat="1" applyFont="1" applyFill="1" applyBorder="1" applyAlignment="1">
      <alignment horizontal="center"/>
    </xf>
    <xf numFmtId="3" fontId="3" fillId="20" borderId="13" xfId="38578" applyNumberFormat="1" applyFont="1" applyFill="1" applyBorder="1" applyAlignment="1"/>
    <xf numFmtId="0" fontId="3" fillId="20" borderId="12" xfId="38578" applyFont="1" applyFill="1" applyBorder="1" applyAlignment="1">
      <alignment horizontal="center"/>
    </xf>
    <xf numFmtId="3" fontId="3" fillId="20" borderId="11" xfId="38578" applyNumberFormat="1" applyFont="1" applyFill="1" applyBorder="1" applyAlignment="1" applyProtection="1"/>
    <xf numFmtId="1" fontId="3" fillId="20" borderId="6" xfId="38578" applyNumberFormat="1" applyFont="1" applyFill="1" applyBorder="1" applyAlignment="1" applyProtection="1">
      <alignment horizontal="right"/>
    </xf>
    <xf numFmtId="3" fontId="3" fillId="20" borderId="6" xfId="38578" applyNumberFormat="1" applyFont="1" applyFill="1" applyBorder="1" applyAlignment="1">
      <alignment horizontal="right"/>
    </xf>
    <xf numFmtId="3" fontId="3" fillId="20" borderId="6" xfId="38578" applyNumberFormat="1" applyFont="1" applyFill="1" applyBorder="1" applyAlignment="1">
      <alignment horizontal="center"/>
    </xf>
    <xf numFmtId="166" fontId="3" fillId="20" borderId="6" xfId="38578" applyNumberFormat="1" applyFont="1" applyFill="1" applyBorder="1" applyAlignment="1"/>
    <xf numFmtId="0" fontId="3" fillId="20" borderId="12" xfId="38578" applyNumberFormat="1" applyFont="1" applyFill="1" applyBorder="1" applyAlignment="1">
      <alignment horizontal="center"/>
    </xf>
    <xf numFmtId="3" fontId="3" fillId="20" borderId="13" xfId="38578" applyNumberFormat="1" applyFont="1" applyFill="1" applyBorder="1" applyAlignment="1" applyProtection="1"/>
    <xf numFmtId="1" fontId="3" fillId="21" borderId="6"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6"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1" borderId="0" xfId="38578" applyFont="1" applyFill="1" applyBorder="1" applyAlignment="1">
      <alignment horizontal="right"/>
    </xf>
    <xf numFmtId="3" fontId="3" fillId="21" borderId="0" xfId="38578" applyNumberFormat="1" applyFont="1" applyFill="1" applyBorder="1" applyAlignment="1">
      <alignment horizontal="right"/>
    </xf>
    <xf numFmtId="171" fontId="3" fillId="20" borderId="0" xfId="38578" applyNumberFormat="1" applyFont="1" applyFill="1" applyBorder="1" applyAlignment="1">
      <alignment horizontal="right"/>
    </xf>
    <xf numFmtId="0" fontId="3" fillId="20" borderId="13" xfId="38578" applyFont="1" applyFill="1" applyBorder="1" applyAlignment="1">
      <alignment horizontal="right"/>
    </xf>
    <xf numFmtId="3" fontId="3" fillId="21" borderId="6" xfId="38578" applyNumberFormat="1" applyFont="1" applyFill="1" applyBorder="1" applyAlignment="1">
      <alignment horizontal="right"/>
    </xf>
    <xf numFmtId="0" fontId="48"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3" fontId="3" fillId="0" borderId="0" xfId="38578" applyNumberFormat="1" applyFont="1" applyFill="1"/>
    <xf numFmtId="0" fontId="3" fillId="20" borderId="0" xfId="38578" applyFont="1" applyFill="1" applyBorder="1" applyAlignment="1" applyProtection="1">
      <alignment horizontal="right"/>
    </xf>
    <xf numFmtId="0" fontId="48" fillId="20" borderId="0" xfId="38578" applyFont="1" applyFill="1" applyBorder="1" applyAlignment="1">
      <alignment horizontal="right"/>
    </xf>
    <xf numFmtId="0" fontId="3" fillId="20" borderId="6"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0"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0"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3"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3" fontId="3" fillId="20" borderId="6" xfId="38578" applyNumberFormat="1" applyFont="1" applyFill="1" applyBorder="1" applyAlignment="1">
      <alignment horizontal="right"/>
    </xf>
    <xf numFmtId="3" fontId="3" fillId="20" borderId="13" xfId="38578" quotePrefix="1" applyNumberFormat="1" applyFont="1" applyFill="1" applyBorder="1" applyAlignment="1"/>
    <xf numFmtId="0" fontId="3" fillId="20" borderId="6" xfId="38578" applyFont="1" applyFill="1" applyBorder="1" applyAlignment="1">
      <alignment horizontal="right"/>
    </xf>
    <xf numFmtId="170" fontId="3" fillId="20" borderId="0" xfId="38578" applyNumberFormat="1" applyFont="1" applyFill="1" applyBorder="1" applyAlignment="1"/>
    <xf numFmtId="3" fontId="3" fillId="20" borderId="13" xfId="38578" applyNumberFormat="1" applyFont="1" applyFill="1" applyBorder="1" applyAlignment="1">
      <alignment horizontal="center"/>
    </xf>
    <xf numFmtId="3" fontId="3" fillId="21" borderId="6" xfId="38578" applyNumberFormat="1" applyFont="1" applyFill="1" applyBorder="1" applyAlignment="1"/>
    <xf numFmtId="172" fontId="3" fillId="20" borderId="0" xfId="38578" applyNumberFormat="1" applyFont="1" applyFill="1" applyBorder="1" applyAlignment="1"/>
    <xf numFmtId="172" fontId="3" fillId="20" borderId="0" xfId="38578" applyNumberFormat="1" applyFont="1" applyFill="1" applyBorder="1" applyAlignment="1">
      <alignment horizontal="right"/>
    </xf>
    <xf numFmtId="3" fontId="3" fillId="21" borderId="0" xfId="38578" applyNumberFormat="1" applyFont="1" applyFill="1" applyBorder="1" applyAlignment="1"/>
    <xf numFmtId="172" fontId="3" fillId="20" borderId="0" xfId="38578" applyNumberFormat="1" applyFont="1" applyFill="1" applyBorder="1" applyAlignment="1">
      <alignment horizontal="center"/>
    </xf>
    <xf numFmtId="172" fontId="3" fillId="20" borderId="13" xfId="38578" applyNumberFormat="1" applyFont="1" applyFill="1" applyBorder="1" applyAlignment="1"/>
    <xf numFmtId="174" fontId="3" fillId="20" borderId="0" xfId="38578" applyNumberFormat="1" applyFont="1" applyFill="1" applyBorder="1" applyAlignment="1">
      <alignment horizontal="center"/>
    </xf>
    <xf numFmtId="3" fontId="4" fillId="20" borderId="0" xfId="38578" applyNumberFormat="1" applyFont="1" applyFill="1" applyBorder="1" applyAlignment="1">
      <alignment horizontal="center"/>
    </xf>
    <xf numFmtId="0" fontId="3" fillId="20" borderId="13"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45"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3" fontId="3" fillId="22" borderId="6"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6" xfId="38578" applyNumberFormat="1" applyFont="1" applyFill="1" applyBorder="1" applyAlignment="1"/>
    <xf numFmtId="0" fontId="3" fillId="20" borderId="17" xfId="38578" applyNumberFormat="1" applyFont="1" applyFill="1" applyBorder="1" applyAlignment="1">
      <alignment horizontal="right"/>
    </xf>
    <xf numFmtId="0" fontId="3" fillId="20" borderId="17" xfId="38578" applyNumberFormat="1" applyFont="1" applyFill="1" applyBorder="1"/>
    <xf numFmtId="0" fontId="3" fillId="20" borderId="17" xfId="38578" applyNumberFormat="1" applyFont="1" applyFill="1" applyBorder="1" applyAlignment="1">
      <alignment horizontal="center"/>
    </xf>
    <xf numFmtId="0" fontId="3" fillId="20" borderId="17" xfId="38578" applyFont="1" applyFill="1" applyBorder="1" applyAlignment="1"/>
    <xf numFmtId="0" fontId="4" fillId="20" borderId="17" xfId="38578" applyFont="1" applyFill="1" applyBorder="1" applyAlignment="1"/>
    <xf numFmtId="0" fontId="3" fillId="20" borderId="18" xfId="38578" applyNumberFormat="1" applyFont="1" applyFill="1" applyBorder="1" applyAlignment="1">
      <alignment horizontal="center"/>
    </xf>
    <xf numFmtId="0" fontId="3" fillId="20" borderId="21" xfId="38578" applyNumberFormat="1" applyFont="1" applyFill="1" applyBorder="1"/>
    <xf numFmtId="3" fontId="3" fillId="20" borderId="22" xfId="38578" applyNumberFormat="1" applyFont="1" applyFill="1" applyBorder="1" applyAlignment="1">
      <alignment horizontal="right"/>
    </xf>
    <xf numFmtId="3" fontId="3" fillId="20" borderId="23" xfId="38578" applyNumberFormat="1" applyFont="1" applyFill="1" applyBorder="1" applyAlignment="1">
      <alignment horizontal="right"/>
    </xf>
    <xf numFmtId="3" fontId="3" fillId="20" borderId="23" xfId="38578" applyNumberFormat="1" applyFont="1" applyFill="1" applyBorder="1" applyAlignment="1">
      <alignment horizontal="center"/>
    </xf>
    <xf numFmtId="3" fontId="3" fillId="20" borderId="24" xfId="38578" applyNumberFormat="1" applyFont="1" applyFill="1" applyBorder="1" applyAlignment="1"/>
    <xf numFmtId="3" fontId="3" fillId="20" borderId="23" xfId="38578" applyNumberFormat="1" applyFont="1" applyFill="1" applyBorder="1" applyAlignment="1"/>
    <xf numFmtId="0" fontId="3" fillId="20" borderId="25" xfId="38578" applyNumberFormat="1" applyFont="1" applyFill="1" applyBorder="1"/>
    <xf numFmtId="3" fontId="3" fillId="20" borderId="26" xfId="38578" applyNumberFormat="1" applyFont="1" applyFill="1" applyBorder="1" applyAlignment="1">
      <alignment horizontal="right"/>
    </xf>
    <xf numFmtId="172"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0" fontId="3" fillId="20" borderId="27" xfId="38578" applyFont="1" applyFill="1" applyBorder="1" applyAlignment="1"/>
    <xf numFmtId="3" fontId="3" fillId="20" borderId="28" xfId="38578" applyNumberFormat="1" applyFont="1" applyFill="1" applyBorder="1" applyAlignment="1">
      <alignment horizontal="right"/>
    </xf>
    <xf numFmtId="10" fontId="3" fillId="20" borderId="27" xfId="38578" applyNumberFormat="1" applyFont="1" applyFill="1" applyBorder="1" applyAlignment="1">
      <alignment horizontal="left"/>
    </xf>
    <xf numFmtId="174" fontId="3" fillId="20" borderId="0" xfId="38578" applyNumberFormat="1" applyFont="1" applyFill="1" applyBorder="1" applyAlignment="1">
      <alignment horizontal="left"/>
    </xf>
    <xf numFmtId="3" fontId="3" fillId="20" borderId="27" xfId="38578" applyNumberFormat="1" applyFont="1" applyFill="1" applyBorder="1" applyAlignment="1">
      <alignment horizontal="right"/>
    </xf>
    <xf numFmtId="0" fontId="3" fillId="20" borderId="27" xfId="38578" applyFont="1" applyFill="1" applyBorder="1" applyAlignment="1">
      <alignment horizontal="center"/>
    </xf>
    <xf numFmtId="3" fontId="3" fillId="20" borderId="27" xfId="38578" applyNumberFormat="1" applyFont="1" applyFill="1" applyBorder="1" applyAlignment="1"/>
    <xf numFmtId="0" fontId="3" fillId="20" borderId="27" xfId="38578" applyFont="1" applyFill="1" applyBorder="1" applyAlignment="1">
      <alignment horizontal="right"/>
    </xf>
    <xf numFmtId="3" fontId="3" fillId="21" borderId="27" xfId="38578" applyNumberFormat="1" applyFont="1" applyFill="1" applyBorder="1" applyAlignment="1"/>
    <xf numFmtId="173" fontId="3" fillId="20" borderId="27" xfId="38578" applyNumberFormat="1" applyFont="1" applyFill="1" applyBorder="1" applyAlignment="1">
      <alignment horizontal="right"/>
    </xf>
    <xf numFmtId="174" fontId="3" fillId="20" borderId="13"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49" fillId="20" borderId="27" xfId="19383" applyFont="1" applyFill="1" applyBorder="1" applyAlignment="1">
      <alignment horizontal="right" vertical="center" indent="1"/>
    </xf>
    <xf numFmtId="10" fontId="3" fillId="20" borderId="27" xfId="38578" applyNumberFormat="1" applyFont="1" applyFill="1" applyBorder="1" applyAlignment="1">
      <alignment horizontal="right"/>
    </xf>
    <xf numFmtId="3" fontId="3" fillId="20" borderId="27" xfId="38578" applyNumberFormat="1" applyFont="1" applyFill="1" applyBorder="1" applyAlignment="1">
      <alignment wrapText="1"/>
    </xf>
    <xf numFmtId="3" fontId="3" fillId="20" borderId="8" xfId="38578" applyNumberFormat="1" applyFont="1" applyFill="1" applyBorder="1" applyAlignment="1"/>
    <xf numFmtId="0" fontId="3" fillId="20" borderId="25" xfId="38578" applyFont="1" applyFill="1" applyBorder="1" applyAlignment="1"/>
    <xf numFmtId="0" fontId="45" fillId="0" borderId="0" xfId="38578" applyNumberFormat="1" applyFont="1" applyFill="1" applyAlignment="1">
      <alignment wrapText="1"/>
    </xf>
    <xf numFmtId="0" fontId="3" fillId="0" borderId="0" xfId="38578" applyFont="1" applyFill="1" applyAlignment="1">
      <alignment wrapText="1"/>
    </xf>
    <xf numFmtId="3" fontId="3" fillId="20" borderId="25" xfId="38578" applyNumberFormat="1" applyFont="1" applyFill="1" applyBorder="1" applyAlignment="1"/>
    <xf numFmtId="175" fontId="3" fillId="20" borderId="27" xfId="38578" applyNumberFormat="1" applyFont="1" applyFill="1" applyBorder="1" applyAlignment="1">
      <alignment horizontal="right"/>
    </xf>
    <xf numFmtId="3" fontId="3" fillId="22" borderId="27" xfId="38578" applyNumberFormat="1" applyFont="1" applyFill="1" applyBorder="1" applyAlignment="1"/>
    <xf numFmtId="3" fontId="3" fillId="22" borderId="29" xfId="38578" applyNumberFormat="1" applyFont="1" applyFill="1" applyBorder="1" applyAlignment="1"/>
    <xf numFmtId="0" fontId="3" fillId="0" borderId="0" xfId="38578" applyFont="1" applyFill="1" applyBorder="1" applyAlignment="1"/>
    <xf numFmtId="3" fontId="3" fillId="20" borderId="16" xfId="38578" applyNumberFormat="1" applyFont="1" applyFill="1" applyBorder="1"/>
    <xf numFmtId="3" fontId="3" fillId="20" borderId="30" xfId="38578" applyNumberFormat="1" applyFont="1" applyFill="1" applyBorder="1" applyAlignment="1">
      <alignment horizontal="right"/>
    </xf>
    <xf numFmtId="3" fontId="3" fillId="20" borderId="17" xfId="38578" applyNumberFormat="1" applyFont="1" applyFill="1" applyBorder="1" applyAlignment="1"/>
    <xf numFmtId="3" fontId="3" fillId="20" borderId="30" xfId="38578" applyNumberFormat="1" applyFont="1" applyFill="1" applyBorder="1" applyAlignment="1">
      <alignment horizontal="center"/>
    </xf>
    <xf numFmtId="3" fontId="3" fillId="20" borderId="30" xfId="38578" applyNumberFormat="1" applyFont="1" applyFill="1" applyBorder="1" applyAlignment="1"/>
    <xf numFmtId="3" fontId="3" fillId="20" borderId="11" xfId="38578" applyNumberFormat="1" applyFont="1" applyFill="1" applyBorder="1" applyAlignment="1"/>
    <xf numFmtId="3" fontId="3" fillId="20" borderId="31" xfId="38578" applyNumberFormat="1" applyFont="1" applyFill="1" applyBorder="1" applyAlignment="1"/>
    <xf numFmtId="174" fontId="3" fillId="20" borderId="23" xfId="38578" applyNumberFormat="1" applyFont="1" applyFill="1" applyBorder="1" applyAlignment="1">
      <alignment horizontal="right"/>
    </xf>
    <xf numFmtId="3" fontId="3" fillId="20" borderId="32" xfId="38578" applyNumberFormat="1" applyFont="1" applyFill="1" applyBorder="1" applyAlignment="1">
      <alignment horizontal="center"/>
    </xf>
    <xf numFmtId="3" fontId="3" fillId="20" borderId="32" xfId="38578" applyNumberFormat="1" applyFont="1" applyFill="1" applyBorder="1" applyAlignment="1"/>
    <xf numFmtId="0" fontId="3" fillId="20" borderId="33" xfId="38578" applyNumberFormat="1" applyFont="1" applyFill="1" applyBorder="1"/>
    <xf numFmtId="3" fontId="3" fillId="20" borderId="34" xfId="38578" applyNumberFormat="1" applyFont="1" applyFill="1" applyBorder="1" applyAlignment="1">
      <alignment horizontal="right"/>
    </xf>
    <xf numFmtId="0" fontId="3" fillId="20" borderId="5" xfId="38578" applyNumberFormat="1" applyFont="1" applyFill="1" applyBorder="1"/>
    <xf numFmtId="0" fontId="3" fillId="20" borderId="27" xfId="38578" applyNumberFormat="1" applyFont="1" applyFill="1" applyBorder="1" applyAlignment="1">
      <alignment horizontal="right"/>
    </xf>
    <xf numFmtId="0" fontId="3" fillId="20" borderId="8" xfId="38578" applyNumberFormat="1" applyFont="1" applyFill="1" applyBorder="1" applyAlignment="1">
      <alignment horizontal="center"/>
    </xf>
    <xf numFmtId="3" fontId="3" fillId="20" borderId="7" xfId="38578" applyNumberFormat="1" applyFont="1" applyFill="1" applyBorder="1" applyAlignment="1"/>
    <xf numFmtId="3" fontId="3" fillId="20" borderId="5" xfId="38578" applyNumberFormat="1" applyFont="1" applyFill="1" applyBorder="1" applyAlignment="1"/>
    <xf numFmtId="3" fontId="3" fillId="20" borderId="8" xfId="38578" applyNumberFormat="1" applyFont="1" applyFill="1" applyBorder="1" applyAlignment="1">
      <alignment horizontal="center"/>
    </xf>
    <xf numFmtId="3" fontId="3" fillId="21" borderId="8" xfId="38578" applyNumberFormat="1" applyFont="1" applyFill="1" applyBorder="1" applyAlignment="1"/>
    <xf numFmtId="0" fontId="3" fillId="20" borderId="8" xfId="38578" applyFont="1" applyFill="1" applyBorder="1" applyAlignment="1"/>
    <xf numFmtId="0" fontId="3" fillId="20" borderId="13"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5" xfId="38578" applyNumberFormat="1" applyFont="1" applyFill="1" applyBorder="1" applyAlignment="1">
      <alignment wrapText="1"/>
    </xf>
    <xf numFmtId="175" fontId="3" fillId="20" borderId="27" xfId="38578" applyNumberFormat="1" applyFont="1" applyFill="1" applyBorder="1" applyAlignment="1">
      <alignment horizontal="right" wrapText="1"/>
    </xf>
    <xf numFmtId="3" fontId="3" fillId="20" borderId="8" xfId="38578" applyNumberFormat="1" applyFont="1" applyFill="1" applyBorder="1" applyAlignment="1">
      <alignment horizontal="center" wrapText="1"/>
    </xf>
    <xf numFmtId="3" fontId="3" fillId="22" borderId="8" xfId="38578" applyNumberFormat="1" applyFont="1" applyFill="1" applyBorder="1" applyAlignment="1">
      <alignment wrapText="1"/>
    </xf>
    <xf numFmtId="0" fontId="3" fillId="20" borderId="8" xfId="38578" applyFont="1" applyFill="1" applyBorder="1" applyAlignment="1">
      <alignment wrapText="1"/>
    </xf>
    <xf numFmtId="174" fontId="3" fillId="20" borderId="27" xfId="38578" applyNumberFormat="1" applyFont="1" applyFill="1" applyBorder="1" applyAlignment="1">
      <alignment horizontal="right"/>
    </xf>
    <xf numFmtId="3" fontId="3" fillId="20" borderId="5" xfId="38578" applyNumberFormat="1" applyFont="1" applyFill="1" applyBorder="1" applyAlignment="1">
      <alignment horizontal="center"/>
    </xf>
    <xf numFmtId="3" fontId="3" fillId="22" borderId="8" xfId="38578" applyNumberFormat="1" applyFont="1" applyFill="1" applyBorder="1" applyAlignment="1"/>
    <xf numFmtId="174" fontId="3" fillId="20" borderId="13" xfId="38578" applyNumberFormat="1" applyFont="1" applyFill="1" applyBorder="1" applyAlignment="1">
      <alignment horizontal="center" wrapText="1"/>
    </xf>
    <xf numFmtId="174" fontId="3" fillId="20" borderId="25" xfId="38578" applyNumberFormat="1" applyFont="1" applyFill="1" applyBorder="1" applyAlignment="1">
      <alignment horizontal="center"/>
    </xf>
    <xf numFmtId="3" fontId="3" fillId="20" borderId="13" xfId="38578" applyNumberFormat="1" applyFont="1" applyFill="1" applyBorder="1" applyAlignment="1">
      <alignment wrapText="1"/>
    </xf>
    <xf numFmtId="164" fontId="3" fillId="20" borderId="8" xfId="1" applyNumberFormat="1" applyFont="1" applyFill="1" applyBorder="1" applyAlignment="1"/>
    <xf numFmtId="174" fontId="3" fillId="20" borderId="16" xfId="38578" applyNumberFormat="1" applyFont="1" applyFill="1" applyBorder="1" applyAlignment="1">
      <alignment horizontal="center"/>
    </xf>
    <xf numFmtId="0" fontId="3" fillId="20" borderId="17" xfId="38578" applyFont="1" applyFill="1" applyBorder="1" applyAlignment="1">
      <alignment horizontal="center"/>
    </xf>
    <xf numFmtId="3" fontId="4" fillId="20" borderId="10" xfId="38578" applyNumberFormat="1" applyFont="1" applyFill="1" applyBorder="1" applyAlignment="1"/>
    <xf numFmtId="0" fontId="3" fillId="20" borderId="30" xfId="38578" applyFont="1" applyFill="1" applyBorder="1" applyAlignment="1">
      <alignment horizontal="right"/>
    </xf>
    <xf numFmtId="0" fontId="3" fillId="20" borderId="35" xfId="38578" applyFont="1" applyFill="1" applyBorder="1" applyAlignment="1">
      <alignment horizontal="center"/>
    </xf>
    <xf numFmtId="0" fontId="3" fillId="20" borderId="35" xfId="38578" applyFont="1" applyFill="1" applyBorder="1" applyAlignment="1"/>
    <xf numFmtId="42" fontId="3" fillId="20" borderId="23" xfId="38578" applyNumberFormat="1" applyFont="1" applyFill="1" applyBorder="1" applyAlignment="1">
      <alignment horizontal="right"/>
    </xf>
    <xf numFmtId="3" fontId="3" fillId="20" borderId="6" xfId="38578" applyNumberFormat="1" applyFont="1" applyFill="1" applyBorder="1" applyAlignment="1">
      <alignment horizontal="fill"/>
    </xf>
    <xf numFmtId="0" fontId="3" fillId="20" borderId="8" xfId="38578" applyNumberFormat="1" applyFont="1" applyFill="1" applyBorder="1"/>
    <xf numFmtId="37" fontId="3" fillId="20" borderId="27" xfId="38578" applyNumberFormat="1" applyFont="1" applyFill="1" applyBorder="1" applyAlignment="1">
      <alignment horizontal="right"/>
    </xf>
    <xf numFmtId="0" fontId="3" fillId="20" borderId="5" xfId="38578" applyFont="1" applyFill="1" applyBorder="1" applyAlignment="1">
      <alignment horizontal="center"/>
    </xf>
    <xf numFmtId="0" fontId="3" fillId="20" borderId="8" xfId="38578" applyFont="1" applyFill="1" applyBorder="1"/>
    <xf numFmtId="0" fontId="3" fillId="20" borderId="36" xfId="38578" applyNumberFormat="1" applyFont="1" applyFill="1" applyBorder="1"/>
    <xf numFmtId="42" fontId="3" fillId="20" borderId="37" xfId="38578" applyNumberFormat="1" applyFont="1" applyFill="1" applyBorder="1"/>
    <xf numFmtId="0" fontId="3" fillId="20" borderId="35" xfId="38578" applyNumberFormat="1" applyFont="1" applyFill="1" applyBorder="1" applyAlignment="1">
      <alignment horizontal="center"/>
    </xf>
    <xf numFmtId="3" fontId="3" fillId="20" borderId="17" xfId="38578" applyNumberFormat="1" applyFont="1" applyFill="1" applyBorder="1"/>
    <xf numFmtId="0" fontId="3" fillId="20" borderId="35" xfId="38578" applyNumberFormat="1" applyFont="1" applyFill="1" applyBorder="1"/>
    <xf numFmtId="0" fontId="3" fillId="20" borderId="17" xfId="38578" applyFont="1" applyFill="1" applyBorder="1"/>
    <xf numFmtId="0" fontId="3" fillId="20" borderId="0" xfId="38578" applyNumberFormat="1" applyFont="1" applyFill="1"/>
    <xf numFmtId="49" fontId="3" fillId="20" borderId="0" xfId="38578" applyNumberFormat="1" applyFont="1" applyFill="1" applyAlignment="1">
      <alignment horizontal="center"/>
    </xf>
    <xf numFmtId="49" fontId="3" fillId="20" borderId="0" xfId="38578" applyNumberFormat="1" applyFont="1" applyFill="1" applyAlignment="1">
      <alignment horizontal="right"/>
    </xf>
    <xf numFmtId="0" fontId="3" fillId="20" borderId="0" xfId="38578" applyNumberFormat="1" applyFont="1" applyFill="1" applyAlignment="1">
      <alignment horizontal="center"/>
    </xf>
    <xf numFmtId="0" fontId="3" fillId="20" borderId="0" xfId="38578" applyFont="1" applyFill="1" applyAlignment="1">
      <alignment horizontal="center"/>
    </xf>
    <xf numFmtId="0" fontId="4" fillId="20" borderId="0" xfId="38578" applyFont="1" applyFill="1" applyAlignment="1">
      <alignment horizontal="center"/>
    </xf>
    <xf numFmtId="0" fontId="3" fillId="20" borderId="0" xfId="38578" applyNumberFormat="1" applyFont="1" applyFill="1" applyAlignment="1">
      <alignment horizontal="right"/>
    </xf>
    <xf numFmtId="0" fontId="3" fillId="20" borderId="0" xfId="38578" applyNumberFormat="1" applyFont="1" applyFill="1" applyAlignment="1">
      <alignment horizontal="left"/>
    </xf>
    <xf numFmtId="0" fontId="3" fillId="20" borderId="0" xfId="38578" applyNumberFormat="1" applyFont="1" applyFill="1" applyAlignment="1"/>
    <xf numFmtId="0" fontId="3" fillId="20" borderId="0" xfId="38578" applyFont="1" applyFill="1" applyAlignment="1">
      <alignment horizontal="right"/>
    </xf>
    <xf numFmtId="0" fontId="3" fillId="20" borderId="0" xfId="38578" applyFont="1" applyFill="1" applyAlignment="1"/>
    <xf numFmtId="0" fontId="45" fillId="0" borderId="0" xfId="0" applyFont="1" applyBorder="1"/>
    <xf numFmtId="0" fontId="45" fillId="0" borderId="0" xfId="0" applyFont="1" applyBorder="1" applyAlignment="1">
      <alignment horizontal="center"/>
    </xf>
    <xf numFmtId="3" fontId="3" fillId="0" borderId="0" xfId="0" applyNumberFormat="1" applyFont="1" applyFill="1" applyBorder="1"/>
    <xf numFmtId="0" fontId="50" fillId="0" borderId="0" xfId="0" applyFont="1" applyBorder="1"/>
    <xf numFmtId="164" fontId="0" fillId="0" borderId="0" xfId="1" applyNumberFormat="1" applyFont="1"/>
    <xf numFmtId="0" fontId="45" fillId="0" borderId="0" xfId="0" applyFont="1"/>
    <xf numFmtId="0" fontId="3" fillId="20" borderId="18" xfId="38578" applyFont="1" applyFill="1" applyBorder="1" applyAlignment="1">
      <alignment horizontal="left"/>
    </xf>
    <xf numFmtId="0" fontId="45" fillId="20" borderId="17" xfId="0" applyFont="1" applyFill="1" applyBorder="1"/>
    <xf numFmtId="0" fontId="45" fillId="20" borderId="0" xfId="0" applyFont="1" applyFill="1" applyBorder="1"/>
    <xf numFmtId="0" fontId="45" fillId="20" borderId="14" xfId="0" applyFont="1" applyFill="1" applyBorder="1"/>
    <xf numFmtId="0" fontId="52" fillId="20" borderId="0" xfId="0" applyFont="1" applyFill="1" applyBorder="1" applyAlignment="1">
      <alignment horizontal="centerContinuous" wrapText="1"/>
    </xf>
    <xf numFmtId="0" fontId="52" fillId="20" borderId="0" xfId="0" applyFont="1" applyFill="1" applyBorder="1" applyAlignment="1">
      <alignment horizontal="center" wrapText="1"/>
    </xf>
    <xf numFmtId="0" fontId="52" fillId="20" borderId="13" xfId="0" applyFont="1" applyFill="1" applyBorder="1" applyAlignment="1">
      <alignment horizontal="centerContinuous" wrapText="1"/>
    </xf>
    <xf numFmtId="0" fontId="51" fillId="20" borderId="12" xfId="0" applyFont="1" applyFill="1" applyBorder="1" applyAlignment="1">
      <alignment horizontal="center"/>
    </xf>
    <xf numFmtId="37" fontId="3" fillId="20" borderId="6" xfId="42319" applyNumberFormat="1" applyFont="1" applyFill="1" applyBorder="1" applyAlignment="1">
      <alignment horizontal="center"/>
    </xf>
    <xf numFmtId="37" fontId="3" fillId="20" borderId="11" xfId="42319" applyNumberFormat="1" applyFont="1" applyFill="1" applyBorder="1" applyAlignment="1">
      <alignment horizontal="center"/>
    </xf>
    <xf numFmtId="0" fontId="3" fillId="20" borderId="14" xfId="38787" applyFont="1" applyFill="1" applyBorder="1" applyAlignment="1">
      <alignment horizontal="center"/>
    </xf>
    <xf numFmtId="0" fontId="3" fillId="20" borderId="0" xfId="39548" applyFont="1" applyFill="1" applyBorder="1"/>
    <xf numFmtId="174" fontId="3" fillId="20" borderId="0" xfId="42188" applyNumberFormat="1" applyFont="1" applyFill="1" applyBorder="1"/>
    <xf numFmtId="0" fontId="3" fillId="20" borderId="0" xfId="38791" applyFont="1" applyFill="1" applyBorder="1"/>
    <xf numFmtId="167" fontId="3" fillId="20" borderId="41"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0" fontId="3" fillId="20" borderId="0" xfId="39552" applyFont="1" applyFill="1" applyBorder="1"/>
    <xf numFmtId="0" fontId="45" fillId="20" borderId="42" xfId="0" quotePrefix="1" applyFont="1" applyFill="1" applyBorder="1"/>
    <xf numFmtId="3" fontId="3" fillId="20" borderId="0" xfId="18360" applyNumberFormat="1" applyFont="1" applyFill="1" applyBorder="1"/>
    <xf numFmtId="49" fontId="3" fillId="20" borderId="14" xfId="39562" applyNumberFormat="1" applyFont="1" applyFill="1" applyBorder="1" applyAlignment="1">
      <alignment horizontal="center"/>
    </xf>
    <xf numFmtId="0" fontId="3" fillId="20" borderId="0" xfId="39562" applyFont="1" applyFill="1" applyBorder="1"/>
    <xf numFmtId="49" fontId="3" fillId="20" borderId="12" xfId="39562" applyNumberFormat="1" applyFont="1" applyFill="1" applyBorder="1" applyAlignment="1">
      <alignment horizontal="center"/>
    </xf>
    <xf numFmtId="0" fontId="45" fillId="20" borderId="6" xfId="0" applyFont="1" applyFill="1" applyBorder="1"/>
    <xf numFmtId="0" fontId="45" fillId="20" borderId="16" xfId="0" applyFont="1" applyFill="1" applyBorder="1"/>
    <xf numFmtId="0" fontId="45" fillId="20" borderId="13" xfId="0" applyFont="1" applyFill="1" applyBorder="1"/>
    <xf numFmtId="0" fontId="45" fillId="20" borderId="42" xfId="0" applyFont="1" applyFill="1" applyBorder="1"/>
    <xf numFmtId="0" fontId="45" fillId="20" borderId="11" xfId="0" applyFont="1" applyFill="1" applyBorder="1"/>
    <xf numFmtId="0" fontId="3" fillId="20" borderId="34" xfId="39554" applyFont="1" applyFill="1" applyBorder="1"/>
    <xf numFmtId="167" fontId="3" fillId="20" borderId="43" xfId="18360" applyNumberFormat="1" applyFont="1" applyFill="1" applyBorder="1"/>
    <xf numFmtId="174" fontId="3" fillId="20" borderId="10" xfId="42188" applyNumberFormat="1" applyFont="1" applyFill="1" applyBorder="1"/>
    <xf numFmtId="167" fontId="3" fillId="20" borderId="44" xfId="18360" applyNumberFormat="1" applyFont="1" applyFill="1" applyBorder="1"/>
    <xf numFmtId="0" fontId="3" fillId="20" borderId="14" xfId="38790" applyFont="1" applyFill="1" applyBorder="1" applyAlignment="1">
      <alignment horizontal="center"/>
    </xf>
    <xf numFmtId="0" fontId="3" fillId="20" borderId="0" xfId="38791" applyFont="1" applyFill="1" applyBorder="1" applyAlignment="1">
      <alignment vertical="center"/>
    </xf>
    <xf numFmtId="38" fontId="3" fillId="20" borderId="0" xfId="38792" applyNumberFormat="1" applyFont="1" applyFill="1" applyBorder="1"/>
    <xf numFmtId="5" fontId="3" fillId="20" borderId="0" xfId="38792" applyNumberFormat="1" applyFont="1" applyFill="1" applyBorder="1"/>
    <xf numFmtId="5" fontId="3" fillId="20" borderId="9" xfId="38792" applyNumberFormat="1" applyFont="1" applyFill="1" applyBorder="1"/>
    <xf numFmtId="49" fontId="3" fillId="20" borderId="14" xfId="38790" applyNumberFormat="1" applyFont="1" applyFill="1" applyBorder="1" applyAlignment="1">
      <alignment horizontal="center"/>
    </xf>
    <xf numFmtId="0" fontId="3" fillId="20" borderId="0" xfId="38791" applyFont="1" applyFill="1" applyBorder="1" applyAlignment="1">
      <alignment horizontal="left"/>
    </xf>
    <xf numFmtId="0" fontId="51" fillId="20" borderId="17" xfId="0" applyFont="1" applyFill="1" applyBorder="1" applyAlignment="1">
      <alignment horizontal="centerContinuous" wrapText="1"/>
    </xf>
    <xf numFmtId="0" fontId="51" fillId="20" borderId="0" xfId="0" applyFont="1" applyFill="1" applyBorder="1" applyAlignment="1">
      <alignment horizontal="centerContinuous" wrapText="1"/>
    </xf>
    <xf numFmtId="0" fontId="51" fillId="20" borderId="13" xfId="0" applyFont="1" applyFill="1" applyBorder="1" applyAlignment="1">
      <alignment horizontal="centerContinuous" wrapText="1"/>
    </xf>
    <xf numFmtId="0" fontId="51" fillId="20" borderId="14" xfId="0" applyFont="1" applyFill="1" applyBorder="1" applyAlignment="1">
      <alignment horizontal="center"/>
    </xf>
    <xf numFmtId="0" fontId="52" fillId="20" borderId="9" xfId="0" applyFont="1" applyFill="1" applyBorder="1"/>
    <xf numFmtId="0" fontId="51" fillId="20" borderId="27" xfId="0" applyFont="1" applyFill="1" applyBorder="1"/>
    <xf numFmtId="0" fontId="51" fillId="20" borderId="8" xfId="0" applyFont="1" applyFill="1" applyBorder="1"/>
    <xf numFmtId="0" fontId="51" fillId="20" borderId="35" xfId="0" applyFont="1" applyFill="1" applyBorder="1"/>
    <xf numFmtId="0" fontId="51" fillId="20" borderId="13" xfId="0" applyFont="1" applyFill="1" applyBorder="1"/>
    <xf numFmtId="0" fontId="51" fillId="20" borderId="0" xfId="0" applyFont="1" applyFill="1" applyBorder="1"/>
    <xf numFmtId="5" fontId="51" fillId="20" borderId="27" xfId="0" applyNumberFormat="1" applyFont="1" applyFill="1" applyBorder="1"/>
    <xf numFmtId="5" fontId="51" fillId="20" borderId="8" xfId="0" applyNumberFormat="1" applyFont="1" applyFill="1" applyBorder="1"/>
    <xf numFmtId="174" fontId="51" fillId="20" borderId="40" xfId="0" applyNumberFormat="1" applyFont="1" applyFill="1" applyBorder="1"/>
    <xf numFmtId="174" fontId="51" fillId="20" borderId="39" xfId="0" applyNumberFormat="1" applyFont="1" applyFill="1" applyBorder="1"/>
    <xf numFmtId="174" fontId="51" fillId="20" borderId="27" xfId="0" applyNumberFormat="1" applyFont="1" applyFill="1" applyBorder="1"/>
    <xf numFmtId="174" fontId="51" fillId="20" borderId="8" xfId="0" applyNumberFormat="1" applyFont="1" applyFill="1" applyBorder="1"/>
    <xf numFmtId="3" fontId="51" fillId="20" borderId="13" xfId="0" applyNumberFormat="1" applyFont="1" applyFill="1" applyBorder="1" applyAlignment="1">
      <alignment horizontal="right"/>
    </xf>
    <xf numFmtId="3" fontId="51" fillId="20" borderId="13" xfId="0" applyNumberFormat="1" applyFont="1" applyFill="1" applyBorder="1" applyAlignment="1">
      <alignment horizontal="left"/>
    </xf>
    <xf numFmtId="5" fontId="51" fillId="20" borderId="27" xfId="0" applyNumberFormat="1" applyFont="1" applyFill="1" applyBorder="1" applyAlignment="1">
      <alignment horizontal="right"/>
    </xf>
    <xf numFmtId="5" fontId="51" fillId="20" borderId="8" xfId="0" applyNumberFormat="1" applyFont="1" applyFill="1" applyBorder="1" applyAlignment="1">
      <alignment horizontal="right"/>
    </xf>
    <xf numFmtId="0" fontId="51" fillId="20" borderId="6" xfId="0" applyFont="1" applyFill="1" applyBorder="1"/>
    <xf numFmtId="5" fontId="51" fillId="20" borderId="23" xfId="0" applyNumberFormat="1" applyFont="1" applyFill="1" applyBorder="1"/>
    <xf numFmtId="5" fontId="51" fillId="20" borderId="32" xfId="0" applyNumberFormat="1" applyFont="1" applyFill="1" applyBorder="1"/>
    <xf numFmtId="0" fontId="51" fillId="20" borderId="11" xfId="0" applyFont="1" applyFill="1" applyBorder="1"/>
    <xf numFmtId="0" fontId="51" fillId="20" borderId="13" xfId="0" applyFont="1" applyFill="1" applyBorder="1" applyAlignment="1">
      <alignment wrapText="1"/>
    </xf>
    <xf numFmtId="49" fontId="3" fillId="20" borderId="12" xfId="38790" applyNumberFormat="1" applyFont="1" applyFill="1" applyBorder="1" applyAlignment="1">
      <alignment horizontal="center"/>
    </xf>
    <xf numFmtId="0" fontId="3" fillId="20" borderId="6" xfId="38791" applyFont="1" applyFill="1" applyBorder="1"/>
    <xf numFmtId="0" fontId="54" fillId="20" borderId="0" xfId="0" applyFont="1" applyFill="1" applyBorder="1"/>
    <xf numFmtId="5" fontId="54" fillId="20" borderId="0" xfId="0" applyNumberFormat="1" applyFont="1" applyFill="1" applyBorder="1"/>
    <xf numFmtId="0" fontId="4" fillId="20" borderId="0" xfId="0" applyFont="1" applyFill="1" applyBorder="1" applyAlignment="1">
      <alignment horizontal="left"/>
    </xf>
    <xf numFmtId="0" fontId="3" fillId="20" borderId="0" xfId="0" applyFont="1" applyFill="1" applyBorder="1"/>
    <xf numFmtId="164" fontId="3" fillId="20" borderId="0" xfId="1" applyNumberFormat="1" applyFont="1" applyFill="1" applyBorder="1" applyAlignment="1">
      <alignment horizontal="left"/>
    </xf>
    <xf numFmtId="38" fontId="3" fillId="20" borderId="0" xfId="0" applyNumberFormat="1" applyFont="1" applyFill="1" applyBorder="1"/>
    <xf numFmtId="164" fontId="3" fillId="20" borderId="13" xfId="1" applyNumberFormat="1" applyFont="1" applyFill="1" applyBorder="1"/>
    <xf numFmtId="164" fontId="3" fillId="20" borderId="0" xfId="1" applyNumberFormat="1" applyFont="1" applyFill="1" applyBorder="1"/>
    <xf numFmtId="0" fontId="3" fillId="20" borderId="6" xfId="0" applyFont="1" applyFill="1" applyBorder="1"/>
    <xf numFmtId="164" fontId="3" fillId="20" borderId="6" xfId="1" applyNumberFormat="1" applyFont="1" applyFill="1" applyBorder="1"/>
    <xf numFmtId="38" fontId="3" fillId="20" borderId="6" xfId="0" applyNumberFormat="1" applyFont="1" applyFill="1" applyBorder="1"/>
    <xf numFmtId="164" fontId="3" fillId="20" borderId="11" xfId="1" applyNumberFormat="1" applyFont="1" applyFill="1" applyBorder="1"/>
    <xf numFmtId="0" fontId="4" fillId="20" borderId="14" xfId="0" applyFont="1" applyFill="1" applyBorder="1" applyAlignment="1">
      <alignment horizontal="center"/>
    </xf>
    <xf numFmtId="164" fontId="3" fillId="20" borderId="19" xfId="0" applyNumberFormat="1" applyFont="1" applyFill="1" applyBorder="1"/>
    <xf numFmtId="0" fontId="3" fillId="20" borderId="17" xfId="0" applyFont="1" applyFill="1" applyBorder="1"/>
    <xf numFmtId="43" fontId="3" fillId="20" borderId="17" xfId="0" applyNumberFormat="1" applyFont="1" applyFill="1" applyBorder="1"/>
    <xf numFmtId="164" fontId="3" fillId="20" borderId="17" xfId="0" applyNumberFormat="1" applyFont="1" applyFill="1" applyBorder="1"/>
    <xf numFmtId="38" fontId="3" fillId="20" borderId="17" xfId="0" applyNumberFormat="1" applyFont="1" applyFill="1" applyBorder="1"/>
    <xf numFmtId="0" fontId="3" fillId="20" borderId="17" xfId="38578" applyFont="1" applyFill="1" applyBorder="1" applyAlignment="1">
      <alignment horizontal="left"/>
    </xf>
    <xf numFmtId="0" fontId="45" fillId="20" borderId="14" xfId="0" applyFont="1" applyFill="1" applyBorder="1" applyAlignment="1">
      <alignment horizontal="center"/>
    </xf>
    <xf numFmtId="0" fontId="46"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0" fontId="45" fillId="20" borderId="12" xfId="0" applyFont="1" applyFill="1" applyBorder="1" applyAlignment="1">
      <alignment horizontal="center"/>
    </xf>
    <xf numFmtId="37" fontId="3" fillId="20" borderId="6" xfId="19386" applyNumberFormat="1" applyFont="1" applyFill="1" applyBorder="1" applyAlignment="1">
      <alignment horizontal="center"/>
    </xf>
    <xf numFmtId="0" fontId="3" fillId="20" borderId="6" xfId="19386" applyFont="1" applyFill="1" applyBorder="1" applyAlignment="1">
      <alignment horizontal="center"/>
    </xf>
    <xf numFmtId="38" fontId="3" fillId="20" borderId="6" xfId="42319" applyFont="1" applyFill="1" applyBorder="1" applyAlignment="1">
      <alignment horizontal="center"/>
    </xf>
    <xf numFmtId="0" fontId="45" fillId="20" borderId="11" xfId="0" applyFont="1" applyFill="1" applyBorder="1" applyAlignment="1">
      <alignment horizontal="center"/>
    </xf>
    <xf numFmtId="3" fontId="4" fillId="20" borderId="0" xfId="42319" applyNumberFormat="1" applyFont="1" applyFill="1" applyBorder="1" applyAlignment="1">
      <alignment horizontal="left"/>
    </xf>
    <xf numFmtId="38" fontId="3" fillId="20" borderId="0"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38" fontId="3" fillId="20" borderId="0" xfId="42319" applyFont="1" applyFill="1" applyBorder="1" applyAlignment="1">
      <alignment horizontal="center"/>
    </xf>
    <xf numFmtId="172" fontId="3" fillId="20" borderId="0" xfId="42319" applyNumberFormat="1" applyFont="1" applyFill="1" applyBorder="1"/>
    <xf numFmtId="173"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9" xfId="42319" applyFont="1" applyFill="1" applyBorder="1"/>
    <xf numFmtId="38" fontId="3" fillId="20" borderId="9" xfId="42319" applyFont="1" applyFill="1" applyBorder="1" applyAlignment="1">
      <alignment horizontal="center"/>
    </xf>
    <xf numFmtId="38" fontId="3" fillId="20" borderId="9" xfId="42319" applyFont="1" applyFill="1" applyBorder="1" applyAlignment="1">
      <alignment horizontal="right"/>
    </xf>
    <xf numFmtId="3" fontId="3" fillId="20" borderId="0" xfId="19386" applyNumberFormat="1" applyFont="1" applyFill="1" applyBorder="1"/>
    <xf numFmtId="178" fontId="3" fillId="20" borderId="0" xfId="42319" applyNumberFormat="1" applyFont="1" applyFill="1" applyBorder="1"/>
    <xf numFmtId="38" fontId="3" fillId="20" borderId="6" xfId="42319"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9"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9" applyFont="1" applyFill="1" applyBorder="1"/>
    <xf numFmtId="38" fontId="4" fillId="20" borderId="0" xfId="42319" applyFont="1" applyFill="1" applyBorder="1"/>
    <xf numFmtId="174"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3" fontId="3" fillId="20" borderId="0" xfId="42319" applyNumberFormat="1" applyFont="1" applyFill="1" applyBorder="1"/>
    <xf numFmtId="38" fontId="3" fillId="20" borderId="13"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5"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8" xfId="0" applyNumberFormat="1" applyFont="1" applyFill="1" applyBorder="1" applyAlignment="1">
      <alignment horizontal="left"/>
    </xf>
    <xf numFmtId="3" fontId="3" fillId="20" borderId="38" xfId="0" applyNumberFormat="1" applyFont="1" applyFill="1" applyBorder="1"/>
    <xf numFmtId="0" fontId="45" fillId="20" borderId="38"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5" fillId="20" borderId="18" xfId="0" applyFont="1" applyFill="1" applyBorder="1" applyAlignment="1">
      <alignment horizontal="center"/>
    </xf>
    <xf numFmtId="3" fontId="4" fillId="20" borderId="17" xfId="42319" applyNumberFormat="1" applyFont="1" applyFill="1" applyBorder="1" applyAlignment="1">
      <alignment horizontal="left"/>
    </xf>
    <xf numFmtId="3" fontId="3" fillId="20" borderId="17" xfId="0" applyNumberFormat="1" applyFont="1" applyFill="1" applyBorder="1" applyAlignment="1">
      <alignment horizontal="centerContinuous"/>
    </xf>
    <xf numFmtId="0" fontId="0" fillId="0" borderId="0" xfId="0" applyBorder="1"/>
    <xf numFmtId="38" fontId="3" fillId="20" borderId="2" xfId="0" applyNumberFormat="1" applyFont="1" applyFill="1" applyBorder="1"/>
    <xf numFmtId="164" fontId="3" fillId="20" borderId="16" xfId="0" applyNumberFormat="1" applyFont="1" applyFill="1" applyBorder="1"/>
    <xf numFmtId="0" fontId="0" fillId="0" borderId="0" xfId="0" applyFont="1"/>
    <xf numFmtId="0" fontId="46" fillId="20" borderId="0"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6" fillId="20" borderId="0" xfId="0" applyFont="1" applyFill="1" applyBorder="1" applyAlignment="1">
      <alignment horizontal="center" vertical="center"/>
    </xf>
    <xf numFmtId="164" fontId="0" fillId="0" borderId="0" xfId="1" applyNumberFormat="1" applyFont="1" applyBorder="1"/>
    <xf numFmtId="0" fontId="50" fillId="20" borderId="13" xfId="0" applyFont="1" applyFill="1" applyBorder="1"/>
    <xf numFmtId="0" fontId="54" fillId="20" borderId="6" xfId="0" applyFont="1" applyFill="1" applyBorder="1"/>
    <xf numFmtId="164" fontId="45" fillId="20" borderId="14" xfId="1" applyNumberFormat="1" applyFont="1" applyFill="1" applyBorder="1"/>
    <xf numFmtId="0" fontId="53" fillId="20" borderId="17" xfId="0" applyFont="1" applyFill="1" applyBorder="1" applyAlignment="1">
      <alignment horizontal="centerContinuous" wrapText="1"/>
    </xf>
    <xf numFmtId="0" fontId="3" fillId="20" borderId="0" xfId="38578" applyFont="1" applyFill="1"/>
    <xf numFmtId="42" fontId="0" fillId="0" borderId="0" xfId="0" applyNumberFormat="1" applyBorder="1"/>
    <xf numFmtId="0" fontId="3" fillId="0" borderId="0" xfId="0" applyFont="1" applyFill="1" applyBorder="1" applyAlignment="1">
      <alignment horizontal="right"/>
    </xf>
    <xf numFmtId="0" fontId="3" fillId="20" borderId="14" xfId="0" applyFont="1" applyFill="1" applyBorder="1" applyAlignment="1">
      <alignment horizontal="center"/>
    </xf>
    <xf numFmtId="0" fontId="3" fillId="20" borderId="12" xfId="0" applyFont="1" applyFill="1" applyBorder="1" applyAlignment="1">
      <alignment horizontal="center"/>
    </xf>
    <xf numFmtId="38" fontId="3" fillId="0" borderId="0" xfId="0" applyNumberFormat="1" applyFont="1" applyFill="1" applyBorder="1" applyAlignment="1">
      <alignment horizontal="left"/>
    </xf>
    <xf numFmtId="0" fontId="3" fillId="20" borderId="14" xfId="38578" applyNumberFormat="1" applyFont="1" applyFill="1" applyBorder="1" applyAlignment="1">
      <alignment horizontal="center" vertical="top"/>
    </xf>
    <xf numFmtId="164" fontId="46" fillId="20" borderId="14" xfId="1" applyNumberFormat="1" applyFont="1" applyFill="1" applyBorder="1" applyAlignment="1">
      <alignment horizontal="center" wrapText="1"/>
    </xf>
    <xf numFmtId="164" fontId="46" fillId="20" borderId="0" xfId="1" applyNumberFormat="1" applyFont="1" applyFill="1" applyBorder="1" applyAlignment="1">
      <alignment horizontal="center"/>
    </xf>
    <xf numFmtId="38" fontId="46" fillId="20" borderId="0" xfId="0" applyNumberFormat="1" applyFont="1" applyFill="1" applyBorder="1" applyAlignment="1">
      <alignment horizontal="center"/>
    </xf>
    <xf numFmtId="10" fontId="45" fillId="20" borderId="0" xfId="3" applyNumberFormat="1" applyFont="1" applyFill="1" applyBorder="1"/>
    <xf numFmtId="38" fontId="45" fillId="20" borderId="0" xfId="0" applyNumberFormat="1" applyFont="1" applyFill="1" applyBorder="1"/>
    <xf numFmtId="164" fontId="45" fillId="20" borderId="13" xfId="0" applyNumberFormat="1" applyFont="1" applyFill="1" applyBorder="1"/>
    <xf numFmtId="0" fontId="45" fillId="20" borderId="2" xfId="0" applyFont="1" applyFill="1" applyBorder="1"/>
    <xf numFmtId="10" fontId="45" fillId="20" borderId="2" xfId="3" applyNumberFormat="1" applyFont="1" applyFill="1" applyBorder="1"/>
    <xf numFmtId="0" fontId="45" fillId="0" borderId="0" xfId="0" applyFont="1" applyFill="1"/>
    <xf numFmtId="0" fontId="45" fillId="20" borderId="12" xfId="0" applyFont="1" applyFill="1" applyBorder="1"/>
    <xf numFmtId="0" fontId="45" fillId="20" borderId="46" xfId="0" applyFont="1" applyFill="1" applyBorder="1"/>
    <xf numFmtId="38" fontId="45" fillId="20" borderId="46" xfId="0" applyNumberFormat="1" applyFont="1" applyFill="1" applyBorder="1"/>
    <xf numFmtId="164" fontId="45" fillId="20" borderId="21" xfId="0" applyNumberFormat="1" applyFont="1" applyFill="1" applyBorder="1"/>
    <xf numFmtId="38" fontId="45" fillId="0" borderId="0" xfId="0" applyNumberFormat="1" applyFont="1"/>
    <xf numFmtId="164" fontId="45" fillId="0" borderId="0" xfId="0" applyNumberFormat="1" applyFont="1"/>
    <xf numFmtId="164" fontId="46" fillId="20" borderId="13" xfId="0" applyNumberFormat="1" applyFont="1" applyFill="1" applyBorder="1" applyAlignment="1">
      <alignment horizontal="center" wrapText="1"/>
    </xf>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3" xfId="1" applyNumberFormat="1" applyFont="1" applyFill="1" applyBorder="1" applyAlignment="1">
      <alignment horizontal="center" wrapText="1"/>
    </xf>
    <xf numFmtId="164" fontId="45" fillId="20" borderId="0" xfId="1" applyNumberFormat="1" applyFont="1" applyFill="1" applyBorder="1"/>
    <xf numFmtId="38" fontId="45" fillId="20" borderId="17" xfId="0" applyNumberFormat="1" applyFont="1" applyFill="1" applyBorder="1"/>
    <xf numFmtId="164" fontId="45" fillId="20" borderId="16" xfId="0" applyNumberFormat="1" applyFont="1" applyFill="1" applyBorder="1"/>
    <xf numFmtId="0" fontId="4" fillId="20" borderId="14" xfId="0" applyFont="1" applyFill="1" applyBorder="1" applyAlignment="1">
      <alignment horizontal="center" wrapText="1"/>
    </xf>
    <xf numFmtId="0" fontId="3" fillId="20" borderId="0" xfId="0" applyFont="1" applyFill="1" applyBorder="1" applyAlignment="1">
      <alignment horizontal="left"/>
    </xf>
    <xf numFmtId="0" fontId="45" fillId="20" borderId="50" xfId="0" applyFont="1" applyFill="1" applyBorder="1"/>
    <xf numFmtId="0" fontId="45" fillId="20" borderId="51" xfId="0" applyFont="1" applyFill="1" applyBorder="1"/>
    <xf numFmtId="38" fontId="4" fillId="20" borderId="51" xfId="0" applyNumberFormat="1" applyFont="1" applyFill="1" applyBorder="1" applyAlignment="1">
      <alignment horizontal="center"/>
    </xf>
    <xf numFmtId="38" fontId="3" fillId="20" borderId="51" xfId="0" applyNumberFormat="1" applyFont="1" applyFill="1" applyBorder="1"/>
    <xf numFmtId="38" fontId="3" fillId="20" borderId="52" xfId="0" applyNumberFormat="1" applyFont="1" applyFill="1" applyBorder="1"/>
    <xf numFmtId="0" fontId="50" fillId="0" borderId="0" xfId="0" applyFont="1" applyFill="1" applyBorder="1" applyAlignment="1">
      <alignment horizontal="left" vertical="top"/>
    </xf>
    <xf numFmtId="0" fontId="50" fillId="0" borderId="0" xfId="0" applyFont="1" applyFill="1" applyBorder="1"/>
    <xf numFmtId="0" fontId="50" fillId="0" borderId="14"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8" xfId="0" applyFont="1" applyFill="1" applyBorder="1" applyAlignment="1">
      <alignment vertical="top" wrapText="1"/>
    </xf>
    <xf numFmtId="0" fontId="58" fillId="0" borderId="8" xfId="0" applyFont="1" applyFill="1" applyBorder="1" applyAlignment="1">
      <alignment vertical="top"/>
    </xf>
    <xf numFmtId="167" fontId="58" fillId="0" borderId="8" xfId="2" applyNumberFormat="1" applyFont="1" applyFill="1" applyBorder="1" applyAlignment="1">
      <alignment vertical="top"/>
    </xf>
    <xf numFmtId="0" fontId="58" fillId="0" borderId="13" xfId="0" applyFont="1" applyFill="1" applyBorder="1" applyAlignment="1">
      <alignment wrapText="1"/>
    </xf>
    <xf numFmtId="0" fontId="58" fillId="0" borderId="0" xfId="0" applyFont="1" applyFill="1" applyBorder="1"/>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50" fillId="0" borderId="0" xfId="0" applyFont="1" applyFill="1" applyBorder="1" applyAlignment="1">
      <alignment horizontal="center" vertical="top"/>
    </xf>
    <xf numFmtId="167" fontId="60" fillId="0" borderId="0" xfId="2" applyNumberFormat="1" applyFont="1" applyFill="1" applyBorder="1"/>
    <xf numFmtId="0" fontId="50" fillId="0" borderId="8" xfId="0" applyFont="1" applyFill="1" applyBorder="1" applyAlignment="1">
      <alignment vertical="top" wrapText="1"/>
    </xf>
    <xf numFmtId="0" fontId="50" fillId="0" borderId="8" xfId="0" applyFont="1" applyFill="1" applyBorder="1" applyAlignment="1">
      <alignment vertical="top"/>
    </xf>
    <xf numFmtId="167" fontId="50" fillId="0" borderId="8" xfId="2" applyNumberFormat="1" applyFont="1" applyFill="1" applyBorder="1" applyAlignment="1">
      <alignment vertical="top"/>
    </xf>
    <xf numFmtId="0" fontId="50" fillId="0" borderId="13" xfId="0" applyFont="1" applyFill="1" applyBorder="1" applyAlignment="1">
      <alignment wrapText="1"/>
    </xf>
    <xf numFmtId="167" fontId="50" fillId="0" borderId="0" xfId="2" applyNumberFormat="1" applyFont="1" applyFill="1" applyBorder="1"/>
    <xf numFmtId="0" fontId="50" fillId="0" borderId="13"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0" fontId="50" fillId="0" borderId="0" xfId="0" applyFont="1" applyFill="1" applyBorder="1" applyAlignment="1">
      <alignment vertical="top"/>
    </xf>
    <xf numFmtId="167" fontId="61" fillId="0" borderId="0" xfId="2" applyNumberFormat="1" applyFont="1" applyFill="1" applyBorder="1"/>
    <xf numFmtId="179" fontId="50" fillId="0" borderId="13" xfId="0" applyNumberFormat="1" applyFont="1" applyFill="1" applyBorder="1" applyAlignment="1">
      <alignment wrapText="1"/>
    </xf>
    <xf numFmtId="0" fontId="50" fillId="0" borderId="27" xfId="0" applyFont="1" applyFill="1" applyBorder="1" applyAlignment="1">
      <alignment vertical="top"/>
    </xf>
    <xf numFmtId="0" fontId="50" fillId="0" borderId="27" xfId="0" applyFont="1" applyFill="1" applyBorder="1" applyAlignment="1">
      <alignment horizontal="left" vertical="top"/>
    </xf>
    <xf numFmtId="0" fontId="50" fillId="0" borderId="27" xfId="0" applyFont="1" applyFill="1" applyBorder="1" applyAlignment="1">
      <alignment horizontal="center" vertical="top"/>
    </xf>
    <xf numFmtId="167" fontId="60" fillId="0" borderId="8" xfId="2" applyNumberFormat="1" applyFont="1" applyFill="1" applyBorder="1" applyAlignment="1">
      <alignment vertical="top"/>
    </xf>
    <xf numFmtId="167" fontId="61" fillId="0" borderId="8" xfId="2" applyNumberFormat="1" applyFont="1" applyFill="1" applyBorder="1" applyAlignment="1">
      <alignment vertical="top"/>
    </xf>
    <xf numFmtId="0" fontId="51" fillId="0" borderId="0" xfId="0" applyFont="1" applyFill="1" applyBorder="1" applyAlignment="1">
      <alignment vertical="top"/>
    </xf>
    <xf numFmtId="167" fontId="60" fillId="0" borderId="27" xfId="2" applyNumberFormat="1" applyFont="1" applyFill="1" applyBorder="1" applyAlignment="1">
      <alignment vertical="top"/>
    </xf>
    <xf numFmtId="0" fontId="50" fillId="0" borderId="42" xfId="0" applyFont="1" applyFill="1" applyBorder="1" applyAlignment="1">
      <alignment wrapText="1"/>
    </xf>
    <xf numFmtId="167" fontId="50" fillId="0" borderId="27" xfId="2" applyNumberFormat="1" applyFont="1" applyFill="1" applyBorder="1" applyAlignment="1">
      <alignment vertical="top"/>
    </xf>
    <xf numFmtId="179" fontId="50" fillId="0" borderId="42" xfId="0" applyNumberFormat="1" applyFont="1" applyFill="1" applyBorder="1" applyAlignment="1">
      <alignment wrapText="1"/>
    </xf>
    <xf numFmtId="0" fontId="58" fillId="0" borderId="0" xfId="0" applyFont="1" applyFill="1" applyBorder="1" applyAlignment="1">
      <alignment wrapText="1"/>
    </xf>
    <xf numFmtId="0" fontId="50" fillId="0" borderId="0" xfId="0" applyFont="1" applyFill="1" applyBorder="1" applyAlignment="1">
      <alignment wrapText="1"/>
    </xf>
    <xf numFmtId="0" fontId="50" fillId="0" borderId="8" xfId="0" applyFont="1" applyFill="1" applyBorder="1" applyAlignment="1">
      <alignment horizontal="left" vertical="top"/>
    </xf>
    <xf numFmtId="0" fontId="50" fillId="0" borderId="8" xfId="0" applyFont="1" applyFill="1" applyBorder="1" applyAlignment="1">
      <alignment horizontal="center" vertical="top"/>
    </xf>
    <xf numFmtId="167" fontId="50" fillId="0" borderId="13" xfId="2" applyNumberFormat="1" applyFont="1" applyFill="1" applyBorder="1" applyAlignment="1">
      <alignment wrapText="1"/>
    </xf>
    <xf numFmtId="0" fontId="51" fillId="0" borderId="0" xfId="0" applyFont="1" applyFill="1" applyBorder="1"/>
    <xf numFmtId="0" fontId="52" fillId="0" borderId="0" xfId="0" applyFont="1" applyFill="1" applyBorder="1" applyAlignment="1">
      <alignment horizontal="center" readingOrder="1"/>
    </xf>
    <xf numFmtId="0" fontId="51" fillId="24" borderId="14" xfId="0" applyFont="1" applyFill="1" applyBorder="1" applyAlignment="1">
      <alignment horizontal="left" vertical="top"/>
    </xf>
    <xf numFmtId="0" fontId="52" fillId="0" borderId="0" xfId="0" applyFont="1" applyFill="1" applyBorder="1" applyAlignment="1">
      <alignment horizontal="left" vertical="top"/>
    </xf>
    <xf numFmtId="0" fontId="52" fillId="0" borderId="0" xfId="0" applyFont="1" applyFill="1" applyBorder="1"/>
    <xf numFmtId="0" fontId="52" fillId="0" borderId="51" xfId="0" applyFont="1" applyFill="1" applyBorder="1"/>
    <xf numFmtId="0" fontId="51" fillId="0" borderId="14" xfId="0" applyFont="1" applyFill="1" applyBorder="1" applyAlignment="1">
      <alignment horizontal="left" vertical="top"/>
    </xf>
    <xf numFmtId="0" fontId="51" fillId="0" borderId="0" xfId="0" applyFont="1" applyFill="1" applyBorder="1" applyAlignment="1">
      <alignment horizontal="left" vertical="top"/>
    </xf>
    <xf numFmtId="0" fontId="51" fillId="25" borderId="0" xfId="0" applyFont="1" applyFill="1" applyBorder="1"/>
    <xf numFmtId="0" fontId="51" fillId="0" borderId="51" xfId="0" applyFont="1" applyFill="1" applyBorder="1"/>
    <xf numFmtId="0" fontId="4" fillId="0" borderId="41" xfId="0" applyFont="1" applyFill="1" applyBorder="1" applyAlignment="1">
      <alignment horizontal="center"/>
    </xf>
    <xf numFmtId="0" fontId="4" fillId="0" borderId="41" xfId="0" applyFont="1" applyFill="1" applyBorder="1"/>
    <xf numFmtId="164" fontId="4" fillId="0" borderId="41" xfId="0" applyNumberFormat="1" applyFont="1" applyFill="1" applyBorder="1" applyAlignment="1">
      <alignment horizontal="right"/>
    </xf>
    <xf numFmtId="164" fontId="3" fillId="0" borderId="0" xfId="1" applyNumberFormat="1" applyFont="1" applyFill="1" applyBorder="1" applyAlignment="1">
      <alignment horizontal="left"/>
    </xf>
    <xf numFmtId="49" fontId="57" fillId="23" borderId="0" xfId="19632" applyNumberFormat="1" applyFont="1" applyFill="1" applyBorder="1" applyAlignment="1">
      <alignment horizontal="left"/>
    </xf>
    <xf numFmtId="0" fontId="3" fillId="20" borderId="9" xfId="0" applyFont="1" applyFill="1" applyBorder="1"/>
    <xf numFmtId="49" fontId="57" fillId="23" borderId="6" xfId="19632" applyNumberFormat="1" applyFont="1" applyFill="1" applyBorder="1" applyAlignment="1">
      <alignment horizontal="left"/>
    </xf>
    <xf numFmtId="164" fontId="45" fillId="20" borderId="2" xfId="1" applyNumberFormat="1" applyFont="1" applyFill="1" applyBorder="1"/>
    <xf numFmtId="49" fontId="57" fillId="20" borderId="2" xfId="19632" applyNumberFormat="1" applyFont="1" applyFill="1" applyBorder="1" applyAlignment="1">
      <alignment horizontal="left"/>
    </xf>
    <xf numFmtId="49" fontId="57" fillId="23" borderId="9" xfId="19632" applyNumberFormat="1" applyFont="1" applyFill="1" applyBorder="1" applyAlignment="1">
      <alignment horizontal="left"/>
    </xf>
    <xf numFmtId="164" fontId="45" fillId="20" borderId="51" xfId="1" applyNumberFormat="1" applyFont="1" applyFill="1" applyBorder="1"/>
    <xf numFmtId="0" fontId="45" fillId="20" borderId="52" xfId="0" applyFont="1" applyFill="1" applyBorder="1"/>
    <xf numFmtId="0" fontId="4" fillId="20" borderId="0" xfId="38578" applyFont="1" applyFill="1" applyBorder="1" applyAlignment="1">
      <alignment horizontal="center"/>
    </xf>
    <xf numFmtId="49" fontId="3" fillId="20" borderId="6" xfId="38578" applyNumberFormat="1" applyFont="1" applyFill="1" applyBorder="1" applyAlignment="1">
      <alignment horizontal="center"/>
    </xf>
    <xf numFmtId="3" fontId="3" fillId="20" borderId="35" xfId="38578" applyNumberFormat="1" applyFont="1" applyFill="1" applyBorder="1" applyAlignment="1">
      <alignment horizontal="center"/>
    </xf>
    <xf numFmtId="0" fontId="3" fillId="20" borderId="16" xfId="38578" applyNumberFormat="1" applyFont="1" applyFill="1" applyBorder="1"/>
    <xf numFmtId="9" fontId="3" fillId="20" borderId="0" xfId="3" applyFont="1" applyFill="1" applyBorder="1" applyAlignment="1">
      <alignment horizontal="right"/>
    </xf>
    <xf numFmtId="0" fontId="3" fillId="20" borderId="9" xfId="38578" applyNumberFormat="1" applyFont="1" applyFill="1" applyBorder="1"/>
    <xf numFmtId="0" fontId="3" fillId="20" borderId="15" xfId="38578" applyNumberFormat="1" applyFont="1" applyFill="1" applyBorder="1"/>
    <xf numFmtId="0" fontId="3" fillId="20" borderId="10" xfId="38578" applyFont="1" applyFill="1" applyBorder="1"/>
    <xf numFmtId="0" fontId="3" fillId="20" borderId="5" xfId="38578" applyFont="1" applyFill="1" applyBorder="1"/>
    <xf numFmtId="0" fontId="3" fillId="20" borderId="27" xfId="38578" applyNumberFormat="1" applyFont="1" applyFill="1" applyBorder="1"/>
    <xf numFmtId="0" fontId="3" fillId="20" borderId="5" xfId="38578" applyNumberFormat="1" applyFont="1" applyFill="1" applyBorder="1" applyAlignment="1">
      <alignment horizontal="center"/>
    </xf>
    <xf numFmtId="0" fontId="3" fillId="20" borderId="32" xfId="38578" applyNumberFormat="1" applyFont="1" applyFill="1" applyBorder="1"/>
    <xf numFmtId="0" fontId="3" fillId="20" borderId="32" xfId="38578" applyNumberFormat="1" applyFont="1" applyFill="1" applyBorder="1" applyAlignment="1">
      <alignment horizontal="center"/>
    </xf>
    <xf numFmtId="17" fontId="3" fillId="20" borderId="10" xfId="38578" applyNumberFormat="1" applyFont="1" applyFill="1" applyBorder="1" applyAlignment="1">
      <alignment horizontal="left"/>
    </xf>
    <xf numFmtId="17" fontId="3" fillId="20" borderId="5" xfId="38578" applyNumberFormat="1" applyFont="1" applyFill="1" applyBorder="1" applyAlignment="1">
      <alignment horizontal="left"/>
    </xf>
    <xf numFmtId="9" fontId="3" fillId="20" borderId="17" xfId="3" applyFont="1" applyFill="1" applyBorder="1" applyAlignment="1">
      <alignment horizontal="right"/>
    </xf>
    <xf numFmtId="17" fontId="3" fillId="20" borderId="27" xfId="38578" applyNumberFormat="1" applyFont="1" applyFill="1" applyBorder="1"/>
    <xf numFmtId="164" fontId="3" fillId="21" borderId="29" xfId="1" applyNumberFormat="1" applyFont="1" applyFill="1" applyBorder="1" applyAlignment="1">
      <alignment horizontal="right"/>
    </xf>
    <xf numFmtId="164" fontId="3" fillId="20" borderId="6" xfId="1" applyNumberFormat="1" applyFont="1" applyFill="1" applyBorder="1" applyAlignment="1">
      <alignment horizontal="right"/>
    </xf>
    <xf numFmtId="0" fontId="53" fillId="20" borderId="0" xfId="0" applyFont="1" applyFill="1" applyBorder="1" applyAlignment="1">
      <alignment horizontal="centerContinuous" wrapText="1"/>
    </xf>
    <xf numFmtId="37" fontId="3" fillId="20" borderId="9" xfId="42319" applyNumberFormat="1" applyFont="1" applyFill="1" applyBorder="1" applyAlignment="1">
      <alignment horizontal="center"/>
    </xf>
    <xf numFmtId="0" fontId="51" fillId="20" borderId="0" xfId="0" applyFont="1" applyFill="1" applyBorder="1" applyAlignment="1">
      <alignment horizontal="left"/>
    </xf>
    <xf numFmtId="5" fontId="51" fillId="20" borderId="0" xfId="0" applyNumberFormat="1" applyFont="1" applyFill="1" applyBorder="1" applyAlignment="1">
      <alignment horizontal="center"/>
    </xf>
    <xf numFmtId="174" fontId="51" fillId="20" borderId="0" xfId="3" applyNumberFormat="1" applyFont="1" applyFill="1" applyBorder="1"/>
    <xf numFmtId="5" fontId="51" fillId="20" borderId="0" xfId="0" applyNumberFormat="1" applyFont="1" applyFill="1" applyBorder="1"/>
    <xf numFmtId="0" fontId="52" fillId="20" borderId="0" xfId="0" applyFont="1" applyFill="1" applyBorder="1" applyAlignment="1">
      <alignment horizontal="left"/>
    </xf>
    <xf numFmtId="0" fontId="51" fillId="20" borderId="0" xfId="0" applyFont="1" applyFill="1" applyBorder="1" applyAlignment="1">
      <alignment wrapText="1"/>
    </xf>
    <xf numFmtId="174" fontId="51" fillId="20" borderId="0" xfId="0" applyNumberFormat="1" applyFont="1" applyFill="1" applyBorder="1"/>
    <xf numFmtId="3" fontId="51" fillId="20" borderId="0" xfId="0" applyNumberFormat="1" applyFont="1" applyFill="1" applyBorder="1" applyAlignment="1">
      <alignment horizontal="right"/>
    </xf>
    <xf numFmtId="0" fontId="64" fillId="20" borderId="0" xfId="0" applyFont="1" applyFill="1" applyBorder="1" applyAlignment="1">
      <alignment horizontal="left"/>
    </xf>
    <xf numFmtId="167" fontId="54" fillId="20" borderId="0" xfId="2" applyNumberFormat="1" applyFont="1" applyFill="1" applyBorder="1"/>
    <xf numFmtId="0" fontId="54" fillId="0" borderId="0" xfId="0" applyFont="1" applyBorder="1"/>
    <xf numFmtId="0" fontId="50" fillId="20" borderId="0" xfId="0" applyFont="1" applyFill="1" applyBorder="1"/>
    <xf numFmtId="0" fontId="3" fillId="20" borderId="54" xfId="38578" applyFont="1" applyFill="1" applyBorder="1" applyAlignment="1">
      <alignment horizontal="left"/>
    </xf>
    <xf numFmtId="164" fontId="45" fillId="20" borderId="17" xfId="1" applyNumberFormat="1" applyFont="1" applyFill="1" applyBorder="1"/>
    <xf numFmtId="0" fontId="45" fillId="20" borderId="55" xfId="0" applyFont="1" applyFill="1" applyBorder="1"/>
    <xf numFmtId="0" fontId="4" fillId="20" borderId="55" xfId="0" applyFont="1" applyFill="1" applyBorder="1" applyAlignment="1">
      <alignment horizontal="center" wrapText="1"/>
    </xf>
    <xf numFmtId="38" fontId="4" fillId="20" borderId="13" xfId="0" applyNumberFormat="1" applyFont="1" applyFill="1" applyBorder="1" applyAlignment="1">
      <alignment horizontal="center"/>
    </xf>
    <xf numFmtId="38" fontId="3" fillId="20" borderId="42" xfId="0" applyNumberFormat="1" applyFont="1" applyFill="1" applyBorder="1"/>
    <xf numFmtId="0" fontId="3" fillId="20" borderId="18" xfId="0" applyFont="1" applyFill="1" applyBorder="1"/>
    <xf numFmtId="164" fontId="3" fillId="20" borderId="17" xfId="1" applyNumberFormat="1" applyFont="1" applyFill="1" applyBorder="1"/>
    <xf numFmtId="38" fontId="4" fillId="20" borderId="42" xfId="0" applyNumberFormat="1" applyFont="1" applyFill="1" applyBorder="1" applyAlignment="1">
      <alignment horizontal="center"/>
    </xf>
    <xf numFmtId="0" fontId="4" fillId="20" borderId="14" xfId="0" applyFont="1" applyFill="1" applyBorder="1" applyAlignment="1">
      <alignment horizontal="left"/>
    </xf>
    <xf numFmtId="164" fontId="46" fillId="20" borderId="0" xfId="1" applyNumberFormat="1" applyFont="1" applyFill="1" applyBorder="1" applyAlignment="1">
      <alignment horizontal="center" wrapText="1"/>
    </xf>
    <xf numFmtId="164" fontId="3" fillId="20" borderId="2" xfId="1" applyNumberFormat="1" applyFont="1" applyFill="1" applyBorder="1"/>
    <xf numFmtId="164" fontId="45" fillId="0" borderId="0" xfId="1" applyNumberFormat="1" applyFont="1"/>
    <xf numFmtId="0" fontId="45" fillId="20" borderId="18" xfId="0" applyFont="1" applyFill="1" applyBorder="1"/>
    <xf numFmtId="0" fontId="46" fillId="20" borderId="47" xfId="0" applyFont="1" applyFill="1" applyBorder="1" applyAlignment="1">
      <alignment horizontal="center" vertical="center" wrapText="1"/>
    </xf>
    <xf numFmtId="0" fontId="46" fillId="20" borderId="9" xfId="0" applyFont="1" applyFill="1" applyBorder="1" applyAlignment="1">
      <alignment horizontal="center" vertical="center" wrapText="1"/>
    </xf>
    <xf numFmtId="0" fontId="46" fillId="20" borderId="48" xfId="0" applyFont="1" applyFill="1" applyBorder="1" applyAlignment="1">
      <alignment horizontal="center" vertical="center"/>
    </xf>
    <xf numFmtId="42" fontId="45" fillId="20" borderId="0" xfId="0" applyNumberFormat="1" applyFont="1" applyFill="1" applyBorder="1"/>
    <xf numFmtId="42" fontId="45" fillId="20" borderId="13" xfId="0" applyNumberFormat="1" applyFont="1" applyFill="1" applyBorder="1"/>
    <xf numFmtId="42" fontId="45" fillId="20" borderId="2" xfId="0" applyNumberFormat="1" applyFont="1" applyFill="1" applyBorder="1"/>
    <xf numFmtId="42" fontId="45" fillId="20" borderId="19" xfId="0" applyNumberFormat="1" applyFont="1" applyFill="1" applyBorder="1"/>
    <xf numFmtId="42" fontId="46" fillId="20" borderId="19" xfId="0" applyNumberFormat="1" applyFont="1" applyFill="1" applyBorder="1"/>
    <xf numFmtId="42" fontId="46" fillId="20" borderId="13" xfId="0" applyNumberFormat="1" applyFont="1" applyFill="1" applyBorder="1" applyAlignment="1">
      <alignment horizontal="center" wrapText="1"/>
    </xf>
    <xf numFmtId="0" fontId="0" fillId="20" borderId="0" xfId="0" applyFill="1" applyBorder="1"/>
    <xf numFmtId="38" fontId="45" fillId="20" borderId="13" xfId="0" applyNumberFormat="1" applyFont="1" applyFill="1" applyBorder="1"/>
    <xf numFmtId="0" fontId="0" fillId="20" borderId="6" xfId="0" applyFill="1" applyBorder="1"/>
    <xf numFmtId="0" fontId="0" fillId="20" borderId="11" xfId="0" applyFill="1" applyBorder="1"/>
    <xf numFmtId="37" fontId="3" fillId="20" borderId="30" xfId="38578" applyNumberFormat="1" applyFont="1" applyFill="1" applyBorder="1"/>
    <xf numFmtId="37" fontId="3" fillId="20" borderId="27" xfId="38578" applyNumberFormat="1" applyFont="1" applyFill="1" applyBorder="1"/>
    <xf numFmtId="37" fontId="3" fillId="20" borderId="53" xfId="38578" applyNumberFormat="1" applyFont="1" applyFill="1" applyBorder="1"/>
    <xf numFmtId="37" fontId="3" fillId="20" borderId="23" xfId="38578" applyNumberFormat="1" applyFont="1" applyFill="1" applyBorder="1" applyAlignment="1">
      <alignment horizontal="right"/>
    </xf>
    <xf numFmtId="0" fontId="46" fillId="20" borderId="9" xfId="0" applyFont="1" applyFill="1" applyBorder="1" applyAlignment="1">
      <alignment wrapText="1"/>
    </xf>
    <xf numFmtId="0" fontId="45" fillId="20" borderId="0" xfId="0" applyFont="1" applyFill="1" applyBorder="1" applyAlignment="1">
      <alignment wrapText="1"/>
    </xf>
    <xf numFmtId="0" fontId="46" fillId="20" borderId="0" xfId="0" applyFont="1" applyFill="1" applyBorder="1"/>
    <xf numFmtId="167" fontId="45" fillId="20" borderId="38" xfId="2" applyNumberFormat="1" applyFont="1" applyFill="1" applyBorder="1"/>
    <xf numFmtId="167" fontId="45" fillId="20" borderId="0" xfId="2" applyNumberFormat="1" applyFont="1" applyFill="1" applyBorder="1"/>
    <xf numFmtId="167" fontId="46" fillId="20" borderId="2" xfId="2" applyNumberFormat="1" applyFont="1" applyFill="1" applyBorder="1" applyAlignment="1">
      <alignment horizontal="right" wrapText="1"/>
    </xf>
    <xf numFmtId="42" fontId="45" fillId="20" borderId="4" xfId="0" applyNumberFormat="1" applyFont="1" applyFill="1" applyBorder="1"/>
    <xf numFmtId="9" fontId="46" fillId="20" borderId="17" xfId="3" applyFont="1" applyFill="1" applyBorder="1" applyAlignment="1">
      <alignment horizontal="center" vertical="center"/>
    </xf>
    <xf numFmtId="9" fontId="46" fillId="20" borderId="9" xfId="3" applyFont="1" applyFill="1" applyBorder="1" applyAlignment="1">
      <alignment horizontal="center" vertical="center" wrapText="1"/>
    </xf>
    <xf numFmtId="9" fontId="0" fillId="20" borderId="0" xfId="3" applyFont="1" applyFill="1" applyBorder="1"/>
    <xf numFmtId="9" fontId="0" fillId="0" borderId="0" xfId="3" applyFont="1"/>
    <xf numFmtId="0" fontId="3" fillId="20" borderId="0" xfId="38578" applyNumberFormat="1" applyFont="1" applyFill="1" applyBorder="1" applyAlignment="1">
      <alignment horizontal="left"/>
    </xf>
    <xf numFmtId="0" fontId="0" fillId="20" borderId="17" xfId="0" applyFill="1" applyBorder="1"/>
    <xf numFmtId="0" fontId="0" fillId="20" borderId="16" xfId="0" applyFill="1" applyBorder="1"/>
    <xf numFmtId="0" fontId="0" fillId="20" borderId="13" xfId="0" applyFill="1" applyBorder="1"/>
    <xf numFmtId="0" fontId="3" fillId="20" borderId="14" xfId="38578" applyFont="1" applyFill="1" applyBorder="1" applyAlignment="1">
      <alignment horizontal="left"/>
    </xf>
    <xf numFmtId="0" fontId="3" fillId="20" borderId="55" xfId="38578" applyFont="1" applyFill="1" applyBorder="1" applyAlignment="1">
      <alignment horizontal="left"/>
    </xf>
    <xf numFmtId="0" fontId="3" fillId="20" borderId="14" xfId="38578" applyFont="1" applyFill="1" applyBorder="1"/>
    <xf numFmtId="0" fontId="67" fillId="20" borderId="0" xfId="0" applyFont="1" applyFill="1" applyBorder="1" applyAlignment="1">
      <alignment horizontal="left"/>
    </xf>
    <xf numFmtId="0" fontId="65" fillId="20" borderId="0" xfId="42327" applyFill="1" applyAlignment="1"/>
    <xf numFmtId="0" fontId="65" fillId="20" borderId="16" xfId="42327" applyFill="1" applyBorder="1" applyAlignment="1">
      <alignment horizontal="centerContinuous" wrapText="1"/>
    </xf>
    <xf numFmtId="0" fontId="65" fillId="20" borderId="17" xfId="42327" applyFill="1" applyBorder="1"/>
    <xf numFmtId="0" fontId="45" fillId="0" borderId="0" xfId="0" applyFont="1" applyAlignment="1">
      <alignment horizontal="center"/>
    </xf>
    <xf numFmtId="9" fontId="0" fillId="20" borderId="17" xfId="3" applyFont="1" applyFill="1" applyBorder="1"/>
    <xf numFmtId="0" fontId="46" fillId="20" borderId="20" xfId="0" applyFont="1" applyFill="1" applyBorder="1" applyAlignment="1">
      <alignment horizontal="center"/>
    </xf>
    <xf numFmtId="0" fontId="45" fillId="20" borderId="38" xfId="0" applyFont="1" applyFill="1" applyBorder="1" applyAlignment="1">
      <alignment wrapText="1"/>
    </xf>
    <xf numFmtId="0" fontId="45" fillId="20" borderId="2" xfId="0" applyFont="1" applyFill="1" applyBorder="1" applyAlignment="1">
      <alignment wrapText="1"/>
    </xf>
    <xf numFmtId="0" fontId="45" fillId="20" borderId="38" xfId="0" applyFont="1" applyFill="1" applyBorder="1" applyAlignment="1"/>
    <xf numFmtId="0" fontId="3" fillId="20" borderId="46" xfId="38578" applyNumberFormat="1" applyFont="1" applyFill="1" applyBorder="1"/>
    <xf numFmtId="37" fontId="3" fillId="20" borderId="53" xfId="38578" applyNumberFormat="1" applyFont="1" applyFill="1" applyBorder="1" applyAlignment="1">
      <alignment horizontal="right"/>
    </xf>
    <xf numFmtId="37" fontId="3" fillId="20" borderId="22" xfId="38578" applyNumberFormat="1" applyFont="1" applyFill="1" applyBorder="1" applyAlignment="1">
      <alignment horizontal="right"/>
    </xf>
    <xf numFmtId="180" fontId="3" fillId="0" borderId="0" xfId="0" applyNumberFormat="1" applyFont="1" applyFill="1" applyBorder="1" applyAlignment="1">
      <alignment horizontal="center"/>
    </xf>
    <xf numFmtId="0" fontId="54" fillId="20" borderId="13" xfId="0" applyFont="1" applyFill="1" applyBorder="1"/>
    <xf numFmtId="10" fontId="54" fillId="20" borderId="6" xfId="3" applyNumberFormat="1" applyFont="1" applyFill="1" applyBorder="1"/>
    <xf numFmtId="0" fontId="50" fillId="0" borderId="0" xfId="0" applyFont="1" applyFill="1" applyBorder="1" applyAlignment="1">
      <alignment horizontal="center" vertical="top" readingOrder="1"/>
    </xf>
    <xf numFmtId="0" fontId="50" fillId="20" borderId="0" xfId="0" applyFont="1" applyFill="1" applyBorder="1" applyAlignment="1">
      <alignment horizontal="left" vertical="top"/>
    </xf>
    <xf numFmtId="0" fontId="50" fillId="20" borderId="0" xfId="0" applyFont="1" applyFill="1" applyBorder="1" applyAlignment="1">
      <alignment horizontal="left" vertical="top" wrapText="1"/>
    </xf>
    <xf numFmtId="0" fontId="50" fillId="20" borderId="0" xfId="0" applyFont="1" applyFill="1" applyBorder="1" applyAlignment="1">
      <alignment horizontal="center" vertical="top"/>
    </xf>
    <xf numFmtId="167" fontId="60" fillId="20" borderId="0" xfId="0" applyNumberFormat="1" applyFont="1" applyFill="1" applyBorder="1"/>
    <xf numFmtId="0" fontId="58" fillId="20" borderId="0" xfId="0" applyFont="1" applyFill="1" applyBorder="1" applyAlignment="1">
      <alignment horizontal="left" vertical="top"/>
    </xf>
    <xf numFmtId="0" fontId="50" fillId="20" borderId="0" xfId="0" applyFont="1" applyFill="1" applyBorder="1" applyAlignment="1">
      <alignment wrapText="1"/>
    </xf>
    <xf numFmtId="167" fontId="50" fillId="20" borderId="0" xfId="2" applyNumberFormat="1" applyFont="1" applyFill="1" applyBorder="1"/>
    <xf numFmtId="0" fontId="59" fillId="20" borderId="0" xfId="0" applyFont="1" applyFill="1" applyBorder="1" applyAlignment="1">
      <alignment horizontal="center" vertical="center" wrapText="1" readingOrder="1"/>
    </xf>
    <xf numFmtId="0" fontId="54" fillId="20" borderId="17" xfId="0" applyFont="1" applyFill="1" applyBorder="1" applyAlignment="1">
      <alignment horizontal="left" vertical="top" wrapText="1"/>
    </xf>
    <xf numFmtId="0" fontId="50" fillId="20" borderId="17" xfId="0" applyFont="1" applyFill="1" applyBorder="1" applyAlignment="1">
      <alignment horizontal="center" vertical="top"/>
    </xf>
    <xf numFmtId="167" fontId="50" fillId="20" borderId="17" xfId="2" applyNumberFormat="1" applyFont="1" applyFill="1" applyBorder="1"/>
    <xf numFmtId="0" fontId="50" fillId="20" borderId="17" xfId="0" applyFont="1" applyFill="1" applyBorder="1"/>
    <xf numFmtId="0" fontId="50" fillId="20" borderId="16" xfId="0" applyFont="1" applyFill="1" applyBorder="1"/>
    <xf numFmtId="0" fontId="54" fillId="20" borderId="0" xfId="0" applyFont="1" applyFill="1" applyBorder="1" applyAlignment="1">
      <alignment horizontal="left" vertical="top" wrapText="1"/>
    </xf>
    <xf numFmtId="0" fontId="58" fillId="20" borderId="0" xfId="0" applyFont="1" applyFill="1" applyBorder="1" applyAlignment="1">
      <alignment horizontal="center" vertical="center" wrapText="1" readingOrder="1"/>
    </xf>
    <xf numFmtId="0" fontId="58" fillId="20" borderId="5"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8" xfId="0" applyFont="1" applyFill="1" applyBorder="1" applyAlignment="1">
      <alignment horizontal="center" vertical="center" wrapText="1" readingOrder="1"/>
    </xf>
    <xf numFmtId="0" fontId="58" fillId="20" borderId="13" xfId="0" applyFont="1" applyFill="1" applyBorder="1" applyAlignment="1">
      <alignment horizontal="center" vertical="center" wrapText="1" readingOrder="1"/>
    </xf>
    <xf numFmtId="0" fontId="50" fillId="20" borderId="14" xfId="0" applyFont="1" applyFill="1" applyBorder="1" applyAlignment="1">
      <alignment horizontal="left" vertical="top"/>
    </xf>
    <xf numFmtId="0" fontId="58" fillId="20" borderId="14" xfId="0" applyFont="1" applyFill="1" applyBorder="1" applyAlignment="1">
      <alignment horizontal="center" vertical="center" wrapText="1" readingOrder="1"/>
    </xf>
    <xf numFmtId="0" fontId="58" fillId="0" borderId="14" xfId="0" applyFont="1" applyFill="1" applyBorder="1" applyAlignment="1">
      <alignment horizontal="left" vertical="top"/>
    </xf>
    <xf numFmtId="0" fontId="50" fillId="20" borderId="14" xfId="0" applyFont="1" applyFill="1" applyBorder="1"/>
    <xf numFmtId="0" fontId="50" fillId="20" borderId="12" xfId="0" applyFont="1" applyFill="1" applyBorder="1" applyAlignment="1">
      <alignment horizontal="left" vertical="top"/>
    </xf>
    <xf numFmtId="0" fontId="50" fillId="20" borderId="6" xfId="0" applyFont="1" applyFill="1" applyBorder="1" applyAlignment="1">
      <alignment horizontal="left" vertical="top"/>
    </xf>
    <xf numFmtId="0" fontId="50" fillId="20" borderId="49" xfId="0" applyFont="1" applyFill="1" applyBorder="1" applyAlignment="1">
      <alignment horizontal="left" vertical="top"/>
    </xf>
    <xf numFmtId="0" fontId="50" fillId="20" borderId="38" xfId="0" applyFont="1" applyFill="1" applyBorder="1" applyAlignment="1">
      <alignment horizontal="left" vertical="top"/>
    </xf>
    <xf numFmtId="0" fontId="50" fillId="20" borderId="38" xfId="0" applyFont="1" applyFill="1" applyBorder="1" applyAlignment="1">
      <alignment horizontal="left" vertical="top" wrapText="1"/>
    </xf>
    <xf numFmtId="0" fontId="50" fillId="20" borderId="38" xfId="0" applyFont="1" applyFill="1" applyBorder="1"/>
    <xf numFmtId="0" fontId="50" fillId="20" borderId="38" xfId="0" applyFont="1" applyFill="1" applyBorder="1" applyAlignment="1">
      <alignment horizontal="center" vertical="top"/>
    </xf>
    <xf numFmtId="167" fontId="50" fillId="20" borderId="38" xfId="2" applyNumberFormat="1" applyFont="1" applyFill="1" applyBorder="1"/>
    <xf numFmtId="0" fontId="50" fillId="20" borderId="33" xfId="0" applyFont="1" applyFill="1" applyBorder="1"/>
    <xf numFmtId="0" fontId="68" fillId="20" borderId="18" xfId="0" applyFont="1" applyFill="1" applyBorder="1" applyAlignment="1">
      <alignment horizontal="left" vertical="top"/>
    </xf>
    <xf numFmtId="0" fontId="50" fillId="20" borderId="17" xfId="0" applyFont="1" applyFill="1" applyBorder="1" applyAlignment="1">
      <alignment horizontal="left" vertical="top" wrapText="1"/>
    </xf>
    <xf numFmtId="0" fontId="68" fillId="20" borderId="14" xfId="0" applyFont="1" applyFill="1" applyBorder="1" applyAlignment="1">
      <alignment horizontal="left" vertical="top"/>
    </xf>
    <xf numFmtId="0" fontId="69" fillId="20" borderId="17" xfId="0" applyFont="1" applyFill="1" applyBorder="1" applyAlignment="1">
      <alignment horizontal="left" vertical="top"/>
    </xf>
    <xf numFmtId="0" fontId="51" fillId="20" borderId="17" xfId="0" applyFont="1" applyFill="1" applyBorder="1"/>
    <xf numFmtId="0" fontId="69" fillId="20" borderId="0" xfId="0" applyFont="1" applyFill="1" applyBorder="1" applyAlignment="1">
      <alignment horizontal="left" vertical="top"/>
    </xf>
    <xf numFmtId="0" fontId="52" fillId="20" borderId="49" xfId="0" applyFont="1" applyFill="1" applyBorder="1" applyAlignment="1">
      <alignment horizontal="center" readingOrder="1"/>
    </xf>
    <xf numFmtId="0" fontId="52" fillId="20" borderId="0" xfId="0" applyFont="1" applyFill="1" applyBorder="1" applyAlignment="1">
      <alignment horizontal="center" readingOrder="1"/>
    </xf>
    <xf numFmtId="0" fontId="52" fillId="20" borderId="0" xfId="0" applyFont="1" applyFill="1" applyBorder="1" applyAlignment="1">
      <alignment horizontal="center" wrapText="1" readingOrder="1"/>
    </xf>
    <xf numFmtId="0" fontId="51" fillId="20" borderId="14" xfId="0" applyFont="1" applyFill="1" applyBorder="1" applyAlignment="1">
      <alignment horizontal="left" vertical="top"/>
    </xf>
    <xf numFmtId="0" fontId="51" fillId="20" borderId="0" xfId="0" applyFont="1" applyFill="1" applyBorder="1" applyAlignment="1">
      <alignment horizontal="left" vertical="top"/>
    </xf>
    <xf numFmtId="0" fontId="50" fillId="26" borderId="14" xfId="0" applyFont="1" applyFill="1" applyBorder="1" applyAlignment="1">
      <alignment horizontal="left" vertical="top"/>
    </xf>
    <xf numFmtId="0" fontId="51" fillId="26" borderId="0" xfId="0" applyFont="1" applyFill="1" applyBorder="1" applyAlignment="1">
      <alignment horizontal="left" vertical="top"/>
    </xf>
    <xf numFmtId="0" fontId="51" fillId="26" borderId="0" xfId="0" applyFont="1" applyFill="1" applyBorder="1"/>
    <xf numFmtId="0" fontId="51" fillId="26" borderId="13" xfId="0" applyFont="1" applyFill="1" applyBorder="1"/>
    <xf numFmtId="0" fontId="51" fillId="20" borderId="12" xfId="0" applyFont="1" applyFill="1" applyBorder="1"/>
    <xf numFmtId="0" fontId="65" fillId="20" borderId="16" xfId="42327" applyFill="1" applyBorder="1"/>
    <xf numFmtId="0" fontId="52" fillId="20" borderId="13" xfId="0" applyFont="1" applyFill="1" applyBorder="1" applyAlignment="1">
      <alignment horizontal="center" readingOrder="1"/>
    </xf>
    <xf numFmtId="0" fontId="51" fillId="20" borderId="6" xfId="0" applyFont="1" applyFill="1" applyBorder="1" applyAlignment="1">
      <alignment horizontal="left" vertical="top"/>
    </xf>
    <xf numFmtId="0" fontId="51" fillId="20" borderId="16" xfId="0" applyFont="1" applyFill="1" applyBorder="1" applyAlignment="1">
      <alignment horizontal="centerContinuous" wrapText="1"/>
    </xf>
    <xf numFmtId="0" fontId="0" fillId="20" borderId="14" xfId="0" applyFill="1" applyBorder="1"/>
    <xf numFmtId="0" fontId="51" fillId="20" borderId="20" xfId="0" applyFont="1" applyFill="1" applyBorder="1" applyAlignment="1">
      <alignment horizontal="center"/>
    </xf>
    <xf numFmtId="37" fontId="3" fillId="20" borderId="15" xfId="42319" applyNumberFormat="1" applyFont="1" applyFill="1" applyBorder="1" applyAlignment="1">
      <alignment horizontal="center"/>
    </xf>
    <xf numFmtId="0" fontId="65" fillId="20" borderId="13" xfId="42327" applyFill="1" applyBorder="1" applyAlignment="1">
      <alignment horizontal="centerContinuous" wrapText="1"/>
    </xf>
    <xf numFmtId="0" fontId="65" fillId="20" borderId="16" xfId="42327" applyFill="1" applyBorder="1" applyAlignment="1">
      <alignment horizontal="left" wrapText="1"/>
    </xf>
    <xf numFmtId="0" fontId="65" fillId="20" borderId="17" xfId="42327" applyFill="1" applyBorder="1" applyAlignment="1">
      <alignment horizontal="left"/>
    </xf>
    <xf numFmtId="0" fontId="51" fillId="20" borderId="18" xfId="0" applyFont="1" applyFill="1" applyBorder="1" applyAlignment="1">
      <alignment horizontal="left" vertical="top"/>
    </xf>
    <xf numFmtId="0" fontId="3" fillId="20" borderId="0" xfId="38578" applyFont="1" applyFill="1" applyBorder="1"/>
    <xf numFmtId="37" fontId="0" fillId="0" borderId="0" xfId="0" applyNumberFormat="1"/>
    <xf numFmtId="0" fontId="62" fillId="0" borderId="0" xfId="0" applyFont="1" applyFill="1" applyBorder="1" applyAlignment="1">
      <alignment vertical="top"/>
    </xf>
    <xf numFmtId="0" fontId="1" fillId="20" borderId="0" xfId="13" applyNumberFormat="1" applyFill="1" applyBorder="1" applyAlignment="1">
      <alignment wrapText="1"/>
    </xf>
    <xf numFmtId="3" fontId="3" fillId="20" borderId="0" xfId="42319" applyNumberFormat="1" applyFont="1" applyFill="1" applyBorder="1" applyAlignment="1">
      <alignment horizontal="right"/>
    </xf>
    <xf numFmtId="0" fontId="56" fillId="20" borderId="14" xfId="0" applyFont="1" applyFill="1" applyBorder="1"/>
    <xf numFmtId="0" fontId="56" fillId="20" borderId="0" xfId="0" applyFont="1" applyFill="1" applyBorder="1"/>
    <xf numFmtId="0" fontId="67" fillId="20" borderId="14" xfId="0" applyFont="1" applyFill="1" applyBorder="1" applyAlignment="1">
      <alignment horizontal="left"/>
    </xf>
    <xf numFmtId="0" fontId="0" fillId="20" borderId="0" xfId="0" applyFill="1" applyBorder="1" applyAlignment="1">
      <alignment horizontal="left"/>
    </xf>
    <xf numFmtId="0" fontId="0" fillId="20" borderId="13" xfId="0" applyFill="1" applyBorder="1" applyAlignment="1">
      <alignment horizontal="left"/>
    </xf>
    <xf numFmtId="0" fontId="65" fillId="20" borderId="0" xfId="42327" applyFill="1" applyBorder="1"/>
    <xf numFmtId="0" fontId="0" fillId="20" borderId="12" xfId="0" applyFill="1" applyBorder="1"/>
    <xf numFmtId="0" fontId="65" fillId="20" borderId="6" xfId="42327" applyFill="1" applyBorder="1"/>
    <xf numFmtId="0" fontId="54" fillId="20" borderId="11" xfId="0" applyFont="1" applyFill="1" applyBorder="1"/>
    <xf numFmtId="9" fontId="45" fillId="20" borderId="0" xfId="3" applyNumberFormat="1" applyFont="1" applyFill="1" applyBorder="1"/>
    <xf numFmtId="181" fontId="45" fillId="20" borderId="0" xfId="3" applyNumberFormat="1" applyFont="1" applyFill="1" applyBorder="1"/>
    <xf numFmtId="167" fontId="45" fillId="20" borderId="9" xfId="2" applyNumberFormat="1" applyFont="1" applyFill="1" applyBorder="1"/>
    <xf numFmtId="167" fontId="45" fillId="20" borderId="48" xfId="2" applyNumberFormat="1" applyFont="1" applyFill="1" applyBorder="1"/>
    <xf numFmtId="167" fontId="46" fillId="20" borderId="2" xfId="2" applyNumberFormat="1" applyFont="1" applyFill="1" applyBorder="1"/>
    <xf numFmtId="4" fontId="60" fillId="0" borderId="0" xfId="0" applyNumberFormat="1" applyFont="1" applyFill="1" applyBorder="1" applyAlignment="1">
      <alignment wrapText="1"/>
    </xf>
    <xf numFmtId="0" fontId="60" fillId="0" borderId="0" xfId="0" applyFont="1" applyFill="1" applyBorder="1" applyAlignment="1">
      <alignment wrapText="1"/>
    </xf>
    <xf numFmtId="164" fontId="4" fillId="0" borderId="0" xfId="1" applyNumberFormat="1" applyFont="1" applyFill="1" applyBorder="1" applyAlignment="1">
      <alignment horizontal="center"/>
    </xf>
    <xf numFmtId="164" fontId="4" fillId="0" borderId="0" xfId="1" applyNumberFormat="1" applyFont="1" applyFill="1" applyBorder="1" applyAlignment="1">
      <alignment horizontal="center" wrapText="1"/>
    </xf>
    <xf numFmtId="164" fontId="4" fillId="0" borderId="2" xfId="1" applyNumberFormat="1" applyFont="1" applyFill="1" applyBorder="1"/>
    <xf numFmtId="164" fontId="4" fillId="0" borderId="41" xfId="1" applyNumberFormat="1" applyFont="1" applyFill="1" applyBorder="1"/>
    <xf numFmtId="43" fontId="45" fillId="20" borderId="17" xfId="1" applyNumberFormat="1" applyFont="1" applyFill="1" applyBorder="1"/>
    <xf numFmtId="43" fontId="45" fillId="20" borderId="0" xfId="1" applyNumberFormat="1" applyFont="1" applyFill="1" applyBorder="1"/>
    <xf numFmtId="43" fontId="4" fillId="20" borderId="0" xfId="1" applyNumberFormat="1" applyFont="1" applyFill="1" applyBorder="1" applyAlignment="1">
      <alignment horizontal="center" wrapText="1"/>
    </xf>
    <xf numFmtId="43" fontId="46" fillId="20" borderId="0" xfId="1" applyNumberFormat="1" applyFont="1" applyFill="1" applyBorder="1" applyAlignment="1">
      <alignment horizontal="center"/>
    </xf>
    <xf numFmtId="43" fontId="45" fillId="0" borderId="0" xfId="1" applyNumberFormat="1" applyFont="1"/>
    <xf numFmtId="0" fontId="0" fillId="0" borderId="0" xfId="0" applyAlignment="1">
      <alignment horizontal="center"/>
    </xf>
    <xf numFmtId="164" fontId="3" fillId="20" borderId="0" xfId="1" applyNumberFormat="1" applyFont="1" applyFill="1" applyBorder="1" applyAlignment="1">
      <alignment horizontal="center" wrapText="1"/>
    </xf>
    <xf numFmtId="164" fontId="3" fillId="20" borderId="13" xfId="1" applyNumberFormat="1" applyFont="1" applyFill="1" applyBorder="1" applyAlignment="1">
      <alignment horizontal="center" wrapText="1"/>
    </xf>
    <xf numFmtId="38" fontId="3" fillId="20" borderId="13" xfId="0" applyNumberFormat="1" applyFont="1" applyFill="1" applyBorder="1" applyAlignment="1">
      <alignment horizontal="center"/>
    </xf>
    <xf numFmtId="0" fontId="71" fillId="0" borderId="0" xfId="0" applyFont="1"/>
    <xf numFmtId="0" fontId="72" fillId="0" borderId="0" xfId="0" applyFont="1"/>
    <xf numFmtId="0" fontId="72" fillId="0" borderId="0" xfId="0" applyFont="1" applyBorder="1"/>
    <xf numFmtId="38" fontId="3" fillId="20" borderId="0" xfId="0" applyNumberFormat="1" applyFont="1" applyFill="1" applyBorder="1" applyAlignment="1">
      <alignment horizontal="right" wrapText="1"/>
    </xf>
    <xf numFmtId="0" fontId="3" fillId="20" borderId="13" xfId="38578" applyFont="1" applyFill="1" applyBorder="1"/>
    <xf numFmtId="0" fontId="0" fillId="0" borderId="0" xfId="0" applyBorder="1" applyAlignment="1">
      <alignment horizontal="center"/>
    </xf>
    <xf numFmtId="164" fontId="54" fillId="20" borderId="0" xfId="1" applyNumberFormat="1" applyFont="1" applyFill="1" applyBorder="1"/>
    <xf numFmtId="37" fontId="3" fillId="20" borderId="8" xfId="38578" applyNumberFormat="1" applyFont="1" applyFill="1" applyBorder="1"/>
    <xf numFmtId="0" fontId="3" fillId="0" borderId="17" xfId="38578" applyNumberFormat="1" applyFont="1" applyFill="1" applyBorder="1"/>
    <xf numFmtId="38" fontId="3" fillId="20" borderId="11" xfId="0" applyNumberFormat="1" applyFont="1" applyFill="1" applyBorder="1" applyAlignment="1">
      <alignment horizontal="center"/>
    </xf>
    <xf numFmtId="164" fontId="45" fillId="20" borderId="42" xfId="1" applyNumberFormat="1" applyFont="1" applyFill="1" applyBorder="1" applyAlignment="1">
      <alignment horizontal="center"/>
    </xf>
    <xf numFmtId="0" fontId="3" fillId="20" borderId="2" xfId="0" applyFont="1" applyFill="1" applyBorder="1"/>
    <xf numFmtId="0" fontId="3" fillId="20" borderId="55" xfId="0" applyFont="1" applyFill="1" applyBorder="1" applyAlignment="1">
      <alignment horizontal="left" wrapText="1"/>
    </xf>
    <xf numFmtId="0" fontId="3" fillId="20" borderId="56" xfId="0" applyFont="1" applyFill="1" applyBorder="1" applyAlignment="1">
      <alignment horizontal="left"/>
    </xf>
    <xf numFmtId="164" fontId="46" fillId="20" borderId="45" xfId="1" applyNumberFormat="1" applyFont="1" applyFill="1" applyBorder="1"/>
    <xf numFmtId="38" fontId="45" fillId="20" borderId="2" xfId="0" applyNumberFormat="1" applyFont="1" applyFill="1" applyBorder="1"/>
    <xf numFmtId="164" fontId="45" fillId="20" borderId="19" xfId="0" applyNumberFormat="1" applyFont="1" applyFill="1" applyBorder="1"/>
    <xf numFmtId="10" fontId="51" fillId="20" borderId="0" xfId="3" applyNumberFormat="1" applyFont="1" applyFill="1" applyBorder="1"/>
    <xf numFmtId="0" fontId="60" fillId="0" borderId="0" xfId="0" applyFont="1" applyAlignment="1">
      <alignment wrapText="1"/>
    </xf>
    <xf numFmtId="4" fontId="60" fillId="0" borderId="0" xfId="0" applyNumberFormat="1" applyFont="1" applyAlignment="1">
      <alignment wrapText="1"/>
    </xf>
    <xf numFmtId="4" fontId="60" fillId="0" borderId="0" xfId="0" applyNumberFormat="1" applyFont="1" applyBorder="1" applyAlignment="1">
      <alignment wrapText="1"/>
    </xf>
    <xf numFmtId="0" fontId="60" fillId="0" borderId="0" xfId="0" applyFont="1" applyBorder="1" applyAlignment="1">
      <alignment wrapText="1"/>
    </xf>
    <xf numFmtId="0" fontId="45" fillId="0" borderId="0" xfId="0" applyFont="1" applyFill="1" applyBorder="1"/>
    <xf numFmtId="0" fontId="1" fillId="0" borderId="0" xfId="0" applyFont="1" applyFill="1" applyBorder="1"/>
    <xf numFmtId="0" fontId="1" fillId="0" borderId="0" xfId="0" applyFont="1" applyBorder="1"/>
    <xf numFmtId="0" fontId="1" fillId="0" borderId="0" xfId="0" applyFont="1" applyFill="1" applyBorder="1" applyAlignment="1">
      <alignment horizontal="left"/>
    </xf>
    <xf numFmtId="164" fontId="65" fillId="0" borderId="0" xfId="42327" applyNumberFormat="1" applyFill="1" applyBorder="1" applyAlignment="1">
      <alignment horizontal="center"/>
    </xf>
    <xf numFmtId="167" fontId="3" fillId="20" borderId="2" xfId="2" applyNumberFormat="1" applyFont="1" applyFill="1" applyBorder="1"/>
    <xf numFmtId="164" fontId="45" fillId="20" borderId="6" xfId="1" applyNumberFormat="1" applyFont="1" applyFill="1" applyBorder="1"/>
    <xf numFmtId="42" fontId="46" fillId="20" borderId="0" xfId="0" applyNumberFormat="1" applyFont="1" applyFill="1" applyBorder="1" applyAlignment="1">
      <alignment horizontal="center" wrapText="1"/>
    </xf>
    <xf numFmtId="167" fontId="46" fillId="20" borderId="0" xfId="0" applyNumberFormat="1" applyFont="1" applyFill="1" applyBorder="1" applyAlignment="1">
      <alignment horizontal="center" vertical="center" wrapText="1"/>
    </xf>
    <xf numFmtId="167" fontId="3" fillId="20" borderId="0" xfId="2" applyNumberFormat="1" applyFont="1" applyFill="1" applyBorder="1"/>
    <xf numFmtId="167" fontId="45" fillId="20" borderId="0" xfId="2" applyNumberFormat="1" applyFont="1" applyFill="1" applyBorder="1" applyAlignment="1">
      <alignment horizontal="center" vertical="center" wrapText="1"/>
    </xf>
    <xf numFmtId="167" fontId="3" fillId="20" borderId="0" xfId="2" applyNumberFormat="1" applyFont="1" applyFill="1"/>
    <xf numFmtId="167" fontId="45" fillId="0" borderId="38" xfId="2" applyNumberFormat="1" applyFont="1" applyFill="1" applyBorder="1"/>
    <xf numFmtId="0" fontId="73" fillId="0" borderId="0" xfId="0" applyFont="1" applyFill="1" applyBorder="1" applyAlignment="1">
      <alignment horizontal="left"/>
    </xf>
    <xf numFmtId="0" fontId="3" fillId="20" borderId="0" xfId="38578" applyFont="1" applyFill="1" applyAlignment="1">
      <alignment wrapText="1"/>
    </xf>
    <xf numFmtId="167" fontId="45" fillId="20" borderId="38" xfId="2" applyNumberFormat="1" applyFont="1" applyFill="1" applyBorder="1" applyAlignment="1">
      <alignment wrapText="1"/>
    </xf>
    <xf numFmtId="167" fontId="45" fillId="20" borderId="38" xfId="2" applyNumberFormat="1" applyFont="1" applyFill="1" applyBorder="1" applyAlignment="1"/>
    <xf numFmtId="167" fontId="45" fillId="20" borderId="2" xfId="2" applyNumberFormat="1" applyFont="1" applyFill="1" applyBorder="1" applyAlignment="1">
      <alignment wrapText="1"/>
    </xf>
    <xf numFmtId="38" fontId="3" fillId="0" borderId="0" xfId="42319" applyFont="1" applyFill="1" applyBorder="1" applyAlignment="1">
      <alignment horizontal="right"/>
    </xf>
    <xf numFmtId="0" fontId="64" fillId="20" borderId="2" xfId="0" applyFont="1" applyFill="1" applyBorder="1" applyAlignment="1">
      <alignment horizontal="left"/>
    </xf>
    <xf numFmtId="5" fontId="54" fillId="20" borderId="2" xfId="0" applyNumberFormat="1" applyFont="1" applyFill="1" applyBorder="1"/>
    <xf numFmtId="38" fontId="64" fillId="22" borderId="2" xfId="0" applyNumberFormat="1" applyFont="1" applyFill="1" applyBorder="1"/>
    <xf numFmtId="0" fontId="51" fillId="20" borderId="45" xfId="0" applyFont="1" applyFill="1" applyBorder="1" applyAlignment="1">
      <alignment horizontal="center"/>
    </xf>
    <xf numFmtId="0" fontId="54" fillId="20" borderId="12" xfId="0" applyFont="1" applyFill="1" applyBorder="1"/>
    <xf numFmtId="0" fontId="50" fillId="20" borderId="6" xfId="0" applyFont="1" applyFill="1" applyBorder="1"/>
    <xf numFmtId="0" fontId="50" fillId="20" borderId="11" xfId="0" applyFont="1" applyFill="1" applyBorder="1"/>
    <xf numFmtId="0" fontId="53" fillId="20" borderId="18" xfId="0" applyFont="1" applyFill="1" applyBorder="1" applyAlignment="1">
      <alignment horizontal="centerContinuous" wrapText="1"/>
    </xf>
    <xf numFmtId="0" fontId="53" fillId="20" borderId="14" xfId="0" applyFont="1" applyFill="1" applyBorder="1" applyAlignment="1">
      <alignment horizontal="centerContinuous" wrapText="1"/>
    </xf>
    <xf numFmtId="0" fontId="51" fillId="20" borderId="14" xfId="0" applyFont="1" applyFill="1" applyBorder="1" applyAlignment="1">
      <alignment horizontal="centerContinuous" wrapText="1"/>
    </xf>
    <xf numFmtId="9" fontId="64" fillId="20" borderId="2" xfId="3" applyFont="1" applyFill="1" applyBorder="1"/>
    <xf numFmtId="38" fontId="64" fillId="20" borderId="2" xfId="0" applyNumberFormat="1" applyFont="1" applyFill="1" applyBorder="1"/>
    <xf numFmtId="164" fontId="3" fillId="20" borderId="10" xfId="1" applyNumberFormat="1" applyFont="1" applyFill="1" applyBorder="1" applyAlignment="1">
      <alignment horizontal="right"/>
    </xf>
    <xf numFmtId="164" fontId="3" fillId="20" borderId="0" xfId="1" applyNumberFormat="1" applyFont="1" applyFill="1" applyBorder="1" applyAlignment="1">
      <alignment horizontal="right"/>
    </xf>
    <xf numFmtId="164" fontId="3" fillId="20" borderId="8" xfId="1" applyNumberFormat="1" applyFont="1" applyFill="1" applyBorder="1" applyAlignment="1">
      <alignment horizontal="right"/>
    </xf>
    <xf numFmtId="164" fontId="3" fillId="20" borderId="29" xfId="1" applyNumberFormat="1" applyFont="1" applyFill="1" applyBorder="1" applyAlignment="1">
      <alignment horizontal="right"/>
    </xf>
    <xf numFmtId="164" fontId="3" fillId="20" borderId="9" xfId="1" applyNumberFormat="1" applyFont="1" applyFill="1" applyBorder="1"/>
    <xf numFmtId="38" fontId="3" fillId="20" borderId="0" xfId="19386" applyNumberFormat="1" applyFont="1" applyFill="1" applyBorder="1"/>
    <xf numFmtId="38" fontId="3" fillId="20" borderId="6" xfId="0" applyNumberFormat="1" applyFont="1" applyFill="1" applyBorder="1" applyAlignment="1">
      <alignment horizontal="left" vertical="center"/>
    </xf>
    <xf numFmtId="38" fontId="3" fillId="20" borderId="44" xfId="38792" applyNumberFormat="1" applyFont="1" applyFill="1" applyBorder="1"/>
    <xf numFmtId="164" fontId="3" fillId="20" borderId="41" xfId="5447" applyNumberFormat="1" applyFont="1" applyFill="1" applyBorder="1"/>
    <xf numFmtId="3" fontId="3" fillId="20" borderId="0" xfId="18360" applyNumberFormat="1" applyFont="1" applyFill="1" applyBorder="1" applyAlignment="1">
      <alignment horizontal="right"/>
    </xf>
    <xf numFmtId="0" fontId="65" fillId="20" borderId="47" xfId="42327" applyFont="1" applyFill="1" applyBorder="1" applyAlignment="1">
      <alignment horizontal="right"/>
    </xf>
    <xf numFmtId="0" fontId="45" fillId="20" borderId="20" xfId="0" applyFont="1" applyFill="1" applyBorder="1"/>
    <xf numFmtId="0" fontId="3" fillId="0" borderId="57" xfId="0" applyFont="1" applyFill="1" applyBorder="1" applyAlignment="1">
      <alignment wrapText="1"/>
    </xf>
    <xf numFmtId="0" fontId="3" fillId="0" borderId="58" xfId="0" applyFont="1" applyFill="1" applyBorder="1" applyAlignment="1">
      <alignment wrapText="1"/>
    </xf>
    <xf numFmtId="0" fontId="51" fillId="0" borderId="58" xfId="0" applyFont="1" applyFill="1" applyBorder="1" applyAlignment="1">
      <alignment wrapText="1"/>
    </xf>
    <xf numFmtId="0" fontId="3" fillId="0" borderId="57" xfId="0" applyFont="1" applyFill="1" applyBorder="1"/>
    <xf numFmtId="0" fontId="3" fillId="0" borderId="59" xfId="0" applyFont="1" applyFill="1" applyBorder="1" applyAlignment="1">
      <alignment wrapText="1"/>
    </xf>
    <xf numFmtId="0" fontId="3" fillId="0" borderId="60" xfId="0" applyFont="1" applyFill="1" applyBorder="1" applyAlignment="1">
      <alignment wrapText="1"/>
    </xf>
    <xf numFmtId="0" fontId="51" fillId="22" borderId="14" xfId="0" applyFont="1" applyFill="1" applyBorder="1" applyAlignment="1">
      <alignment horizontal="left" vertical="top"/>
    </xf>
    <xf numFmtId="0" fontId="3" fillId="0" borderId="0" xfId="0" applyFont="1" applyBorder="1"/>
    <xf numFmtId="164" fontId="3" fillId="20" borderId="19" xfId="1" applyNumberFormat="1" applyFont="1" applyFill="1" applyBorder="1"/>
    <xf numFmtId="164" fontId="45" fillId="20" borderId="12" xfId="1" applyNumberFormat="1" applyFont="1" applyFill="1" applyBorder="1"/>
    <xf numFmtId="164" fontId="45" fillId="20" borderId="61" xfId="1" applyNumberFormat="1" applyFont="1" applyFill="1" applyBorder="1"/>
    <xf numFmtId="10" fontId="45" fillId="20" borderId="6" xfId="3" applyNumberFormat="1" applyFont="1" applyFill="1" applyBorder="1"/>
    <xf numFmtId="9" fontId="45" fillId="20" borderId="62" xfId="3" applyFont="1" applyFill="1" applyBorder="1"/>
    <xf numFmtId="9" fontId="45" fillId="20" borderId="5" xfId="3" applyFont="1" applyFill="1" applyBorder="1"/>
    <xf numFmtId="9" fontId="45" fillId="20" borderId="63" xfId="3" applyFont="1" applyFill="1" applyBorder="1"/>
    <xf numFmtId="9" fontId="45" fillId="20" borderId="64" xfId="3" applyFont="1" applyFill="1" applyBorder="1"/>
    <xf numFmtId="9" fontId="46" fillId="20" borderId="44" xfId="3" applyFont="1" applyFill="1" applyBorder="1"/>
    <xf numFmtId="9" fontId="45" fillId="20" borderId="65" xfId="3" applyFont="1" applyFill="1" applyBorder="1"/>
    <xf numFmtId="9" fontId="45" fillId="20" borderId="44" xfId="3" applyFont="1" applyFill="1" applyBorder="1"/>
    <xf numFmtId="9" fontId="46" fillId="20" borderId="5" xfId="3" applyFont="1" applyFill="1" applyBorder="1" applyAlignment="1">
      <alignment horizontal="center" vertical="center" wrapText="1"/>
    </xf>
    <xf numFmtId="42" fontId="45" fillId="20" borderId="5" xfId="0" applyNumberFormat="1" applyFont="1" applyFill="1" applyBorder="1"/>
    <xf numFmtId="9" fontId="45" fillId="20" borderId="43" xfId="3" applyFont="1" applyFill="1" applyBorder="1"/>
    <xf numFmtId="9" fontId="46" fillId="20" borderId="63" xfId="3" applyFont="1" applyFill="1" applyBorder="1" applyAlignment="1">
      <alignment horizontal="right" wrapText="1"/>
    </xf>
    <xf numFmtId="9" fontId="0" fillId="20" borderId="5" xfId="3" applyFont="1" applyFill="1" applyBorder="1"/>
    <xf numFmtId="164" fontId="51" fillId="20" borderId="0" xfId="1" applyNumberFormat="1" applyFont="1" applyFill="1" applyBorder="1"/>
    <xf numFmtId="164" fontId="51" fillId="20" borderId="0" xfId="1" applyNumberFormat="1" applyFont="1" applyFill="1" applyBorder="1" applyAlignment="1">
      <alignment wrapText="1"/>
    </xf>
    <xf numFmtId="164" fontId="51" fillId="20" borderId="0" xfId="1" applyNumberFormat="1" applyFont="1" applyFill="1" applyBorder="1" applyAlignment="1">
      <alignment horizontal="right"/>
    </xf>
    <xf numFmtId="164" fontId="64" fillId="20" borderId="2" xfId="1" applyNumberFormat="1" applyFont="1" applyFill="1" applyBorder="1"/>
    <xf numFmtId="164" fontId="51" fillId="20" borderId="13" xfId="1" applyNumberFormat="1" applyFont="1" applyFill="1" applyBorder="1"/>
    <xf numFmtId="164" fontId="51" fillId="20" borderId="13" xfId="1" applyNumberFormat="1" applyFont="1" applyFill="1" applyBorder="1" applyAlignment="1">
      <alignment wrapText="1"/>
    </xf>
    <xf numFmtId="164" fontId="51" fillId="20" borderId="13" xfId="1" applyNumberFormat="1" applyFont="1" applyFill="1" applyBorder="1" applyAlignment="1">
      <alignment horizontal="right"/>
    </xf>
    <xf numFmtId="164" fontId="54" fillId="20" borderId="13" xfId="1" applyNumberFormat="1" applyFont="1" applyFill="1" applyBorder="1"/>
    <xf numFmtId="164" fontId="64" fillId="20" borderId="19" xfId="1" applyNumberFormat="1" applyFont="1" applyFill="1" applyBorder="1"/>
    <xf numFmtId="164" fontId="50" fillId="20" borderId="0" xfId="1" applyNumberFormat="1" applyFont="1" applyFill="1" applyBorder="1"/>
    <xf numFmtId="164" fontId="50" fillId="20" borderId="13" xfId="1" applyNumberFormat="1" applyFont="1" applyFill="1" applyBorder="1"/>
    <xf numFmtId="0" fontId="45" fillId="20" borderId="42" xfId="0" applyFont="1" applyFill="1" applyBorder="1" applyAlignment="1">
      <alignment horizontal="right"/>
    </xf>
    <xf numFmtId="0" fontId="45" fillId="20" borderId="48" xfId="0" applyFont="1" applyFill="1" applyBorder="1" applyAlignment="1">
      <alignment horizontal="right"/>
    </xf>
    <xf numFmtId="0" fontId="51" fillId="0" borderId="57" xfId="0" applyFont="1" applyFill="1" applyBorder="1" applyAlignment="1">
      <alignment wrapText="1"/>
    </xf>
    <xf numFmtId="0" fontId="65" fillId="20" borderId="0" xfId="42327" applyFill="1" applyBorder="1" applyAlignment="1">
      <alignment horizontal="left"/>
    </xf>
    <xf numFmtId="0" fontId="2" fillId="20" borderId="14" xfId="0" applyFont="1" applyFill="1" applyBorder="1" applyAlignment="1">
      <alignment horizontal="center"/>
    </xf>
    <xf numFmtId="0" fontId="2" fillId="20" borderId="0" xfId="0" applyFont="1" applyFill="1" applyBorder="1" applyAlignment="1">
      <alignment horizontal="center"/>
    </xf>
    <xf numFmtId="0" fontId="2" fillId="20" borderId="13" xfId="0" applyFont="1" applyFill="1" applyBorder="1" applyAlignment="1">
      <alignment horizontal="center"/>
    </xf>
    <xf numFmtId="0" fontId="3" fillId="20" borderId="0" xfId="38578" applyFont="1" applyFill="1" applyBorder="1" applyAlignment="1">
      <alignment wrapText="1"/>
    </xf>
    <xf numFmtId="0" fontId="3" fillId="20" borderId="0" xfId="38578" applyFont="1" applyFill="1" applyBorder="1" applyAlignment="1">
      <alignment horizontal="left"/>
    </xf>
    <xf numFmtId="0" fontId="3" fillId="20" borderId="0" xfId="38578" applyFont="1" applyFill="1" applyBorder="1" applyAlignment="1"/>
    <xf numFmtId="0" fontId="3" fillId="20" borderId="13" xfId="38578" applyFont="1" applyFill="1" applyBorder="1" applyAlignment="1"/>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42" fontId="45" fillId="20" borderId="0" xfId="0" quotePrefix="1" applyNumberFormat="1" applyFont="1" applyFill="1" applyBorder="1"/>
    <xf numFmtId="42" fontId="45" fillId="0" borderId="0" xfId="0" applyNumberFormat="1" applyFont="1" applyFill="1" applyBorder="1"/>
    <xf numFmtId="0" fontId="46" fillId="20" borderId="17" xfId="0" applyFont="1" applyFill="1" applyBorder="1" applyAlignment="1">
      <alignment horizontal="center" vertical="center" wrapText="1"/>
    </xf>
    <xf numFmtId="0" fontId="45" fillId="20" borderId="9" xfId="0" applyFont="1" applyFill="1" applyBorder="1" applyAlignment="1">
      <alignment horizontal="center" vertical="center" wrapText="1"/>
    </xf>
    <xf numFmtId="0" fontId="45" fillId="20" borderId="0" xfId="0" applyFont="1" applyFill="1" applyBorder="1" applyAlignment="1">
      <alignment horizontal="center"/>
    </xf>
    <xf numFmtId="167" fontId="46" fillId="27" borderId="2" xfId="2" applyNumberFormat="1" applyFont="1" applyFill="1" applyBorder="1" applyAlignment="1">
      <alignment horizontal="right" wrapText="1"/>
    </xf>
    <xf numFmtId="0" fontId="45" fillId="20" borderId="41" xfId="0" applyFont="1" applyFill="1" applyBorder="1" applyAlignment="1">
      <alignment wrapText="1"/>
    </xf>
    <xf numFmtId="167" fontId="45" fillId="20" borderId="41" xfId="2" applyNumberFormat="1" applyFont="1" applyFill="1" applyBorder="1" applyAlignment="1">
      <alignment wrapText="1"/>
    </xf>
    <xf numFmtId="9" fontId="46" fillId="20" borderId="44" xfId="3" applyFont="1" applyFill="1" applyBorder="1" applyAlignment="1">
      <alignment horizontal="right" wrapText="1"/>
    </xf>
    <xf numFmtId="167" fontId="46" fillId="20" borderId="41" xfId="2" applyNumberFormat="1" applyFont="1" applyFill="1" applyBorder="1" applyAlignment="1">
      <alignment horizontal="right" wrapText="1"/>
    </xf>
    <xf numFmtId="167" fontId="46" fillId="27" borderId="41" xfId="2" applyNumberFormat="1" applyFont="1" applyFill="1" applyBorder="1" applyAlignment="1">
      <alignment horizontal="right" wrapText="1"/>
    </xf>
    <xf numFmtId="42" fontId="46" fillId="20" borderId="2" xfId="0" applyNumberFormat="1" applyFont="1" applyFill="1" applyBorder="1"/>
    <xf numFmtId="167" fontId="0" fillId="0" borderId="0" xfId="0" applyNumberFormat="1" applyBorder="1"/>
    <xf numFmtId="42" fontId="45" fillId="0" borderId="13" xfId="0" applyNumberFormat="1" applyFont="1" applyFill="1" applyBorder="1"/>
    <xf numFmtId="167" fontId="46" fillId="27" borderId="19" xfId="2" applyNumberFormat="1" applyFont="1" applyFill="1" applyBorder="1"/>
    <xf numFmtId="42" fontId="46" fillId="27" borderId="13" xfId="0" applyNumberFormat="1" applyFont="1" applyFill="1" applyBorder="1"/>
    <xf numFmtId="0" fontId="46" fillId="27" borderId="0" xfId="0" applyFont="1" applyFill="1" applyBorder="1"/>
    <xf numFmtId="0" fontId="45" fillId="27" borderId="2" xfId="0" applyFont="1" applyFill="1" applyBorder="1"/>
    <xf numFmtId="0" fontId="45" fillId="27" borderId="2" xfId="0" applyFont="1" applyFill="1" applyBorder="1" applyAlignment="1">
      <alignment wrapText="1"/>
    </xf>
    <xf numFmtId="0" fontId="45" fillId="27" borderId="41" xfId="0" applyFont="1" applyFill="1" applyBorder="1" applyAlignment="1">
      <alignment wrapText="1"/>
    </xf>
    <xf numFmtId="0" fontId="45" fillId="20" borderId="0" xfId="0" applyFont="1" applyFill="1" applyBorder="1" applyAlignment="1">
      <alignment horizontal="center" vertical="top"/>
    </xf>
    <xf numFmtId="0" fontId="45" fillId="0" borderId="2" xfId="0" applyFont="1" applyFill="1" applyBorder="1" applyAlignment="1">
      <alignment wrapText="1"/>
    </xf>
    <xf numFmtId="0" fontId="2" fillId="0" borderId="9" xfId="0" applyFont="1" applyBorder="1"/>
    <xf numFmtId="0" fontId="2" fillId="0" borderId="9" xfId="0" applyFont="1" applyBorder="1" applyAlignment="1">
      <alignment horizontal="center"/>
    </xf>
    <xf numFmtId="167" fontId="2" fillId="0" borderId="9" xfId="2" applyNumberFormat="1" applyFont="1" applyBorder="1"/>
    <xf numFmtId="14" fontId="0" fillId="0" borderId="0" xfId="0" applyNumberFormat="1"/>
    <xf numFmtId="167" fontId="1" fillId="0" borderId="0" xfId="2" applyNumberFormat="1" applyFont="1" applyBorder="1"/>
    <xf numFmtId="167" fontId="0" fillId="0" borderId="0" xfId="2" applyNumberFormat="1" applyFont="1"/>
    <xf numFmtId="164" fontId="51" fillId="20" borderId="8" xfId="1" applyNumberFormat="1" applyFont="1" applyFill="1" applyBorder="1"/>
    <xf numFmtId="2" fontId="45" fillId="20" borderId="0" xfId="1" applyNumberFormat="1" applyFont="1" applyFill="1" applyBorder="1" applyAlignment="1">
      <alignment horizontal="left"/>
    </xf>
    <xf numFmtId="164" fontId="46" fillId="20" borderId="2" xfId="1" applyNumberFormat="1" applyFont="1" applyFill="1" applyBorder="1"/>
    <xf numFmtId="2" fontId="46" fillId="20" borderId="0" xfId="0" applyNumberFormat="1" applyFont="1" applyFill="1" applyBorder="1" applyAlignment="1">
      <alignment horizontal="center" vertical="center" wrapText="1"/>
    </xf>
    <xf numFmtId="0" fontId="0" fillId="0" borderId="18" xfId="0" applyBorder="1"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65" fillId="20" borderId="0" xfId="42327" applyFill="1" applyBorder="1" applyAlignment="1">
      <alignment horizontal="left"/>
    </xf>
    <xf numFmtId="0" fontId="65" fillId="20" borderId="13" xfId="42327" applyFill="1" applyBorder="1" applyAlignment="1">
      <alignment horizontal="left"/>
    </xf>
    <xf numFmtId="0" fontId="56" fillId="20" borderId="14" xfId="0" applyFont="1" applyFill="1" applyBorder="1" applyAlignment="1">
      <alignment horizontal="center"/>
    </xf>
    <xf numFmtId="0" fontId="56" fillId="20" borderId="0" xfId="0" applyFont="1" applyFill="1" applyBorder="1" applyAlignment="1">
      <alignment horizontal="center"/>
    </xf>
    <xf numFmtId="0" fontId="56" fillId="20" borderId="13" xfId="0" applyFont="1" applyFill="1" applyBorder="1" applyAlignment="1">
      <alignment horizontal="center"/>
    </xf>
    <xf numFmtId="0" fontId="66" fillId="20" borderId="14" xfId="0" applyFont="1" applyFill="1" applyBorder="1" applyAlignment="1">
      <alignment horizontal="center"/>
    </xf>
    <xf numFmtId="0" fontId="66" fillId="20" borderId="0" xfId="0" applyFont="1" applyFill="1" applyBorder="1" applyAlignment="1">
      <alignment horizontal="center"/>
    </xf>
    <xf numFmtId="0" fontId="66" fillId="20" borderId="13" xfId="0" applyFont="1" applyFill="1" applyBorder="1" applyAlignment="1">
      <alignment horizontal="center"/>
    </xf>
    <xf numFmtId="0" fontId="56" fillId="20" borderId="18" xfId="0" applyFont="1" applyFill="1" applyBorder="1" applyAlignment="1">
      <alignment horizontal="center"/>
    </xf>
    <xf numFmtId="0" fontId="56" fillId="20" borderId="17" xfId="0" applyFont="1" applyFill="1" applyBorder="1" applyAlignment="1">
      <alignment horizontal="center"/>
    </xf>
    <xf numFmtId="0" fontId="56" fillId="20" borderId="16" xfId="0" applyFont="1" applyFill="1" applyBorder="1" applyAlignment="1">
      <alignment horizontal="center"/>
    </xf>
    <xf numFmtId="0" fontId="70" fillId="20" borderId="14" xfId="0" applyFont="1" applyFill="1" applyBorder="1" applyAlignment="1">
      <alignment horizontal="center"/>
    </xf>
    <xf numFmtId="0" fontId="70" fillId="20" borderId="0" xfId="0" applyFont="1" applyFill="1" applyBorder="1" applyAlignment="1">
      <alignment horizontal="center"/>
    </xf>
    <xf numFmtId="0" fontId="70" fillId="20" borderId="13" xfId="0" applyFont="1" applyFill="1" applyBorder="1" applyAlignment="1">
      <alignment horizontal="center"/>
    </xf>
    <xf numFmtId="0" fontId="2" fillId="20" borderId="14" xfId="0" applyFont="1" applyFill="1" applyBorder="1" applyAlignment="1">
      <alignment horizontal="center"/>
    </xf>
    <xf numFmtId="0" fontId="2" fillId="20" borderId="0" xfId="0" applyFont="1" applyFill="1" applyBorder="1" applyAlignment="1">
      <alignment horizontal="center"/>
    </xf>
    <xf numFmtId="0" fontId="2" fillId="20" borderId="13"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45" fillId="0" borderId="0" xfId="0" applyFont="1" applyFill="1" applyBorder="1" applyAlignment="1">
      <alignment horizontal="left" wrapText="1"/>
    </xf>
    <xf numFmtId="0" fontId="45" fillId="0" borderId="5" xfId="0" applyFont="1" applyFill="1" applyBorder="1" applyAlignment="1">
      <alignment horizontal="left" wrapText="1"/>
    </xf>
    <xf numFmtId="0" fontId="3" fillId="20" borderId="0" xfId="38578" applyFont="1" applyFill="1" applyBorder="1" applyAlignment="1">
      <alignment wrapText="1"/>
    </xf>
    <xf numFmtId="0" fontId="3" fillId="20" borderId="13" xfId="38578" applyFont="1" applyFill="1" applyBorder="1" applyAlignment="1">
      <alignment wrapText="1"/>
    </xf>
    <xf numFmtId="0" fontId="3" fillId="20" borderId="0" xfId="38578" applyFont="1" applyFill="1" applyBorder="1" applyAlignment="1"/>
    <xf numFmtId="0" fontId="3" fillId="20" borderId="13" xfId="38578" applyFont="1" applyFill="1" applyBorder="1" applyAlignment="1"/>
    <xf numFmtId="0" fontId="3" fillId="20" borderId="0" xfId="38578" applyFont="1" applyFill="1" applyBorder="1" applyAlignment="1">
      <alignment horizontal="left"/>
    </xf>
    <xf numFmtId="0" fontId="3" fillId="20" borderId="13" xfId="38578" applyFont="1" applyFill="1" applyBorder="1" applyAlignment="1">
      <alignment horizontal="left"/>
    </xf>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38" xfId="0" applyFont="1" applyFill="1" applyBorder="1" applyAlignment="1">
      <alignment horizontal="center"/>
    </xf>
    <xf numFmtId="0" fontId="50" fillId="20" borderId="6" xfId="0" applyFont="1" applyFill="1" applyBorder="1" applyAlignment="1">
      <alignment horizontal="left" vertical="top" wrapText="1"/>
    </xf>
    <xf numFmtId="0" fontId="50" fillId="20" borderId="11"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fill>
        <patternFill patternType="solid">
          <fgColor indexed="64"/>
          <bgColor theme="0"/>
        </patternFill>
      </fill>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medium">
          <color indexed="64"/>
        </right>
        <top/>
        <bottom/>
      </border>
    </dxf>
    <dxf>
      <alignment horizontal="general"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left style="medium">
          <color indexed="64"/>
        </left>
        <right/>
        <top/>
        <bottom/>
      </border>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98159</xdr:colOff>
      <xdr:row>1</xdr:row>
      <xdr:rowOff>303645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3873869" cy="856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pa.sharepoint.com/Rates/Transmission/Rate17/Draft%20Data/2017%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apa-my.sharepoint.com/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2424" displayName="Table142424" ref="A5:N790"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1"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384B-E6CB-44CE-B896-2805CDCDEC5C}">
  <sheetPr>
    <pageSetUpPr fitToPage="1"/>
  </sheetPr>
  <dimension ref="A1:I34"/>
  <sheetViews>
    <sheetView workbookViewId="0">
      <selection activeCell="A2" sqref="A2"/>
    </sheetView>
  </sheetViews>
  <sheetFormatPr defaultRowHeight="14.5"/>
  <cols>
    <col min="1" max="1" width="10.7265625" bestFit="1" customWidth="1"/>
    <col min="2" max="2" width="13.54296875" bestFit="1" customWidth="1"/>
    <col min="3" max="3" width="16.54296875" customWidth="1"/>
    <col min="4" max="5" width="18" bestFit="1" customWidth="1"/>
    <col min="6" max="6" width="44.7265625" bestFit="1" customWidth="1"/>
  </cols>
  <sheetData>
    <row r="1" spans="1:9">
      <c r="A1" s="824" t="s">
        <v>2702</v>
      </c>
      <c r="B1" s="824" t="s">
        <v>0</v>
      </c>
      <c r="C1" s="825" t="s">
        <v>2700</v>
      </c>
      <c r="D1" s="826" t="s">
        <v>1</v>
      </c>
      <c r="E1" s="826" t="s">
        <v>2</v>
      </c>
      <c r="F1" s="824" t="s">
        <v>50</v>
      </c>
    </row>
    <row r="2" spans="1:9">
      <c r="A2" s="827">
        <v>44440</v>
      </c>
      <c r="C2" s="682"/>
      <c r="D2" s="828"/>
      <c r="E2" s="828"/>
    </row>
    <row r="3" spans="1:9" ht="15" thickBot="1">
      <c r="C3" s="682"/>
      <c r="D3" s="828"/>
      <c r="E3" s="828"/>
    </row>
    <row r="4" spans="1:9" ht="14.5" customHeight="1">
      <c r="A4" s="834" t="s">
        <v>2703</v>
      </c>
      <c r="B4" s="835"/>
      <c r="C4" s="835"/>
      <c r="D4" s="835"/>
      <c r="E4" s="835"/>
      <c r="F4" s="835"/>
      <c r="G4" s="835"/>
      <c r="H4" s="835"/>
      <c r="I4" s="836"/>
    </row>
    <row r="5" spans="1:9">
      <c r="A5" s="837"/>
      <c r="B5" s="838"/>
      <c r="C5" s="838"/>
      <c r="D5" s="838"/>
      <c r="E5" s="838"/>
      <c r="F5" s="838"/>
      <c r="G5" s="838"/>
      <c r="H5" s="838"/>
      <c r="I5" s="839"/>
    </row>
    <row r="6" spans="1:9" ht="15" thickBot="1">
      <c r="A6" s="840"/>
      <c r="B6" s="841"/>
      <c r="C6" s="841"/>
      <c r="D6" s="841"/>
      <c r="E6" s="841"/>
      <c r="F6" s="841"/>
      <c r="G6" s="841"/>
      <c r="H6" s="841"/>
      <c r="I6" s="842"/>
    </row>
    <row r="7" spans="1:9">
      <c r="C7" s="682"/>
      <c r="D7" s="828"/>
      <c r="E7" s="828"/>
    </row>
    <row r="8" spans="1:9">
      <c r="A8" s="827"/>
      <c r="C8" s="682"/>
      <c r="D8" s="828"/>
      <c r="E8" s="828"/>
    </row>
    <row r="9" spans="1:9">
      <c r="A9" s="827"/>
      <c r="C9" s="682"/>
      <c r="D9" s="828"/>
      <c r="E9" s="828"/>
    </row>
    <row r="10" spans="1:9">
      <c r="A10" s="827"/>
      <c r="C10" s="682"/>
    </row>
    <row r="11" spans="1:9">
      <c r="A11" s="827"/>
      <c r="C11" s="682"/>
      <c r="D11" s="829"/>
      <c r="E11" s="829"/>
    </row>
    <row r="12" spans="1:9">
      <c r="A12" s="827"/>
      <c r="C12" s="682"/>
      <c r="D12" s="829"/>
      <c r="E12" s="829"/>
    </row>
    <row r="13" spans="1:9">
      <c r="A13" s="827"/>
      <c r="C13" s="682"/>
      <c r="D13" s="829"/>
      <c r="E13" s="829"/>
    </row>
    <row r="14" spans="1:9">
      <c r="A14" s="827"/>
      <c r="C14" s="682"/>
      <c r="D14" s="829"/>
    </row>
    <row r="15" spans="1:9">
      <c r="A15" s="827"/>
      <c r="C15" s="682"/>
    </row>
    <row r="16" spans="1:9">
      <c r="A16" s="827"/>
      <c r="C16" s="682"/>
    </row>
    <row r="17" spans="1:5">
      <c r="A17" s="827"/>
      <c r="C17" s="682"/>
    </row>
    <row r="18" spans="1:5">
      <c r="A18" s="827"/>
      <c r="C18" s="682"/>
    </row>
    <row r="19" spans="1:5">
      <c r="A19" s="827"/>
      <c r="C19" s="682"/>
    </row>
    <row r="20" spans="1:5">
      <c r="A20" s="827"/>
      <c r="C20" s="682"/>
    </row>
    <row r="21" spans="1:5">
      <c r="A21" s="827"/>
      <c r="C21" s="682"/>
    </row>
    <row r="22" spans="1:5">
      <c r="A22" s="827"/>
      <c r="C22" s="682"/>
    </row>
    <row r="23" spans="1:5">
      <c r="A23" s="827"/>
      <c r="C23" s="682"/>
      <c r="D23" s="235"/>
      <c r="E23" s="235"/>
    </row>
    <row r="24" spans="1:5">
      <c r="A24" s="827"/>
      <c r="C24" s="682"/>
      <c r="D24" s="829"/>
      <c r="E24" s="829"/>
    </row>
    <row r="25" spans="1:5">
      <c r="A25" s="827"/>
      <c r="C25" s="682"/>
      <c r="D25" s="829"/>
      <c r="E25" s="829"/>
    </row>
    <row r="26" spans="1:5">
      <c r="A26" s="827"/>
      <c r="C26" s="682"/>
      <c r="D26" s="829"/>
      <c r="E26" s="829"/>
    </row>
    <row r="27" spans="1:5">
      <c r="A27" s="827"/>
      <c r="C27" s="682"/>
      <c r="D27" s="829"/>
      <c r="E27" s="829"/>
    </row>
    <row r="28" spans="1:5">
      <c r="A28" s="827"/>
      <c r="C28" s="682"/>
      <c r="D28" s="829"/>
      <c r="E28" s="829"/>
    </row>
    <row r="29" spans="1:5">
      <c r="A29" s="827"/>
      <c r="C29" s="682"/>
      <c r="D29" s="829"/>
      <c r="E29" s="829"/>
    </row>
    <row r="30" spans="1:5">
      <c r="A30" s="827"/>
      <c r="C30" s="682"/>
      <c r="D30" s="829"/>
      <c r="E30" s="829"/>
    </row>
    <row r="31" spans="1:5">
      <c r="A31" s="827"/>
      <c r="C31" s="682"/>
      <c r="D31" s="829"/>
      <c r="E31" s="829"/>
    </row>
    <row r="32" spans="1:5">
      <c r="A32" s="827"/>
      <c r="C32" s="682"/>
      <c r="D32" s="829"/>
      <c r="E32" s="829"/>
    </row>
    <row r="33" spans="1:5">
      <c r="A33" s="827"/>
      <c r="C33" s="682"/>
      <c r="D33" s="829"/>
      <c r="E33" s="829"/>
    </row>
    <row r="34" spans="1:5">
      <c r="A34" s="827"/>
      <c r="C34" s="682"/>
      <c r="D34" s="829"/>
      <c r="E34" s="829"/>
    </row>
  </sheetData>
  <mergeCells count="1">
    <mergeCell ref="A4:I6"/>
  </mergeCells>
  <pageMargins left="0.7" right="0.7" top="0.75" bottom="0.75" header="0.3" footer="0.3"/>
  <pageSetup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8"/>
  <sheetViews>
    <sheetView view="pageBreakPreview" zoomScale="80" zoomScaleNormal="100" zoomScaleSheetLayoutView="80" workbookViewId="0"/>
  </sheetViews>
  <sheetFormatPr defaultColWidth="9.1796875" defaultRowHeight="13"/>
  <cols>
    <col min="1" max="1" width="27" style="236" customWidth="1"/>
    <col min="2" max="2" width="19.26953125" style="236" bestFit="1" customWidth="1"/>
    <col min="3" max="3" width="76.1796875" style="236" bestFit="1" customWidth="1"/>
    <col min="4" max="4" width="27.81640625" style="236" hidden="1" customWidth="1"/>
    <col min="5" max="5" width="22" style="539" customWidth="1"/>
    <col min="6" max="6" width="16.54296875" style="236" customWidth="1"/>
    <col min="7" max="7" width="15" style="413" customWidth="1"/>
    <col min="8" max="8" width="17.1796875" style="236" customWidth="1"/>
    <col min="9" max="9" width="16.453125" style="414" customWidth="1"/>
    <col min="10" max="10" width="12.7265625" style="236" bestFit="1" customWidth="1"/>
    <col min="11" max="11" width="11.54296875" style="236" bestFit="1" customWidth="1"/>
    <col min="12" max="16384" width="9.1796875" style="236"/>
  </cols>
  <sheetData>
    <row r="1" spans="1:14" ht="14.5">
      <c r="A1" s="527" t="str">
        <f>'Cover Sheets'!A10:D10</f>
        <v>WAPA-UGP 2020 Rate True-up Calculation</v>
      </c>
      <c r="B1" s="262"/>
      <c r="C1" s="579" t="s">
        <v>97</v>
      </c>
      <c r="D1" s="238"/>
      <c r="E1" s="528"/>
      <c r="F1" s="238"/>
      <c r="G1" s="420"/>
      <c r="H1" s="238"/>
      <c r="I1" s="421"/>
    </row>
    <row r="2" spans="1:14">
      <c r="A2" s="573" t="s">
        <v>614</v>
      </c>
      <c r="B2" s="263"/>
      <c r="C2" s="239"/>
      <c r="D2" s="239"/>
      <c r="E2" s="419"/>
      <c r="F2" s="239"/>
      <c r="G2" s="404"/>
      <c r="H2" s="239"/>
      <c r="I2" s="405"/>
    </row>
    <row r="3" spans="1:14">
      <c r="A3" s="529" t="str">
        <f>'Summary-TrueUp'!A3</f>
        <v>12 Months Ending 09/30/2020 True-up</v>
      </c>
      <c r="B3" s="263"/>
      <c r="C3" s="239"/>
      <c r="D3" s="239"/>
      <c r="E3" s="419"/>
      <c r="F3" s="239"/>
      <c r="G3" s="404"/>
      <c r="H3" s="239"/>
      <c r="I3" s="405"/>
    </row>
    <row r="4" spans="1:14" s="3" customFormat="1" ht="39">
      <c r="A4" s="530" t="s">
        <v>615</v>
      </c>
      <c r="B4" s="531" t="s">
        <v>616</v>
      </c>
      <c r="C4" s="306" t="s">
        <v>378</v>
      </c>
      <c r="D4" s="306" t="s">
        <v>617</v>
      </c>
      <c r="E4" s="416" t="s">
        <v>618</v>
      </c>
      <c r="F4" s="416"/>
      <c r="G4" s="417" t="s">
        <v>381</v>
      </c>
      <c r="H4" s="417" t="s">
        <v>382</v>
      </c>
      <c r="I4" s="418" t="s">
        <v>619</v>
      </c>
      <c r="J4" s="6"/>
      <c r="N4" s="6"/>
    </row>
    <row r="5" spans="1:14" s="3" customFormat="1">
      <c r="A5" s="698" t="s">
        <v>620</v>
      </c>
      <c r="B5" s="685" t="s">
        <v>621</v>
      </c>
      <c r="C5" s="423" t="s">
        <v>622</v>
      </c>
      <c r="D5" s="306"/>
      <c r="E5" s="683">
        <f>1840648+1461978</f>
        <v>3302626</v>
      </c>
      <c r="F5" s="683"/>
      <c r="G5" s="689">
        <f>G22</f>
        <v>1089866.4414000001</v>
      </c>
      <c r="H5" s="689">
        <f>I22</f>
        <v>2212759.1386000002</v>
      </c>
      <c r="I5" s="684">
        <f>G5+H5</f>
        <v>3302625.58</v>
      </c>
      <c r="J5" s="6"/>
      <c r="N5" s="6"/>
    </row>
    <row r="6" spans="1:14" s="3" customFormat="1">
      <c r="A6" s="698" t="s">
        <v>620</v>
      </c>
      <c r="B6" s="685" t="s">
        <v>621</v>
      </c>
      <c r="C6" s="423" t="s">
        <v>623</v>
      </c>
      <c r="D6" s="306"/>
      <c r="E6" s="683">
        <f>2827344+2245680</f>
        <v>5073024</v>
      </c>
      <c r="F6" s="683"/>
      <c r="G6" s="689">
        <f>G44</f>
        <v>0</v>
      </c>
      <c r="H6" s="689">
        <f>I44</f>
        <v>5073024.1400000006</v>
      </c>
      <c r="I6" s="684">
        <f>G6+H6</f>
        <v>5073024.1400000006</v>
      </c>
      <c r="J6" s="6"/>
      <c r="N6" s="6"/>
    </row>
    <row r="7" spans="1:14" ht="13.5" thickBot="1">
      <c r="A7" s="699" t="s">
        <v>624</v>
      </c>
      <c r="B7" s="695" t="s">
        <v>625</v>
      </c>
      <c r="C7" s="312" t="s">
        <v>626</v>
      </c>
      <c r="D7" s="312" t="s">
        <v>627</v>
      </c>
      <c r="E7" s="313">
        <f>-('WS8-TransFac'!H258)</f>
        <v>403</v>
      </c>
      <c r="F7" s="313"/>
      <c r="G7" s="314">
        <f>G45</f>
        <v>132.99</v>
      </c>
      <c r="H7" s="314">
        <f>I45</f>
        <v>270.01</v>
      </c>
      <c r="I7" s="315">
        <f>G7+H7</f>
        <v>403</v>
      </c>
      <c r="J7" s="800"/>
      <c r="L7" s="9"/>
      <c r="M7" s="9"/>
      <c r="N7" s="13"/>
    </row>
    <row r="8" spans="1:14">
      <c r="A8" s="316"/>
      <c r="B8" s="532"/>
      <c r="C8" s="533"/>
      <c r="D8" s="318" t="s">
        <v>69</v>
      </c>
      <c r="E8" s="534">
        <f>SUM(E5:E7)</f>
        <v>8376053</v>
      </c>
      <c r="F8" s="320"/>
      <c r="G8" s="321">
        <f>SUM(G5:G7)</f>
        <v>1089999.4314000001</v>
      </c>
      <c r="H8" s="320">
        <f>SUM(H5:H7)</f>
        <v>7286053.2886000006</v>
      </c>
      <c r="I8" s="381">
        <f>SUM(I5:I7)</f>
        <v>8376052.7200000007</v>
      </c>
      <c r="J8" s="12"/>
      <c r="K8" s="800"/>
      <c r="L8" s="9"/>
      <c r="M8" s="9"/>
      <c r="N8" s="13"/>
    </row>
    <row r="9" spans="1:14" ht="44.25" customHeight="1">
      <c r="A9" s="400" t="s">
        <v>628</v>
      </c>
      <c r="B9" s="535" t="s">
        <v>616</v>
      </c>
      <c r="C9" s="536" t="s">
        <v>378</v>
      </c>
      <c r="D9" s="306" t="s">
        <v>629</v>
      </c>
      <c r="E9" s="537" t="s">
        <v>630</v>
      </c>
      <c r="F9" s="401" t="s">
        <v>631</v>
      </c>
      <c r="G9" s="402" t="s">
        <v>632</v>
      </c>
      <c r="H9" s="324" t="s">
        <v>633</v>
      </c>
      <c r="I9" s="415" t="s">
        <v>634</v>
      </c>
    </row>
    <row r="10" spans="1:14">
      <c r="A10" s="391"/>
      <c r="B10" s="696" t="s">
        <v>621</v>
      </c>
      <c r="C10" s="391" t="s">
        <v>635</v>
      </c>
      <c r="D10" s="307"/>
      <c r="E10" s="311">
        <v>181965.21</v>
      </c>
      <c r="F10" s="403">
        <v>0.33</v>
      </c>
      <c r="G10" s="404">
        <f t="shared" ref="G10:G21" si="0">F10*E10</f>
        <v>60048.5193</v>
      </c>
      <c r="H10" s="403">
        <v>0.67</v>
      </c>
      <c r="I10" s="405">
        <f t="shared" ref="I10:I21" si="1">E10*H10</f>
        <v>121916.69070000001</v>
      </c>
    </row>
    <row r="11" spans="1:14">
      <c r="A11" s="391"/>
      <c r="B11" s="696" t="s">
        <v>621</v>
      </c>
      <c r="C11" s="391" t="s">
        <v>635</v>
      </c>
      <c r="D11" s="307"/>
      <c r="E11" s="311">
        <v>131277.21</v>
      </c>
      <c r="F11" s="403">
        <v>0.33</v>
      </c>
      <c r="G11" s="404">
        <f t="shared" si="0"/>
        <v>43321.479299999999</v>
      </c>
      <c r="H11" s="403">
        <v>0.67</v>
      </c>
      <c r="I11" s="405">
        <f t="shared" si="1"/>
        <v>87955.7307</v>
      </c>
    </row>
    <row r="12" spans="1:14">
      <c r="A12" s="391"/>
      <c r="B12" s="696" t="s">
        <v>621</v>
      </c>
      <c r="C12" s="391" t="s">
        <v>635</v>
      </c>
      <c r="D12" s="307"/>
      <c r="E12" s="311">
        <v>265373.44</v>
      </c>
      <c r="F12" s="403">
        <v>0.33</v>
      </c>
      <c r="G12" s="404">
        <f t="shared" si="0"/>
        <v>87573.23520000001</v>
      </c>
      <c r="H12" s="403">
        <v>0.67</v>
      </c>
      <c r="I12" s="405">
        <f t="shared" si="1"/>
        <v>177800.20480000001</v>
      </c>
    </row>
    <row r="13" spans="1:14">
      <c r="A13" s="391"/>
      <c r="B13" s="696" t="s">
        <v>621</v>
      </c>
      <c r="C13" s="391" t="s">
        <v>636</v>
      </c>
      <c r="D13" s="307"/>
      <c r="E13" s="311">
        <v>73711.679999999993</v>
      </c>
      <c r="F13" s="403">
        <v>0.33</v>
      </c>
      <c r="G13" s="404">
        <f t="shared" si="0"/>
        <v>24324.8544</v>
      </c>
      <c r="H13" s="403">
        <v>0.67</v>
      </c>
      <c r="I13" s="405">
        <f t="shared" si="1"/>
        <v>49386.825599999996</v>
      </c>
    </row>
    <row r="14" spans="1:14">
      <c r="A14" s="391"/>
      <c r="B14" s="696" t="s">
        <v>621</v>
      </c>
      <c r="C14" s="391" t="s">
        <v>636</v>
      </c>
      <c r="D14" s="307"/>
      <c r="E14" s="311">
        <v>141931.21</v>
      </c>
      <c r="F14" s="403">
        <v>0.33</v>
      </c>
      <c r="G14" s="404">
        <f t="shared" si="0"/>
        <v>46837.299299999999</v>
      </c>
      <c r="H14" s="403">
        <v>0.67</v>
      </c>
      <c r="I14" s="405">
        <f t="shared" si="1"/>
        <v>95093.910699999993</v>
      </c>
    </row>
    <row r="15" spans="1:14">
      <c r="A15" s="391"/>
      <c r="B15" s="696" t="s">
        <v>621</v>
      </c>
      <c r="C15" s="391" t="s">
        <v>636</v>
      </c>
      <c r="D15" s="307"/>
      <c r="E15" s="311">
        <v>179995.67</v>
      </c>
      <c r="F15" s="403">
        <v>0.33</v>
      </c>
      <c r="G15" s="404">
        <f t="shared" si="0"/>
        <v>59398.571100000008</v>
      </c>
      <c r="H15" s="403">
        <v>0.67</v>
      </c>
      <c r="I15" s="405">
        <f t="shared" si="1"/>
        <v>120597.09890000001</v>
      </c>
    </row>
    <row r="16" spans="1:14">
      <c r="A16" s="391"/>
      <c r="B16" s="696" t="s">
        <v>621</v>
      </c>
      <c r="C16" s="391" t="s">
        <v>637</v>
      </c>
      <c r="D16" s="307"/>
      <c r="E16" s="311">
        <v>39217.440000000002</v>
      </c>
      <c r="F16" s="403">
        <v>0.33</v>
      </c>
      <c r="G16" s="404">
        <f t="shared" si="0"/>
        <v>12941.755200000001</v>
      </c>
      <c r="H16" s="403">
        <v>0.67</v>
      </c>
      <c r="I16" s="405">
        <f t="shared" si="1"/>
        <v>26275.684800000003</v>
      </c>
    </row>
    <row r="17" spans="1:9">
      <c r="A17" s="391"/>
      <c r="B17" s="696" t="s">
        <v>621</v>
      </c>
      <c r="C17" s="391" t="s">
        <v>637</v>
      </c>
      <c r="D17" s="307"/>
      <c r="E17" s="311">
        <v>89700.9</v>
      </c>
      <c r="F17" s="403">
        <v>0.33</v>
      </c>
      <c r="G17" s="404">
        <f t="shared" si="0"/>
        <v>29601.296999999999</v>
      </c>
      <c r="H17" s="403">
        <v>0.67</v>
      </c>
      <c r="I17" s="405">
        <f t="shared" si="1"/>
        <v>60099.603000000003</v>
      </c>
    </row>
    <row r="18" spans="1:9">
      <c r="A18" s="391"/>
      <c r="B18" s="696" t="s">
        <v>621</v>
      </c>
      <c r="C18" s="391" t="s">
        <v>638</v>
      </c>
      <c r="D18" s="307"/>
      <c r="E18" s="311">
        <v>22459.3</v>
      </c>
      <c r="F18" s="403">
        <v>0.33</v>
      </c>
      <c r="G18" s="404">
        <f t="shared" si="0"/>
        <v>7411.5690000000004</v>
      </c>
      <c r="H18" s="403">
        <v>0.67</v>
      </c>
      <c r="I18" s="405">
        <f t="shared" si="1"/>
        <v>15047.731</v>
      </c>
    </row>
    <row r="19" spans="1:9">
      <c r="A19" s="391"/>
      <c r="B19" s="696" t="s">
        <v>621</v>
      </c>
      <c r="C19" s="391" t="s">
        <v>638</v>
      </c>
      <c r="D19" s="307"/>
      <c r="E19" s="311">
        <v>410893.11</v>
      </c>
      <c r="F19" s="403">
        <v>0.33</v>
      </c>
      <c r="G19" s="404">
        <f t="shared" si="0"/>
        <v>135594.72630000001</v>
      </c>
      <c r="H19" s="403">
        <v>0.67</v>
      </c>
      <c r="I19" s="405">
        <f t="shared" si="1"/>
        <v>275298.38370000001</v>
      </c>
    </row>
    <row r="20" spans="1:9">
      <c r="A20" s="391"/>
      <c r="B20" s="696" t="s">
        <v>621</v>
      </c>
      <c r="C20" s="391" t="s">
        <v>635</v>
      </c>
      <c r="D20" s="307"/>
      <c r="E20" s="311">
        <v>304124.40999999997</v>
      </c>
      <c r="F20" s="403">
        <v>0.33</v>
      </c>
      <c r="G20" s="404">
        <f t="shared" si="0"/>
        <v>100361.05529999999</v>
      </c>
      <c r="H20" s="403">
        <v>0.67</v>
      </c>
      <c r="I20" s="405">
        <f t="shared" si="1"/>
        <v>203763.3547</v>
      </c>
    </row>
    <row r="21" spans="1:9">
      <c r="A21" s="391"/>
      <c r="B21" s="696" t="s">
        <v>621</v>
      </c>
      <c r="C21" s="391" t="s">
        <v>639</v>
      </c>
      <c r="D21" s="307"/>
      <c r="E21" s="311">
        <v>1461976</v>
      </c>
      <c r="F21" s="403">
        <v>0.33</v>
      </c>
      <c r="G21" s="404">
        <f t="shared" si="0"/>
        <v>482452.08</v>
      </c>
      <c r="H21" s="403">
        <v>0.67</v>
      </c>
      <c r="I21" s="405">
        <f t="shared" si="1"/>
        <v>979523.92</v>
      </c>
    </row>
    <row r="22" spans="1:9" ht="13.5" thickBot="1">
      <c r="A22" s="391"/>
      <c r="B22" s="696"/>
      <c r="C22" s="700" t="s">
        <v>640</v>
      </c>
      <c r="D22" s="697"/>
      <c r="E22" s="713">
        <f>SUM(E10:E21)</f>
        <v>3302625.58</v>
      </c>
      <c r="F22" s="538"/>
      <c r="G22" s="538">
        <f>SUM(G10:G21)</f>
        <v>1089866.4414000001</v>
      </c>
      <c r="H22" s="538"/>
      <c r="I22" s="759">
        <f>SUM(I10:I21)</f>
        <v>2212759.1386000002</v>
      </c>
    </row>
    <row r="23" spans="1:9" ht="13.5" thickTop="1">
      <c r="A23" s="391"/>
      <c r="B23" s="696" t="s">
        <v>621</v>
      </c>
      <c r="C23" s="391" t="s">
        <v>641</v>
      </c>
      <c r="D23" s="307"/>
      <c r="E23" s="311">
        <v>20892.87</v>
      </c>
      <c r="F23" s="403">
        <v>0</v>
      </c>
      <c r="G23" s="404">
        <f>F23*E23</f>
        <v>0</v>
      </c>
      <c r="H23" s="403">
        <v>1</v>
      </c>
      <c r="I23" s="405">
        <f>E23*H23</f>
        <v>20892.87</v>
      </c>
    </row>
    <row r="24" spans="1:9">
      <c r="A24" s="391"/>
      <c r="B24" s="696" t="s">
        <v>621</v>
      </c>
      <c r="C24" s="391" t="s">
        <v>641</v>
      </c>
      <c r="D24" s="307"/>
      <c r="E24" s="311">
        <v>461395.39</v>
      </c>
      <c r="F24" s="403">
        <v>0</v>
      </c>
      <c r="G24" s="404">
        <f>F24*E24</f>
        <v>0</v>
      </c>
      <c r="H24" s="403">
        <v>1</v>
      </c>
      <c r="I24" s="405">
        <f>E24*H24</f>
        <v>461395.39</v>
      </c>
    </row>
    <row r="25" spans="1:9">
      <c r="A25" s="391"/>
      <c r="B25" s="696" t="s">
        <v>621</v>
      </c>
      <c r="C25" s="391" t="s">
        <v>641</v>
      </c>
      <c r="D25" s="307"/>
      <c r="E25" s="311">
        <v>481328.61</v>
      </c>
      <c r="F25" s="403">
        <v>0</v>
      </c>
      <c r="G25" s="404">
        <f t="shared" ref="G25" si="2">F25*E25</f>
        <v>0</v>
      </c>
      <c r="H25" s="403">
        <v>1</v>
      </c>
      <c r="I25" s="405">
        <f t="shared" ref="I25" si="3">E25*H25</f>
        <v>481328.61</v>
      </c>
    </row>
    <row r="26" spans="1:9">
      <c r="A26" s="391"/>
      <c r="B26" s="696" t="s">
        <v>621</v>
      </c>
      <c r="C26" s="391" t="s">
        <v>636</v>
      </c>
      <c r="D26" s="307"/>
      <c r="E26" s="311">
        <v>158422.32</v>
      </c>
      <c r="F26" s="403">
        <v>0</v>
      </c>
      <c r="G26" s="404">
        <f t="shared" ref="G26:G43" si="4">F26*E26</f>
        <v>0</v>
      </c>
      <c r="H26" s="403">
        <v>1</v>
      </c>
      <c r="I26" s="405">
        <f t="shared" ref="I26:I43" si="5">E26*H26</f>
        <v>158422.32</v>
      </c>
    </row>
    <row r="27" spans="1:9">
      <c r="A27" s="391"/>
      <c r="B27" s="696" t="s">
        <v>621</v>
      </c>
      <c r="C27" s="391" t="s">
        <v>636</v>
      </c>
      <c r="D27" s="307"/>
      <c r="E27" s="311">
        <v>61693.3</v>
      </c>
      <c r="F27" s="403">
        <v>0</v>
      </c>
      <c r="G27" s="404">
        <f t="shared" si="4"/>
        <v>0</v>
      </c>
      <c r="H27" s="403">
        <v>1</v>
      </c>
      <c r="I27" s="405">
        <f t="shared" si="5"/>
        <v>61693.3</v>
      </c>
    </row>
    <row r="28" spans="1:9">
      <c r="A28" s="391"/>
      <c r="B28" s="696" t="s">
        <v>621</v>
      </c>
      <c r="C28" s="391" t="s">
        <v>636</v>
      </c>
      <c r="D28" s="307"/>
      <c r="E28" s="311">
        <v>161497.85</v>
      </c>
      <c r="F28" s="403">
        <v>0</v>
      </c>
      <c r="G28" s="404">
        <f t="shared" si="4"/>
        <v>0</v>
      </c>
      <c r="H28" s="403">
        <v>1</v>
      </c>
      <c r="I28" s="405">
        <f t="shared" si="5"/>
        <v>161497.85</v>
      </c>
    </row>
    <row r="29" spans="1:9">
      <c r="A29" s="391"/>
      <c r="B29" s="696" t="s">
        <v>621</v>
      </c>
      <c r="C29" s="391" t="s">
        <v>637</v>
      </c>
      <c r="D29" s="307"/>
      <c r="E29" s="311">
        <v>13072.48</v>
      </c>
      <c r="F29" s="403">
        <v>0</v>
      </c>
      <c r="G29" s="404">
        <f t="shared" si="4"/>
        <v>0</v>
      </c>
      <c r="H29" s="403">
        <v>1</v>
      </c>
      <c r="I29" s="405">
        <f t="shared" si="5"/>
        <v>13072.48</v>
      </c>
    </row>
    <row r="30" spans="1:9">
      <c r="A30" s="391"/>
      <c r="B30" s="696" t="s">
        <v>621</v>
      </c>
      <c r="C30" s="391" t="s">
        <v>637</v>
      </c>
      <c r="D30" s="307"/>
      <c r="E30" s="311">
        <v>28804.65</v>
      </c>
      <c r="F30" s="403">
        <v>0</v>
      </c>
      <c r="G30" s="404">
        <f t="shared" si="4"/>
        <v>0</v>
      </c>
      <c r="H30" s="403">
        <v>1</v>
      </c>
      <c r="I30" s="405">
        <f t="shared" si="5"/>
        <v>28804.65</v>
      </c>
    </row>
    <row r="31" spans="1:9">
      <c r="A31" s="391"/>
      <c r="B31" s="696" t="s">
        <v>621</v>
      </c>
      <c r="C31" s="391" t="s">
        <v>642</v>
      </c>
      <c r="D31" s="307"/>
      <c r="E31" s="311">
        <v>13891.04</v>
      </c>
      <c r="F31" s="403">
        <v>0</v>
      </c>
      <c r="G31" s="404">
        <f t="shared" si="4"/>
        <v>0</v>
      </c>
      <c r="H31" s="403">
        <v>1</v>
      </c>
      <c r="I31" s="405">
        <f t="shared" si="5"/>
        <v>13891.04</v>
      </c>
    </row>
    <row r="32" spans="1:9">
      <c r="A32" s="391"/>
      <c r="B32" s="696" t="s">
        <v>621</v>
      </c>
      <c r="C32" s="391" t="s">
        <v>642</v>
      </c>
      <c r="D32" s="307"/>
      <c r="E32" s="311">
        <v>32368.12</v>
      </c>
      <c r="F32" s="403">
        <v>0</v>
      </c>
      <c r="G32" s="404">
        <f t="shared" si="4"/>
        <v>0</v>
      </c>
      <c r="H32" s="403">
        <v>1</v>
      </c>
      <c r="I32" s="405">
        <f t="shared" si="5"/>
        <v>32368.12</v>
      </c>
    </row>
    <row r="33" spans="1:9">
      <c r="A33" s="391"/>
      <c r="B33" s="696" t="s">
        <v>621</v>
      </c>
      <c r="C33" s="391" t="s">
        <v>642</v>
      </c>
      <c r="D33" s="307"/>
      <c r="E33" s="311">
        <v>14101.03</v>
      </c>
      <c r="F33" s="403">
        <v>0</v>
      </c>
      <c r="G33" s="404">
        <f t="shared" si="4"/>
        <v>0</v>
      </c>
      <c r="H33" s="403">
        <v>1</v>
      </c>
      <c r="I33" s="405">
        <f t="shared" si="5"/>
        <v>14101.03</v>
      </c>
    </row>
    <row r="34" spans="1:9">
      <c r="A34" s="391"/>
      <c r="B34" s="696" t="s">
        <v>621</v>
      </c>
      <c r="C34" s="391" t="s">
        <v>643</v>
      </c>
      <c r="D34" s="307"/>
      <c r="E34" s="311">
        <v>13036.52</v>
      </c>
      <c r="F34" s="403">
        <v>0</v>
      </c>
      <c r="G34" s="404">
        <f t="shared" si="4"/>
        <v>0</v>
      </c>
      <c r="H34" s="403">
        <v>1</v>
      </c>
      <c r="I34" s="405">
        <f t="shared" si="5"/>
        <v>13036.52</v>
      </c>
    </row>
    <row r="35" spans="1:9">
      <c r="A35" s="391"/>
      <c r="B35" s="696" t="s">
        <v>621</v>
      </c>
      <c r="C35" s="391" t="s">
        <v>643</v>
      </c>
      <c r="D35" s="307"/>
      <c r="E35" s="311">
        <v>35655.07</v>
      </c>
      <c r="F35" s="403">
        <v>0</v>
      </c>
      <c r="G35" s="404">
        <f t="shared" si="4"/>
        <v>0</v>
      </c>
      <c r="H35" s="403">
        <v>1</v>
      </c>
      <c r="I35" s="405">
        <f t="shared" si="5"/>
        <v>35655.07</v>
      </c>
    </row>
    <row r="36" spans="1:9">
      <c r="A36" s="391"/>
      <c r="B36" s="696" t="s">
        <v>621</v>
      </c>
      <c r="C36" s="391" t="s">
        <v>638</v>
      </c>
      <c r="D36" s="307"/>
      <c r="E36" s="311">
        <v>25489.5</v>
      </c>
      <c r="F36" s="403">
        <v>0</v>
      </c>
      <c r="G36" s="404">
        <f t="shared" si="4"/>
        <v>0</v>
      </c>
      <c r="H36" s="403">
        <v>1</v>
      </c>
      <c r="I36" s="405">
        <f t="shared" si="5"/>
        <v>25489.5</v>
      </c>
    </row>
    <row r="37" spans="1:9">
      <c r="A37" s="391"/>
      <c r="B37" s="696" t="s">
        <v>621</v>
      </c>
      <c r="C37" s="391" t="s">
        <v>638</v>
      </c>
      <c r="D37" s="307"/>
      <c r="E37" s="311">
        <v>397859.06</v>
      </c>
      <c r="F37" s="403">
        <v>0</v>
      </c>
      <c r="G37" s="404">
        <f t="shared" si="4"/>
        <v>0</v>
      </c>
      <c r="H37" s="403">
        <v>1</v>
      </c>
      <c r="I37" s="405">
        <f t="shared" si="5"/>
        <v>397859.06</v>
      </c>
    </row>
    <row r="38" spans="1:9">
      <c r="A38" s="391"/>
      <c r="B38" s="696" t="s">
        <v>621</v>
      </c>
      <c r="C38" s="391" t="s">
        <v>635</v>
      </c>
      <c r="D38" s="307"/>
      <c r="E38" s="311">
        <v>229082.5</v>
      </c>
      <c r="F38" s="403">
        <v>0</v>
      </c>
      <c r="G38" s="404">
        <f t="shared" si="4"/>
        <v>0</v>
      </c>
      <c r="H38" s="403">
        <v>1</v>
      </c>
      <c r="I38" s="405">
        <f t="shared" si="5"/>
        <v>229082.5</v>
      </c>
    </row>
    <row r="39" spans="1:9">
      <c r="A39" s="391"/>
      <c r="B39" s="696" t="s">
        <v>621</v>
      </c>
      <c r="C39" s="391" t="s">
        <v>641</v>
      </c>
      <c r="D39" s="307"/>
      <c r="E39" s="311">
        <v>138324.81</v>
      </c>
      <c r="F39" s="403">
        <v>0</v>
      </c>
      <c r="G39" s="404">
        <f t="shared" si="4"/>
        <v>0</v>
      </c>
      <c r="H39" s="403">
        <v>1</v>
      </c>
      <c r="I39" s="405">
        <f t="shared" si="5"/>
        <v>138324.81</v>
      </c>
    </row>
    <row r="40" spans="1:9">
      <c r="A40" s="391"/>
      <c r="B40" s="696" t="s">
        <v>621</v>
      </c>
      <c r="C40" s="391" t="s">
        <v>635</v>
      </c>
      <c r="D40" s="307"/>
      <c r="E40" s="311">
        <v>423875</v>
      </c>
      <c r="F40" s="403">
        <v>0</v>
      </c>
      <c r="G40" s="404">
        <f t="shared" si="4"/>
        <v>0</v>
      </c>
      <c r="H40" s="403">
        <v>1</v>
      </c>
      <c r="I40" s="405">
        <f t="shared" si="5"/>
        <v>423875</v>
      </c>
    </row>
    <row r="41" spans="1:9">
      <c r="A41" s="391"/>
      <c r="B41" s="696" t="s">
        <v>621</v>
      </c>
      <c r="C41" s="391" t="s">
        <v>644</v>
      </c>
      <c r="D41" s="307"/>
      <c r="E41" s="311">
        <v>13145.45</v>
      </c>
      <c r="F41" s="403">
        <v>0</v>
      </c>
      <c r="G41" s="404">
        <f>F41*E41</f>
        <v>0</v>
      </c>
      <c r="H41" s="403">
        <v>1</v>
      </c>
      <c r="I41" s="405">
        <f>E41*H41</f>
        <v>13145.45</v>
      </c>
    </row>
    <row r="42" spans="1:9">
      <c r="A42" s="391"/>
      <c r="B42" s="696" t="s">
        <v>621</v>
      </c>
      <c r="C42" s="391" t="s">
        <v>645</v>
      </c>
      <c r="D42" s="307"/>
      <c r="E42" s="311">
        <v>103407.57</v>
      </c>
      <c r="F42" s="403">
        <v>0</v>
      </c>
      <c r="G42" s="404">
        <f>F42*E42</f>
        <v>0</v>
      </c>
      <c r="H42" s="403">
        <v>1</v>
      </c>
      <c r="I42" s="405">
        <f>E42*H42</f>
        <v>103407.57</v>
      </c>
    </row>
    <row r="43" spans="1:9">
      <c r="A43" s="391"/>
      <c r="B43" s="696" t="s">
        <v>621</v>
      </c>
      <c r="C43" s="391" t="s">
        <v>639</v>
      </c>
      <c r="D43" s="307"/>
      <c r="E43" s="311">
        <v>2245681</v>
      </c>
      <c r="F43" s="403">
        <v>0</v>
      </c>
      <c r="G43" s="404">
        <f t="shared" si="4"/>
        <v>0</v>
      </c>
      <c r="H43" s="403">
        <v>1</v>
      </c>
      <c r="I43" s="405">
        <f t="shared" si="5"/>
        <v>2245681</v>
      </c>
    </row>
    <row r="44" spans="1:9" ht="13.5" thickBot="1">
      <c r="A44" s="391"/>
      <c r="B44" s="696"/>
      <c r="C44" s="700" t="s">
        <v>646</v>
      </c>
      <c r="D44" s="697"/>
      <c r="E44" s="538">
        <f>SUM(E23:E43)</f>
        <v>5073024.1400000006</v>
      </c>
      <c r="F44" s="538">
        <f t="shared" ref="F44:I44" si="6">SUM(F23:F43)</f>
        <v>0</v>
      </c>
      <c r="G44" s="538">
        <f t="shared" si="6"/>
        <v>0</v>
      </c>
      <c r="H44" s="538"/>
      <c r="I44" s="759">
        <f t="shared" si="6"/>
        <v>5073024.1400000006</v>
      </c>
    </row>
    <row r="45" spans="1:9" ht="13.5" thickTop="1">
      <c r="A45" s="391"/>
      <c r="B45" s="696" t="s">
        <v>625</v>
      </c>
      <c r="C45" s="391" t="s">
        <v>647</v>
      </c>
      <c r="D45" s="307"/>
      <c r="E45" s="311">
        <v>403</v>
      </c>
      <c r="F45" s="403">
        <v>0.33</v>
      </c>
      <c r="G45" s="404">
        <f>F45*E45</f>
        <v>132.99</v>
      </c>
      <c r="H45" s="403">
        <v>0.67</v>
      </c>
      <c r="I45" s="405">
        <f>E45*H45</f>
        <v>270.01</v>
      </c>
    </row>
    <row r="46" spans="1:9" ht="13.5" thickBot="1">
      <c r="A46" s="391"/>
      <c r="B46" s="696"/>
      <c r="C46" s="700" t="s">
        <v>648</v>
      </c>
      <c r="D46" s="697"/>
      <c r="E46" s="538">
        <f>SUM(E45:E45)</f>
        <v>403</v>
      </c>
      <c r="F46" s="407"/>
      <c r="G46" s="701">
        <f>SUM(G45:G45)</f>
        <v>132.99</v>
      </c>
      <c r="H46" s="407"/>
      <c r="I46" s="702">
        <f>SUM(I45:I45)</f>
        <v>270.01</v>
      </c>
    </row>
    <row r="47" spans="1:9" ht="14" thickTop="1" thickBot="1">
      <c r="A47" s="760"/>
      <c r="B47" s="761"/>
      <c r="C47" s="760" t="s">
        <v>434</v>
      </c>
      <c r="D47" s="261"/>
      <c r="E47" s="313">
        <f>E22+E44+E46</f>
        <v>8376052.7200000007</v>
      </c>
      <c r="F47" s="762"/>
      <c r="G47" s="313">
        <f>G22+G44+G46</f>
        <v>1089999.4314000001</v>
      </c>
      <c r="H47" s="762"/>
      <c r="I47" s="315">
        <f>I22+I44+I46</f>
        <v>7286053.2886000006</v>
      </c>
    </row>
    <row r="48" spans="1:9">
      <c r="B48" s="408"/>
    </row>
  </sheetData>
  <hyperlinks>
    <hyperlink ref="C1" location="'Cover Sheets'!A18" display="(Back to Worksheet Links)" xr:uid="{00000000-0004-0000-0800-000000000000}"/>
  </hyperlinks>
  <pageMargins left="0.7" right="0.7" top="0.75" bottom="0.75" header="0.3" footer="0.3"/>
  <pageSetup scale="58" fitToHeight="0"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593"/>
  <sheetViews>
    <sheetView view="pageBreakPreview" zoomScaleNormal="90" zoomScaleSheetLayoutView="100" zoomScalePageLayoutView="90" workbookViewId="0">
      <pane ySplit="4" topLeftCell="A496" activePane="bottomLeft" state="frozen"/>
      <selection pane="bottomLeft"/>
    </sheetView>
  </sheetViews>
  <sheetFormatPr defaultColWidth="9.1796875" defaultRowHeight="13" outlineLevelRow="2"/>
  <cols>
    <col min="1" max="2" width="9.1796875" style="9"/>
    <col min="3" max="3" width="8" style="15" customWidth="1"/>
    <col min="4" max="4" width="42.81640625" style="10" customWidth="1"/>
    <col min="5" max="5" width="16.1796875" style="11" customWidth="1"/>
    <col min="6" max="6" width="18.26953125" style="11" customWidth="1"/>
    <col min="7" max="8" width="14.7265625" style="11" customWidth="1"/>
    <col min="9" max="9" width="23.54296875" style="12" customWidth="1"/>
    <col min="10" max="10" width="20.7265625" style="15" customWidth="1"/>
    <col min="11" max="11" width="13.54296875" style="10" bestFit="1" customWidth="1"/>
    <col min="12" max="12" width="12.1796875" style="9" customWidth="1"/>
    <col min="13" max="13" width="12" style="9" customWidth="1"/>
    <col min="14" max="15" width="9.1796875" style="10" customWidth="1"/>
    <col min="16" max="16" width="12.453125" style="10" bestFit="1" customWidth="1"/>
    <col min="17" max="16384" width="9.1796875" style="10"/>
  </cols>
  <sheetData>
    <row r="1" spans="1:13" s="3" customFormat="1" ht="14.5">
      <c r="A1" s="1" t="str">
        <f>'Cover Sheets'!A10:D10</f>
        <v>WAPA-UGP 2020 Rate True-up Calculation</v>
      </c>
      <c r="B1" s="1"/>
      <c r="C1" s="2"/>
      <c r="E1" s="712" t="s">
        <v>97</v>
      </c>
      <c r="F1" s="4"/>
      <c r="G1" s="4"/>
      <c r="H1" s="4"/>
      <c r="I1" s="673"/>
    </row>
    <row r="2" spans="1:13" s="3" customFormat="1">
      <c r="A2" s="1" t="s">
        <v>649</v>
      </c>
      <c r="B2" s="1"/>
      <c r="C2" s="2"/>
      <c r="E2" s="4"/>
      <c r="F2" s="4"/>
      <c r="G2" s="4"/>
      <c r="H2" s="4"/>
      <c r="I2" s="673"/>
    </row>
    <row r="3" spans="1:13" s="5" customFormat="1" ht="14.15" customHeight="1">
      <c r="A3" s="1" t="str">
        <f>'Summary-TrueUp'!A3</f>
        <v>12 Months Ending 09/30/2020 True-up</v>
      </c>
      <c r="B3" s="1"/>
      <c r="C3" s="3"/>
      <c r="E3" s="589">
        <v>-1</v>
      </c>
      <c r="F3" s="589">
        <v>-2</v>
      </c>
      <c r="G3" s="589">
        <v>-3</v>
      </c>
      <c r="H3" s="589">
        <v>-4</v>
      </c>
      <c r="I3" s="589">
        <v>-5</v>
      </c>
      <c r="J3" s="3"/>
      <c r="K3" s="3"/>
      <c r="L3" s="3"/>
      <c r="M3" s="3"/>
    </row>
    <row r="4" spans="1:13" s="3" customFormat="1" ht="44.25" customHeight="1">
      <c r="A4" s="3" t="s">
        <v>49</v>
      </c>
      <c r="C4" s="6" t="s">
        <v>616</v>
      </c>
      <c r="D4" s="7" t="s">
        <v>378</v>
      </c>
      <c r="E4" s="8" t="s">
        <v>618</v>
      </c>
      <c r="F4" s="8" t="s">
        <v>650</v>
      </c>
      <c r="G4" s="8" t="s">
        <v>651</v>
      </c>
      <c r="H4" s="8" t="s">
        <v>652</v>
      </c>
      <c r="I4" s="674" t="s">
        <v>653</v>
      </c>
      <c r="J4" s="6" t="s">
        <v>654</v>
      </c>
      <c r="M4" s="6"/>
    </row>
    <row r="5" spans="1:13" ht="13.5" customHeight="1" outlineLevel="2">
      <c r="A5" s="9">
        <v>1</v>
      </c>
      <c r="B5" s="9" t="s">
        <v>655</v>
      </c>
      <c r="C5" s="10" t="s">
        <v>656</v>
      </c>
      <c r="D5" s="10" t="s">
        <v>657</v>
      </c>
      <c r="E5" s="11">
        <v>133157.92000000001</v>
      </c>
      <c r="F5" s="12">
        <v>0</v>
      </c>
      <c r="G5" s="12">
        <v>0</v>
      </c>
      <c r="H5" s="12"/>
      <c r="I5" s="12">
        <f t="shared" ref="I5:I39" si="0">SUM(E5:G5)</f>
        <v>133157.92000000001</v>
      </c>
      <c r="J5" s="10"/>
      <c r="K5" s="9"/>
      <c r="M5" s="13"/>
    </row>
    <row r="6" spans="1:13" outlineLevel="2">
      <c r="A6" s="9">
        <f t="shared" ref="A6:A70" si="1">A5+1</f>
        <v>2</v>
      </c>
      <c r="B6" s="9" t="s">
        <v>655</v>
      </c>
      <c r="C6" s="10" t="s">
        <v>658</v>
      </c>
      <c r="D6" s="10" t="s">
        <v>659</v>
      </c>
      <c r="E6" s="11">
        <v>96623.18</v>
      </c>
      <c r="F6" s="12">
        <v>0</v>
      </c>
      <c r="G6" s="12">
        <v>0</v>
      </c>
      <c r="H6" s="12"/>
      <c r="I6" s="12">
        <f t="shared" si="0"/>
        <v>96623.18</v>
      </c>
      <c r="J6" s="10"/>
      <c r="K6" s="9"/>
      <c r="M6" s="13"/>
    </row>
    <row r="7" spans="1:13" ht="12.75" customHeight="1" outlineLevel="2">
      <c r="A7" s="9">
        <f t="shared" si="1"/>
        <v>3</v>
      </c>
      <c r="B7" s="9" t="s">
        <v>655</v>
      </c>
      <c r="C7" s="10" t="s">
        <v>660</v>
      </c>
      <c r="D7" s="10" t="s">
        <v>661</v>
      </c>
      <c r="E7" s="11">
        <v>459778.46</v>
      </c>
      <c r="F7" s="12">
        <v>0</v>
      </c>
      <c r="G7" s="12">
        <v>0</v>
      </c>
      <c r="H7" s="12"/>
      <c r="I7" s="12">
        <f t="shared" si="0"/>
        <v>459778.46</v>
      </c>
      <c r="J7" s="10"/>
      <c r="K7" s="9"/>
      <c r="M7" s="13"/>
    </row>
    <row r="8" spans="1:13" outlineLevel="2">
      <c r="A8" s="9">
        <f t="shared" si="1"/>
        <v>4</v>
      </c>
      <c r="B8" s="9" t="s">
        <v>655</v>
      </c>
      <c r="C8" s="14" t="s">
        <v>662</v>
      </c>
      <c r="D8" s="10" t="s">
        <v>663</v>
      </c>
      <c r="E8" s="11">
        <v>357312.09</v>
      </c>
      <c r="F8" s="12">
        <v>0</v>
      </c>
      <c r="G8" s="12">
        <v>0</v>
      </c>
      <c r="H8" s="12"/>
      <c r="I8" s="12">
        <f t="shared" si="0"/>
        <v>357312.09</v>
      </c>
      <c r="J8" s="14"/>
      <c r="K8" s="9"/>
      <c r="M8" s="13"/>
    </row>
    <row r="9" spans="1:13" outlineLevel="2">
      <c r="A9" s="9">
        <f t="shared" si="1"/>
        <v>5</v>
      </c>
      <c r="B9" s="9" t="s">
        <v>655</v>
      </c>
      <c r="C9" s="15" t="s">
        <v>664</v>
      </c>
      <c r="D9" s="10" t="s">
        <v>665</v>
      </c>
      <c r="E9" s="11">
        <v>6319979.5300000003</v>
      </c>
      <c r="F9" s="12">
        <v>0</v>
      </c>
      <c r="G9" s="12">
        <v>0</v>
      </c>
      <c r="H9" s="12"/>
      <c r="I9" s="12">
        <f t="shared" si="0"/>
        <v>6319979.5300000003</v>
      </c>
      <c r="K9" s="9"/>
      <c r="M9" s="13"/>
    </row>
    <row r="10" spans="1:13" outlineLevel="2">
      <c r="A10" s="9">
        <f t="shared" si="1"/>
        <v>6</v>
      </c>
      <c r="B10" s="9" t="s">
        <v>655</v>
      </c>
      <c r="C10" s="15" t="s">
        <v>666</v>
      </c>
      <c r="D10" s="10" t="s">
        <v>667</v>
      </c>
      <c r="E10" s="11">
        <v>9317119.5999999996</v>
      </c>
      <c r="F10" s="12">
        <v>0</v>
      </c>
      <c r="G10" s="12">
        <v>0</v>
      </c>
      <c r="H10" s="12"/>
      <c r="I10" s="12">
        <f t="shared" si="0"/>
        <v>9317119.5999999996</v>
      </c>
      <c r="K10" s="9"/>
    </row>
    <row r="11" spans="1:13" outlineLevel="2">
      <c r="A11" s="9">
        <f t="shared" si="1"/>
        <v>7</v>
      </c>
      <c r="B11" s="9" t="s">
        <v>655</v>
      </c>
      <c r="C11" s="15" t="s">
        <v>668</v>
      </c>
      <c r="D11" s="10" t="s">
        <v>669</v>
      </c>
      <c r="E11" s="11">
        <v>4229572.28</v>
      </c>
      <c r="F11" s="12">
        <v>0</v>
      </c>
      <c r="G11" s="12">
        <v>0</v>
      </c>
      <c r="H11" s="12"/>
      <c r="I11" s="12">
        <f t="shared" si="0"/>
        <v>4229572.28</v>
      </c>
      <c r="K11" s="9"/>
      <c r="M11" s="13"/>
    </row>
    <row r="12" spans="1:13" outlineLevel="2">
      <c r="A12" s="9">
        <f>A11+1</f>
        <v>8</v>
      </c>
      <c r="B12" s="9" t="s">
        <v>655</v>
      </c>
      <c r="C12" s="15" t="s">
        <v>670</v>
      </c>
      <c r="D12" s="10" t="s">
        <v>671</v>
      </c>
      <c r="E12" s="11">
        <v>12764457.25</v>
      </c>
      <c r="F12" s="12">
        <v>0</v>
      </c>
      <c r="G12" s="12">
        <v>0</v>
      </c>
      <c r="H12" s="12"/>
      <c r="I12" s="12">
        <f t="shared" si="0"/>
        <v>12764457.25</v>
      </c>
      <c r="K12" s="9"/>
    </row>
    <row r="13" spans="1:13" outlineLevel="2">
      <c r="A13" s="9">
        <f t="shared" si="1"/>
        <v>9</v>
      </c>
      <c r="B13" s="9" t="s">
        <v>655</v>
      </c>
      <c r="C13" s="15" t="s">
        <v>672</v>
      </c>
      <c r="D13" s="10" t="s">
        <v>673</v>
      </c>
      <c r="E13" s="11">
        <v>2564428.87</v>
      </c>
      <c r="F13" s="12">
        <v>0</v>
      </c>
      <c r="G13" s="12">
        <v>0</v>
      </c>
      <c r="H13" s="12"/>
      <c r="I13" s="12">
        <f t="shared" si="0"/>
        <v>2564428.87</v>
      </c>
      <c r="K13" s="9"/>
      <c r="M13" s="13"/>
    </row>
    <row r="14" spans="1:13" outlineLevel="2">
      <c r="A14" s="9">
        <f t="shared" si="1"/>
        <v>10</v>
      </c>
      <c r="B14" s="9" t="s">
        <v>655</v>
      </c>
      <c r="C14" s="15" t="s">
        <v>674</v>
      </c>
      <c r="D14" s="10" t="s">
        <v>675</v>
      </c>
      <c r="E14" s="11">
        <v>1718240.27</v>
      </c>
      <c r="F14" s="12">
        <v>0</v>
      </c>
      <c r="G14" s="12">
        <v>0</v>
      </c>
      <c r="H14" s="12"/>
      <c r="I14" s="12">
        <f t="shared" si="0"/>
        <v>1718240.27</v>
      </c>
      <c r="K14" s="9"/>
      <c r="M14" s="13"/>
    </row>
    <row r="15" spans="1:13" outlineLevel="2">
      <c r="A15" s="9">
        <f t="shared" si="1"/>
        <v>11</v>
      </c>
      <c r="B15" s="9" t="s">
        <v>655</v>
      </c>
      <c r="C15" s="15" t="s">
        <v>676</v>
      </c>
      <c r="D15" s="10" t="s">
        <v>677</v>
      </c>
      <c r="E15" s="11">
        <v>3318557.94</v>
      </c>
      <c r="F15" s="12">
        <v>0</v>
      </c>
      <c r="G15" s="12">
        <v>0</v>
      </c>
      <c r="H15" s="12"/>
      <c r="I15" s="12">
        <f t="shared" si="0"/>
        <v>3318557.94</v>
      </c>
      <c r="K15" s="9"/>
      <c r="M15" s="13"/>
    </row>
    <row r="16" spans="1:13" outlineLevel="2">
      <c r="A16" s="9">
        <f t="shared" si="1"/>
        <v>12</v>
      </c>
      <c r="B16" s="9" t="s">
        <v>655</v>
      </c>
      <c r="C16" s="15" t="s">
        <v>678</v>
      </c>
      <c r="D16" s="10" t="s">
        <v>679</v>
      </c>
      <c r="E16" s="11">
        <v>2952236.87</v>
      </c>
      <c r="F16" s="12">
        <v>0</v>
      </c>
      <c r="G16" s="12">
        <v>0</v>
      </c>
      <c r="H16" s="12"/>
      <c r="I16" s="12">
        <f t="shared" si="0"/>
        <v>2952236.87</v>
      </c>
      <c r="K16" s="9"/>
      <c r="M16" s="13"/>
    </row>
    <row r="17" spans="1:13" outlineLevel="2">
      <c r="A17" s="9">
        <f t="shared" si="1"/>
        <v>13</v>
      </c>
      <c r="B17" s="9" t="s">
        <v>655</v>
      </c>
      <c r="C17" s="15" t="s">
        <v>680</v>
      </c>
      <c r="D17" s="10" t="s">
        <v>681</v>
      </c>
      <c r="E17" s="11">
        <v>337235.74</v>
      </c>
      <c r="F17" s="11">
        <v>0</v>
      </c>
      <c r="G17" s="11">
        <v>0</v>
      </c>
      <c r="I17" s="12">
        <f t="shared" si="0"/>
        <v>337235.74</v>
      </c>
      <c r="J17" s="10"/>
      <c r="K17" s="9"/>
      <c r="M17" s="13"/>
    </row>
    <row r="18" spans="1:13" outlineLevel="2">
      <c r="A18" s="9">
        <f t="shared" si="1"/>
        <v>14</v>
      </c>
      <c r="B18" s="9" t="s">
        <v>655</v>
      </c>
      <c r="C18" s="15" t="s">
        <v>682</v>
      </c>
      <c r="D18" s="10" t="s">
        <v>683</v>
      </c>
      <c r="E18" s="11">
        <v>1259667.9099999999</v>
      </c>
      <c r="F18" s="12">
        <v>0</v>
      </c>
      <c r="G18" s="12">
        <v>0</v>
      </c>
      <c r="H18" s="12"/>
      <c r="I18" s="12">
        <f t="shared" si="0"/>
        <v>1259667.9099999999</v>
      </c>
      <c r="K18" s="9"/>
      <c r="M18" s="13"/>
    </row>
    <row r="19" spans="1:13" outlineLevel="2">
      <c r="A19" s="9">
        <f t="shared" si="1"/>
        <v>15</v>
      </c>
      <c r="B19" s="9" t="s">
        <v>655</v>
      </c>
      <c r="C19" s="15" t="s">
        <v>684</v>
      </c>
      <c r="D19" s="10" t="s">
        <v>685</v>
      </c>
      <c r="E19" s="11">
        <v>13451446</v>
      </c>
      <c r="F19" s="12">
        <v>0</v>
      </c>
      <c r="G19" s="12">
        <v>0</v>
      </c>
      <c r="H19" s="12"/>
      <c r="I19" s="12">
        <f t="shared" si="0"/>
        <v>13451446</v>
      </c>
      <c r="K19" s="9"/>
      <c r="M19" s="13"/>
    </row>
    <row r="20" spans="1:13" outlineLevel="2">
      <c r="A20" s="9">
        <f t="shared" si="1"/>
        <v>16</v>
      </c>
      <c r="B20" s="9" t="s">
        <v>655</v>
      </c>
      <c r="C20" s="15" t="s">
        <v>686</v>
      </c>
      <c r="D20" s="10" t="s">
        <v>687</v>
      </c>
      <c r="E20" s="11">
        <v>14513307.74</v>
      </c>
      <c r="F20" s="12">
        <v>0</v>
      </c>
      <c r="G20" s="12">
        <v>0</v>
      </c>
      <c r="H20" s="12"/>
      <c r="I20" s="12">
        <f t="shared" si="0"/>
        <v>14513307.74</v>
      </c>
      <c r="K20" s="9"/>
      <c r="M20" s="13"/>
    </row>
    <row r="21" spans="1:13" outlineLevel="2">
      <c r="A21" s="9">
        <f t="shared" si="1"/>
        <v>17</v>
      </c>
      <c r="B21" s="9" t="s">
        <v>655</v>
      </c>
      <c r="C21" s="15" t="s">
        <v>688</v>
      </c>
      <c r="D21" s="10" t="s">
        <v>689</v>
      </c>
      <c r="E21" s="11">
        <v>3624968.17</v>
      </c>
      <c r="F21" s="12">
        <v>0</v>
      </c>
      <c r="G21" s="12">
        <v>0</v>
      </c>
      <c r="H21" s="12"/>
      <c r="I21" s="12">
        <f t="shared" si="0"/>
        <v>3624968.17</v>
      </c>
      <c r="K21" s="9"/>
      <c r="M21" s="13"/>
    </row>
    <row r="22" spans="1:13" outlineLevel="2">
      <c r="A22" s="9">
        <f t="shared" si="1"/>
        <v>18</v>
      </c>
      <c r="B22" s="9" t="s">
        <v>655</v>
      </c>
      <c r="C22" s="15" t="s">
        <v>690</v>
      </c>
      <c r="D22" s="10" t="s">
        <v>691</v>
      </c>
      <c r="E22" s="11">
        <v>6735889.54</v>
      </c>
      <c r="F22" s="12">
        <v>0</v>
      </c>
      <c r="G22" s="12">
        <v>0</v>
      </c>
      <c r="H22" s="12"/>
      <c r="I22" s="12">
        <f t="shared" si="0"/>
        <v>6735889.54</v>
      </c>
      <c r="K22" s="9"/>
      <c r="M22" s="13"/>
    </row>
    <row r="23" spans="1:13" outlineLevel="2">
      <c r="A23" s="9">
        <f t="shared" si="1"/>
        <v>19</v>
      </c>
      <c r="B23" s="9" t="s">
        <v>655</v>
      </c>
      <c r="C23" s="15" t="s">
        <v>692</v>
      </c>
      <c r="D23" s="10" t="s">
        <v>693</v>
      </c>
      <c r="E23" s="11">
        <v>1366481</v>
      </c>
      <c r="F23" s="12">
        <v>0</v>
      </c>
      <c r="G23" s="12">
        <v>0</v>
      </c>
      <c r="H23" s="12"/>
      <c r="I23" s="12">
        <f t="shared" si="0"/>
        <v>1366481</v>
      </c>
      <c r="K23" s="9"/>
      <c r="M23" s="13"/>
    </row>
    <row r="24" spans="1:13" outlineLevel="2">
      <c r="A24" s="9">
        <f>A23+1</f>
        <v>20</v>
      </c>
      <c r="B24" s="9" t="s">
        <v>655</v>
      </c>
      <c r="C24" s="15" t="s">
        <v>694</v>
      </c>
      <c r="D24" s="10" t="s">
        <v>695</v>
      </c>
      <c r="E24" s="11">
        <v>2605678.14</v>
      </c>
      <c r="F24" s="12">
        <v>0</v>
      </c>
      <c r="G24" s="12">
        <v>0</v>
      </c>
      <c r="H24" s="12"/>
      <c r="I24" s="12">
        <f t="shared" si="0"/>
        <v>2605678.14</v>
      </c>
      <c r="K24" s="9"/>
      <c r="M24" s="13"/>
    </row>
    <row r="25" spans="1:13" outlineLevel="2">
      <c r="A25" s="9">
        <f t="shared" si="1"/>
        <v>21</v>
      </c>
      <c r="B25" s="9" t="s">
        <v>655</v>
      </c>
      <c r="C25" s="15" t="s">
        <v>696</v>
      </c>
      <c r="D25" s="10" t="s">
        <v>697</v>
      </c>
      <c r="E25" s="11">
        <v>553799.82999999996</v>
      </c>
      <c r="F25" s="12">
        <v>0</v>
      </c>
      <c r="G25" s="12">
        <v>0</v>
      </c>
      <c r="H25" s="12"/>
      <c r="I25" s="12">
        <f t="shared" si="0"/>
        <v>553799.82999999996</v>
      </c>
      <c r="K25" s="9"/>
      <c r="M25" s="13"/>
    </row>
    <row r="26" spans="1:13" outlineLevel="2">
      <c r="A26" s="9">
        <f t="shared" si="1"/>
        <v>22</v>
      </c>
      <c r="B26" s="9" t="s">
        <v>655</v>
      </c>
      <c r="C26" s="15" t="s">
        <v>698</v>
      </c>
      <c r="D26" s="10" t="s">
        <v>699</v>
      </c>
      <c r="E26" s="11">
        <v>3464063.5</v>
      </c>
      <c r="F26" s="12">
        <v>0</v>
      </c>
      <c r="G26" s="12">
        <v>0</v>
      </c>
      <c r="H26" s="12"/>
      <c r="I26" s="12">
        <f t="shared" si="0"/>
        <v>3464063.5</v>
      </c>
      <c r="K26" s="9"/>
      <c r="M26" s="13"/>
    </row>
    <row r="27" spans="1:13" outlineLevel="2">
      <c r="A27" s="9">
        <f t="shared" si="1"/>
        <v>23</v>
      </c>
      <c r="B27" s="9" t="s">
        <v>655</v>
      </c>
      <c r="C27" s="15" t="s">
        <v>700</v>
      </c>
      <c r="D27" s="10" t="s">
        <v>701</v>
      </c>
      <c r="E27" s="11">
        <v>918676</v>
      </c>
      <c r="F27" s="12">
        <v>0</v>
      </c>
      <c r="G27" s="12">
        <v>0</v>
      </c>
      <c r="H27" s="12"/>
      <c r="I27" s="12">
        <f t="shared" si="0"/>
        <v>918676</v>
      </c>
      <c r="K27" s="9"/>
      <c r="M27" s="13"/>
    </row>
    <row r="28" spans="1:13" outlineLevel="2">
      <c r="A28" s="9">
        <f t="shared" si="1"/>
        <v>24</v>
      </c>
      <c r="B28" s="9" t="s">
        <v>655</v>
      </c>
      <c r="C28" s="15" t="s">
        <v>702</v>
      </c>
      <c r="D28" s="10" t="s">
        <v>703</v>
      </c>
      <c r="E28" s="11">
        <v>1258899.68</v>
      </c>
      <c r="F28" s="12">
        <v>0</v>
      </c>
      <c r="G28" s="12">
        <v>0</v>
      </c>
      <c r="H28" s="12"/>
      <c r="I28" s="12">
        <f t="shared" si="0"/>
        <v>1258899.68</v>
      </c>
      <c r="K28" s="9"/>
      <c r="M28" s="13"/>
    </row>
    <row r="29" spans="1:13" outlineLevel="2">
      <c r="A29" s="9">
        <f t="shared" si="1"/>
        <v>25</v>
      </c>
      <c r="B29" s="9" t="s">
        <v>655</v>
      </c>
      <c r="C29" s="15" t="s">
        <v>704</v>
      </c>
      <c r="D29" s="10" t="s">
        <v>705</v>
      </c>
      <c r="E29" s="11">
        <v>20977730.73</v>
      </c>
      <c r="F29" s="12">
        <v>0</v>
      </c>
      <c r="G29" s="12">
        <v>0</v>
      </c>
      <c r="H29" s="12"/>
      <c r="I29" s="12">
        <f t="shared" si="0"/>
        <v>20977730.73</v>
      </c>
      <c r="K29" s="9"/>
      <c r="M29" s="13"/>
    </row>
    <row r="30" spans="1:13" outlineLevel="2">
      <c r="A30" s="9">
        <f t="shared" si="1"/>
        <v>26</v>
      </c>
      <c r="B30" s="9" t="s">
        <v>655</v>
      </c>
      <c r="C30" s="15" t="s">
        <v>706</v>
      </c>
      <c r="D30" s="10" t="s">
        <v>707</v>
      </c>
      <c r="E30" s="11">
        <v>9154518.6699999999</v>
      </c>
      <c r="F30" s="12">
        <v>0</v>
      </c>
      <c r="G30" s="12">
        <v>0</v>
      </c>
      <c r="H30" s="12"/>
      <c r="I30" s="12">
        <f t="shared" si="0"/>
        <v>9154518.6699999999</v>
      </c>
      <c r="K30" s="9"/>
      <c r="M30" s="13"/>
    </row>
    <row r="31" spans="1:13" outlineLevel="2">
      <c r="A31" s="9">
        <f t="shared" si="1"/>
        <v>27</v>
      </c>
      <c r="B31" s="9" t="s">
        <v>655</v>
      </c>
      <c r="C31" s="15" t="s">
        <v>708</v>
      </c>
      <c r="D31" s="10" t="s">
        <v>709</v>
      </c>
      <c r="E31" s="11">
        <v>1872141.8</v>
      </c>
      <c r="F31" s="12">
        <v>0</v>
      </c>
      <c r="G31" s="12">
        <v>0</v>
      </c>
      <c r="H31" s="12"/>
      <c r="I31" s="12">
        <f t="shared" si="0"/>
        <v>1872141.8</v>
      </c>
      <c r="K31" s="9"/>
      <c r="M31" s="13"/>
    </row>
    <row r="32" spans="1:13" outlineLevel="2">
      <c r="A32" s="9">
        <f t="shared" si="1"/>
        <v>28</v>
      </c>
      <c r="B32" s="9" t="s">
        <v>655</v>
      </c>
      <c r="C32" s="15" t="s">
        <v>710</v>
      </c>
      <c r="D32" s="10" t="s">
        <v>711</v>
      </c>
      <c r="E32" s="11">
        <v>375316.01</v>
      </c>
      <c r="F32" s="12">
        <v>0</v>
      </c>
      <c r="G32" s="12">
        <v>0</v>
      </c>
      <c r="H32" s="12"/>
      <c r="I32" s="12">
        <f t="shared" si="0"/>
        <v>375316.01</v>
      </c>
      <c r="K32" s="9"/>
      <c r="M32" s="13"/>
    </row>
    <row r="33" spans="1:13" outlineLevel="2">
      <c r="A33" s="9">
        <f t="shared" si="1"/>
        <v>29</v>
      </c>
      <c r="B33" s="9" t="s">
        <v>655</v>
      </c>
      <c r="C33" s="15" t="s">
        <v>712</v>
      </c>
      <c r="D33" s="10" t="s">
        <v>713</v>
      </c>
      <c r="E33" s="11">
        <v>771572.37</v>
      </c>
      <c r="F33" s="12">
        <v>0</v>
      </c>
      <c r="G33" s="12">
        <v>0</v>
      </c>
      <c r="H33" s="12"/>
      <c r="I33" s="12">
        <f t="shared" si="0"/>
        <v>771572.37</v>
      </c>
      <c r="K33" s="9"/>
      <c r="M33" s="13"/>
    </row>
    <row r="34" spans="1:13" outlineLevel="2">
      <c r="A34" s="9">
        <f t="shared" si="1"/>
        <v>30</v>
      </c>
      <c r="B34" s="9" t="s">
        <v>655</v>
      </c>
      <c r="C34" s="15" t="s">
        <v>714</v>
      </c>
      <c r="D34" s="10" t="s">
        <v>715</v>
      </c>
      <c r="E34" s="11">
        <v>60704.18</v>
      </c>
      <c r="F34" s="12">
        <v>0</v>
      </c>
      <c r="G34" s="12">
        <v>0</v>
      </c>
      <c r="H34" s="12"/>
      <c r="I34" s="12">
        <f t="shared" si="0"/>
        <v>60704.18</v>
      </c>
      <c r="K34" s="9"/>
      <c r="M34" s="13"/>
    </row>
    <row r="35" spans="1:13" outlineLevel="2">
      <c r="A35" s="9">
        <f t="shared" si="1"/>
        <v>31</v>
      </c>
      <c r="B35" s="9" t="s">
        <v>655</v>
      </c>
      <c r="C35" s="15" t="s">
        <v>716</v>
      </c>
      <c r="D35" s="10" t="s">
        <v>717</v>
      </c>
      <c r="E35" s="11">
        <v>2369098.0699999998</v>
      </c>
      <c r="F35" s="12">
        <v>0</v>
      </c>
      <c r="G35" s="12">
        <v>0</v>
      </c>
      <c r="H35" s="12"/>
      <c r="I35" s="12">
        <f t="shared" si="0"/>
        <v>2369098.0699999998</v>
      </c>
      <c r="K35" s="9"/>
      <c r="M35" s="13"/>
    </row>
    <row r="36" spans="1:13" outlineLevel="2">
      <c r="A36" s="9">
        <f t="shared" si="1"/>
        <v>32</v>
      </c>
      <c r="B36" s="9" t="s">
        <v>655</v>
      </c>
      <c r="C36" s="15" t="s">
        <v>718</v>
      </c>
      <c r="D36" s="10" t="s">
        <v>719</v>
      </c>
      <c r="E36" s="11">
        <v>8267213.3099999996</v>
      </c>
      <c r="F36" s="12">
        <v>0</v>
      </c>
      <c r="G36" s="12">
        <v>0</v>
      </c>
      <c r="H36" s="12"/>
      <c r="I36" s="12">
        <f t="shared" si="0"/>
        <v>8267213.3099999996</v>
      </c>
      <c r="K36" s="9"/>
      <c r="M36" s="13"/>
    </row>
    <row r="37" spans="1:13" outlineLevel="2">
      <c r="A37" s="9">
        <f t="shared" si="1"/>
        <v>33</v>
      </c>
      <c r="B37" s="9" t="s">
        <v>655</v>
      </c>
      <c r="C37" s="15" t="s">
        <v>720</v>
      </c>
      <c r="D37" s="10" t="s">
        <v>721</v>
      </c>
      <c r="E37" s="11">
        <v>183484.72</v>
      </c>
      <c r="F37" s="12">
        <v>0</v>
      </c>
      <c r="G37" s="12">
        <v>0</v>
      </c>
      <c r="H37" s="12"/>
      <c r="I37" s="12">
        <f t="shared" si="0"/>
        <v>183484.72</v>
      </c>
      <c r="K37" s="9"/>
      <c r="M37" s="13"/>
    </row>
    <row r="38" spans="1:13" outlineLevel="2">
      <c r="A38" s="9">
        <f t="shared" si="1"/>
        <v>34</v>
      </c>
      <c r="B38" s="9" t="s">
        <v>655</v>
      </c>
      <c r="C38" s="15" t="s">
        <v>722</v>
      </c>
      <c r="D38" s="10" t="s">
        <v>723</v>
      </c>
      <c r="E38" s="11">
        <v>922097.72</v>
      </c>
      <c r="F38" s="12">
        <v>0</v>
      </c>
      <c r="G38" s="12">
        <v>0</v>
      </c>
      <c r="H38" s="12"/>
      <c r="I38" s="12">
        <f t="shared" si="0"/>
        <v>922097.72</v>
      </c>
      <c r="K38" s="9"/>
      <c r="M38" s="13"/>
    </row>
    <row r="39" spans="1:13" outlineLevel="2">
      <c r="A39" s="9">
        <f t="shared" si="1"/>
        <v>35</v>
      </c>
      <c r="B39" s="9" t="s">
        <v>655</v>
      </c>
      <c r="C39" s="15" t="s">
        <v>724</v>
      </c>
      <c r="D39" s="10" t="s">
        <v>725</v>
      </c>
      <c r="E39" s="11">
        <v>4465037.05</v>
      </c>
      <c r="F39" s="12">
        <v>0</v>
      </c>
      <c r="G39" s="12">
        <v>0</v>
      </c>
      <c r="H39" s="12"/>
      <c r="I39" s="12">
        <f t="shared" si="0"/>
        <v>4465037.05</v>
      </c>
      <c r="K39" s="9"/>
      <c r="M39" s="13"/>
    </row>
    <row r="40" spans="1:13" outlineLevel="2">
      <c r="A40" s="9">
        <f t="shared" si="1"/>
        <v>36</v>
      </c>
      <c r="B40" s="9" t="s">
        <v>655</v>
      </c>
      <c r="C40" s="15" t="s">
        <v>726</v>
      </c>
      <c r="D40" s="10" t="s">
        <v>727</v>
      </c>
      <c r="E40" s="11">
        <v>3908825.66</v>
      </c>
      <c r="F40" s="12">
        <v>0</v>
      </c>
      <c r="G40" s="12">
        <v>0</v>
      </c>
      <c r="H40" s="12"/>
      <c r="I40" s="12">
        <f t="shared" ref="I40:I104" si="2">SUM(E40:G40)</f>
        <v>3908825.66</v>
      </c>
      <c r="K40" s="9"/>
      <c r="M40" s="13"/>
    </row>
    <row r="41" spans="1:13" outlineLevel="2">
      <c r="A41" s="9">
        <f t="shared" si="1"/>
        <v>37</v>
      </c>
      <c r="B41" s="9" t="s">
        <v>655</v>
      </c>
      <c r="C41" s="15" t="s">
        <v>728</v>
      </c>
      <c r="D41" s="10" t="s">
        <v>729</v>
      </c>
      <c r="E41" s="11">
        <v>4627356.42</v>
      </c>
      <c r="F41" s="12">
        <v>0</v>
      </c>
      <c r="G41" s="12">
        <v>0</v>
      </c>
      <c r="H41" s="12"/>
      <c r="I41" s="12">
        <f t="shared" si="2"/>
        <v>4627356.42</v>
      </c>
      <c r="K41" s="9"/>
      <c r="M41" s="13"/>
    </row>
    <row r="42" spans="1:13" outlineLevel="2">
      <c r="A42" s="9">
        <f t="shared" si="1"/>
        <v>38</v>
      </c>
      <c r="B42" s="9" t="s">
        <v>655</v>
      </c>
      <c r="C42" s="15" t="s">
        <v>730</v>
      </c>
      <c r="D42" s="10" t="s">
        <v>731</v>
      </c>
      <c r="E42" s="11">
        <v>28806330.280000001</v>
      </c>
      <c r="F42" s="12">
        <v>0</v>
      </c>
      <c r="G42" s="12">
        <v>0</v>
      </c>
      <c r="H42" s="12"/>
      <c r="I42" s="12">
        <f t="shared" si="2"/>
        <v>28806330.280000001</v>
      </c>
      <c r="K42" s="9"/>
      <c r="M42" s="13"/>
    </row>
    <row r="43" spans="1:13" outlineLevel="2">
      <c r="A43" s="9">
        <f t="shared" si="1"/>
        <v>39</v>
      </c>
      <c r="B43" s="9" t="s">
        <v>655</v>
      </c>
      <c r="C43" s="15" t="s">
        <v>732</v>
      </c>
      <c r="D43" s="10" t="s">
        <v>733</v>
      </c>
      <c r="E43" s="11">
        <v>157876.32</v>
      </c>
      <c r="F43" s="12">
        <v>0</v>
      </c>
      <c r="G43" s="12">
        <v>0</v>
      </c>
      <c r="H43" s="12"/>
      <c r="I43" s="12">
        <f t="shared" si="2"/>
        <v>157876.32</v>
      </c>
      <c r="K43" s="9"/>
      <c r="M43" s="13"/>
    </row>
    <row r="44" spans="1:13" outlineLevel="2">
      <c r="A44" s="9">
        <f t="shared" si="1"/>
        <v>40</v>
      </c>
      <c r="B44" s="9" t="s">
        <v>655</v>
      </c>
      <c r="C44" s="15" t="s">
        <v>734</v>
      </c>
      <c r="D44" s="10" t="s">
        <v>735</v>
      </c>
      <c r="E44" s="11">
        <v>13223859.539999999</v>
      </c>
      <c r="F44" s="12">
        <v>0</v>
      </c>
      <c r="G44" s="12">
        <v>0</v>
      </c>
      <c r="H44" s="12"/>
      <c r="I44" s="12">
        <f t="shared" si="2"/>
        <v>13223859.539999999</v>
      </c>
      <c r="K44" s="9"/>
      <c r="M44" s="13"/>
    </row>
    <row r="45" spans="1:13" outlineLevel="2">
      <c r="A45" s="9">
        <f t="shared" si="1"/>
        <v>41</v>
      </c>
      <c r="B45" s="9" t="s">
        <v>655</v>
      </c>
      <c r="C45" s="15" t="s">
        <v>736</v>
      </c>
      <c r="D45" s="10" t="s">
        <v>737</v>
      </c>
      <c r="E45" s="11">
        <v>7554491.9000000004</v>
      </c>
      <c r="F45" s="12">
        <v>0</v>
      </c>
      <c r="G45" s="12">
        <v>0</v>
      </c>
      <c r="H45" s="12"/>
      <c r="I45" s="12">
        <f t="shared" si="2"/>
        <v>7554491.9000000004</v>
      </c>
      <c r="K45" s="9"/>
      <c r="M45" s="13"/>
    </row>
    <row r="46" spans="1:13" outlineLevel="2">
      <c r="A46" s="9">
        <f t="shared" si="1"/>
        <v>42</v>
      </c>
      <c r="B46" s="9" t="s">
        <v>655</v>
      </c>
      <c r="C46" s="15" t="s">
        <v>738</v>
      </c>
      <c r="D46" s="10" t="s">
        <v>739</v>
      </c>
      <c r="E46" s="11">
        <v>7782247.0099999998</v>
      </c>
      <c r="F46" s="12">
        <v>0</v>
      </c>
      <c r="G46" s="12">
        <v>0</v>
      </c>
      <c r="H46" s="12"/>
      <c r="I46" s="12">
        <f t="shared" si="2"/>
        <v>7782247.0099999998</v>
      </c>
      <c r="K46" s="9"/>
      <c r="M46" s="13"/>
    </row>
    <row r="47" spans="1:13" outlineLevel="2">
      <c r="A47" s="9">
        <f t="shared" si="1"/>
        <v>43</v>
      </c>
      <c r="B47" s="9" t="s">
        <v>655</v>
      </c>
      <c r="C47" s="15" t="s">
        <v>740</v>
      </c>
      <c r="D47" s="10" t="s">
        <v>741</v>
      </c>
      <c r="E47" s="11">
        <v>2319938.7200000002</v>
      </c>
      <c r="F47" s="12">
        <v>0</v>
      </c>
      <c r="G47" s="12">
        <v>0</v>
      </c>
      <c r="H47" s="12"/>
      <c r="I47" s="12">
        <f t="shared" si="2"/>
        <v>2319938.7200000002</v>
      </c>
      <c r="K47" s="9"/>
      <c r="M47" s="13"/>
    </row>
    <row r="48" spans="1:13" outlineLevel="2">
      <c r="A48" s="9">
        <f t="shared" si="1"/>
        <v>44</v>
      </c>
      <c r="B48" s="9" t="s">
        <v>655</v>
      </c>
      <c r="C48" s="15" t="s">
        <v>742</v>
      </c>
      <c r="D48" s="10" t="s">
        <v>743</v>
      </c>
      <c r="E48" s="11">
        <v>777326.71</v>
      </c>
      <c r="F48" s="12">
        <v>0</v>
      </c>
      <c r="G48" s="12">
        <v>0</v>
      </c>
      <c r="H48" s="12"/>
      <c r="I48" s="12">
        <f t="shared" si="2"/>
        <v>777326.71</v>
      </c>
      <c r="K48" s="9"/>
      <c r="M48" s="13"/>
    </row>
    <row r="49" spans="1:13" outlineLevel="2">
      <c r="A49" s="9">
        <f t="shared" si="1"/>
        <v>45</v>
      </c>
      <c r="B49" s="9" t="s">
        <v>655</v>
      </c>
      <c r="C49" s="15" t="s">
        <v>744</v>
      </c>
      <c r="D49" s="10" t="s">
        <v>745</v>
      </c>
      <c r="E49" s="11">
        <v>1308561.8400000001</v>
      </c>
      <c r="F49" s="12">
        <v>0</v>
      </c>
      <c r="G49" s="12">
        <v>0</v>
      </c>
      <c r="H49" s="12"/>
      <c r="I49" s="12">
        <f t="shared" si="2"/>
        <v>1308561.8400000001</v>
      </c>
      <c r="K49" s="9"/>
      <c r="M49" s="13"/>
    </row>
    <row r="50" spans="1:13" outlineLevel="2">
      <c r="A50" s="9">
        <f t="shared" si="1"/>
        <v>46</v>
      </c>
      <c r="B50" s="9" t="s">
        <v>655</v>
      </c>
      <c r="C50" s="15" t="s">
        <v>746</v>
      </c>
      <c r="D50" s="10" t="s">
        <v>747</v>
      </c>
      <c r="E50" s="11">
        <v>937082.17</v>
      </c>
      <c r="F50" s="12">
        <v>0</v>
      </c>
      <c r="G50" s="12">
        <v>0</v>
      </c>
      <c r="H50" s="12"/>
      <c r="I50" s="12">
        <f t="shared" si="2"/>
        <v>937082.17</v>
      </c>
      <c r="K50" s="9"/>
      <c r="M50" s="13"/>
    </row>
    <row r="51" spans="1:13" outlineLevel="2">
      <c r="A51" s="9">
        <f t="shared" si="1"/>
        <v>47</v>
      </c>
      <c r="B51" s="9" t="s">
        <v>655</v>
      </c>
      <c r="C51" s="15" t="s">
        <v>748</v>
      </c>
      <c r="D51" s="10" t="s">
        <v>749</v>
      </c>
      <c r="E51" s="11">
        <v>11019006.33</v>
      </c>
      <c r="F51" s="12">
        <v>0</v>
      </c>
      <c r="G51" s="12">
        <v>0</v>
      </c>
      <c r="H51" s="12"/>
      <c r="I51" s="12">
        <f t="shared" si="2"/>
        <v>11019006.33</v>
      </c>
      <c r="K51" s="9"/>
      <c r="M51" s="13"/>
    </row>
    <row r="52" spans="1:13" outlineLevel="2">
      <c r="A52" s="9">
        <f t="shared" si="1"/>
        <v>48</v>
      </c>
      <c r="B52" s="9" t="s">
        <v>655</v>
      </c>
      <c r="C52" s="15" t="s">
        <v>750</v>
      </c>
      <c r="D52" s="10" t="s">
        <v>751</v>
      </c>
      <c r="E52" s="11">
        <v>17840940.789999999</v>
      </c>
      <c r="F52" s="12">
        <v>0</v>
      </c>
      <c r="G52" s="12">
        <v>0</v>
      </c>
      <c r="H52" s="12"/>
      <c r="I52" s="12">
        <f t="shared" si="2"/>
        <v>17840940.789999999</v>
      </c>
      <c r="K52" s="9"/>
      <c r="M52" s="13"/>
    </row>
    <row r="53" spans="1:13" outlineLevel="2">
      <c r="A53" s="9">
        <f t="shared" si="1"/>
        <v>49</v>
      </c>
      <c r="B53" s="9" t="s">
        <v>655</v>
      </c>
      <c r="C53" s="15" t="s">
        <v>752</v>
      </c>
      <c r="D53" s="10" t="s">
        <v>753</v>
      </c>
      <c r="E53" s="11">
        <v>6788950.71</v>
      </c>
      <c r="F53" s="12">
        <v>0</v>
      </c>
      <c r="G53" s="12">
        <v>0</v>
      </c>
      <c r="H53" s="12"/>
      <c r="I53" s="12">
        <f t="shared" si="2"/>
        <v>6788950.71</v>
      </c>
      <c r="K53" s="9"/>
      <c r="M53" s="13"/>
    </row>
    <row r="54" spans="1:13" outlineLevel="2">
      <c r="A54" s="9">
        <f t="shared" si="1"/>
        <v>50</v>
      </c>
      <c r="B54" s="9" t="s">
        <v>655</v>
      </c>
      <c r="C54" s="15" t="s">
        <v>754</v>
      </c>
      <c r="D54" s="10" t="s">
        <v>755</v>
      </c>
      <c r="E54" s="11">
        <v>10455917.060000001</v>
      </c>
      <c r="F54" s="12">
        <v>0</v>
      </c>
      <c r="G54" s="12">
        <v>0</v>
      </c>
      <c r="H54" s="12"/>
      <c r="I54" s="12">
        <f t="shared" si="2"/>
        <v>10455917.060000001</v>
      </c>
      <c r="K54" s="9"/>
      <c r="M54" s="13"/>
    </row>
    <row r="55" spans="1:13" outlineLevel="2">
      <c r="A55" s="9">
        <f t="shared" si="1"/>
        <v>51</v>
      </c>
      <c r="B55" s="9" t="s">
        <v>655</v>
      </c>
      <c r="C55" s="15" t="s">
        <v>756</v>
      </c>
      <c r="D55" s="10" t="s">
        <v>757</v>
      </c>
      <c r="E55" s="11">
        <v>10713977.23</v>
      </c>
      <c r="F55" s="12">
        <v>0</v>
      </c>
      <c r="G55" s="12">
        <v>0</v>
      </c>
      <c r="H55" s="12"/>
      <c r="I55" s="12">
        <f t="shared" si="2"/>
        <v>10713977.23</v>
      </c>
      <c r="K55" s="9"/>
      <c r="M55" s="13"/>
    </row>
    <row r="56" spans="1:13" outlineLevel="2">
      <c r="A56" s="9">
        <f t="shared" si="1"/>
        <v>52</v>
      </c>
      <c r="B56" s="9" t="s">
        <v>655</v>
      </c>
      <c r="C56" s="15" t="s">
        <v>758</v>
      </c>
      <c r="D56" s="10" t="s">
        <v>759</v>
      </c>
      <c r="E56" s="11">
        <v>5062687.71</v>
      </c>
      <c r="F56" s="12">
        <v>0</v>
      </c>
      <c r="G56" s="12">
        <v>0</v>
      </c>
      <c r="H56" s="12"/>
      <c r="I56" s="12">
        <f t="shared" si="2"/>
        <v>5062687.71</v>
      </c>
      <c r="K56" s="9"/>
      <c r="M56" s="13"/>
    </row>
    <row r="57" spans="1:13" outlineLevel="2">
      <c r="A57" s="9">
        <f t="shared" si="1"/>
        <v>53</v>
      </c>
      <c r="B57" s="9" t="s">
        <v>655</v>
      </c>
      <c r="C57" s="15" t="s">
        <v>760</v>
      </c>
      <c r="D57" s="10" t="s">
        <v>761</v>
      </c>
      <c r="E57" s="11">
        <v>1948078.5</v>
      </c>
      <c r="F57" s="12">
        <v>0</v>
      </c>
      <c r="G57" s="12">
        <v>0</v>
      </c>
      <c r="H57" s="12"/>
      <c r="I57" s="12">
        <f t="shared" si="2"/>
        <v>1948078.5</v>
      </c>
      <c r="K57" s="9"/>
      <c r="M57" s="13"/>
    </row>
    <row r="58" spans="1:13" outlineLevel="2">
      <c r="A58" s="9">
        <f t="shared" si="1"/>
        <v>54</v>
      </c>
      <c r="B58" s="9" t="s">
        <v>655</v>
      </c>
      <c r="C58" s="15" t="s">
        <v>762</v>
      </c>
      <c r="D58" s="10" t="s">
        <v>763</v>
      </c>
      <c r="E58" s="11">
        <v>1521173.69</v>
      </c>
      <c r="F58" s="12">
        <v>0</v>
      </c>
      <c r="G58" s="12">
        <v>0</v>
      </c>
      <c r="H58" s="12"/>
      <c r="I58" s="12">
        <f t="shared" si="2"/>
        <v>1521173.69</v>
      </c>
      <c r="K58" s="9"/>
      <c r="M58" s="13"/>
    </row>
    <row r="59" spans="1:13" outlineLevel="2">
      <c r="A59" s="9">
        <f t="shared" si="1"/>
        <v>55</v>
      </c>
      <c r="B59" s="9" t="s">
        <v>655</v>
      </c>
      <c r="C59" s="15" t="s">
        <v>764</v>
      </c>
      <c r="D59" s="10" t="s">
        <v>765</v>
      </c>
      <c r="E59" s="11">
        <v>455727</v>
      </c>
      <c r="F59" s="12">
        <v>0</v>
      </c>
      <c r="G59" s="12">
        <v>0</v>
      </c>
      <c r="H59" s="12"/>
      <c r="I59" s="12">
        <f t="shared" si="2"/>
        <v>455727</v>
      </c>
      <c r="K59" s="9"/>
      <c r="M59" s="13"/>
    </row>
    <row r="60" spans="1:13" outlineLevel="2">
      <c r="A60" s="9">
        <f t="shared" si="1"/>
        <v>56</v>
      </c>
      <c r="B60" s="9" t="s">
        <v>655</v>
      </c>
      <c r="C60" s="15" t="s">
        <v>766</v>
      </c>
      <c r="D60" s="10" t="s">
        <v>767</v>
      </c>
      <c r="E60" s="11">
        <v>3361449.06</v>
      </c>
      <c r="F60" s="12">
        <v>0</v>
      </c>
      <c r="G60" s="12">
        <v>0</v>
      </c>
      <c r="H60" s="12"/>
      <c r="I60" s="12">
        <f t="shared" si="2"/>
        <v>3361449.06</v>
      </c>
      <c r="K60" s="9"/>
      <c r="M60" s="13"/>
    </row>
    <row r="61" spans="1:13" outlineLevel="2">
      <c r="A61" s="9">
        <f t="shared" si="1"/>
        <v>57</v>
      </c>
      <c r="B61" s="9" t="s">
        <v>655</v>
      </c>
      <c r="C61" s="15" t="s">
        <v>768</v>
      </c>
      <c r="D61" s="10" t="s">
        <v>769</v>
      </c>
      <c r="E61" s="11">
        <v>3279089.4</v>
      </c>
      <c r="F61" s="12">
        <v>0</v>
      </c>
      <c r="G61" s="12">
        <v>0</v>
      </c>
      <c r="H61" s="12"/>
      <c r="I61" s="12">
        <f t="shared" si="2"/>
        <v>3279089.4</v>
      </c>
      <c r="K61" s="9"/>
      <c r="M61" s="13"/>
    </row>
    <row r="62" spans="1:13" outlineLevel="2">
      <c r="A62" s="9">
        <f t="shared" si="1"/>
        <v>58</v>
      </c>
      <c r="B62" s="9" t="s">
        <v>655</v>
      </c>
      <c r="C62" s="15" t="s">
        <v>770</v>
      </c>
      <c r="D62" s="10" t="s">
        <v>771</v>
      </c>
      <c r="E62" s="11">
        <v>156778</v>
      </c>
      <c r="F62" s="12">
        <v>0</v>
      </c>
      <c r="G62" s="12">
        <v>0</v>
      </c>
      <c r="H62" s="12"/>
      <c r="I62" s="12">
        <f t="shared" si="2"/>
        <v>156778</v>
      </c>
      <c r="K62" s="9"/>
      <c r="M62" s="13"/>
    </row>
    <row r="63" spans="1:13" outlineLevel="2">
      <c r="A63" s="9">
        <f t="shared" si="1"/>
        <v>59</v>
      </c>
      <c r="B63" s="9" t="s">
        <v>655</v>
      </c>
      <c r="C63" s="15" t="s">
        <v>772</v>
      </c>
      <c r="D63" s="10" t="s">
        <v>773</v>
      </c>
      <c r="E63" s="11">
        <v>12744944.75</v>
      </c>
      <c r="F63" s="12">
        <v>0</v>
      </c>
      <c r="G63" s="12">
        <v>0</v>
      </c>
      <c r="H63" s="12"/>
      <c r="I63" s="12">
        <f t="shared" si="2"/>
        <v>12744944.75</v>
      </c>
      <c r="K63" s="9"/>
      <c r="M63" s="13"/>
    </row>
    <row r="64" spans="1:13" outlineLevel="2">
      <c r="A64" s="9">
        <f t="shared" si="1"/>
        <v>60</v>
      </c>
      <c r="B64" s="9" t="s">
        <v>655</v>
      </c>
      <c r="C64" s="15" t="s">
        <v>774</v>
      </c>
      <c r="D64" s="10" t="s">
        <v>775</v>
      </c>
      <c r="E64" s="11">
        <v>10110752.16</v>
      </c>
      <c r="F64" s="12">
        <v>0</v>
      </c>
      <c r="G64" s="12">
        <v>0</v>
      </c>
      <c r="H64" s="12"/>
      <c r="I64" s="12">
        <f t="shared" si="2"/>
        <v>10110752.16</v>
      </c>
      <c r="K64" s="9"/>
      <c r="M64" s="13"/>
    </row>
    <row r="65" spans="1:13" outlineLevel="2">
      <c r="A65" s="9">
        <f t="shared" si="1"/>
        <v>61</v>
      </c>
      <c r="B65" s="9" t="s">
        <v>655</v>
      </c>
      <c r="C65" s="15" t="s">
        <v>776</v>
      </c>
      <c r="D65" s="10" t="s">
        <v>777</v>
      </c>
      <c r="E65" s="11">
        <v>1270645.42</v>
      </c>
      <c r="F65" s="12">
        <v>0</v>
      </c>
      <c r="G65" s="12">
        <v>0</v>
      </c>
      <c r="H65" s="12"/>
      <c r="I65" s="12">
        <f t="shared" si="2"/>
        <v>1270645.42</v>
      </c>
      <c r="K65" s="9"/>
      <c r="M65" s="13"/>
    </row>
    <row r="66" spans="1:13" outlineLevel="2">
      <c r="A66" s="9">
        <f t="shared" si="1"/>
        <v>62</v>
      </c>
      <c r="B66" s="9" t="s">
        <v>655</v>
      </c>
      <c r="C66" s="15" t="s">
        <v>778</v>
      </c>
      <c r="D66" s="10" t="s">
        <v>779</v>
      </c>
      <c r="E66" s="11">
        <v>3255847.1</v>
      </c>
      <c r="F66" s="12">
        <v>0</v>
      </c>
      <c r="G66" s="12">
        <v>0</v>
      </c>
      <c r="H66" s="12"/>
      <c r="I66" s="12">
        <f t="shared" si="2"/>
        <v>3255847.1</v>
      </c>
      <c r="K66" s="9"/>
      <c r="M66" s="13"/>
    </row>
    <row r="67" spans="1:13" outlineLevel="2">
      <c r="A67" s="9">
        <f t="shared" si="1"/>
        <v>63</v>
      </c>
      <c r="B67" s="9" t="s">
        <v>655</v>
      </c>
      <c r="C67" s="15" t="s">
        <v>780</v>
      </c>
      <c r="D67" s="10" t="s">
        <v>781</v>
      </c>
      <c r="E67" s="11">
        <v>8681331.6699999999</v>
      </c>
      <c r="F67" s="12">
        <v>0</v>
      </c>
      <c r="G67" s="12">
        <v>0</v>
      </c>
      <c r="H67" s="12"/>
      <c r="I67" s="12">
        <f t="shared" si="2"/>
        <v>8681331.6699999999</v>
      </c>
      <c r="K67" s="9"/>
      <c r="M67" s="13"/>
    </row>
    <row r="68" spans="1:13" outlineLevel="2">
      <c r="A68" s="9">
        <f t="shared" si="1"/>
        <v>64</v>
      </c>
      <c r="B68" s="9" t="s">
        <v>655</v>
      </c>
      <c r="C68" s="15" t="s">
        <v>782</v>
      </c>
      <c r="D68" s="10" t="s">
        <v>783</v>
      </c>
      <c r="E68" s="11">
        <v>5561904.6399999997</v>
      </c>
      <c r="F68" s="12">
        <v>0</v>
      </c>
      <c r="G68" s="12">
        <v>0</v>
      </c>
      <c r="H68" s="12"/>
      <c r="I68" s="12">
        <f t="shared" si="2"/>
        <v>5561904.6399999997</v>
      </c>
      <c r="K68" s="9"/>
      <c r="M68" s="13"/>
    </row>
    <row r="69" spans="1:13" outlineLevel="2">
      <c r="A69" s="9">
        <f t="shared" si="1"/>
        <v>65</v>
      </c>
      <c r="B69" s="9" t="s">
        <v>655</v>
      </c>
      <c r="C69" s="15" t="s">
        <v>784</v>
      </c>
      <c r="D69" s="10" t="s">
        <v>785</v>
      </c>
      <c r="E69" s="11">
        <v>6016436.0499999998</v>
      </c>
      <c r="F69" s="12">
        <v>0</v>
      </c>
      <c r="G69" s="12">
        <v>0</v>
      </c>
      <c r="H69" s="12"/>
      <c r="I69" s="12">
        <f t="shared" si="2"/>
        <v>6016436.0499999998</v>
      </c>
      <c r="K69" s="9"/>
      <c r="M69" s="13"/>
    </row>
    <row r="70" spans="1:13" outlineLevel="2">
      <c r="A70" s="9">
        <f t="shared" si="1"/>
        <v>66</v>
      </c>
      <c r="B70" s="9" t="s">
        <v>655</v>
      </c>
      <c r="C70" s="15" t="s">
        <v>786</v>
      </c>
      <c r="D70" s="10" t="s">
        <v>787</v>
      </c>
      <c r="E70" s="11">
        <v>11263708.41</v>
      </c>
      <c r="F70" s="12">
        <v>0</v>
      </c>
      <c r="G70" s="12">
        <v>0</v>
      </c>
      <c r="H70" s="12"/>
      <c r="I70" s="12">
        <f t="shared" si="2"/>
        <v>11263708.41</v>
      </c>
      <c r="K70" s="9"/>
      <c r="M70" s="13"/>
    </row>
    <row r="71" spans="1:13" outlineLevel="2">
      <c r="A71" s="9">
        <f t="shared" ref="A71:A141" si="3">A70+1</f>
        <v>67</v>
      </c>
      <c r="B71" s="9" t="s">
        <v>655</v>
      </c>
      <c r="C71" s="15" t="s">
        <v>788</v>
      </c>
      <c r="D71" s="10" t="s">
        <v>789</v>
      </c>
      <c r="E71" s="11">
        <v>617622.68000000005</v>
      </c>
      <c r="F71" s="12">
        <v>0</v>
      </c>
      <c r="G71" s="12">
        <v>0</v>
      </c>
      <c r="H71" s="12"/>
      <c r="I71" s="12">
        <f t="shared" si="2"/>
        <v>617622.68000000005</v>
      </c>
      <c r="K71" s="9"/>
      <c r="M71" s="13"/>
    </row>
    <row r="72" spans="1:13" outlineLevel="2">
      <c r="A72" s="9">
        <f t="shared" si="3"/>
        <v>68</v>
      </c>
      <c r="B72" s="9" t="s">
        <v>655</v>
      </c>
      <c r="C72" s="15" t="s">
        <v>790</v>
      </c>
      <c r="D72" s="10" t="s">
        <v>791</v>
      </c>
      <c r="E72" s="11">
        <v>6319621.6699999999</v>
      </c>
      <c r="F72" s="12">
        <v>0</v>
      </c>
      <c r="G72" s="12">
        <v>0</v>
      </c>
      <c r="H72" s="12"/>
      <c r="I72" s="12">
        <f t="shared" si="2"/>
        <v>6319621.6699999999</v>
      </c>
      <c r="K72" s="9"/>
      <c r="M72" s="13"/>
    </row>
    <row r="73" spans="1:13" outlineLevel="2">
      <c r="A73" s="9">
        <f t="shared" si="3"/>
        <v>69</v>
      </c>
      <c r="B73" s="9" t="s">
        <v>655</v>
      </c>
      <c r="C73" s="15" t="s">
        <v>792</v>
      </c>
      <c r="D73" s="10" t="s">
        <v>793</v>
      </c>
      <c r="E73" s="11">
        <v>1189519.96</v>
      </c>
      <c r="F73" s="12">
        <v>0</v>
      </c>
      <c r="G73" s="12">
        <v>0</v>
      </c>
      <c r="H73" s="12"/>
      <c r="I73" s="12">
        <f t="shared" si="2"/>
        <v>1189519.96</v>
      </c>
      <c r="K73" s="9"/>
      <c r="M73" s="13"/>
    </row>
    <row r="74" spans="1:13" outlineLevel="2">
      <c r="A74" s="9">
        <f t="shared" si="3"/>
        <v>70</v>
      </c>
      <c r="B74" s="9" t="s">
        <v>655</v>
      </c>
      <c r="C74" s="15" t="s">
        <v>794</v>
      </c>
      <c r="D74" s="10" t="s">
        <v>795</v>
      </c>
      <c r="E74" s="11">
        <v>4941648.6100000003</v>
      </c>
      <c r="F74" s="12">
        <v>0</v>
      </c>
      <c r="G74" s="12">
        <v>0</v>
      </c>
      <c r="H74" s="12"/>
      <c r="I74" s="12">
        <f t="shared" si="2"/>
        <v>4941648.6100000003</v>
      </c>
      <c r="K74" s="9"/>
      <c r="M74" s="13"/>
    </row>
    <row r="75" spans="1:13" outlineLevel="2">
      <c r="A75" s="9">
        <f t="shared" si="3"/>
        <v>71</v>
      </c>
      <c r="B75" s="9" t="s">
        <v>655</v>
      </c>
      <c r="C75" s="15" t="s">
        <v>796</v>
      </c>
      <c r="D75" s="10" t="s">
        <v>797</v>
      </c>
      <c r="E75" s="11">
        <v>3155849.87</v>
      </c>
      <c r="F75" s="12">
        <v>0</v>
      </c>
      <c r="G75" s="12">
        <v>0</v>
      </c>
      <c r="H75" s="12"/>
      <c r="I75" s="12">
        <f t="shared" si="2"/>
        <v>3155849.87</v>
      </c>
      <c r="K75" s="9"/>
      <c r="M75" s="13"/>
    </row>
    <row r="76" spans="1:13" outlineLevel="2">
      <c r="A76" s="9">
        <f t="shared" si="3"/>
        <v>72</v>
      </c>
      <c r="B76" s="9" t="s">
        <v>655</v>
      </c>
      <c r="C76" s="15" t="s">
        <v>798</v>
      </c>
      <c r="D76" s="10" t="s">
        <v>799</v>
      </c>
      <c r="E76" s="11">
        <v>28856299.199999999</v>
      </c>
      <c r="F76" s="12">
        <v>0</v>
      </c>
      <c r="G76" s="12">
        <v>0</v>
      </c>
      <c r="H76" s="12"/>
      <c r="I76" s="12">
        <f t="shared" si="2"/>
        <v>28856299.199999999</v>
      </c>
      <c r="K76" s="9"/>
      <c r="M76" s="13"/>
    </row>
    <row r="77" spans="1:13" outlineLevel="2">
      <c r="A77" s="9">
        <f t="shared" si="3"/>
        <v>73</v>
      </c>
      <c r="B77" s="9" t="s">
        <v>655</v>
      </c>
      <c r="C77" s="15" t="s">
        <v>800</v>
      </c>
      <c r="D77" s="10" t="s">
        <v>801</v>
      </c>
      <c r="E77" s="11">
        <v>1055414.43</v>
      </c>
      <c r="F77" s="12">
        <v>0</v>
      </c>
      <c r="G77" s="12">
        <v>0</v>
      </c>
      <c r="H77" s="12"/>
      <c r="I77" s="12">
        <f t="shared" si="2"/>
        <v>1055414.43</v>
      </c>
      <c r="K77" s="9"/>
      <c r="M77" s="13"/>
    </row>
    <row r="78" spans="1:13" outlineLevel="2">
      <c r="A78" s="9">
        <f>A77+1</f>
        <v>74</v>
      </c>
      <c r="B78" s="9" t="s">
        <v>655</v>
      </c>
      <c r="C78" s="15" t="s">
        <v>802</v>
      </c>
      <c r="D78" s="10" t="s">
        <v>803</v>
      </c>
      <c r="E78" s="11">
        <v>282088</v>
      </c>
      <c r="I78" s="12">
        <f>SUM(E78:G78)</f>
        <v>282088</v>
      </c>
      <c r="J78" s="10"/>
      <c r="K78" s="9"/>
      <c r="M78" s="13"/>
    </row>
    <row r="79" spans="1:13" outlineLevel="2">
      <c r="A79" s="9">
        <f>A78+1</f>
        <v>75</v>
      </c>
      <c r="B79" s="9" t="s">
        <v>655</v>
      </c>
      <c r="C79" s="15" t="s">
        <v>804</v>
      </c>
      <c r="D79" s="10" t="s">
        <v>805</v>
      </c>
      <c r="E79" s="11">
        <v>8987641.8000000007</v>
      </c>
      <c r="F79" s="12">
        <v>0</v>
      </c>
      <c r="G79" s="12">
        <v>0</v>
      </c>
      <c r="H79" s="12"/>
      <c r="I79" s="12">
        <f t="shared" si="2"/>
        <v>8987641.8000000007</v>
      </c>
      <c r="K79" s="9"/>
      <c r="M79" s="13"/>
    </row>
    <row r="80" spans="1:13" outlineLevel="2">
      <c r="A80" s="9">
        <f t="shared" si="3"/>
        <v>76</v>
      </c>
      <c r="B80" s="9" t="s">
        <v>655</v>
      </c>
      <c r="C80" s="15" t="s">
        <v>806</v>
      </c>
      <c r="D80" s="10" t="s">
        <v>807</v>
      </c>
      <c r="E80" s="11">
        <v>6257785.9800000004</v>
      </c>
      <c r="F80" s="12">
        <v>0</v>
      </c>
      <c r="G80" s="12">
        <v>0</v>
      </c>
      <c r="H80" s="12"/>
      <c r="I80" s="12">
        <f t="shared" si="2"/>
        <v>6257785.9800000004</v>
      </c>
      <c r="K80" s="9"/>
      <c r="M80" s="13"/>
    </row>
    <row r="81" spans="1:13" outlineLevel="2">
      <c r="A81" s="9">
        <f t="shared" si="3"/>
        <v>77</v>
      </c>
      <c r="B81" s="9" t="s">
        <v>655</v>
      </c>
      <c r="C81" s="15" t="s">
        <v>808</v>
      </c>
      <c r="D81" s="10" t="s">
        <v>809</v>
      </c>
      <c r="E81" s="11">
        <v>1089083.24</v>
      </c>
      <c r="F81" s="12">
        <v>0</v>
      </c>
      <c r="G81" s="12">
        <v>0</v>
      </c>
      <c r="H81" s="12"/>
      <c r="I81" s="12">
        <f t="shared" si="2"/>
        <v>1089083.24</v>
      </c>
      <c r="K81" s="9"/>
      <c r="M81" s="13"/>
    </row>
    <row r="82" spans="1:13" outlineLevel="2">
      <c r="A82" s="9">
        <f t="shared" si="3"/>
        <v>78</v>
      </c>
      <c r="B82" s="9" t="s">
        <v>655</v>
      </c>
      <c r="C82" s="15" t="s">
        <v>810</v>
      </c>
      <c r="D82" s="10" t="s">
        <v>811</v>
      </c>
      <c r="E82" s="11">
        <v>1816903.7</v>
      </c>
      <c r="F82" s="12">
        <v>0</v>
      </c>
      <c r="G82" s="12">
        <v>0</v>
      </c>
      <c r="H82" s="12"/>
      <c r="I82" s="12">
        <f t="shared" si="2"/>
        <v>1816903.7</v>
      </c>
      <c r="K82" s="9"/>
      <c r="M82" s="13"/>
    </row>
    <row r="83" spans="1:13" outlineLevel="2">
      <c r="A83" s="9">
        <f t="shared" si="3"/>
        <v>79</v>
      </c>
      <c r="B83" s="9" t="s">
        <v>655</v>
      </c>
      <c r="C83" s="15" t="s">
        <v>812</v>
      </c>
      <c r="D83" s="10" t="s">
        <v>813</v>
      </c>
      <c r="E83" s="11">
        <v>1790107.66</v>
      </c>
      <c r="F83" s="12">
        <v>0</v>
      </c>
      <c r="G83" s="12">
        <v>0</v>
      </c>
      <c r="H83" s="12"/>
      <c r="I83" s="12">
        <f t="shared" si="2"/>
        <v>1790107.66</v>
      </c>
      <c r="K83" s="9"/>
      <c r="M83" s="13"/>
    </row>
    <row r="84" spans="1:13" outlineLevel="2">
      <c r="A84" s="9">
        <f t="shared" si="3"/>
        <v>80</v>
      </c>
      <c r="B84" s="9" t="s">
        <v>655</v>
      </c>
      <c r="C84" s="15" t="s">
        <v>814</v>
      </c>
      <c r="D84" s="10" t="s">
        <v>815</v>
      </c>
      <c r="E84" s="11">
        <v>6346264.54</v>
      </c>
      <c r="F84" s="12">
        <v>0</v>
      </c>
      <c r="G84" s="12">
        <v>0</v>
      </c>
      <c r="H84" s="12"/>
      <c r="I84" s="12">
        <f t="shared" si="2"/>
        <v>6346264.54</v>
      </c>
      <c r="K84" s="9"/>
      <c r="M84" s="13"/>
    </row>
    <row r="85" spans="1:13" outlineLevel="2">
      <c r="A85" s="9">
        <f t="shared" si="3"/>
        <v>81</v>
      </c>
      <c r="B85" s="9" t="s">
        <v>655</v>
      </c>
      <c r="C85" s="15" t="s">
        <v>816</v>
      </c>
      <c r="D85" s="10" t="s">
        <v>817</v>
      </c>
      <c r="E85" s="11">
        <v>10569337.84</v>
      </c>
      <c r="F85" s="12">
        <v>0</v>
      </c>
      <c r="G85" s="12">
        <v>0</v>
      </c>
      <c r="H85" s="12"/>
      <c r="I85" s="12">
        <f t="shared" si="2"/>
        <v>10569337.84</v>
      </c>
      <c r="K85" s="9"/>
      <c r="M85" s="13"/>
    </row>
    <row r="86" spans="1:13" outlineLevel="2">
      <c r="A86" s="9">
        <f t="shared" si="3"/>
        <v>82</v>
      </c>
      <c r="B86" s="9" t="s">
        <v>655</v>
      </c>
      <c r="C86" s="15" t="s">
        <v>818</v>
      </c>
      <c r="D86" s="10" t="s">
        <v>819</v>
      </c>
      <c r="E86" s="11">
        <v>3750704.04</v>
      </c>
      <c r="F86" s="12">
        <v>0</v>
      </c>
      <c r="G86" s="12">
        <v>0</v>
      </c>
      <c r="H86" s="12"/>
      <c r="I86" s="12">
        <f t="shared" si="2"/>
        <v>3750704.04</v>
      </c>
      <c r="K86" s="9"/>
      <c r="M86" s="13"/>
    </row>
    <row r="87" spans="1:13" outlineLevel="2">
      <c r="A87" s="9">
        <f t="shared" si="3"/>
        <v>83</v>
      </c>
      <c r="B87" s="9" t="s">
        <v>655</v>
      </c>
      <c r="C87" s="15" t="s">
        <v>820</v>
      </c>
      <c r="D87" s="10" t="s">
        <v>821</v>
      </c>
      <c r="E87" s="11">
        <v>2915316.01</v>
      </c>
      <c r="F87" s="12">
        <v>0</v>
      </c>
      <c r="G87" s="12">
        <v>0</v>
      </c>
      <c r="H87" s="12"/>
      <c r="I87" s="12">
        <f t="shared" si="2"/>
        <v>2915316.01</v>
      </c>
      <c r="K87" s="9"/>
      <c r="M87" s="13"/>
    </row>
    <row r="88" spans="1:13" outlineLevel="2">
      <c r="A88" s="9">
        <f t="shared" si="3"/>
        <v>84</v>
      </c>
      <c r="B88" s="9" t="s">
        <v>655</v>
      </c>
      <c r="C88" s="15" t="s">
        <v>822</v>
      </c>
      <c r="D88" s="10" t="s">
        <v>823</v>
      </c>
      <c r="E88" s="11">
        <v>1132485.8600000001</v>
      </c>
      <c r="F88" s="12">
        <v>0</v>
      </c>
      <c r="G88" s="12">
        <v>0</v>
      </c>
      <c r="H88" s="12"/>
      <c r="I88" s="12">
        <f t="shared" si="2"/>
        <v>1132485.8600000001</v>
      </c>
      <c r="K88" s="9"/>
      <c r="M88" s="13"/>
    </row>
    <row r="89" spans="1:13" outlineLevel="2">
      <c r="A89" s="9">
        <f t="shared" si="3"/>
        <v>85</v>
      </c>
      <c r="B89" s="9" t="s">
        <v>655</v>
      </c>
      <c r="C89" s="15" t="s">
        <v>824</v>
      </c>
      <c r="D89" s="10" t="s">
        <v>825</v>
      </c>
      <c r="E89" s="11">
        <v>309991</v>
      </c>
      <c r="F89" s="12">
        <v>0</v>
      </c>
      <c r="G89" s="12">
        <v>0</v>
      </c>
      <c r="H89" s="12"/>
      <c r="I89" s="12">
        <f t="shared" si="2"/>
        <v>309991</v>
      </c>
      <c r="K89" s="9"/>
      <c r="M89" s="13"/>
    </row>
    <row r="90" spans="1:13" outlineLevel="2">
      <c r="A90" s="9">
        <f t="shared" si="3"/>
        <v>86</v>
      </c>
      <c r="B90" s="9" t="s">
        <v>655</v>
      </c>
      <c r="C90" s="15" t="s">
        <v>826</v>
      </c>
      <c r="D90" s="10" t="s">
        <v>827</v>
      </c>
      <c r="E90" s="11">
        <v>2651859.84</v>
      </c>
      <c r="F90" s="12">
        <v>0</v>
      </c>
      <c r="G90" s="12">
        <v>0</v>
      </c>
      <c r="H90" s="12"/>
      <c r="I90" s="12">
        <f t="shared" si="2"/>
        <v>2651859.84</v>
      </c>
      <c r="K90" s="9"/>
      <c r="M90" s="13"/>
    </row>
    <row r="91" spans="1:13" ht="13.5" customHeight="1" outlineLevel="2">
      <c r="A91" s="9">
        <f t="shared" si="3"/>
        <v>87</v>
      </c>
      <c r="B91" s="9" t="s">
        <v>655</v>
      </c>
      <c r="C91" s="15" t="s">
        <v>828</v>
      </c>
      <c r="D91" s="10" t="s">
        <v>829</v>
      </c>
      <c r="E91" s="11">
        <v>3973415.92</v>
      </c>
      <c r="F91" s="12">
        <v>0</v>
      </c>
      <c r="G91" s="12">
        <v>0</v>
      </c>
      <c r="H91" s="12"/>
      <c r="I91" s="12">
        <f t="shared" si="2"/>
        <v>3973415.92</v>
      </c>
      <c r="K91" s="9"/>
      <c r="M91" s="13"/>
    </row>
    <row r="92" spans="1:13" outlineLevel="2">
      <c r="A92" s="9">
        <f t="shared" si="3"/>
        <v>88</v>
      </c>
      <c r="B92" s="9" t="s">
        <v>655</v>
      </c>
      <c r="C92" s="15" t="s">
        <v>830</v>
      </c>
      <c r="D92" s="10" t="s">
        <v>831</v>
      </c>
      <c r="E92" s="11">
        <v>5563295.5999999996</v>
      </c>
      <c r="F92" s="12">
        <v>0</v>
      </c>
      <c r="G92" s="12">
        <v>0</v>
      </c>
      <c r="H92" s="12"/>
      <c r="I92" s="12">
        <f t="shared" si="2"/>
        <v>5563295.5999999996</v>
      </c>
      <c r="K92" s="9"/>
      <c r="M92" s="13"/>
    </row>
    <row r="93" spans="1:13" outlineLevel="2">
      <c r="A93" s="9">
        <f t="shared" si="3"/>
        <v>89</v>
      </c>
      <c r="B93" s="9" t="s">
        <v>655</v>
      </c>
      <c r="C93" s="15" t="s">
        <v>832</v>
      </c>
      <c r="D93" s="10" t="s">
        <v>833</v>
      </c>
      <c r="E93" s="11">
        <v>5949647.5099999998</v>
      </c>
      <c r="F93" s="12">
        <v>0</v>
      </c>
      <c r="G93" s="12">
        <v>0</v>
      </c>
      <c r="H93" s="12"/>
      <c r="I93" s="12">
        <f t="shared" si="2"/>
        <v>5949647.5099999998</v>
      </c>
      <c r="K93" s="9"/>
      <c r="M93" s="13"/>
    </row>
    <row r="94" spans="1:13" outlineLevel="2">
      <c r="A94" s="9">
        <f t="shared" si="3"/>
        <v>90</v>
      </c>
      <c r="B94" s="9" t="s">
        <v>655</v>
      </c>
      <c r="C94" s="15" t="s">
        <v>834</v>
      </c>
      <c r="D94" s="10" t="s">
        <v>835</v>
      </c>
      <c r="E94" s="11">
        <v>1967901.35</v>
      </c>
      <c r="F94" s="12">
        <v>0</v>
      </c>
      <c r="G94" s="12">
        <v>0</v>
      </c>
      <c r="H94" s="12"/>
      <c r="I94" s="12">
        <f t="shared" si="2"/>
        <v>1967901.35</v>
      </c>
      <c r="K94" s="9"/>
      <c r="M94" s="13"/>
    </row>
    <row r="95" spans="1:13" outlineLevel="2">
      <c r="A95" s="9">
        <f t="shared" si="3"/>
        <v>91</v>
      </c>
      <c r="B95" s="9" t="s">
        <v>655</v>
      </c>
      <c r="C95" s="15" t="s">
        <v>836</v>
      </c>
      <c r="D95" s="10" t="s">
        <v>837</v>
      </c>
      <c r="E95" s="11">
        <v>6683770.3600000003</v>
      </c>
      <c r="F95" s="12">
        <v>0</v>
      </c>
      <c r="G95" s="12">
        <v>0</v>
      </c>
      <c r="H95" s="12"/>
      <c r="I95" s="12">
        <f t="shared" si="2"/>
        <v>6683770.3600000003</v>
      </c>
      <c r="K95" s="9"/>
      <c r="M95" s="13"/>
    </row>
    <row r="96" spans="1:13" outlineLevel="2">
      <c r="A96" s="9">
        <f t="shared" si="3"/>
        <v>92</v>
      </c>
      <c r="B96" s="9" t="s">
        <v>655</v>
      </c>
      <c r="C96" s="15" t="s">
        <v>838</v>
      </c>
      <c r="D96" s="10" t="s">
        <v>839</v>
      </c>
      <c r="E96" s="11">
        <v>388816.19</v>
      </c>
      <c r="F96" s="12">
        <v>0</v>
      </c>
      <c r="G96" s="12">
        <v>0</v>
      </c>
      <c r="H96" s="12"/>
      <c r="I96" s="12">
        <f t="shared" si="2"/>
        <v>388816.19</v>
      </c>
      <c r="K96" s="9"/>
      <c r="M96" s="13"/>
    </row>
    <row r="97" spans="1:13" outlineLevel="2">
      <c r="A97" s="9">
        <f t="shared" si="3"/>
        <v>93</v>
      </c>
      <c r="B97" s="9" t="s">
        <v>655</v>
      </c>
      <c r="C97" s="15" t="s">
        <v>840</v>
      </c>
      <c r="D97" s="10" t="s">
        <v>841</v>
      </c>
      <c r="E97" s="11">
        <v>2488318.48</v>
      </c>
      <c r="F97" s="12">
        <v>0</v>
      </c>
      <c r="G97" s="12">
        <v>0</v>
      </c>
      <c r="H97" s="12"/>
      <c r="I97" s="12">
        <f t="shared" si="2"/>
        <v>2488318.48</v>
      </c>
      <c r="K97" s="9"/>
      <c r="M97" s="13"/>
    </row>
    <row r="98" spans="1:13" outlineLevel="2">
      <c r="A98" s="9">
        <f t="shared" si="3"/>
        <v>94</v>
      </c>
      <c r="B98" s="9" t="s">
        <v>655</v>
      </c>
      <c r="C98" s="15" t="s">
        <v>842</v>
      </c>
      <c r="D98" s="10" t="s">
        <v>843</v>
      </c>
      <c r="E98" s="11">
        <v>2140435.5299999998</v>
      </c>
      <c r="F98" s="12">
        <v>0</v>
      </c>
      <c r="G98" s="12">
        <v>0</v>
      </c>
      <c r="H98" s="12"/>
      <c r="I98" s="12">
        <f t="shared" si="2"/>
        <v>2140435.5299999998</v>
      </c>
      <c r="K98" s="9"/>
      <c r="M98" s="13"/>
    </row>
    <row r="99" spans="1:13" outlineLevel="2">
      <c r="A99" s="9">
        <f t="shared" si="3"/>
        <v>95</v>
      </c>
      <c r="B99" s="9" t="s">
        <v>655</v>
      </c>
      <c r="C99" s="15" t="s">
        <v>844</v>
      </c>
      <c r="D99" s="10" t="s">
        <v>845</v>
      </c>
      <c r="E99" s="11">
        <v>9269194.1600000001</v>
      </c>
      <c r="F99" s="12">
        <v>0</v>
      </c>
      <c r="G99" s="12">
        <v>0</v>
      </c>
      <c r="H99" s="12"/>
      <c r="I99" s="12">
        <f t="shared" si="2"/>
        <v>9269194.1600000001</v>
      </c>
      <c r="K99" s="9"/>
      <c r="M99" s="13"/>
    </row>
    <row r="100" spans="1:13" outlineLevel="2">
      <c r="A100" s="9">
        <f t="shared" si="3"/>
        <v>96</v>
      </c>
      <c r="B100" s="9" t="s">
        <v>655</v>
      </c>
      <c r="C100" s="15" t="s">
        <v>846</v>
      </c>
      <c r="D100" s="10" t="s">
        <v>847</v>
      </c>
      <c r="E100" s="11">
        <v>52063.76</v>
      </c>
      <c r="F100" s="12">
        <v>0</v>
      </c>
      <c r="G100" s="12">
        <v>0</v>
      </c>
      <c r="H100" s="12"/>
      <c r="I100" s="12">
        <f t="shared" si="2"/>
        <v>52063.76</v>
      </c>
      <c r="K100" s="9"/>
      <c r="M100" s="13"/>
    </row>
    <row r="101" spans="1:13" outlineLevel="2">
      <c r="A101" s="9">
        <f t="shared" si="3"/>
        <v>97</v>
      </c>
      <c r="B101" s="9" t="s">
        <v>655</v>
      </c>
      <c r="C101" s="15" t="s">
        <v>848</v>
      </c>
      <c r="D101" s="10" t="s">
        <v>849</v>
      </c>
      <c r="E101" s="11">
        <v>91742.49</v>
      </c>
      <c r="F101" s="12">
        <v>0</v>
      </c>
      <c r="G101" s="12">
        <v>0</v>
      </c>
      <c r="H101" s="12"/>
      <c r="I101" s="12">
        <f t="shared" si="2"/>
        <v>91742.49</v>
      </c>
      <c r="K101" s="9"/>
      <c r="M101" s="13"/>
    </row>
    <row r="102" spans="1:13" outlineLevel="2">
      <c r="A102" s="9">
        <f t="shared" si="3"/>
        <v>98</v>
      </c>
      <c r="B102" s="9" t="s">
        <v>655</v>
      </c>
      <c r="C102" s="15" t="s">
        <v>850</v>
      </c>
      <c r="D102" s="10" t="s">
        <v>851</v>
      </c>
      <c r="E102" s="11">
        <v>2235654.88</v>
      </c>
      <c r="F102" s="12">
        <v>0</v>
      </c>
      <c r="G102" s="12">
        <v>0</v>
      </c>
      <c r="H102" s="12"/>
      <c r="I102" s="12">
        <f t="shared" si="2"/>
        <v>2235654.88</v>
      </c>
      <c r="K102" s="9"/>
      <c r="M102" s="13"/>
    </row>
    <row r="103" spans="1:13" outlineLevel="2">
      <c r="A103" s="9">
        <f t="shared" si="3"/>
        <v>99</v>
      </c>
      <c r="B103" s="9" t="s">
        <v>655</v>
      </c>
      <c r="C103" s="15" t="s">
        <v>852</v>
      </c>
      <c r="D103" s="10" t="s">
        <v>853</v>
      </c>
      <c r="E103" s="11">
        <v>576089.67000000004</v>
      </c>
      <c r="F103" s="12">
        <v>-576089.67000000004</v>
      </c>
      <c r="G103" s="12">
        <v>0</v>
      </c>
      <c r="H103" s="12"/>
      <c r="I103" s="12">
        <f t="shared" si="2"/>
        <v>0</v>
      </c>
      <c r="K103" s="9"/>
      <c r="M103" s="13"/>
    </row>
    <row r="104" spans="1:13" outlineLevel="2">
      <c r="A104" s="9">
        <f t="shared" si="3"/>
        <v>100</v>
      </c>
      <c r="B104" s="9" t="s">
        <v>655</v>
      </c>
      <c r="C104" s="15" t="s">
        <v>854</v>
      </c>
      <c r="D104" s="10" t="s">
        <v>855</v>
      </c>
      <c r="E104" s="11">
        <v>10989275.16</v>
      </c>
      <c r="F104" s="12">
        <v>0</v>
      </c>
      <c r="G104" s="12">
        <v>0</v>
      </c>
      <c r="H104" s="12"/>
      <c r="I104" s="12">
        <f t="shared" si="2"/>
        <v>10989275.16</v>
      </c>
      <c r="K104" s="9"/>
      <c r="M104" s="13"/>
    </row>
    <row r="105" spans="1:13" outlineLevel="2">
      <c r="A105" s="9">
        <f t="shared" si="3"/>
        <v>101</v>
      </c>
      <c r="B105" s="9" t="s">
        <v>655</v>
      </c>
      <c r="C105" s="15" t="s">
        <v>856</v>
      </c>
      <c r="D105" s="10" t="s">
        <v>857</v>
      </c>
      <c r="E105" s="11">
        <v>1938352.95</v>
      </c>
      <c r="F105" s="12">
        <v>0</v>
      </c>
      <c r="G105" s="12">
        <v>0</v>
      </c>
      <c r="H105" s="12"/>
      <c r="I105" s="12">
        <f t="shared" ref="I105:I120" si="4">SUM(E105:G105)</f>
        <v>1938352.95</v>
      </c>
      <c r="K105" s="9"/>
      <c r="M105" s="13"/>
    </row>
    <row r="106" spans="1:13" outlineLevel="2">
      <c r="A106" s="9">
        <f t="shared" si="3"/>
        <v>102</v>
      </c>
      <c r="B106" s="9" t="s">
        <v>655</v>
      </c>
      <c r="C106" s="15" t="s">
        <v>858</v>
      </c>
      <c r="D106" s="10" t="s">
        <v>859</v>
      </c>
      <c r="E106" s="11">
        <v>3217192.17</v>
      </c>
      <c r="F106" s="12">
        <v>0</v>
      </c>
      <c r="G106" s="12">
        <v>0</v>
      </c>
      <c r="H106" s="12"/>
      <c r="I106" s="12">
        <f t="shared" si="4"/>
        <v>3217192.17</v>
      </c>
      <c r="K106" s="9"/>
      <c r="M106" s="13"/>
    </row>
    <row r="107" spans="1:13" outlineLevel="2">
      <c r="A107" s="9">
        <f t="shared" si="3"/>
        <v>103</v>
      </c>
      <c r="B107" s="9" t="s">
        <v>655</v>
      </c>
      <c r="C107" s="15" t="s">
        <v>860</v>
      </c>
      <c r="D107" s="10" t="s">
        <v>861</v>
      </c>
      <c r="E107" s="11">
        <v>277896.62</v>
      </c>
      <c r="F107" s="12">
        <v>0</v>
      </c>
      <c r="G107" s="12">
        <v>0</v>
      </c>
      <c r="H107" s="12"/>
      <c r="I107" s="12">
        <f t="shared" si="4"/>
        <v>277896.62</v>
      </c>
      <c r="K107" s="9"/>
    </row>
    <row r="108" spans="1:13" outlineLevel="2">
      <c r="A108" s="9">
        <f t="shared" si="3"/>
        <v>104</v>
      </c>
      <c r="B108" s="9" t="s">
        <v>655</v>
      </c>
      <c r="C108" s="15" t="s">
        <v>862</v>
      </c>
      <c r="D108" s="10" t="s">
        <v>863</v>
      </c>
      <c r="E108" s="11">
        <v>6743203.0499999998</v>
      </c>
      <c r="F108" s="12">
        <v>0</v>
      </c>
      <c r="G108" s="12">
        <v>0</v>
      </c>
      <c r="H108" s="12"/>
      <c r="I108" s="12">
        <f t="shared" si="4"/>
        <v>6743203.0499999998</v>
      </c>
      <c r="K108" s="9"/>
      <c r="M108" s="13"/>
    </row>
    <row r="109" spans="1:13" outlineLevel="2">
      <c r="A109" s="9">
        <f t="shared" si="3"/>
        <v>105</v>
      </c>
      <c r="B109" s="9" t="s">
        <v>655</v>
      </c>
      <c r="C109" s="15" t="s">
        <v>864</v>
      </c>
      <c r="D109" s="10" t="s">
        <v>865</v>
      </c>
      <c r="E109" s="11">
        <v>1084857.5</v>
      </c>
      <c r="F109" s="12">
        <v>0</v>
      </c>
      <c r="G109" s="12">
        <v>0</v>
      </c>
      <c r="H109" s="12"/>
      <c r="I109" s="12">
        <f t="shared" si="4"/>
        <v>1084857.5</v>
      </c>
      <c r="K109" s="9"/>
    </row>
    <row r="110" spans="1:13" outlineLevel="2">
      <c r="A110" s="9">
        <f t="shared" si="3"/>
        <v>106</v>
      </c>
      <c r="B110" s="9" t="s">
        <v>655</v>
      </c>
      <c r="C110" s="15" t="s">
        <v>866</v>
      </c>
      <c r="D110" s="10" t="s">
        <v>867</v>
      </c>
      <c r="E110" s="11">
        <v>3485236.01</v>
      </c>
      <c r="F110" s="12">
        <v>0</v>
      </c>
      <c r="G110" s="12">
        <v>0</v>
      </c>
      <c r="H110" s="12"/>
      <c r="I110" s="12">
        <f t="shared" si="4"/>
        <v>3485236.01</v>
      </c>
      <c r="K110" s="9"/>
      <c r="M110" s="13"/>
    </row>
    <row r="111" spans="1:13" outlineLevel="2">
      <c r="A111" s="9">
        <f t="shared" si="3"/>
        <v>107</v>
      </c>
      <c r="B111" s="9" t="s">
        <v>655</v>
      </c>
      <c r="C111" s="15" t="s">
        <v>868</v>
      </c>
      <c r="D111" s="10" t="s">
        <v>869</v>
      </c>
      <c r="E111" s="11">
        <v>2418956.92</v>
      </c>
      <c r="F111" s="12">
        <v>0</v>
      </c>
      <c r="G111" s="12">
        <v>0</v>
      </c>
      <c r="H111" s="12"/>
      <c r="I111" s="12">
        <f t="shared" si="4"/>
        <v>2418956.92</v>
      </c>
      <c r="K111" s="9"/>
      <c r="M111" s="13"/>
    </row>
    <row r="112" spans="1:13" ht="13.5" customHeight="1" outlineLevel="2">
      <c r="A112" s="9">
        <f t="shared" si="3"/>
        <v>108</v>
      </c>
      <c r="B112" s="9" t="s">
        <v>655</v>
      </c>
      <c r="C112" s="15" t="s">
        <v>870</v>
      </c>
      <c r="D112" s="10" t="s">
        <v>871</v>
      </c>
      <c r="E112" s="11">
        <v>5110115.21</v>
      </c>
      <c r="F112" s="12">
        <v>0</v>
      </c>
      <c r="G112" s="12">
        <v>0</v>
      </c>
      <c r="H112" s="12"/>
      <c r="I112" s="12">
        <f t="shared" si="4"/>
        <v>5110115.21</v>
      </c>
      <c r="K112" s="9"/>
      <c r="M112" s="13"/>
    </row>
    <row r="113" spans="1:13" outlineLevel="2">
      <c r="A113" s="9">
        <f t="shared" si="3"/>
        <v>109</v>
      </c>
      <c r="B113" s="9" t="s">
        <v>655</v>
      </c>
      <c r="C113" s="15" t="s">
        <v>872</v>
      </c>
      <c r="D113" s="10" t="s">
        <v>873</v>
      </c>
      <c r="E113" s="11">
        <v>312931.03999999998</v>
      </c>
      <c r="F113" s="12">
        <v>0</v>
      </c>
      <c r="G113" s="12">
        <v>0</v>
      </c>
      <c r="H113" s="12"/>
      <c r="I113" s="12">
        <f t="shared" si="4"/>
        <v>312931.03999999998</v>
      </c>
      <c r="K113" s="9"/>
      <c r="M113" s="13"/>
    </row>
    <row r="114" spans="1:13" outlineLevel="2">
      <c r="A114" s="9">
        <f t="shared" si="3"/>
        <v>110</v>
      </c>
      <c r="B114" s="9" t="s">
        <v>655</v>
      </c>
      <c r="C114" s="15" t="s">
        <v>874</v>
      </c>
      <c r="D114" s="10" t="s">
        <v>875</v>
      </c>
      <c r="E114" s="11">
        <v>7488153.7300000004</v>
      </c>
      <c r="F114" s="12">
        <v>0</v>
      </c>
      <c r="G114" s="12">
        <v>0</v>
      </c>
      <c r="H114" s="12"/>
      <c r="I114" s="12">
        <f t="shared" si="4"/>
        <v>7488153.7300000004</v>
      </c>
      <c r="K114" s="9"/>
      <c r="M114" s="13"/>
    </row>
    <row r="115" spans="1:13" outlineLevel="2">
      <c r="A115" s="9">
        <f t="shared" si="3"/>
        <v>111</v>
      </c>
      <c r="B115" s="9" t="s">
        <v>655</v>
      </c>
      <c r="C115" s="15" t="s">
        <v>876</v>
      </c>
      <c r="D115" s="10" t="s">
        <v>877</v>
      </c>
      <c r="E115" s="11">
        <v>26924889.420000002</v>
      </c>
      <c r="F115" s="12">
        <v>0</v>
      </c>
      <c r="G115" s="12">
        <v>0</v>
      </c>
      <c r="H115" s="12"/>
      <c r="I115" s="12">
        <f t="shared" si="4"/>
        <v>26924889.420000002</v>
      </c>
      <c r="K115" s="9"/>
      <c r="M115" s="13"/>
    </row>
    <row r="116" spans="1:13" outlineLevel="2">
      <c r="A116" s="9">
        <f t="shared" si="3"/>
        <v>112</v>
      </c>
      <c r="B116" s="9" t="s">
        <v>655</v>
      </c>
      <c r="C116" s="15" t="s">
        <v>684</v>
      </c>
      <c r="D116" s="10" t="s">
        <v>878</v>
      </c>
      <c r="E116" s="11">
        <v>349954</v>
      </c>
      <c r="F116" s="12">
        <v>0</v>
      </c>
      <c r="G116" s="12">
        <v>0</v>
      </c>
      <c r="H116" s="12"/>
      <c r="I116" s="12">
        <f t="shared" si="4"/>
        <v>349954</v>
      </c>
      <c r="K116" s="9"/>
      <c r="M116" s="13"/>
    </row>
    <row r="117" spans="1:13" outlineLevel="2">
      <c r="A117" s="9">
        <f t="shared" si="3"/>
        <v>113</v>
      </c>
      <c r="B117" s="9" t="s">
        <v>655</v>
      </c>
      <c r="C117" s="15" t="s">
        <v>879</v>
      </c>
      <c r="D117" s="10" t="s">
        <v>880</v>
      </c>
      <c r="E117" s="11">
        <v>17627867.68</v>
      </c>
      <c r="F117" s="12">
        <v>0</v>
      </c>
      <c r="G117" s="12">
        <v>0</v>
      </c>
      <c r="H117" s="12"/>
      <c r="I117" s="12">
        <f t="shared" si="4"/>
        <v>17627867.68</v>
      </c>
      <c r="K117" s="9"/>
      <c r="M117" s="13"/>
    </row>
    <row r="118" spans="1:13" outlineLevel="2">
      <c r="A118" s="9">
        <f t="shared" si="3"/>
        <v>114</v>
      </c>
      <c r="B118" s="9" t="s">
        <v>655</v>
      </c>
      <c r="C118" s="15" t="s">
        <v>881</v>
      </c>
      <c r="D118" s="10" t="s">
        <v>882</v>
      </c>
      <c r="E118" s="11">
        <v>11035513.970000001</v>
      </c>
      <c r="F118" s="12">
        <v>0</v>
      </c>
      <c r="G118" s="12">
        <v>0</v>
      </c>
      <c r="H118" s="12"/>
      <c r="I118" s="12">
        <f t="shared" si="4"/>
        <v>11035513.970000001</v>
      </c>
      <c r="K118" s="9"/>
      <c r="M118" s="13"/>
    </row>
    <row r="119" spans="1:13" outlineLevel="2">
      <c r="A119" s="9">
        <f t="shared" si="3"/>
        <v>115</v>
      </c>
      <c r="B119" s="9" t="s">
        <v>655</v>
      </c>
      <c r="C119" s="15" t="s">
        <v>883</v>
      </c>
      <c r="D119" s="10" t="s">
        <v>884</v>
      </c>
      <c r="E119" s="11">
        <v>4629315.97</v>
      </c>
      <c r="F119" s="12">
        <v>0</v>
      </c>
      <c r="G119" s="12">
        <v>0</v>
      </c>
      <c r="H119" s="12"/>
      <c r="I119" s="12">
        <f t="shared" si="4"/>
        <v>4629315.97</v>
      </c>
      <c r="K119" s="9"/>
      <c r="M119" s="13"/>
    </row>
    <row r="120" spans="1:13" outlineLevel="2">
      <c r="A120" s="9">
        <f t="shared" si="3"/>
        <v>116</v>
      </c>
      <c r="B120" s="9" t="s">
        <v>655</v>
      </c>
      <c r="C120" s="15" t="s">
        <v>885</v>
      </c>
      <c r="D120" s="10" t="s">
        <v>886</v>
      </c>
      <c r="E120" s="11">
        <v>2265163.38</v>
      </c>
      <c r="F120" s="12">
        <v>0</v>
      </c>
      <c r="G120" s="12">
        <v>0</v>
      </c>
      <c r="H120" s="12"/>
      <c r="I120" s="12">
        <f t="shared" si="4"/>
        <v>2265163.38</v>
      </c>
      <c r="K120" s="9"/>
      <c r="M120" s="13"/>
    </row>
    <row r="121" spans="1:13" s="5" customFormat="1" ht="13.5" outlineLevel="1" thickBot="1">
      <c r="A121" s="9">
        <f t="shared" si="3"/>
        <v>117</v>
      </c>
      <c r="B121" s="16" t="s">
        <v>887</v>
      </c>
      <c r="C121" s="17"/>
      <c r="D121" s="18" t="s">
        <v>888</v>
      </c>
      <c r="E121" s="19">
        <f>SUBTOTAL(9,E5:E120)</f>
        <v>587968501.00000024</v>
      </c>
      <c r="F121" s="19">
        <f>SUBTOTAL(9,F5:F120)</f>
        <v>-576089.67000000004</v>
      </c>
      <c r="G121" s="19">
        <f>SUBTOTAL(9,G5:G120)</f>
        <v>0</v>
      </c>
      <c r="H121" s="19"/>
      <c r="I121" s="675">
        <f>SUBTOTAL(9,I5:I120)</f>
        <v>587392411.33000028</v>
      </c>
      <c r="J121" s="20"/>
      <c r="K121" s="3"/>
      <c r="L121" s="3"/>
      <c r="M121" s="6"/>
    </row>
    <row r="122" spans="1:13" ht="13.5" outlineLevel="2" thickTop="1">
      <c r="A122" s="9">
        <f t="shared" si="3"/>
        <v>118</v>
      </c>
      <c r="B122" s="9" t="s">
        <v>607</v>
      </c>
      <c r="C122" s="15" t="s">
        <v>889</v>
      </c>
      <c r="D122" s="10" t="s">
        <v>890</v>
      </c>
      <c r="E122" s="11">
        <v>6259.21</v>
      </c>
      <c r="F122" s="11">
        <v>0</v>
      </c>
      <c r="G122" s="11">
        <v>0</v>
      </c>
      <c r="I122" s="12">
        <f t="shared" ref="I122:I123" si="5">SUM(E122:G122)</f>
        <v>6259.21</v>
      </c>
      <c r="K122" s="9"/>
      <c r="M122" s="13"/>
    </row>
    <row r="123" spans="1:13" outlineLevel="2">
      <c r="A123" s="9">
        <f t="shared" si="3"/>
        <v>119</v>
      </c>
      <c r="B123" s="9" t="s">
        <v>607</v>
      </c>
      <c r="C123" s="15" t="s">
        <v>891</v>
      </c>
      <c r="D123" s="1" t="s">
        <v>892</v>
      </c>
      <c r="E123" s="11">
        <v>5878984.1399999997</v>
      </c>
      <c r="F123" s="11">
        <v>0</v>
      </c>
      <c r="G123" s="11">
        <v>0</v>
      </c>
      <c r="I123" s="12">
        <f t="shared" si="5"/>
        <v>5878984.1399999997</v>
      </c>
      <c r="K123" s="9"/>
      <c r="M123" s="13"/>
    </row>
    <row r="124" spans="1:13" outlineLevel="2">
      <c r="A124" s="9">
        <f t="shared" si="3"/>
        <v>120</v>
      </c>
      <c r="B124" s="9" t="s">
        <v>607</v>
      </c>
      <c r="C124" s="15" t="s">
        <v>893</v>
      </c>
      <c r="D124" s="10" t="s">
        <v>894</v>
      </c>
      <c r="E124" s="11">
        <v>2318295.1</v>
      </c>
      <c r="F124" s="11">
        <v>-800023.53</v>
      </c>
      <c r="G124" s="11">
        <v>0</v>
      </c>
      <c r="I124" s="12">
        <f t="shared" ref="I124:I163" si="6">SUM(E124:G124)</f>
        <v>1518271.57</v>
      </c>
      <c r="K124" s="9"/>
      <c r="M124" s="13"/>
    </row>
    <row r="125" spans="1:13" outlineLevel="2">
      <c r="A125" s="9">
        <f t="shared" si="3"/>
        <v>121</v>
      </c>
      <c r="B125" s="9" t="s">
        <v>607</v>
      </c>
      <c r="C125" s="15" t="s">
        <v>895</v>
      </c>
      <c r="D125" s="10" t="s">
        <v>896</v>
      </c>
      <c r="E125" s="11">
        <v>63325.31</v>
      </c>
      <c r="F125" s="11">
        <v>0</v>
      </c>
      <c r="G125" s="11">
        <v>0</v>
      </c>
      <c r="I125" s="12">
        <f t="shared" si="6"/>
        <v>63325.31</v>
      </c>
      <c r="K125" s="9"/>
    </row>
    <row r="126" spans="1:13" outlineLevel="2">
      <c r="A126" s="9">
        <f t="shared" si="3"/>
        <v>122</v>
      </c>
      <c r="B126" s="9" t="s">
        <v>607</v>
      </c>
      <c r="C126" s="15" t="s">
        <v>897</v>
      </c>
      <c r="D126" s="10" t="s">
        <v>898</v>
      </c>
      <c r="E126" s="11">
        <v>35004.78</v>
      </c>
      <c r="F126" s="11">
        <v>-35004.78</v>
      </c>
      <c r="G126" s="11">
        <v>0</v>
      </c>
      <c r="I126" s="12">
        <f t="shared" si="6"/>
        <v>0</v>
      </c>
      <c r="K126" s="9"/>
    </row>
    <row r="127" spans="1:13" outlineLevel="2">
      <c r="A127" s="9">
        <f t="shared" si="3"/>
        <v>123</v>
      </c>
      <c r="B127" s="9" t="s">
        <v>607</v>
      </c>
      <c r="C127" s="15" t="s">
        <v>899</v>
      </c>
      <c r="D127" s="10" t="s">
        <v>900</v>
      </c>
      <c r="E127" s="11">
        <v>2899880.73</v>
      </c>
      <c r="F127" s="11">
        <v>-124344</v>
      </c>
      <c r="G127" s="11">
        <v>0</v>
      </c>
      <c r="I127" s="12">
        <f t="shared" si="6"/>
        <v>2775536.73</v>
      </c>
      <c r="K127" s="9"/>
    </row>
    <row r="128" spans="1:13" outlineLevel="2">
      <c r="A128" s="9">
        <f t="shared" si="3"/>
        <v>124</v>
      </c>
      <c r="B128" s="9" t="s">
        <v>607</v>
      </c>
      <c r="C128" s="15" t="s">
        <v>901</v>
      </c>
      <c r="D128" s="10" t="s">
        <v>902</v>
      </c>
      <c r="E128" s="11">
        <v>279691.27</v>
      </c>
      <c r="F128" s="11">
        <v>0</v>
      </c>
      <c r="G128" s="11">
        <v>0</v>
      </c>
      <c r="I128" s="12">
        <f t="shared" si="6"/>
        <v>279691.27</v>
      </c>
      <c r="K128" s="9"/>
    </row>
    <row r="129" spans="1:13" outlineLevel="2">
      <c r="A129" s="9">
        <f t="shared" si="3"/>
        <v>125</v>
      </c>
      <c r="B129" s="9" t="s">
        <v>607</v>
      </c>
      <c r="C129" s="15" t="s">
        <v>903</v>
      </c>
      <c r="D129" s="10" t="s">
        <v>904</v>
      </c>
      <c r="E129" s="11">
        <v>298521.89</v>
      </c>
      <c r="F129" s="11">
        <v>0</v>
      </c>
      <c r="G129" s="11">
        <v>0</v>
      </c>
      <c r="I129" s="12">
        <f t="shared" si="6"/>
        <v>298521.89</v>
      </c>
      <c r="K129" s="9"/>
      <c r="M129" s="13"/>
    </row>
    <row r="130" spans="1:13" outlineLevel="2">
      <c r="A130" s="9">
        <f t="shared" si="3"/>
        <v>126</v>
      </c>
      <c r="B130" s="9" t="s">
        <v>607</v>
      </c>
      <c r="C130" s="15" t="s">
        <v>905</v>
      </c>
      <c r="D130" s="10" t="s">
        <v>906</v>
      </c>
      <c r="E130" s="11">
        <v>13779308.23</v>
      </c>
      <c r="F130" s="11">
        <v>-163836</v>
      </c>
      <c r="G130" s="11">
        <v>0</v>
      </c>
      <c r="I130" s="12">
        <f t="shared" si="6"/>
        <v>13615472.23</v>
      </c>
      <c r="J130" s="10"/>
      <c r="K130" s="9"/>
      <c r="M130" s="13"/>
    </row>
    <row r="131" spans="1:13" outlineLevel="2">
      <c r="A131" s="9">
        <f t="shared" si="3"/>
        <v>127</v>
      </c>
      <c r="B131" s="9" t="s">
        <v>607</v>
      </c>
      <c r="C131" s="15" t="s">
        <v>907</v>
      </c>
      <c r="D131" s="10" t="s">
        <v>908</v>
      </c>
      <c r="E131" s="11">
        <v>4733509.87</v>
      </c>
      <c r="F131" s="11">
        <v>-231321.2</v>
      </c>
      <c r="G131" s="11">
        <v>0</v>
      </c>
      <c r="I131" s="12">
        <f t="shared" si="6"/>
        <v>4502188.67</v>
      </c>
      <c r="J131" s="10"/>
      <c r="K131" s="9"/>
      <c r="M131" s="13"/>
    </row>
    <row r="132" spans="1:13" outlineLevel="2">
      <c r="A132" s="9">
        <f t="shared" si="3"/>
        <v>128</v>
      </c>
      <c r="B132" s="9" t="s">
        <v>607</v>
      </c>
      <c r="C132" s="15" t="s">
        <v>909</v>
      </c>
      <c r="D132" s="10" t="s">
        <v>910</v>
      </c>
      <c r="E132" s="11">
        <v>272529.27</v>
      </c>
      <c r="F132" s="11">
        <v>-218121.74</v>
      </c>
      <c r="G132" s="11">
        <v>0</v>
      </c>
      <c r="I132" s="12">
        <f t="shared" si="6"/>
        <v>54407.530000000028</v>
      </c>
      <c r="J132" s="10"/>
      <c r="K132" s="9"/>
      <c r="M132" s="13"/>
    </row>
    <row r="133" spans="1:13" outlineLevel="2">
      <c r="A133" s="9">
        <f t="shared" si="3"/>
        <v>129</v>
      </c>
      <c r="B133" s="9" t="s">
        <v>607</v>
      </c>
      <c r="C133" s="15" t="s">
        <v>911</v>
      </c>
      <c r="D133" s="10" t="s">
        <v>912</v>
      </c>
      <c r="E133" s="11">
        <v>18166328.789999999</v>
      </c>
      <c r="F133" s="11">
        <v>-187217.77</v>
      </c>
      <c r="G133" s="11">
        <v>0</v>
      </c>
      <c r="I133" s="12">
        <f t="shared" si="6"/>
        <v>17979111.02</v>
      </c>
      <c r="J133" s="10"/>
      <c r="K133" s="9"/>
      <c r="M133" s="13"/>
    </row>
    <row r="134" spans="1:13" outlineLevel="2">
      <c r="A134" s="9">
        <f t="shared" si="3"/>
        <v>130</v>
      </c>
      <c r="B134" s="9" t="s">
        <v>607</v>
      </c>
      <c r="C134" s="15" t="s">
        <v>913</v>
      </c>
      <c r="D134" s="10" t="s">
        <v>914</v>
      </c>
      <c r="E134" s="11">
        <v>12472.19</v>
      </c>
      <c r="F134" s="11">
        <v>0</v>
      </c>
      <c r="G134" s="11">
        <v>0</v>
      </c>
      <c r="I134" s="12">
        <f t="shared" si="6"/>
        <v>12472.19</v>
      </c>
      <c r="K134" s="9"/>
      <c r="M134" s="13"/>
    </row>
    <row r="135" spans="1:13" outlineLevel="2">
      <c r="A135" s="9">
        <f t="shared" si="3"/>
        <v>131</v>
      </c>
      <c r="B135" s="9" t="s">
        <v>607</v>
      </c>
      <c r="C135" s="15" t="s">
        <v>915</v>
      </c>
      <c r="D135" s="10" t="s">
        <v>916</v>
      </c>
      <c r="E135" s="11">
        <v>2997082.15</v>
      </c>
      <c r="F135" s="11">
        <v>-630455</v>
      </c>
      <c r="G135" s="11">
        <v>0</v>
      </c>
      <c r="I135" s="12">
        <f t="shared" si="6"/>
        <v>2366627.15</v>
      </c>
      <c r="J135" s="10"/>
      <c r="K135" s="9"/>
      <c r="M135" s="13"/>
    </row>
    <row r="136" spans="1:13" outlineLevel="2">
      <c r="A136" s="9">
        <f t="shared" si="3"/>
        <v>132</v>
      </c>
      <c r="B136" s="9" t="s">
        <v>607</v>
      </c>
      <c r="C136" s="15" t="s">
        <v>917</v>
      </c>
      <c r="D136" s="10" t="s">
        <v>918</v>
      </c>
      <c r="E136" s="11">
        <v>3398445.6</v>
      </c>
      <c r="F136" s="11">
        <v>-1226623.06</v>
      </c>
      <c r="G136" s="11">
        <v>0</v>
      </c>
      <c r="I136" s="12">
        <f t="shared" si="6"/>
        <v>2171822.54</v>
      </c>
      <c r="J136" s="10"/>
      <c r="K136" s="9"/>
      <c r="M136" s="13"/>
    </row>
    <row r="137" spans="1:13" outlineLevel="2">
      <c r="A137" s="9">
        <f t="shared" si="3"/>
        <v>133</v>
      </c>
      <c r="B137" s="9" t="s">
        <v>607</v>
      </c>
      <c r="C137" s="15" t="s">
        <v>919</v>
      </c>
      <c r="D137" s="10" t="s">
        <v>920</v>
      </c>
      <c r="E137" s="11">
        <v>17356137.399999999</v>
      </c>
      <c r="F137" s="11">
        <v>0</v>
      </c>
      <c r="G137" s="11">
        <v>0</v>
      </c>
      <c r="I137" s="12">
        <f t="shared" si="6"/>
        <v>17356137.399999999</v>
      </c>
      <c r="K137" s="9"/>
      <c r="M137" s="13"/>
    </row>
    <row r="138" spans="1:13" outlineLevel="2">
      <c r="A138" s="9">
        <f t="shared" si="3"/>
        <v>134</v>
      </c>
      <c r="B138" s="9" t="s">
        <v>607</v>
      </c>
      <c r="C138" s="15" t="s">
        <v>921</v>
      </c>
      <c r="D138" s="10" t="s">
        <v>922</v>
      </c>
      <c r="E138" s="11">
        <f>4765825.66</f>
        <v>4765825.66</v>
      </c>
      <c r="F138" s="11">
        <v>0</v>
      </c>
      <c r="G138" s="11">
        <v>0</v>
      </c>
      <c r="I138" s="12">
        <f t="shared" si="6"/>
        <v>4765825.66</v>
      </c>
      <c r="K138" s="9"/>
      <c r="M138" s="13"/>
    </row>
    <row r="139" spans="1:13" outlineLevel="2">
      <c r="A139" s="9">
        <f t="shared" si="3"/>
        <v>135</v>
      </c>
      <c r="B139" s="9" t="s">
        <v>607</v>
      </c>
      <c r="C139" s="15" t="s">
        <v>923</v>
      </c>
      <c r="D139" s="10" t="s">
        <v>924</v>
      </c>
      <c r="E139" s="11">
        <v>45210.14</v>
      </c>
      <c r="I139" s="12">
        <f t="shared" si="6"/>
        <v>45210.14</v>
      </c>
      <c r="K139" s="9"/>
      <c r="M139" s="13"/>
    </row>
    <row r="140" spans="1:13" outlineLevel="2">
      <c r="A140" s="9">
        <f t="shared" si="3"/>
        <v>136</v>
      </c>
      <c r="B140" s="9" t="s">
        <v>607</v>
      </c>
      <c r="C140" s="15" t="s">
        <v>925</v>
      </c>
      <c r="D140" s="10" t="s">
        <v>926</v>
      </c>
      <c r="E140" s="11">
        <v>2463312.04</v>
      </c>
      <c r="F140" s="11">
        <v>0</v>
      </c>
      <c r="G140" s="11">
        <v>0</v>
      </c>
      <c r="I140" s="12">
        <f t="shared" si="6"/>
        <v>2463312.04</v>
      </c>
      <c r="K140" s="9"/>
      <c r="M140" s="13"/>
    </row>
    <row r="141" spans="1:13" outlineLevel="2">
      <c r="A141" s="9">
        <f t="shared" si="3"/>
        <v>137</v>
      </c>
      <c r="B141" s="9" t="s">
        <v>607</v>
      </c>
      <c r="C141" s="15" t="s">
        <v>927</v>
      </c>
      <c r="D141" s="10" t="s">
        <v>928</v>
      </c>
      <c r="E141" s="11">
        <v>3845459.02</v>
      </c>
      <c r="F141" s="11">
        <v>-1007873.07</v>
      </c>
      <c r="G141" s="11">
        <v>0</v>
      </c>
      <c r="I141" s="12">
        <f t="shared" si="6"/>
        <v>2837585.95</v>
      </c>
      <c r="J141" s="10"/>
      <c r="K141" s="9"/>
      <c r="M141" s="13"/>
    </row>
    <row r="142" spans="1:13" outlineLevel="2">
      <c r="A142" s="9">
        <f>A141+1</f>
        <v>138</v>
      </c>
      <c r="B142" s="9" t="s">
        <v>607</v>
      </c>
      <c r="C142" s="15" t="s">
        <v>929</v>
      </c>
      <c r="D142" s="10" t="s">
        <v>930</v>
      </c>
      <c r="E142" s="11">
        <v>1376075.86</v>
      </c>
      <c r="F142" s="11">
        <v>0</v>
      </c>
      <c r="G142" s="11">
        <v>0</v>
      </c>
      <c r="I142" s="12">
        <f t="shared" si="6"/>
        <v>1376075.86</v>
      </c>
      <c r="J142" s="10"/>
      <c r="K142" s="9"/>
      <c r="M142" s="13"/>
    </row>
    <row r="143" spans="1:13" outlineLevel="2">
      <c r="A143" s="9">
        <f>A142+1</f>
        <v>139</v>
      </c>
      <c r="B143" s="9" t="s">
        <v>607</v>
      </c>
      <c r="C143" s="15" t="s">
        <v>931</v>
      </c>
      <c r="D143" s="10" t="s">
        <v>932</v>
      </c>
      <c r="E143" s="11">
        <v>9139053.5299999993</v>
      </c>
      <c r="F143" s="11">
        <v>-2140669.77</v>
      </c>
      <c r="G143" s="11">
        <v>0</v>
      </c>
      <c r="I143" s="12">
        <f t="shared" si="6"/>
        <v>6998383.7599999998</v>
      </c>
      <c r="J143" s="10"/>
      <c r="K143" s="9"/>
      <c r="M143" s="13"/>
    </row>
    <row r="144" spans="1:13" outlineLevel="2">
      <c r="A144" s="9">
        <f>A143+1</f>
        <v>140</v>
      </c>
      <c r="B144" s="9" t="s">
        <v>607</v>
      </c>
      <c r="C144" s="15" t="s">
        <v>933</v>
      </c>
      <c r="D144" s="10" t="s">
        <v>934</v>
      </c>
      <c r="E144" s="11">
        <v>5387897.4500000002</v>
      </c>
      <c r="F144" s="11">
        <v>-151625.18</v>
      </c>
      <c r="G144" s="11">
        <v>0</v>
      </c>
      <c r="I144" s="12">
        <f t="shared" si="6"/>
        <v>5236272.2700000005</v>
      </c>
      <c r="J144" s="10"/>
      <c r="K144" s="9"/>
      <c r="M144" s="13"/>
    </row>
    <row r="145" spans="1:16" outlineLevel="2">
      <c r="A145" s="9">
        <f t="shared" ref="A145:A226" si="7">A144+1</f>
        <v>141</v>
      </c>
      <c r="B145" s="9" t="s">
        <v>607</v>
      </c>
      <c r="C145" s="15" t="s">
        <v>935</v>
      </c>
      <c r="D145" s="10" t="s">
        <v>936</v>
      </c>
      <c r="E145" s="11">
        <v>8453083.7100000009</v>
      </c>
      <c r="F145" s="11">
        <v>0</v>
      </c>
      <c r="G145" s="11">
        <v>0</v>
      </c>
      <c r="I145" s="12">
        <f t="shared" si="6"/>
        <v>8453083.7100000009</v>
      </c>
      <c r="K145" s="9"/>
      <c r="M145" s="13"/>
    </row>
    <row r="146" spans="1:16" outlineLevel="2">
      <c r="A146" s="9">
        <f t="shared" si="7"/>
        <v>142</v>
      </c>
      <c r="B146" s="9" t="s">
        <v>607</v>
      </c>
      <c r="C146" s="15" t="s">
        <v>937</v>
      </c>
      <c r="D146" s="10" t="s">
        <v>938</v>
      </c>
      <c r="E146" s="11">
        <v>12735595.07</v>
      </c>
      <c r="F146" s="11">
        <v>0</v>
      </c>
      <c r="G146" s="11">
        <v>0</v>
      </c>
      <c r="I146" s="12">
        <f t="shared" si="6"/>
        <v>12735595.07</v>
      </c>
      <c r="K146" s="9"/>
      <c r="M146" s="13"/>
    </row>
    <row r="147" spans="1:16" outlineLevel="2">
      <c r="A147" s="9">
        <f t="shared" si="7"/>
        <v>143</v>
      </c>
      <c r="B147" s="9" t="s">
        <v>607</v>
      </c>
      <c r="C147" s="15" t="s">
        <v>939</v>
      </c>
      <c r="D147" s="10" t="s">
        <v>940</v>
      </c>
      <c r="E147" s="11">
        <v>2390851.2200000002</v>
      </c>
      <c r="F147" s="11">
        <v>0</v>
      </c>
      <c r="G147" s="11">
        <v>0</v>
      </c>
      <c r="I147" s="12">
        <f t="shared" si="6"/>
        <v>2390851.2200000002</v>
      </c>
      <c r="K147" s="9"/>
      <c r="M147" s="13"/>
      <c r="P147" s="21"/>
    </row>
    <row r="148" spans="1:16" outlineLevel="2">
      <c r="A148" s="9">
        <f t="shared" si="7"/>
        <v>144</v>
      </c>
      <c r="B148" s="9" t="s">
        <v>607</v>
      </c>
      <c r="C148" s="15" t="s">
        <v>941</v>
      </c>
      <c r="D148" s="10" t="s">
        <v>942</v>
      </c>
      <c r="E148" s="11">
        <v>4672136.16</v>
      </c>
      <c r="F148" s="11">
        <v>-346141.75</v>
      </c>
      <c r="G148" s="11">
        <v>0</v>
      </c>
      <c r="I148" s="12">
        <f t="shared" si="6"/>
        <v>4325994.41</v>
      </c>
      <c r="J148" s="10"/>
      <c r="K148" s="9"/>
      <c r="M148" s="13"/>
      <c r="P148" s="22"/>
    </row>
    <row r="149" spans="1:16" outlineLevel="2">
      <c r="A149" s="9">
        <f t="shared" si="7"/>
        <v>145</v>
      </c>
      <c r="B149" s="9" t="s">
        <v>607</v>
      </c>
      <c r="C149" s="15" t="s">
        <v>943</v>
      </c>
      <c r="D149" s="10" t="s">
        <v>944</v>
      </c>
      <c r="E149" s="11">
        <v>1567242.25</v>
      </c>
      <c r="F149" s="11">
        <v>-1567242.25</v>
      </c>
      <c r="G149" s="11">
        <v>0</v>
      </c>
      <c r="I149" s="12">
        <f t="shared" si="6"/>
        <v>0</v>
      </c>
      <c r="J149" s="10"/>
      <c r="K149" s="9"/>
      <c r="M149" s="13"/>
      <c r="P149" s="22"/>
    </row>
    <row r="150" spans="1:16" outlineLevel="2">
      <c r="A150" s="9">
        <f t="shared" si="7"/>
        <v>146</v>
      </c>
      <c r="B150" s="9" t="s">
        <v>607</v>
      </c>
      <c r="C150" s="15" t="s">
        <v>945</v>
      </c>
      <c r="D150" s="10" t="s">
        <v>946</v>
      </c>
      <c r="E150" s="11">
        <v>10478271.449999999</v>
      </c>
      <c r="F150" s="11">
        <v>-2304.9</v>
      </c>
      <c r="G150" s="11">
        <v>0</v>
      </c>
      <c r="I150" s="12">
        <f t="shared" si="6"/>
        <v>10475966.549999999</v>
      </c>
      <c r="J150" s="10"/>
      <c r="K150" s="9"/>
      <c r="M150" s="13"/>
    </row>
    <row r="151" spans="1:16" outlineLevel="2">
      <c r="A151" s="9">
        <f t="shared" si="7"/>
        <v>147</v>
      </c>
      <c r="B151" s="9" t="s">
        <v>607</v>
      </c>
      <c r="C151" s="15" t="s">
        <v>947</v>
      </c>
      <c r="D151" s="10" t="s">
        <v>948</v>
      </c>
      <c r="E151" s="11">
        <v>848872.14</v>
      </c>
      <c r="F151" s="11">
        <v>-109672.64</v>
      </c>
      <c r="I151" s="12">
        <f t="shared" si="6"/>
        <v>739199.5</v>
      </c>
      <c r="J151" s="10"/>
      <c r="K151" s="9"/>
      <c r="M151" s="13"/>
    </row>
    <row r="152" spans="1:16" outlineLevel="2">
      <c r="A152" s="9">
        <f t="shared" si="7"/>
        <v>148</v>
      </c>
      <c r="B152" s="9" t="s">
        <v>607</v>
      </c>
      <c r="C152" s="15" t="s">
        <v>949</v>
      </c>
      <c r="D152" s="10" t="s">
        <v>950</v>
      </c>
      <c r="E152" s="11">
        <v>16394238.119999999</v>
      </c>
      <c r="F152" s="11">
        <v>-183385</v>
      </c>
      <c r="G152" s="11">
        <v>0</v>
      </c>
      <c r="I152" s="12">
        <f t="shared" si="6"/>
        <v>16210853.119999999</v>
      </c>
      <c r="J152" s="10"/>
      <c r="K152" s="9"/>
      <c r="M152" s="13"/>
    </row>
    <row r="153" spans="1:16" outlineLevel="2">
      <c r="A153" s="9">
        <f t="shared" si="7"/>
        <v>149</v>
      </c>
      <c r="B153" s="9" t="s">
        <v>607</v>
      </c>
      <c r="C153" s="15" t="s">
        <v>951</v>
      </c>
      <c r="D153" s="10" t="s">
        <v>952</v>
      </c>
      <c r="E153" s="11">
        <v>1705147.39</v>
      </c>
      <c r="F153" s="11">
        <v>-1705147</v>
      </c>
      <c r="G153" s="11">
        <v>0</v>
      </c>
      <c r="I153" s="12">
        <f t="shared" si="6"/>
        <v>0.38999999989755452</v>
      </c>
      <c r="J153" s="10"/>
      <c r="K153" s="9"/>
      <c r="M153" s="13"/>
    </row>
    <row r="154" spans="1:16" outlineLevel="2">
      <c r="A154" s="9">
        <f t="shared" si="7"/>
        <v>150</v>
      </c>
      <c r="B154" s="9" t="s">
        <v>607</v>
      </c>
      <c r="C154" s="15" t="s">
        <v>953</v>
      </c>
      <c r="D154" s="10" t="s">
        <v>954</v>
      </c>
      <c r="E154" s="11">
        <v>2918979.13</v>
      </c>
      <c r="F154" s="11">
        <v>-97895.45</v>
      </c>
      <c r="G154" s="11">
        <v>0</v>
      </c>
      <c r="I154" s="12">
        <f t="shared" si="6"/>
        <v>2821083.6799999997</v>
      </c>
      <c r="J154" s="10"/>
      <c r="K154" s="9"/>
      <c r="M154" s="13"/>
    </row>
    <row r="155" spans="1:16" outlineLevel="2">
      <c r="A155" s="9">
        <f t="shared" si="7"/>
        <v>151</v>
      </c>
      <c r="B155" s="9" t="s">
        <v>607</v>
      </c>
      <c r="C155" s="15" t="s">
        <v>955</v>
      </c>
      <c r="D155" s="10" t="s">
        <v>956</v>
      </c>
      <c r="E155" s="11">
        <v>23704.42</v>
      </c>
      <c r="F155" s="11">
        <v>0</v>
      </c>
      <c r="G155" s="11">
        <v>0</v>
      </c>
      <c r="I155" s="12">
        <f t="shared" si="6"/>
        <v>23704.42</v>
      </c>
      <c r="J155" s="10"/>
      <c r="K155" s="9"/>
      <c r="M155" s="13"/>
    </row>
    <row r="156" spans="1:16" outlineLevel="2">
      <c r="A156" s="9">
        <f t="shared" si="7"/>
        <v>152</v>
      </c>
      <c r="B156" s="9" t="s">
        <v>607</v>
      </c>
      <c r="C156" s="15" t="s">
        <v>957</v>
      </c>
      <c r="D156" s="10" t="s">
        <v>958</v>
      </c>
      <c r="E156" s="11">
        <v>49112.160000000003</v>
      </c>
      <c r="F156" s="11">
        <v>0</v>
      </c>
      <c r="G156" s="11">
        <v>0</v>
      </c>
      <c r="I156" s="12">
        <f t="shared" si="6"/>
        <v>49112.160000000003</v>
      </c>
      <c r="J156" s="10"/>
      <c r="K156" s="9"/>
      <c r="M156" s="13"/>
    </row>
    <row r="157" spans="1:16" outlineLevel="2">
      <c r="A157" s="9">
        <f t="shared" si="7"/>
        <v>153</v>
      </c>
      <c r="B157" s="9" t="s">
        <v>607</v>
      </c>
      <c r="C157" s="15" t="s">
        <v>959</v>
      </c>
      <c r="D157" s="10" t="s">
        <v>960</v>
      </c>
      <c r="E157" s="11">
        <v>66107.63</v>
      </c>
      <c r="F157" s="11">
        <v>0</v>
      </c>
      <c r="G157" s="11">
        <v>0</v>
      </c>
      <c r="I157" s="12">
        <f t="shared" si="6"/>
        <v>66107.63</v>
      </c>
      <c r="J157" s="10"/>
      <c r="K157" s="9"/>
      <c r="M157" s="13"/>
    </row>
    <row r="158" spans="1:16" outlineLevel="2">
      <c r="A158" s="9">
        <f t="shared" si="7"/>
        <v>154</v>
      </c>
      <c r="B158" s="9" t="s">
        <v>607</v>
      </c>
      <c r="C158" s="15" t="s">
        <v>961</v>
      </c>
      <c r="D158" s="10" t="s">
        <v>962</v>
      </c>
      <c r="E158" s="11">
        <v>2201770.84</v>
      </c>
      <c r="F158" s="11">
        <v>-351322.52</v>
      </c>
      <c r="G158" s="11">
        <v>0</v>
      </c>
      <c r="I158" s="12">
        <f t="shared" si="6"/>
        <v>1850448.3199999998</v>
      </c>
      <c r="J158" s="10"/>
      <c r="K158" s="9"/>
      <c r="M158" s="13"/>
    </row>
    <row r="159" spans="1:16" outlineLevel="2">
      <c r="A159" s="9">
        <f t="shared" si="7"/>
        <v>155</v>
      </c>
      <c r="B159" s="9" t="s">
        <v>607</v>
      </c>
      <c r="C159" s="15" t="s">
        <v>963</v>
      </c>
      <c r="D159" s="10" t="s">
        <v>964</v>
      </c>
      <c r="E159" s="11">
        <v>6773220.5800000001</v>
      </c>
      <c r="F159" s="11">
        <v>-1197121.81</v>
      </c>
      <c r="G159" s="11">
        <v>0</v>
      </c>
      <c r="I159" s="12">
        <f t="shared" si="6"/>
        <v>5576098.7699999996</v>
      </c>
      <c r="J159" s="10"/>
      <c r="K159" s="9"/>
      <c r="M159" s="13"/>
    </row>
    <row r="160" spans="1:16" outlineLevel="2">
      <c r="A160" s="9">
        <f t="shared" si="7"/>
        <v>156</v>
      </c>
      <c r="B160" s="9" t="s">
        <v>607</v>
      </c>
      <c r="C160" s="15" t="s">
        <v>965</v>
      </c>
      <c r="D160" s="10" t="s">
        <v>966</v>
      </c>
      <c r="E160" s="11">
        <v>2099906.66</v>
      </c>
      <c r="F160" s="11">
        <v>-17146.990000000002</v>
      </c>
      <c r="G160" s="11">
        <v>0</v>
      </c>
      <c r="I160" s="12">
        <f t="shared" si="6"/>
        <v>2082759.6700000002</v>
      </c>
      <c r="J160" s="10"/>
      <c r="K160" s="9"/>
      <c r="M160" s="13"/>
    </row>
    <row r="161" spans="1:13" outlineLevel="2">
      <c r="A161" s="9">
        <f t="shared" si="7"/>
        <v>157</v>
      </c>
      <c r="B161" s="9" t="s">
        <v>607</v>
      </c>
      <c r="C161" s="15" t="s">
        <v>967</v>
      </c>
      <c r="D161" s="10" t="s">
        <v>968</v>
      </c>
      <c r="E161" s="11">
        <v>579.42999999999995</v>
      </c>
      <c r="F161" s="11">
        <v>-579.42999999999995</v>
      </c>
      <c r="G161" s="11">
        <v>0</v>
      </c>
      <c r="I161" s="12">
        <f t="shared" si="6"/>
        <v>0</v>
      </c>
      <c r="J161" s="10"/>
      <c r="K161" s="9"/>
      <c r="M161" s="13"/>
    </row>
    <row r="162" spans="1:13" outlineLevel="2">
      <c r="A162" s="9">
        <f t="shared" si="7"/>
        <v>158</v>
      </c>
      <c r="B162" s="9" t="s">
        <v>607</v>
      </c>
      <c r="C162" s="15" t="s">
        <v>969</v>
      </c>
      <c r="D162" s="10" t="s">
        <v>970</v>
      </c>
      <c r="E162" s="11">
        <v>3507128.62</v>
      </c>
      <c r="F162" s="11">
        <v>-41652.43</v>
      </c>
      <c r="G162" s="11">
        <v>0</v>
      </c>
      <c r="I162" s="12">
        <f t="shared" si="6"/>
        <v>3465476.19</v>
      </c>
      <c r="J162" s="10"/>
      <c r="K162" s="9"/>
      <c r="M162" s="13"/>
    </row>
    <row r="163" spans="1:13" outlineLevel="2">
      <c r="A163" s="9">
        <f t="shared" si="7"/>
        <v>159</v>
      </c>
      <c r="B163" s="9" t="s">
        <v>607</v>
      </c>
      <c r="C163" s="15" t="s">
        <v>971</v>
      </c>
      <c r="D163" s="10" t="s">
        <v>972</v>
      </c>
      <c r="E163" s="11">
        <v>749767.78</v>
      </c>
      <c r="F163" s="11">
        <v>-247423</v>
      </c>
      <c r="G163" s="11">
        <v>0</v>
      </c>
      <c r="I163" s="12">
        <f t="shared" si="6"/>
        <v>502344.78</v>
      </c>
      <c r="K163" s="9"/>
      <c r="M163" s="13"/>
    </row>
    <row r="164" spans="1:13" outlineLevel="2">
      <c r="A164" s="9">
        <f t="shared" si="7"/>
        <v>160</v>
      </c>
      <c r="B164" s="9" t="s">
        <v>607</v>
      </c>
      <c r="C164" s="15" t="s">
        <v>973</v>
      </c>
      <c r="D164" s="10" t="s">
        <v>974</v>
      </c>
      <c r="E164" s="11">
        <v>5529336.6100000003</v>
      </c>
      <c r="F164" s="11">
        <v>-164228.81</v>
      </c>
      <c r="G164" s="11">
        <v>0</v>
      </c>
      <c r="I164" s="12">
        <f t="shared" ref="I164:I248" si="8">SUM(E164:G164)</f>
        <v>5365107.8000000007</v>
      </c>
      <c r="J164" s="10"/>
      <c r="K164" s="9"/>
      <c r="M164" s="13"/>
    </row>
    <row r="165" spans="1:13" outlineLevel="2">
      <c r="A165" s="9">
        <f t="shared" si="7"/>
        <v>161</v>
      </c>
      <c r="B165" s="9" t="s">
        <v>607</v>
      </c>
      <c r="C165" s="15" t="s">
        <v>975</v>
      </c>
      <c r="D165" s="10" t="s">
        <v>976</v>
      </c>
      <c r="E165" s="11">
        <v>4296872.84</v>
      </c>
      <c r="F165" s="11">
        <v>0</v>
      </c>
      <c r="G165" s="11">
        <v>0</v>
      </c>
      <c r="I165" s="12">
        <f t="shared" si="8"/>
        <v>4296872.84</v>
      </c>
      <c r="J165" s="10"/>
      <c r="K165" s="9"/>
      <c r="M165" s="13"/>
    </row>
    <row r="166" spans="1:13" ht="12.75" customHeight="1" outlineLevel="2">
      <c r="A166" s="9">
        <f t="shared" si="7"/>
        <v>162</v>
      </c>
      <c r="B166" s="9" t="s">
        <v>607</v>
      </c>
      <c r="C166" s="15" t="s">
        <v>977</v>
      </c>
      <c r="D166" s="10" t="s">
        <v>978</v>
      </c>
      <c r="E166" s="11">
        <v>1235034.1000000001</v>
      </c>
      <c r="F166" s="11">
        <v>-541180.67000000004</v>
      </c>
      <c r="G166" s="11">
        <v>0</v>
      </c>
      <c r="I166" s="12">
        <f t="shared" si="8"/>
        <v>693853.43</v>
      </c>
      <c r="J166" s="10"/>
      <c r="K166" s="9"/>
      <c r="M166" s="13"/>
    </row>
    <row r="167" spans="1:13" outlineLevel="2">
      <c r="A167" s="9">
        <f t="shared" si="7"/>
        <v>163</v>
      </c>
      <c r="B167" s="9" t="s">
        <v>607</v>
      </c>
      <c r="C167" s="15" t="s">
        <v>979</v>
      </c>
      <c r="D167" s="10" t="s">
        <v>980</v>
      </c>
      <c r="E167" s="11">
        <v>27861694.59</v>
      </c>
      <c r="F167" s="11">
        <v>0</v>
      </c>
      <c r="G167" s="11">
        <v>0</v>
      </c>
      <c r="I167" s="12">
        <f t="shared" si="8"/>
        <v>27861694.59</v>
      </c>
      <c r="J167" s="10"/>
      <c r="K167" s="9"/>
      <c r="M167" s="13"/>
    </row>
    <row r="168" spans="1:13" outlineLevel="2">
      <c r="A168" s="9">
        <f t="shared" si="7"/>
        <v>164</v>
      </c>
      <c r="B168" s="9" t="s">
        <v>607</v>
      </c>
      <c r="C168" s="15" t="s">
        <v>981</v>
      </c>
      <c r="D168" s="10" t="s">
        <v>982</v>
      </c>
      <c r="E168" s="11">
        <v>4266040.32</v>
      </c>
      <c r="F168" s="11">
        <v>-40435</v>
      </c>
      <c r="G168" s="11">
        <v>0</v>
      </c>
      <c r="I168" s="12">
        <f t="shared" si="8"/>
        <v>4225605.32</v>
      </c>
      <c r="J168" s="10"/>
      <c r="K168" s="9"/>
      <c r="M168" s="13"/>
    </row>
    <row r="169" spans="1:13" outlineLevel="2">
      <c r="A169" s="9">
        <f t="shared" si="7"/>
        <v>165</v>
      </c>
      <c r="B169" s="9" t="s">
        <v>607</v>
      </c>
      <c r="C169" s="15" t="s">
        <v>983</v>
      </c>
      <c r="D169" s="10" t="s">
        <v>984</v>
      </c>
      <c r="E169" s="11">
        <v>7435621.9199999999</v>
      </c>
      <c r="F169" s="11">
        <v>-1050832.7</v>
      </c>
      <c r="G169" s="11">
        <v>0</v>
      </c>
      <c r="I169" s="12">
        <f t="shared" si="8"/>
        <v>6384789.2199999997</v>
      </c>
      <c r="J169" s="10"/>
      <c r="K169" s="9"/>
      <c r="M169" s="13"/>
    </row>
    <row r="170" spans="1:13" outlineLevel="2">
      <c r="A170" s="9">
        <f t="shared" si="7"/>
        <v>166</v>
      </c>
      <c r="B170" s="9" t="s">
        <v>607</v>
      </c>
      <c r="C170" s="15" t="s">
        <v>985</v>
      </c>
      <c r="D170" s="10" t="s">
        <v>986</v>
      </c>
      <c r="E170" s="11">
        <v>253710.27</v>
      </c>
      <c r="F170" s="11">
        <v>0</v>
      </c>
      <c r="G170" s="11">
        <v>0</v>
      </c>
      <c r="I170" s="12">
        <f t="shared" si="8"/>
        <v>253710.27</v>
      </c>
      <c r="J170" s="10"/>
      <c r="K170" s="9"/>
      <c r="M170" s="13"/>
    </row>
    <row r="171" spans="1:13" outlineLevel="2">
      <c r="A171" s="9">
        <f t="shared" si="7"/>
        <v>167</v>
      </c>
      <c r="B171" s="9" t="s">
        <v>607</v>
      </c>
      <c r="C171" s="15" t="s">
        <v>987</v>
      </c>
      <c r="D171" s="10" t="s">
        <v>988</v>
      </c>
      <c r="E171" s="11">
        <v>13463133.82</v>
      </c>
      <c r="F171" s="11">
        <v>0</v>
      </c>
      <c r="G171" s="11">
        <v>0</v>
      </c>
      <c r="I171" s="12">
        <f t="shared" si="8"/>
        <v>13463133.82</v>
      </c>
      <c r="K171" s="9"/>
      <c r="M171" s="13"/>
    </row>
    <row r="172" spans="1:13" outlineLevel="2">
      <c r="A172" s="9">
        <f t="shared" si="7"/>
        <v>168</v>
      </c>
      <c r="B172" s="9" t="s">
        <v>607</v>
      </c>
      <c r="C172" s="15" t="s">
        <v>989</v>
      </c>
      <c r="D172" s="10" t="s">
        <v>990</v>
      </c>
      <c r="E172" s="11">
        <v>16988725.149999999</v>
      </c>
      <c r="F172" s="11">
        <v>-163144</v>
      </c>
      <c r="G172" s="11">
        <v>0</v>
      </c>
      <c r="I172" s="12">
        <f t="shared" si="8"/>
        <v>16825581.149999999</v>
      </c>
      <c r="J172" s="10"/>
      <c r="K172" s="9"/>
      <c r="M172" s="13"/>
    </row>
    <row r="173" spans="1:13" outlineLevel="2">
      <c r="A173" s="9">
        <f t="shared" si="7"/>
        <v>169</v>
      </c>
      <c r="B173" s="9" t="s">
        <v>607</v>
      </c>
      <c r="C173" s="15" t="s">
        <v>991</v>
      </c>
      <c r="D173" s="10" t="s">
        <v>992</v>
      </c>
      <c r="E173" s="11">
        <v>1725310.24</v>
      </c>
      <c r="F173" s="11">
        <v>0</v>
      </c>
      <c r="G173" s="11">
        <v>0</v>
      </c>
      <c r="I173" s="12">
        <f t="shared" si="8"/>
        <v>1725310.24</v>
      </c>
      <c r="K173" s="9"/>
      <c r="M173" s="13"/>
    </row>
    <row r="174" spans="1:13" outlineLevel="2">
      <c r="A174" s="9">
        <f t="shared" si="7"/>
        <v>170</v>
      </c>
      <c r="B174" s="9" t="s">
        <v>607</v>
      </c>
      <c r="C174" s="15" t="s">
        <v>993</v>
      </c>
      <c r="D174" s="10" t="s">
        <v>994</v>
      </c>
      <c r="E174" s="11">
        <v>10579462.84</v>
      </c>
      <c r="F174" s="11">
        <v>0</v>
      </c>
      <c r="G174" s="11">
        <v>0</v>
      </c>
      <c r="I174" s="12">
        <f t="shared" si="8"/>
        <v>10579462.84</v>
      </c>
      <c r="K174" s="9"/>
      <c r="M174" s="13"/>
    </row>
    <row r="175" spans="1:13" outlineLevel="2">
      <c r="A175" s="9">
        <f t="shared" si="7"/>
        <v>171</v>
      </c>
      <c r="B175" s="9" t="s">
        <v>607</v>
      </c>
      <c r="C175" s="15" t="s">
        <v>995</v>
      </c>
      <c r="D175" s="10" t="s">
        <v>996</v>
      </c>
      <c r="E175" s="11">
        <v>17413352.890000001</v>
      </c>
      <c r="F175" s="11">
        <v>0</v>
      </c>
      <c r="G175" s="11">
        <v>0</v>
      </c>
      <c r="I175" s="12">
        <f t="shared" si="8"/>
        <v>17413352.890000001</v>
      </c>
      <c r="K175" s="9"/>
      <c r="M175" s="13"/>
    </row>
    <row r="176" spans="1:13" outlineLevel="2">
      <c r="A176" s="9">
        <f t="shared" si="7"/>
        <v>172</v>
      </c>
      <c r="B176" s="9" t="s">
        <v>607</v>
      </c>
      <c r="C176" s="15" t="s">
        <v>997</v>
      </c>
      <c r="D176" s="10" t="s">
        <v>998</v>
      </c>
      <c r="E176" s="11">
        <f>12220370.61-12220370.61</f>
        <v>0</v>
      </c>
      <c r="F176" s="11">
        <v>0</v>
      </c>
      <c r="G176" s="11">
        <v>0</v>
      </c>
      <c r="I176" s="12">
        <f t="shared" si="8"/>
        <v>0</v>
      </c>
      <c r="K176" s="9"/>
      <c r="M176" s="13"/>
    </row>
    <row r="177" spans="1:13" ht="12.75" customHeight="1" outlineLevel="2">
      <c r="A177" s="9">
        <f>A176+1</f>
        <v>173</v>
      </c>
      <c r="B177" s="9" t="s">
        <v>607</v>
      </c>
      <c r="C177" s="15" t="s">
        <v>999</v>
      </c>
      <c r="D177" s="10" t="s">
        <v>1000</v>
      </c>
      <c r="E177" s="11">
        <v>23914828.91</v>
      </c>
      <c r="F177" s="11">
        <v>-2113167.08</v>
      </c>
      <c r="G177" s="11">
        <v>0</v>
      </c>
      <c r="I177" s="12">
        <f t="shared" si="8"/>
        <v>21801661.829999998</v>
      </c>
      <c r="J177" s="10"/>
      <c r="K177" s="9"/>
      <c r="M177" s="13"/>
    </row>
    <row r="178" spans="1:13" outlineLevel="2">
      <c r="A178" s="9">
        <f t="shared" si="7"/>
        <v>174</v>
      </c>
      <c r="B178" s="9" t="s">
        <v>607</v>
      </c>
      <c r="C178" s="15" t="s">
        <v>1001</v>
      </c>
      <c r="D178" s="10" t="s">
        <v>1002</v>
      </c>
      <c r="E178" s="11">
        <v>8439044.1799999997</v>
      </c>
      <c r="F178" s="11">
        <v>0</v>
      </c>
      <c r="G178" s="11">
        <v>0</v>
      </c>
      <c r="I178" s="12">
        <f t="shared" si="8"/>
        <v>8439044.1799999997</v>
      </c>
      <c r="K178" s="9"/>
      <c r="M178" s="13"/>
    </row>
    <row r="179" spans="1:13" outlineLevel="2">
      <c r="A179" s="9">
        <f t="shared" si="7"/>
        <v>175</v>
      </c>
      <c r="B179" s="9" t="s">
        <v>607</v>
      </c>
      <c r="C179" s="15" t="s">
        <v>1003</v>
      </c>
      <c r="D179" s="10" t="s">
        <v>1004</v>
      </c>
      <c r="E179" s="11">
        <v>1517924.97</v>
      </c>
      <c r="F179" s="11">
        <v>-43752</v>
      </c>
      <c r="G179" s="11">
        <v>0</v>
      </c>
      <c r="I179" s="12">
        <f t="shared" si="8"/>
        <v>1474172.97</v>
      </c>
      <c r="J179" s="10"/>
      <c r="K179" s="9"/>
      <c r="M179" s="13"/>
    </row>
    <row r="180" spans="1:13" outlineLevel="2">
      <c r="A180" s="9">
        <f t="shared" si="7"/>
        <v>176</v>
      </c>
      <c r="B180" s="9" t="s">
        <v>607</v>
      </c>
      <c r="C180" s="15" t="s">
        <v>1005</v>
      </c>
      <c r="D180" s="10" t="s">
        <v>1006</v>
      </c>
      <c r="E180" s="11">
        <v>6180010.5999999996</v>
      </c>
      <c r="F180" s="11">
        <v>-326876.78999999998</v>
      </c>
      <c r="G180" s="11">
        <v>0</v>
      </c>
      <c r="I180" s="12">
        <f t="shared" si="8"/>
        <v>5853133.8099999996</v>
      </c>
      <c r="J180" s="10"/>
      <c r="K180" s="9"/>
      <c r="M180" s="13"/>
    </row>
    <row r="181" spans="1:13" outlineLevel="2">
      <c r="A181" s="9">
        <f t="shared" si="7"/>
        <v>177</v>
      </c>
      <c r="B181" s="9" t="s">
        <v>607</v>
      </c>
      <c r="C181" s="15" t="s">
        <v>1007</v>
      </c>
      <c r="D181" s="10" t="s">
        <v>1008</v>
      </c>
      <c r="E181" s="11">
        <v>8552324.4600000009</v>
      </c>
      <c r="F181" s="11">
        <v>0</v>
      </c>
      <c r="G181" s="11">
        <v>0</v>
      </c>
      <c r="I181" s="12">
        <f t="shared" si="8"/>
        <v>8552324.4600000009</v>
      </c>
      <c r="J181" s="10"/>
      <c r="K181" s="9"/>
      <c r="M181" s="13"/>
    </row>
    <row r="182" spans="1:13" outlineLevel="2">
      <c r="A182" s="9">
        <f t="shared" si="7"/>
        <v>178</v>
      </c>
      <c r="B182" s="9" t="s">
        <v>607</v>
      </c>
      <c r="C182" s="15" t="s">
        <v>1009</v>
      </c>
      <c r="D182" s="10" t="s">
        <v>1010</v>
      </c>
      <c r="E182" s="11">
        <f>82518.71+16015.17</f>
        <v>98533.88</v>
      </c>
      <c r="F182" s="11">
        <v>0</v>
      </c>
      <c r="G182" s="11">
        <v>0</v>
      </c>
      <c r="I182" s="12">
        <f t="shared" si="8"/>
        <v>98533.88</v>
      </c>
      <c r="J182" s="10"/>
      <c r="K182" s="9"/>
      <c r="M182" s="13"/>
    </row>
    <row r="183" spans="1:13" outlineLevel="2">
      <c r="A183" s="9">
        <f t="shared" si="7"/>
        <v>179</v>
      </c>
      <c r="B183" s="9" t="s">
        <v>607</v>
      </c>
      <c r="C183" s="15" t="s">
        <v>1011</v>
      </c>
      <c r="D183" s="10" t="s">
        <v>1012</v>
      </c>
      <c r="E183" s="11">
        <v>11868321.699999999</v>
      </c>
      <c r="F183" s="11">
        <v>-62475.4</v>
      </c>
      <c r="G183" s="11">
        <v>0</v>
      </c>
      <c r="I183" s="12">
        <f t="shared" si="8"/>
        <v>11805846.299999999</v>
      </c>
      <c r="J183" s="10"/>
      <c r="K183" s="9"/>
      <c r="M183" s="13"/>
    </row>
    <row r="184" spans="1:13" outlineLevel="2">
      <c r="A184" s="9">
        <f t="shared" si="7"/>
        <v>180</v>
      </c>
      <c r="B184" s="9" t="s">
        <v>607</v>
      </c>
      <c r="C184" s="15" t="s">
        <v>1013</v>
      </c>
      <c r="D184" s="10" t="s">
        <v>1014</v>
      </c>
      <c r="E184" s="11">
        <f>6841033.8</f>
        <v>6841033.7999999998</v>
      </c>
      <c r="F184" s="11">
        <v>-59777.35</v>
      </c>
      <c r="G184" s="11">
        <v>0</v>
      </c>
      <c r="I184" s="12">
        <f t="shared" si="8"/>
        <v>6781256.4500000002</v>
      </c>
      <c r="J184" s="10"/>
      <c r="K184" s="9"/>
      <c r="M184" s="13"/>
    </row>
    <row r="185" spans="1:13" outlineLevel="2">
      <c r="A185" s="9">
        <f t="shared" si="7"/>
        <v>181</v>
      </c>
      <c r="B185" s="9" t="s">
        <v>607</v>
      </c>
      <c r="C185" s="15" t="s">
        <v>1015</v>
      </c>
      <c r="D185" s="10" t="s">
        <v>1016</v>
      </c>
      <c r="E185" s="11">
        <v>10832.21</v>
      </c>
      <c r="F185" s="11">
        <v>0</v>
      </c>
      <c r="G185" s="11">
        <v>0</v>
      </c>
      <c r="I185" s="12">
        <f t="shared" si="8"/>
        <v>10832.21</v>
      </c>
      <c r="J185" s="10"/>
      <c r="K185" s="9"/>
      <c r="M185" s="13"/>
    </row>
    <row r="186" spans="1:13" outlineLevel="2">
      <c r="A186" s="9">
        <f t="shared" si="7"/>
        <v>182</v>
      </c>
      <c r="B186" s="9" t="s">
        <v>607</v>
      </c>
      <c r="C186" s="15" t="s">
        <v>1017</v>
      </c>
      <c r="D186" s="10" t="s">
        <v>1018</v>
      </c>
      <c r="E186" s="11">
        <v>3894019.92</v>
      </c>
      <c r="F186" s="11">
        <v>-143716.45000000001</v>
      </c>
      <c r="G186" s="11">
        <v>0</v>
      </c>
      <c r="I186" s="12">
        <f t="shared" si="8"/>
        <v>3750303.4699999997</v>
      </c>
      <c r="J186" s="10"/>
      <c r="K186" s="9"/>
      <c r="M186" s="13"/>
    </row>
    <row r="187" spans="1:13" outlineLevel="2">
      <c r="A187" s="9">
        <f t="shared" si="7"/>
        <v>183</v>
      </c>
      <c r="B187" s="9" t="s">
        <v>607</v>
      </c>
      <c r="C187" s="15" t="s">
        <v>1019</v>
      </c>
      <c r="D187" s="10" t="s">
        <v>1020</v>
      </c>
      <c r="E187" s="11">
        <v>12505664.960000001</v>
      </c>
      <c r="F187" s="11">
        <v>-362525.03</v>
      </c>
      <c r="G187" s="11">
        <v>0</v>
      </c>
      <c r="I187" s="12">
        <f t="shared" si="8"/>
        <v>12143139.930000002</v>
      </c>
      <c r="M187" s="13"/>
    </row>
    <row r="188" spans="1:13" outlineLevel="2">
      <c r="A188" s="9">
        <f t="shared" si="7"/>
        <v>184</v>
      </c>
      <c r="B188" s="9" t="s">
        <v>607</v>
      </c>
      <c r="C188" s="15" t="s">
        <v>1021</v>
      </c>
      <c r="D188" s="10" t="s">
        <v>1022</v>
      </c>
      <c r="E188" s="11">
        <v>25178538.57</v>
      </c>
      <c r="F188" s="11">
        <v>-1479440.1</v>
      </c>
      <c r="G188" s="11">
        <v>0</v>
      </c>
      <c r="I188" s="12">
        <f t="shared" si="8"/>
        <v>23699098.469999999</v>
      </c>
      <c r="J188" s="10"/>
      <c r="K188" s="9"/>
      <c r="M188" s="13"/>
    </row>
    <row r="189" spans="1:13" outlineLevel="2">
      <c r="A189" s="9">
        <f t="shared" si="7"/>
        <v>185</v>
      </c>
      <c r="B189" s="9" t="s">
        <v>607</v>
      </c>
      <c r="C189" s="15" t="s">
        <v>1023</v>
      </c>
      <c r="D189" s="10" t="s">
        <v>1024</v>
      </c>
      <c r="E189" s="11">
        <v>7092854.1799999997</v>
      </c>
      <c r="F189" s="11">
        <v>-1180480.01</v>
      </c>
      <c r="G189" s="11">
        <v>0</v>
      </c>
      <c r="I189" s="12">
        <f t="shared" si="8"/>
        <v>5912374.1699999999</v>
      </c>
      <c r="J189" s="10"/>
      <c r="K189" s="9"/>
      <c r="M189" s="13"/>
    </row>
    <row r="190" spans="1:13" outlineLevel="2">
      <c r="A190" s="9">
        <f>A189+1</f>
        <v>186</v>
      </c>
      <c r="B190" s="9" t="s">
        <v>607</v>
      </c>
      <c r="C190" s="15" t="s">
        <v>1025</v>
      </c>
      <c r="D190" s="10" t="s">
        <v>1026</v>
      </c>
      <c r="E190" s="11">
        <v>3670766.35</v>
      </c>
      <c r="F190" s="11">
        <v>-1307837</v>
      </c>
      <c r="G190" s="11">
        <v>0</v>
      </c>
      <c r="I190" s="12">
        <f t="shared" si="8"/>
        <v>2362929.35</v>
      </c>
      <c r="J190" s="10"/>
      <c r="K190" s="9"/>
      <c r="M190" s="13"/>
    </row>
    <row r="191" spans="1:13" outlineLevel="2">
      <c r="A191" s="9">
        <f t="shared" si="7"/>
        <v>187</v>
      </c>
      <c r="B191" s="9" t="s">
        <v>607</v>
      </c>
      <c r="C191" s="15" t="s">
        <v>1027</v>
      </c>
      <c r="D191" s="10" t="s">
        <v>1028</v>
      </c>
      <c r="E191" s="11">
        <v>3943916.72</v>
      </c>
      <c r="F191" s="11">
        <v>-158721.51</v>
      </c>
      <c r="G191" s="11">
        <v>0</v>
      </c>
      <c r="I191" s="12">
        <f t="shared" si="8"/>
        <v>3785195.21</v>
      </c>
      <c r="J191" s="10"/>
      <c r="K191" s="9"/>
      <c r="M191" s="13"/>
    </row>
    <row r="192" spans="1:13" outlineLevel="2">
      <c r="A192" s="9">
        <f t="shared" si="7"/>
        <v>188</v>
      </c>
      <c r="B192" s="9" t="s">
        <v>607</v>
      </c>
      <c r="C192" s="15" t="s">
        <v>1029</v>
      </c>
      <c r="D192" s="10" t="s">
        <v>1030</v>
      </c>
      <c r="E192" s="11">
        <v>11108747.65</v>
      </c>
      <c r="F192" s="11">
        <v>0</v>
      </c>
      <c r="G192" s="11">
        <v>0</v>
      </c>
      <c r="I192" s="12">
        <f t="shared" si="8"/>
        <v>11108747.65</v>
      </c>
      <c r="J192" s="10"/>
      <c r="K192" s="9"/>
      <c r="M192" s="13"/>
    </row>
    <row r="193" spans="1:13" outlineLevel="2">
      <c r="A193" s="9">
        <f t="shared" si="7"/>
        <v>189</v>
      </c>
      <c r="B193" s="9" t="s">
        <v>607</v>
      </c>
      <c r="C193" s="15" t="s">
        <v>1031</v>
      </c>
      <c r="D193" s="10" t="s">
        <v>1032</v>
      </c>
      <c r="E193" s="11">
        <v>29969.23</v>
      </c>
      <c r="F193" s="11">
        <v>0</v>
      </c>
      <c r="I193" s="12">
        <f t="shared" si="8"/>
        <v>29969.23</v>
      </c>
      <c r="J193" s="10"/>
      <c r="K193" s="9"/>
      <c r="M193" s="13"/>
    </row>
    <row r="194" spans="1:13" outlineLevel="2">
      <c r="A194" s="9">
        <f t="shared" si="7"/>
        <v>190</v>
      </c>
      <c r="B194" s="9" t="s">
        <v>607</v>
      </c>
      <c r="C194" s="15" t="s">
        <v>1033</v>
      </c>
      <c r="D194" s="10" t="s">
        <v>1034</v>
      </c>
      <c r="E194" s="11">
        <v>340848.27</v>
      </c>
      <c r="F194" s="11">
        <v>0</v>
      </c>
      <c r="I194" s="12">
        <f t="shared" si="8"/>
        <v>340848.27</v>
      </c>
      <c r="J194" s="10"/>
      <c r="K194" s="9"/>
      <c r="M194" s="13"/>
    </row>
    <row r="195" spans="1:13" outlineLevel="2">
      <c r="A195" s="9">
        <f t="shared" si="7"/>
        <v>191</v>
      </c>
      <c r="B195" s="9" t="s">
        <v>607</v>
      </c>
      <c r="C195" s="15" t="s">
        <v>1035</v>
      </c>
      <c r="D195" s="10" t="s">
        <v>1036</v>
      </c>
      <c r="E195" s="11">
        <v>19476</v>
      </c>
      <c r="F195" s="11">
        <v>0</v>
      </c>
      <c r="G195" s="11">
        <v>0</v>
      </c>
      <c r="I195" s="12">
        <f t="shared" si="8"/>
        <v>19476</v>
      </c>
      <c r="K195" s="9"/>
      <c r="M195" s="13"/>
    </row>
    <row r="196" spans="1:13" outlineLevel="2">
      <c r="A196" s="9">
        <f t="shared" si="7"/>
        <v>192</v>
      </c>
      <c r="B196" s="9" t="s">
        <v>607</v>
      </c>
      <c r="C196" s="15" t="s">
        <v>1037</v>
      </c>
      <c r="D196" s="10" t="s">
        <v>1038</v>
      </c>
      <c r="E196" s="11">
        <v>1829480.7</v>
      </c>
      <c r="F196" s="11">
        <v>-1134119.53</v>
      </c>
      <c r="G196" s="11">
        <v>0</v>
      </c>
      <c r="I196" s="12">
        <f t="shared" si="8"/>
        <v>695361.16999999993</v>
      </c>
      <c r="J196" s="10"/>
      <c r="K196" s="9"/>
      <c r="M196" s="13"/>
    </row>
    <row r="197" spans="1:13" outlineLevel="2">
      <c r="A197" s="9">
        <f t="shared" si="7"/>
        <v>193</v>
      </c>
      <c r="B197" s="9" t="s">
        <v>607</v>
      </c>
      <c r="C197" s="15" t="s">
        <v>1039</v>
      </c>
      <c r="D197" s="10" t="s">
        <v>1040</v>
      </c>
      <c r="E197" s="11">
        <v>8065072.4400000004</v>
      </c>
      <c r="F197" s="11">
        <v>-593801.27</v>
      </c>
      <c r="G197" s="11">
        <v>0</v>
      </c>
      <c r="I197" s="12">
        <f t="shared" si="8"/>
        <v>7471271.1699999999</v>
      </c>
      <c r="J197" s="10"/>
      <c r="K197" s="9"/>
      <c r="M197" s="13"/>
    </row>
    <row r="198" spans="1:13" outlineLevel="2">
      <c r="A198" s="9">
        <f t="shared" si="7"/>
        <v>194</v>
      </c>
      <c r="B198" s="9" t="s">
        <v>607</v>
      </c>
      <c r="C198" s="15" t="s">
        <v>1041</v>
      </c>
      <c r="D198" s="10" t="s">
        <v>1042</v>
      </c>
      <c r="E198" s="11">
        <v>831466.41</v>
      </c>
      <c r="F198" s="11">
        <v>-154097</v>
      </c>
      <c r="G198" s="11">
        <v>0</v>
      </c>
      <c r="I198" s="12">
        <f t="shared" si="8"/>
        <v>677369.41</v>
      </c>
      <c r="K198" s="9"/>
      <c r="M198" s="13"/>
    </row>
    <row r="199" spans="1:13" outlineLevel="2">
      <c r="A199" s="9">
        <f t="shared" si="7"/>
        <v>195</v>
      </c>
      <c r="B199" s="9" t="s">
        <v>607</v>
      </c>
      <c r="C199" s="15" t="s">
        <v>1043</v>
      </c>
      <c r="D199" s="10" t="s">
        <v>1044</v>
      </c>
      <c r="E199" s="11">
        <v>6938867.9800000004</v>
      </c>
      <c r="F199" s="11">
        <v>0</v>
      </c>
      <c r="G199" s="11">
        <v>0</v>
      </c>
      <c r="I199" s="12">
        <f t="shared" si="8"/>
        <v>6938867.9800000004</v>
      </c>
      <c r="K199" s="9"/>
      <c r="M199" s="13"/>
    </row>
    <row r="200" spans="1:13" outlineLevel="2">
      <c r="A200" s="9">
        <f t="shared" si="7"/>
        <v>196</v>
      </c>
      <c r="B200" s="9" t="s">
        <v>607</v>
      </c>
      <c r="C200" s="15" t="s">
        <v>1045</v>
      </c>
      <c r="D200" s="10" t="s">
        <v>1046</v>
      </c>
      <c r="E200" s="11">
        <v>1895701.8</v>
      </c>
      <c r="F200" s="11">
        <v>0</v>
      </c>
      <c r="G200" s="11">
        <v>0</v>
      </c>
      <c r="I200" s="12">
        <f t="shared" si="8"/>
        <v>1895701.8</v>
      </c>
      <c r="K200" s="9"/>
      <c r="M200" s="13"/>
    </row>
    <row r="201" spans="1:13" outlineLevel="2">
      <c r="A201" s="9">
        <f t="shared" si="7"/>
        <v>197</v>
      </c>
      <c r="B201" s="9" t="s">
        <v>607</v>
      </c>
      <c r="C201" s="15" t="s">
        <v>1047</v>
      </c>
      <c r="D201" s="10" t="s">
        <v>1048</v>
      </c>
      <c r="E201" s="11">
        <f>305417.9+896681.51</f>
        <v>1202099.4100000001</v>
      </c>
      <c r="F201" s="11">
        <v>0</v>
      </c>
      <c r="G201" s="11">
        <v>0</v>
      </c>
      <c r="I201" s="12">
        <f t="shared" si="8"/>
        <v>1202099.4100000001</v>
      </c>
      <c r="K201" s="9"/>
      <c r="M201" s="13"/>
    </row>
    <row r="202" spans="1:13" outlineLevel="2">
      <c r="A202" s="9">
        <f t="shared" si="7"/>
        <v>198</v>
      </c>
      <c r="B202" s="9" t="s">
        <v>607</v>
      </c>
      <c r="C202" s="15" t="s">
        <v>1049</v>
      </c>
      <c r="D202" s="10" t="s">
        <v>1050</v>
      </c>
      <c r="E202" s="11">
        <v>5351152.01</v>
      </c>
      <c r="F202" s="11">
        <v>0</v>
      </c>
      <c r="G202" s="11">
        <v>0</v>
      </c>
      <c r="I202" s="12">
        <f t="shared" si="8"/>
        <v>5351152.01</v>
      </c>
      <c r="K202" s="9"/>
      <c r="M202" s="13"/>
    </row>
    <row r="203" spans="1:13" outlineLevel="2">
      <c r="A203" s="9">
        <f t="shared" si="7"/>
        <v>199</v>
      </c>
      <c r="B203" s="9" t="s">
        <v>607</v>
      </c>
      <c r="C203" s="15" t="s">
        <v>1051</v>
      </c>
      <c r="D203" s="10" t="s">
        <v>1052</v>
      </c>
      <c r="E203" s="11">
        <v>3473709.71</v>
      </c>
      <c r="F203" s="11">
        <v>-586992</v>
      </c>
      <c r="G203" s="11">
        <v>0</v>
      </c>
      <c r="I203" s="12">
        <f t="shared" si="8"/>
        <v>2886717.71</v>
      </c>
      <c r="J203" s="10"/>
      <c r="K203" s="9"/>
      <c r="M203" s="13"/>
    </row>
    <row r="204" spans="1:13" outlineLevel="2">
      <c r="A204" s="9">
        <f t="shared" si="7"/>
        <v>200</v>
      </c>
      <c r="B204" s="9" t="s">
        <v>607</v>
      </c>
      <c r="C204" s="15" t="s">
        <v>1053</v>
      </c>
      <c r="D204" s="10" t="s">
        <v>1054</v>
      </c>
      <c r="E204" s="11">
        <v>8007359.96</v>
      </c>
      <c r="F204" s="11">
        <v>-1095435.3600000001</v>
      </c>
      <c r="G204" s="11">
        <v>0</v>
      </c>
      <c r="I204" s="12">
        <f t="shared" si="8"/>
        <v>6911924.5999999996</v>
      </c>
      <c r="K204" s="9"/>
      <c r="M204" s="13"/>
    </row>
    <row r="205" spans="1:13" outlineLevel="2">
      <c r="A205" s="9">
        <f t="shared" si="7"/>
        <v>201</v>
      </c>
      <c r="B205" s="9" t="s">
        <v>607</v>
      </c>
      <c r="C205" s="15" t="s">
        <v>1055</v>
      </c>
      <c r="D205" s="10" t="s">
        <v>1056</v>
      </c>
      <c r="E205" s="11">
        <v>2030823.76</v>
      </c>
      <c r="F205" s="11">
        <v>-139934</v>
      </c>
      <c r="G205" s="11">
        <v>0</v>
      </c>
      <c r="I205" s="12">
        <f t="shared" si="8"/>
        <v>1890889.76</v>
      </c>
      <c r="J205" s="10"/>
      <c r="K205" s="9"/>
      <c r="M205" s="13"/>
    </row>
    <row r="206" spans="1:13" outlineLevel="2">
      <c r="A206" s="9">
        <f t="shared" si="7"/>
        <v>202</v>
      </c>
      <c r="B206" s="9" t="s">
        <v>607</v>
      </c>
      <c r="C206" s="15" t="s">
        <v>124</v>
      </c>
      <c r="D206" s="10" t="s">
        <v>1057</v>
      </c>
      <c r="E206" s="11">
        <v>72367.83</v>
      </c>
      <c r="F206" s="11">
        <v>-72367.83</v>
      </c>
      <c r="G206" s="11">
        <v>0</v>
      </c>
      <c r="I206" s="12">
        <f t="shared" si="8"/>
        <v>0</v>
      </c>
      <c r="J206" s="10"/>
      <c r="K206" s="9"/>
      <c r="M206" s="13"/>
    </row>
    <row r="207" spans="1:13" outlineLevel="2">
      <c r="A207" s="9">
        <f t="shared" si="7"/>
        <v>203</v>
      </c>
      <c r="B207" s="9" t="s">
        <v>607</v>
      </c>
      <c r="C207" s="15" t="s">
        <v>1058</v>
      </c>
      <c r="D207" s="10" t="s">
        <v>1059</v>
      </c>
      <c r="E207" s="11">
        <v>1944816.97</v>
      </c>
      <c r="F207" s="11">
        <v>-33744</v>
      </c>
      <c r="G207" s="11">
        <v>0</v>
      </c>
      <c r="I207" s="12">
        <f t="shared" si="8"/>
        <v>1911072.97</v>
      </c>
      <c r="J207" s="10"/>
      <c r="K207" s="9"/>
      <c r="M207" s="13"/>
    </row>
    <row r="208" spans="1:13" ht="13.5" customHeight="1" outlineLevel="2">
      <c r="A208" s="9">
        <f t="shared" si="7"/>
        <v>204</v>
      </c>
      <c r="B208" s="9" t="s">
        <v>607</v>
      </c>
      <c r="C208" s="15" t="s">
        <v>1060</v>
      </c>
      <c r="D208" s="10" t="s">
        <v>1061</v>
      </c>
      <c r="E208" s="11">
        <v>18333139.199999999</v>
      </c>
      <c r="F208" s="11">
        <v>0</v>
      </c>
      <c r="G208" s="11">
        <v>0</v>
      </c>
      <c r="I208" s="12">
        <f t="shared" si="8"/>
        <v>18333139.199999999</v>
      </c>
      <c r="K208" s="9"/>
      <c r="M208" s="13"/>
    </row>
    <row r="209" spans="1:13" outlineLevel="2">
      <c r="A209" s="9">
        <f t="shared" si="7"/>
        <v>205</v>
      </c>
      <c r="B209" s="9" t="s">
        <v>607</v>
      </c>
      <c r="C209" s="15" t="s">
        <v>1062</v>
      </c>
      <c r="D209" s="10" t="s">
        <v>1063</v>
      </c>
      <c r="E209" s="11">
        <v>4116914.47</v>
      </c>
      <c r="F209" s="11">
        <v>-287496.89</v>
      </c>
      <c r="G209" s="11">
        <v>0</v>
      </c>
      <c r="I209" s="12">
        <f t="shared" si="8"/>
        <v>3829417.58</v>
      </c>
      <c r="J209" s="10"/>
      <c r="K209" s="9"/>
      <c r="M209" s="13"/>
    </row>
    <row r="210" spans="1:13" outlineLevel="2">
      <c r="A210" s="9">
        <f t="shared" si="7"/>
        <v>206</v>
      </c>
      <c r="B210" s="9" t="s">
        <v>607</v>
      </c>
      <c r="C210" s="15" t="s">
        <v>1064</v>
      </c>
      <c r="D210" s="10" t="s">
        <v>1065</v>
      </c>
      <c r="E210" s="11">
        <v>3335109.23</v>
      </c>
      <c r="F210" s="11">
        <v>-58595.199999999997</v>
      </c>
      <c r="G210" s="11">
        <v>0</v>
      </c>
      <c r="I210" s="12">
        <f t="shared" si="8"/>
        <v>3276514.03</v>
      </c>
      <c r="J210" s="10"/>
      <c r="K210" s="9"/>
      <c r="M210" s="13"/>
    </row>
    <row r="211" spans="1:13" outlineLevel="2">
      <c r="A211" s="9">
        <f t="shared" si="7"/>
        <v>207</v>
      </c>
      <c r="B211" s="9" t="s">
        <v>607</v>
      </c>
      <c r="C211" s="15" t="s">
        <v>1066</v>
      </c>
      <c r="D211" s="10" t="s">
        <v>1067</v>
      </c>
      <c r="E211" s="11">
        <v>180660.37</v>
      </c>
      <c r="F211" s="11">
        <v>0</v>
      </c>
      <c r="G211" s="11">
        <v>0</v>
      </c>
      <c r="I211" s="12">
        <f t="shared" si="8"/>
        <v>180660.37</v>
      </c>
      <c r="J211" s="10"/>
      <c r="K211" s="9"/>
      <c r="M211" s="13"/>
    </row>
    <row r="212" spans="1:13" outlineLevel="2">
      <c r="A212" s="9">
        <f t="shared" si="7"/>
        <v>208</v>
      </c>
      <c r="B212" s="9" t="s">
        <v>607</v>
      </c>
      <c r="C212" s="15" t="s">
        <v>1068</v>
      </c>
      <c r="D212" s="10" t="s">
        <v>1069</v>
      </c>
      <c r="E212" s="11">
        <v>890606.75</v>
      </c>
      <c r="F212" s="11">
        <v>-108484.95</v>
      </c>
      <c r="G212" s="11">
        <v>0</v>
      </c>
      <c r="I212" s="12">
        <f t="shared" si="8"/>
        <v>782121.8</v>
      </c>
      <c r="J212" s="10"/>
      <c r="K212" s="9"/>
      <c r="M212" s="13"/>
    </row>
    <row r="213" spans="1:13" outlineLevel="2">
      <c r="A213" s="9">
        <f t="shared" si="7"/>
        <v>209</v>
      </c>
      <c r="B213" s="9" t="s">
        <v>607</v>
      </c>
      <c r="C213" s="15" t="s">
        <v>1070</v>
      </c>
      <c r="D213" s="10" t="s">
        <v>1071</v>
      </c>
      <c r="E213" s="11">
        <v>2037147.6</v>
      </c>
      <c r="F213" s="11">
        <v>-209290</v>
      </c>
      <c r="G213" s="11">
        <v>0</v>
      </c>
      <c r="I213" s="12">
        <f t="shared" si="8"/>
        <v>1827857.6</v>
      </c>
      <c r="J213" s="10"/>
      <c r="K213" s="9"/>
      <c r="M213" s="13"/>
    </row>
    <row r="214" spans="1:13" outlineLevel="2">
      <c r="A214" s="9">
        <f t="shared" si="7"/>
        <v>210</v>
      </c>
      <c r="B214" s="9" t="s">
        <v>607</v>
      </c>
      <c r="C214" s="15" t="s">
        <v>1072</v>
      </c>
      <c r="D214" s="10" t="s">
        <v>1073</v>
      </c>
      <c r="E214" s="11">
        <v>4310495.96</v>
      </c>
      <c r="F214" s="11">
        <v>-699890</v>
      </c>
      <c r="G214" s="11">
        <v>0</v>
      </c>
      <c r="I214" s="12">
        <f t="shared" si="8"/>
        <v>3610605.96</v>
      </c>
      <c r="J214" s="10"/>
      <c r="K214" s="9"/>
      <c r="M214" s="13"/>
    </row>
    <row r="215" spans="1:13" outlineLevel="2">
      <c r="A215" s="9">
        <f t="shared" si="7"/>
        <v>211</v>
      </c>
      <c r="B215" s="9" t="s">
        <v>607</v>
      </c>
      <c r="C215" s="15" t="s">
        <v>1074</v>
      </c>
      <c r="D215" s="10" t="s">
        <v>1075</v>
      </c>
      <c r="E215" s="11">
        <v>992414.68</v>
      </c>
      <c r="F215" s="11">
        <v>-160601.15</v>
      </c>
      <c r="G215" s="11">
        <v>0</v>
      </c>
      <c r="I215" s="12">
        <f t="shared" si="8"/>
        <v>831813.53</v>
      </c>
      <c r="J215" s="10"/>
      <c r="K215" s="9"/>
      <c r="M215" s="13"/>
    </row>
    <row r="216" spans="1:13" outlineLevel="2">
      <c r="A216" s="9">
        <f t="shared" si="7"/>
        <v>212</v>
      </c>
      <c r="B216" s="9" t="s">
        <v>607</v>
      </c>
      <c r="C216" s="15" t="s">
        <v>1076</v>
      </c>
      <c r="D216" s="10" t="s">
        <v>1077</v>
      </c>
      <c r="E216" s="11">
        <v>250628.78</v>
      </c>
      <c r="F216" s="11">
        <v>-250628.78</v>
      </c>
      <c r="G216" s="11">
        <v>0</v>
      </c>
      <c r="I216" s="12">
        <f t="shared" si="8"/>
        <v>0</v>
      </c>
      <c r="J216" s="10"/>
      <c r="K216" s="9"/>
      <c r="M216" s="13"/>
    </row>
    <row r="217" spans="1:13" outlineLevel="2">
      <c r="A217" s="9">
        <f t="shared" si="7"/>
        <v>213</v>
      </c>
      <c r="B217" s="9" t="s">
        <v>607</v>
      </c>
      <c r="C217" s="15" t="s">
        <v>1078</v>
      </c>
      <c r="D217" s="10" t="s">
        <v>1079</v>
      </c>
      <c r="E217" s="11">
        <f>5739050.59</f>
        <v>5739050.5899999999</v>
      </c>
      <c r="F217" s="11">
        <v>-556793.17000000004</v>
      </c>
      <c r="G217" s="11">
        <v>0</v>
      </c>
      <c r="I217" s="12">
        <f t="shared" si="8"/>
        <v>5182257.42</v>
      </c>
      <c r="J217" s="10"/>
      <c r="K217" s="9"/>
      <c r="M217" s="13"/>
    </row>
    <row r="218" spans="1:13" outlineLevel="2">
      <c r="A218" s="9">
        <f t="shared" si="7"/>
        <v>214</v>
      </c>
      <c r="B218" s="9" t="s">
        <v>607</v>
      </c>
      <c r="C218" s="15" t="s">
        <v>1080</v>
      </c>
      <c r="D218" s="10" t="s">
        <v>1081</v>
      </c>
      <c r="E218" s="11">
        <v>1733527.61</v>
      </c>
      <c r="F218" s="11">
        <v>-1733527.61</v>
      </c>
      <c r="G218" s="11">
        <v>0</v>
      </c>
      <c r="I218" s="12">
        <f t="shared" si="8"/>
        <v>0</v>
      </c>
      <c r="K218" s="9"/>
      <c r="M218" s="13"/>
    </row>
    <row r="219" spans="1:13" outlineLevel="2">
      <c r="A219" s="9">
        <f t="shared" si="7"/>
        <v>215</v>
      </c>
      <c r="B219" s="9" t="s">
        <v>607</v>
      </c>
      <c r="C219" s="15" t="s">
        <v>621</v>
      </c>
      <c r="D219" s="10" t="s">
        <v>1082</v>
      </c>
      <c r="E219" s="11">
        <v>8375650.7999999998</v>
      </c>
      <c r="H219" s="11">
        <f>-8375651</f>
        <v>-8375651</v>
      </c>
      <c r="I219" s="12">
        <f>SUM(E219:H219)</f>
        <v>-0.20000000018626451</v>
      </c>
      <c r="K219" s="9"/>
      <c r="M219" s="13"/>
    </row>
    <row r="220" spans="1:13" outlineLevel="2">
      <c r="A220" s="9">
        <f t="shared" si="7"/>
        <v>216</v>
      </c>
      <c r="B220" s="9" t="s">
        <v>607</v>
      </c>
      <c r="C220" s="15" t="s">
        <v>1083</v>
      </c>
      <c r="D220" s="10" t="s">
        <v>1084</v>
      </c>
      <c r="E220" s="11">
        <v>623512.97</v>
      </c>
      <c r="F220" s="11">
        <v>0</v>
      </c>
      <c r="G220" s="11">
        <v>0</v>
      </c>
      <c r="I220" s="12">
        <f t="shared" si="8"/>
        <v>623512.97</v>
      </c>
      <c r="K220" s="9"/>
      <c r="M220" s="13"/>
    </row>
    <row r="221" spans="1:13" outlineLevel="2">
      <c r="A221" s="9">
        <f t="shared" si="7"/>
        <v>217</v>
      </c>
      <c r="B221" s="9" t="s">
        <v>607</v>
      </c>
      <c r="C221" s="15" t="s">
        <v>1085</v>
      </c>
      <c r="D221" s="10" t="s">
        <v>1086</v>
      </c>
      <c r="E221" s="11">
        <v>3160305.03</v>
      </c>
      <c r="F221" s="11">
        <v>-1380449</v>
      </c>
      <c r="G221" s="11">
        <v>0</v>
      </c>
      <c r="I221" s="12">
        <f t="shared" si="8"/>
        <v>1779856.0299999998</v>
      </c>
      <c r="J221" s="10"/>
      <c r="K221" s="9"/>
      <c r="M221" s="13"/>
    </row>
    <row r="222" spans="1:13" outlineLevel="2">
      <c r="A222" s="9">
        <f t="shared" si="7"/>
        <v>218</v>
      </c>
      <c r="B222" s="9" t="s">
        <v>607</v>
      </c>
      <c r="C222" s="15" t="s">
        <v>1087</v>
      </c>
      <c r="D222" s="10" t="s">
        <v>1088</v>
      </c>
      <c r="E222" s="11">
        <v>8722195.9100000001</v>
      </c>
      <c r="F222" s="11">
        <v>-570711.76</v>
      </c>
      <c r="G222" s="11">
        <v>0</v>
      </c>
      <c r="I222" s="12">
        <f t="shared" si="8"/>
        <v>8151484.1500000004</v>
      </c>
      <c r="J222" s="10"/>
      <c r="K222" s="9"/>
      <c r="M222" s="13"/>
    </row>
    <row r="223" spans="1:13" outlineLevel="2">
      <c r="A223" s="9">
        <f t="shared" si="7"/>
        <v>219</v>
      </c>
      <c r="B223" s="9" t="s">
        <v>607</v>
      </c>
      <c r="C223" s="15" t="s">
        <v>1089</v>
      </c>
      <c r="D223" s="10" t="s">
        <v>1090</v>
      </c>
      <c r="E223" s="11">
        <v>74402.89</v>
      </c>
      <c r="F223" s="11">
        <v>0</v>
      </c>
      <c r="G223" s="11">
        <v>0</v>
      </c>
      <c r="I223" s="12">
        <f t="shared" si="8"/>
        <v>74402.89</v>
      </c>
      <c r="K223" s="9"/>
      <c r="M223" s="13"/>
    </row>
    <row r="224" spans="1:13" outlineLevel="2">
      <c r="A224" s="9">
        <f t="shared" si="7"/>
        <v>220</v>
      </c>
      <c r="B224" s="9" t="s">
        <v>607</v>
      </c>
      <c r="C224" s="15" t="s">
        <v>1091</v>
      </c>
      <c r="D224" s="10" t="s">
        <v>1092</v>
      </c>
      <c r="E224" s="11">
        <v>861699.29</v>
      </c>
      <c r="F224" s="11">
        <v>-861699.29</v>
      </c>
      <c r="G224" s="11">
        <v>0</v>
      </c>
      <c r="I224" s="12">
        <f t="shared" si="8"/>
        <v>0</v>
      </c>
      <c r="J224" s="10"/>
      <c r="K224" s="9"/>
      <c r="M224" s="13"/>
    </row>
    <row r="225" spans="1:13" outlineLevel="2">
      <c r="A225" s="9">
        <f>A224+1</f>
        <v>221</v>
      </c>
      <c r="B225" s="9" t="s">
        <v>607</v>
      </c>
      <c r="C225" s="15" t="s">
        <v>1093</v>
      </c>
      <c r="D225" s="10" t="s">
        <v>1094</v>
      </c>
      <c r="E225" s="11">
        <v>5897301.8099999996</v>
      </c>
      <c r="F225" s="11">
        <v>-169696</v>
      </c>
      <c r="G225" s="11">
        <v>0</v>
      </c>
      <c r="I225" s="12">
        <f t="shared" si="8"/>
        <v>5727605.8099999996</v>
      </c>
      <c r="J225" s="10"/>
      <c r="K225" s="9"/>
      <c r="M225" s="13"/>
    </row>
    <row r="226" spans="1:13" outlineLevel="2">
      <c r="A226" s="9">
        <f t="shared" si="7"/>
        <v>222</v>
      </c>
      <c r="B226" s="9" t="s">
        <v>607</v>
      </c>
      <c r="C226" s="15" t="s">
        <v>1095</v>
      </c>
      <c r="D226" s="10" t="s">
        <v>1096</v>
      </c>
      <c r="E226" s="11">
        <v>22102.23</v>
      </c>
      <c r="F226" s="11">
        <v>0</v>
      </c>
      <c r="G226" s="11">
        <v>0</v>
      </c>
      <c r="I226" s="12">
        <f t="shared" si="8"/>
        <v>22102.23</v>
      </c>
      <c r="J226" s="10"/>
      <c r="K226" s="9"/>
      <c r="M226" s="13"/>
    </row>
    <row r="227" spans="1:13" outlineLevel="2">
      <c r="A227" s="9">
        <f t="shared" ref="A227:A279" si="9">A226+1</f>
        <v>223</v>
      </c>
      <c r="B227" s="9" t="s">
        <v>607</v>
      </c>
      <c r="C227" s="15" t="s">
        <v>1097</v>
      </c>
      <c r="D227" s="10" t="s">
        <v>1098</v>
      </c>
      <c r="E227" s="11">
        <v>13150690.43</v>
      </c>
      <c r="F227" s="11">
        <v>0</v>
      </c>
      <c r="G227" s="11">
        <v>0</v>
      </c>
      <c r="I227" s="12">
        <f t="shared" si="8"/>
        <v>13150690.43</v>
      </c>
      <c r="K227" s="9"/>
      <c r="M227" s="13"/>
    </row>
    <row r="228" spans="1:13" outlineLevel="2">
      <c r="A228" s="9">
        <f t="shared" si="9"/>
        <v>224</v>
      </c>
      <c r="B228" s="9" t="s">
        <v>607</v>
      </c>
      <c r="C228" s="15" t="s">
        <v>1099</v>
      </c>
      <c r="D228" s="10" t="s">
        <v>1100</v>
      </c>
      <c r="E228" s="11">
        <v>16893262.280000001</v>
      </c>
      <c r="F228" s="11">
        <v>0</v>
      </c>
      <c r="G228" s="11">
        <v>0</v>
      </c>
      <c r="I228" s="12">
        <f t="shared" si="8"/>
        <v>16893262.280000001</v>
      </c>
      <c r="K228" s="9"/>
      <c r="M228" s="13"/>
    </row>
    <row r="229" spans="1:13" outlineLevel="2">
      <c r="A229" s="9">
        <f t="shared" si="9"/>
        <v>225</v>
      </c>
      <c r="B229" s="9" t="s">
        <v>607</v>
      </c>
      <c r="C229" s="15" t="s">
        <v>1101</v>
      </c>
      <c r="D229" s="10" t="s">
        <v>1102</v>
      </c>
      <c r="E229" s="11">
        <v>14959602.91</v>
      </c>
      <c r="F229" s="11">
        <v>-516513.16</v>
      </c>
      <c r="G229" s="11">
        <v>0</v>
      </c>
      <c r="I229" s="12">
        <f t="shared" si="8"/>
        <v>14443089.75</v>
      </c>
      <c r="J229" s="10"/>
      <c r="K229" s="9"/>
      <c r="M229" s="13"/>
    </row>
    <row r="230" spans="1:13" outlineLevel="2">
      <c r="A230" s="9">
        <f t="shared" si="9"/>
        <v>226</v>
      </c>
      <c r="B230" s="9" t="s">
        <v>607</v>
      </c>
      <c r="C230" s="15" t="s">
        <v>1103</v>
      </c>
      <c r="D230" s="10" t="s">
        <v>1104</v>
      </c>
      <c r="E230" s="11">
        <v>8022741.1900000004</v>
      </c>
      <c r="F230" s="11">
        <v>-254683.47</v>
      </c>
      <c r="G230" s="11">
        <v>0</v>
      </c>
      <c r="I230" s="12">
        <f t="shared" si="8"/>
        <v>7768057.7200000007</v>
      </c>
      <c r="K230" s="9"/>
      <c r="M230" s="13"/>
    </row>
    <row r="231" spans="1:13" outlineLevel="2">
      <c r="A231" s="9">
        <f t="shared" si="9"/>
        <v>227</v>
      </c>
      <c r="B231" s="9" t="s">
        <v>607</v>
      </c>
      <c r="C231" s="15" t="s">
        <v>1105</v>
      </c>
      <c r="D231" s="10" t="s">
        <v>1106</v>
      </c>
      <c r="E231" s="11">
        <v>49735.05</v>
      </c>
      <c r="F231" s="11">
        <v>0</v>
      </c>
      <c r="G231" s="11">
        <v>0</v>
      </c>
      <c r="I231" s="12">
        <f t="shared" si="8"/>
        <v>49735.05</v>
      </c>
      <c r="K231" s="9"/>
      <c r="M231" s="13"/>
    </row>
    <row r="232" spans="1:13" outlineLevel="2">
      <c r="A232" s="9">
        <f t="shared" si="9"/>
        <v>228</v>
      </c>
      <c r="B232" s="9" t="s">
        <v>607</v>
      </c>
      <c r="C232" s="15" t="s">
        <v>1107</v>
      </c>
      <c r="D232" s="10" t="s">
        <v>1108</v>
      </c>
      <c r="E232" s="11">
        <v>74427.83</v>
      </c>
      <c r="F232" s="11">
        <v>0</v>
      </c>
      <c r="G232" s="11">
        <v>0</v>
      </c>
      <c r="I232" s="12">
        <f t="shared" si="8"/>
        <v>74427.83</v>
      </c>
      <c r="K232" s="9"/>
      <c r="M232" s="13"/>
    </row>
    <row r="233" spans="1:13" outlineLevel="2">
      <c r="A233" s="9">
        <f t="shared" si="9"/>
        <v>229</v>
      </c>
      <c r="B233" s="9" t="s">
        <v>607</v>
      </c>
      <c r="C233" s="15" t="s">
        <v>1109</v>
      </c>
      <c r="D233" s="10" t="s">
        <v>1110</v>
      </c>
      <c r="E233" s="11">
        <v>2851688.75</v>
      </c>
      <c r="F233" s="11">
        <v>-384548.24</v>
      </c>
      <c r="G233" s="11">
        <v>0</v>
      </c>
      <c r="I233" s="12">
        <f t="shared" si="8"/>
        <v>2467140.5099999998</v>
      </c>
      <c r="K233" s="9"/>
      <c r="M233" s="13"/>
    </row>
    <row r="234" spans="1:13" outlineLevel="2">
      <c r="A234" s="9">
        <f t="shared" si="9"/>
        <v>230</v>
      </c>
      <c r="B234" s="9" t="s">
        <v>607</v>
      </c>
      <c r="C234" s="15" t="s">
        <v>1111</v>
      </c>
      <c r="D234" s="10" t="s">
        <v>1112</v>
      </c>
      <c r="E234" s="11">
        <v>606043.92000000004</v>
      </c>
      <c r="F234" s="11">
        <v>-103120.76</v>
      </c>
      <c r="I234" s="12">
        <f t="shared" si="8"/>
        <v>502923.16000000003</v>
      </c>
      <c r="K234" s="9"/>
      <c r="M234" s="13"/>
    </row>
    <row r="235" spans="1:13" outlineLevel="2">
      <c r="A235" s="9">
        <f t="shared" si="9"/>
        <v>231</v>
      </c>
      <c r="B235" s="9" t="s">
        <v>607</v>
      </c>
      <c r="C235" s="15" t="s">
        <v>1113</v>
      </c>
      <c r="D235" s="10" t="s">
        <v>1114</v>
      </c>
      <c r="E235" s="11">
        <v>166305.57999999999</v>
      </c>
      <c r="F235" s="11">
        <v>0</v>
      </c>
      <c r="G235" s="11">
        <v>0</v>
      </c>
      <c r="I235" s="12">
        <f t="shared" si="8"/>
        <v>166305.57999999999</v>
      </c>
      <c r="K235" s="9"/>
      <c r="M235" s="13"/>
    </row>
    <row r="236" spans="1:13" outlineLevel="2">
      <c r="A236" s="9">
        <f t="shared" si="9"/>
        <v>232</v>
      </c>
      <c r="B236" s="9" t="s">
        <v>607</v>
      </c>
      <c r="C236" s="15" t="s">
        <v>1115</v>
      </c>
      <c r="D236" s="10" t="s">
        <v>1116</v>
      </c>
      <c r="E236" s="11">
        <v>5204626.3499999996</v>
      </c>
      <c r="F236" s="11">
        <v>0</v>
      </c>
      <c r="G236" s="11">
        <v>0</v>
      </c>
      <c r="I236" s="12">
        <f t="shared" si="8"/>
        <v>5204626.3499999996</v>
      </c>
      <c r="K236" s="9"/>
      <c r="M236" s="13"/>
    </row>
    <row r="237" spans="1:13" outlineLevel="2">
      <c r="A237" s="9">
        <f t="shared" si="9"/>
        <v>233</v>
      </c>
      <c r="B237" s="9" t="s">
        <v>607</v>
      </c>
      <c r="C237" s="15" t="s">
        <v>1117</v>
      </c>
      <c r="D237" s="10" t="s">
        <v>1118</v>
      </c>
      <c r="E237" s="11">
        <v>937620.96</v>
      </c>
      <c r="F237" s="11">
        <v>-125594.13</v>
      </c>
      <c r="G237" s="11">
        <v>0</v>
      </c>
      <c r="I237" s="12">
        <f t="shared" si="8"/>
        <v>812026.83</v>
      </c>
      <c r="J237" s="10"/>
      <c r="K237" s="9"/>
      <c r="M237" s="13"/>
    </row>
    <row r="238" spans="1:13" outlineLevel="2">
      <c r="A238" s="9">
        <f t="shared" si="9"/>
        <v>234</v>
      </c>
      <c r="B238" s="9" t="s">
        <v>607</v>
      </c>
      <c r="C238" s="15" t="s">
        <v>1119</v>
      </c>
      <c r="D238" s="10" t="s">
        <v>1120</v>
      </c>
      <c r="E238" s="11">
        <v>12974149.65</v>
      </c>
      <c r="F238" s="11">
        <v>0</v>
      </c>
      <c r="G238" s="11">
        <v>0</v>
      </c>
      <c r="I238" s="12">
        <f t="shared" si="8"/>
        <v>12974149.65</v>
      </c>
      <c r="K238" s="9"/>
      <c r="M238" s="13"/>
    </row>
    <row r="239" spans="1:13" outlineLevel="2">
      <c r="A239" s="9">
        <f t="shared" si="9"/>
        <v>235</v>
      </c>
      <c r="B239" s="9" t="s">
        <v>607</v>
      </c>
      <c r="C239" s="15" t="s">
        <v>1121</v>
      </c>
      <c r="D239" s="10" t="s">
        <v>1122</v>
      </c>
      <c r="E239" s="11">
        <v>12235482.560000001</v>
      </c>
      <c r="F239" s="11">
        <v>0</v>
      </c>
      <c r="G239" s="11">
        <v>0</v>
      </c>
      <c r="I239" s="12">
        <f t="shared" si="8"/>
        <v>12235482.560000001</v>
      </c>
      <c r="K239" s="9"/>
      <c r="M239" s="13"/>
    </row>
    <row r="240" spans="1:13" outlineLevel="2">
      <c r="A240" s="9">
        <f t="shared" si="9"/>
        <v>236</v>
      </c>
      <c r="B240" s="9" t="s">
        <v>607</v>
      </c>
      <c r="C240" s="15" t="s">
        <v>1123</v>
      </c>
      <c r="D240" s="10" t="s">
        <v>1124</v>
      </c>
      <c r="E240" s="11">
        <v>6894550.4500000002</v>
      </c>
      <c r="F240" s="11">
        <v>-176541.41</v>
      </c>
      <c r="G240" s="11">
        <v>0</v>
      </c>
      <c r="I240" s="12">
        <f t="shared" si="8"/>
        <v>6718009.04</v>
      </c>
      <c r="J240" s="10"/>
      <c r="K240" s="9"/>
      <c r="M240" s="13"/>
    </row>
    <row r="241" spans="1:13" outlineLevel="2">
      <c r="A241" s="9">
        <f t="shared" si="9"/>
        <v>237</v>
      </c>
      <c r="B241" s="9" t="s">
        <v>607</v>
      </c>
      <c r="C241" s="15" t="s">
        <v>1125</v>
      </c>
      <c r="D241" s="10" t="s">
        <v>1126</v>
      </c>
      <c r="E241" s="11">
        <v>120971.84</v>
      </c>
      <c r="F241" s="11">
        <v>0</v>
      </c>
      <c r="G241" s="11">
        <v>0</v>
      </c>
      <c r="I241" s="12">
        <f t="shared" si="8"/>
        <v>120971.84</v>
      </c>
      <c r="K241" s="9"/>
      <c r="M241" s="13"/>
    </row>
    <row r="242" spans="1:13" outlineLevel="2">
      <c r="A242" s="9">
        <f t="shared" si="9"/>
        <v>238</v>
      </c>
      <c r="B242" s="9" t="s">
        <v>607</v>
      </c>
      <c r="C242" s="15" t="s">
        <v>1127</v>
      </c>
      <c r="D242" s="10" t="s">
        <v>1128</v>
      </c>
      <c r="E242" s="11">
        <v>232375.26</v>
      </c>
      <c r="F242" s="11">
        <v>0</v>
      </c>
      <c r="G242" s="11">
        <v>0</v>
      </c>
      <c r="I242" s="12">
        <f t="shared" si="8"/>
        <v>232375.26</v>
      </c>
      <c r="K242" s="9"/>
      <c r="M242" s="13"/>
    </row>
    <row r="243" spans="1:13" outlineLevel="2">
      <c r="A243" s="9">
        <f t="shared" si="9"/>
        <v>239</v>
      </c>
      <c r="B243" s="9" t="s">
        <v>607</v>
      </c>
      <c r="C243" s="15" t="s">
        <v>1129</v>
      </c>
      <c r="D243" s="10" t="s">
        <v>1130</v>
      </c>
      <c r="E243" s="11">
        <v>3206763.26</v>
      </c>
      <c r="F243" s="11">
        <v>0</v>
      </c>
      <c r="G243" s="11">
        <v>0</v>
      </c>
      <c r="I243" s="12">
        <f t="shared" si="8"/>
        <v>3206763.26</v>
      </c>
      <c r="K243" s="9"/>
      <c r="M243" s="13"/>
    </row>
    <row r="244" spans="1:13" outlineLevel="2">
      <c r="A244" s="9">
        <f t="shared" si="9"/>
        <v>240</v>
      </c>
      <c r="B244" s="9" t="s">
        <v>607</v>
      </c>
      <c r="C244" s="15" t="s">
        <v>1131</v>
      </c>
      <c r="D244" s="10" t="s">
        <v>1132</v>
      </c>
      <c r="E244" s="11">
        <v>1571437.2</v>
      </c>
      <c r="F244" s="11">
        <v>-654299</v>
      </c>
      <c r="G244" s="11">
        <v>0</v>
      </c>
      <c r="I244" s="12">
        <f t="shared" si="8"/>
        <v>917138.2</v>
      </c>
      <c r="J244" s="10"/>
      <c r="K244" s="9"/>
      <c r="M244" s="13"/>
    </row>
    <row r="245" spans="1:13" outlineLevel="2">
      <c r="A245" s="9">
        <f t="shared" si="9"/>
        <v>241</v>
      </c>
      <c r="B245" s="9" t="s">
        <v>607</v>
      </c>
      <c r="C245" s="15" t="s">
        <v>1133</v>
      </c>
      <c r="D245" s="10" t="s">
        <v>1134</v>
      </c>
      <c r="E245" s="11">
        <v>0</v>
      </c>
      <c r="F245" s="11">
        <v>0</v>
      </c>
      <c r="G245" s="11">
        <v>0</v>
      </c>
      <c r="I245" s="12">
        <f t="shared" si="8"/>
        <v>0</v>
      </c>
      <c r="J245" s="10"/>
      <c r="K245" s="9"/>
      <c r="M245" s="13"/>
    </row>
    <row r="246" spans="1:13" outlineLevel="2">
      <c r="A246" s="9">
        <f t="shared" si="9"/>
        <v>242</v>
      </c>
      <c r="B246" s="9" t="s">
        <v>607</v>
      </c>
      <c r="C246" s="15" t="s">
        <v>1135</v>
      </c>
      <c r="D246" s="10" t="s">
        <v>1136</v>
      </c>
      <c r="E246" s="11">
        <v>3453847.29</v>
      </c>
      <c r="F246" s="11">
        <v>-45361.56</v>
      </c>
      <c r="G246" s="11">
        <v>0</v>
      </c>
      <c r="I246" s="12">
        <f t="shared" si="8"/>
        <v>3408485.73</v>
      </c>
      <c r="J246" s="10"/>
      <c r="K246" s="9"/>
      <c r="M246" s="13"/>
    </row>
    <row r="247" spans="1:13" outlineLevel="2">
      <c r="A247" s="9">
        <f t="shared" si="9"/>
        <v>243</v>
      </c>
      <c r="B247" s="9" t="s">
        <v>607</v>
      </c>
      <c r="C247" s="15" t="s">
        <v>1137</v>
      </c>
      <c r="D247" s="10" t="s">
        <v>1138</v>
      </c>
      <c r="E247" s="11">
        <v>2072439.29</v>
      </c>
      <c r="F247" s="11">
        <v>-931180.85</v>
      </c>
      <c r="G247" s="11">
        <v>0</v>
      </c>
      <c r="I247" s="12">
        <f t="shared" si="8"/>
        <v>1141258.44</v>
      </c>
      <c r="J247" s="10"/>
      <c r="K247" s="9"/>
      <c r="M247" s="13"/>
    </row>
    <row r="248" spans="1:13" outlineLevel="2">
      <c r="A248" s="9">
        <f t="shared" si="9"/>
        <v>244</v>
      </c>
      <c r="B248" s="9" t="s">
        <v>607</v>
      </c>
      <c r="C248" s="15" t="s">
        <v>1139</v>
      </c>
      <c r="D248" s="10" t="s">
        <v>1140</v>
      </c>
      <c r="E248" s="11">
        <v>3223562.77</v>
      </c>
      <c r="F248" s="11">
        <v>0</v>
      </c>
      <c r="G248" s="11">
        <v>0</v>
      </c>
      <c r="I248" s="12">
        <f t="shared" si="8"/>
        <v>3223562.77</v>
      </c>
      <c r="K248" s="9"/>
      <c r="M248" s="13"/>
    </row>
    <row r="249" spans="1:13" outlineLevel="2">
      <c r="A249" s="9">
        <f t="shared" si="9"/>
        <v>245</v>
      </c>
      <c r="B249" s="9" t="s">
        <v>607</v>
      </c>
      <c r="C249" s="15" t="s">
        <v>1141</v>
      </c>
      <c r="D249" s="10" t="s">
        <v>1142</v>
      </c>
      <c r="E249" s="11">
        <v>11778774.810000001</v>
      </c>
      <c r="F249" s="11">
        <v>0</v>
      </c>
      <c r="G249" s="11">
        <v>0</v>
      </c>
      <c r="I249" s="12">
        <f t="shared" ref="I249:I264" si="10">SUM(E249:G249)</f>
        <v>11778774.810000001</v>
      </c>
      <c r="K249" s="9"/>
      <c r="M249" s="13"/>
    </row>
    <row r="250" spans="1:13" outlineLevel="2">
      <c r="A250" s="9">
        <f t="shared" si="9"/>
        <v>246</v>
      </c>
      <c r="B250" s="9" t="s">
        <v>607</v>
      </c>
      <c r="C250" s="15" t="s">
        <v>1143</v>
      </c>
      <c r="D250" s="10" t="s">
        <v>1144</v>
      </c>
      <c r="E250" s="11">
        <v>16071738.15</v>
      </c>
      <c r="F250" s="11">
        <v>0</v>
      </c>
      <c r="G250" s="11">
        <v>0</v>
      </c>
      <c r="I250" s="12">
        <f t="shared" si="10"/>
        <v>16071738.15</v>
      </c>
      <c r="J250" s="10"/>
      <c r="K250" s="9"/>
      <c r="M250" s="13"/>
    </row>
    <row r="251" spans="1:13" outlineLevel="2">
      <c r="A251" s="9">
        <f t="shared" si="9"/>
        <v>247</v>
      </c>
      <c r="B251" s="9" t="s">
        <v>607</v>
      </c>
      <c r="C251" s="15" t="s">
        <v>1145</v>
      </c>
      <c r="D251" s="10" t="s">
        <v>1146</v>
      </c>
      <c r="E251" s="11">
        <v>7600293.54</v>
      </c>
      <c r="F251" s="11">
        <v>-108365.37</v>
      </c>
      <c r="G251" s="11">
        <v>0</v>
      </c>
      <c r="I251" s="12">
        <f t="shared" si="10"/>
        <v>7491928.1699999999</v>
      </c>
      <c r="J251" s="10"/>
      <c r="K251" s="9"/>
      <c r="M251" s="13"/>
    </row>
    <row r="252" spans="1:13" outlineLevel="2">
      <c r="A252" s="9">
        <f t="shared" si="9"/>
        <v>248</v>
      </c>
      <c r="B252" s="9" t="s">
        <v>607</v>
      </c>
      <c r="C252" s="15" t="s">
        <v>1147</v>
      </c>
      <c r="D252" s="10" t="s">
        <v>1148</v>
      </c>
      <c r="E252" s="11">
        <v>5141440.25</v>
      </c>
      <c r="F252" s="11">
        <v>-181849</v>
      </c>
      <c r="G252" s="11">
        <v>0</v>
      </c>
      <c r="I252" s="12">
        <f t="shared" si="10"/>
        <v>4959591.25</v>
      </c>
      <c r="J252" s="10"/>
      <c r="K252" s="9"/>
      <c r="M252" s="13"/>
    </row>
    <row r="253" spans="1:13" outlineLevel="2">
      <c r="A253" s="9">
        <f t="shared" si="9"/>
        <v>249</v>
      </c>
      <c r="B253" s="9" t="s">
        <v>607</v>
      </c>
      <c r="C253" s="15" t="s">
        <v>1149</v>
      </c>
      <c r="D253" s="10" t="s">
        <v>1150</v>
      </c>
      <c r="E253" s="11">
        <v>40859.629999999997</v>
      </c>
      <c r="F253" s="11">
        <v>0</v>
      </c>
      <c r="G253" s="11">
        <v>0</v>
      </c>
      <c r="I253" s="12">
        <f t="shared" si="10"/>
        <v>40859.629999999997</v>
      </c>
      <c r="K253" s="9"/>
      <c r="M253" s="13"/>
    </row>
    <row r="254" spans="1:13" outlineLevel="2">
      <c r="A254" s="9">
        <f t="shared" si="9"/>
        <v>250</v>
      </c>
      <c r="B254" s="9" t="s">
        <v>607</v>
      </c>
      <c r="C254" s="15" t="s">
        <v>1151</v>
      </c>
      <c r="D254" s="10" t="s">
        <v>1152</v>
      </c>
      <c r="E254" s="11">
        <v>109910.18</v>
      </c>
      <c r="F254" s="11">
        <v>-54082.99</v>
      </c>
      <c r="G254" s="11">
        <v>0</v>
      </c>
      <c r="I254" s="12">
        <f t="shared" si="10"/>
        <v>55827.189999999995</v>
      </c>
      <c r="J254" s="10"/>
      <c r="K254" s="9"/>
      <c r="M254" s="13"/>
    </row>
    <row r="255" spans="1:13" outlineLevel="2">
      <c r="A255" s="9">
        <f t="shared" si="9"/>
        <v>251</v>
      </c>
      <c r="B255" s="9" t="s">
        <v>607</v>
      </c>
      <c r="C255" s="15" t="s">
        <v>1153</v>
      </c>
      <c r="D255" s="10" t="s">
        <v>1154</v>
      </c>
      <c r="E255" s="11">
        <v>11080709.369999999</v>
      </c>
      <c r="F255" s="11">
        <v>0</v>
      </c>
      <c r="G255" s="11">
        <v>0</v>
      </c>
      <c r="I255" s="12">
        <f t="shared" si="10"/>
        <v>11080709.369999999</v>
      </c>
      <c r="K255" s="9"/>
      <c r="M255" s="13"/>
    </row>
    <row r="256" spans="1:13" outlineLevel="2">
      <c r="A256" s="9">
        <f t="shared" si="9"/>
        <v>252</v>
      </c>
      <c r="B256" s="9" t="s">
        <v>607</v>
      </c>
      <c r="C256" s="15" t="s">
        <v>1155</v>
      </c>
      <c r="D256" s="10" t="s">
        <v>1156</v>
      </c>
      <c r="E256" s="11">
        <v>831303.68000000005</v>
      </c>
      <c r="F256" s="11">
        <v>-250593.49</v>
      </c>
      <c r="G256" s="11">
        <v>0</v>
      </c>
      <c r="I256" s="12">
        <f t="shared" si="10"/>
        <v>580710.19000000006</v>
      </c>
      <c r="J256" s="10"/>
      <c r="K256" s="9"/>
      <c r="M256" s="13"/>
    </row>
    <row r="257" spans="1:13" outlineLevel="2">
      <c r="A257" s="9">
        <f t="shared" si="9"/>
        <v>253</v>
      </c>
      <c r="B257" s="9" t="s">
        <v>607</v>
      </c>
      <c r="C257" s="15" t="s">
        <v>1157</v>
      </c>
      <c r="D257" s="10" t="s">
        <v>1158</v>
      </c>
      <c r="E257" s="11">
        <v>15594604.08</v>
      </c>
      <c r="F257" s="11">
        <v>0</v>
      </c>
      <c r="G257" s="11">
        <v>0</v>
      </c>
      <c r="I257" s="12">
        <f t="shared" si="10"/>
        <v>15594604.08</v>
      </c>
      <c r="K257" s="9"/>
      <c r="M257" s="13"/>
    </row>
    <row r="258" spans="1:13" outlineLevel="2">
      <c r="A258" s="9">
        <f t="shared" si="9"/>
        <v>254</v>
      </c>
      <c r="B258" s="9" t="s">
        <v>607</v>
      </c>
      <c r="C258" s="15" t="s">
        <v>625</v>
      </c>
      <c r="D258" s="10" t="s">
        <v>1159</v>
      </c>
      <c r="E258" s="11">
        <v>8198986.5800000001</v>
      </c>
      <c r="F258" s="11">
        <v>-97320</v>
      </c>
      <c r="G258" s="11">
        <v>0</v>
      </c>
      <c r="H258" s="11">
        <v>-403</v>
      </c>
      <c r="I258" s="12">
        <f>SUM(E258:H258)</f>
        <v>8101263.5800000001</v>
      </c>
      <c r="K258" s="9"/>
      <c r="M258" s="13"/>
    </row>
    <row r="259" spans="1:13" outlineLevel="2">
      <c r="A259" s="9">
        <f t="shared" si="9"/>
        <v>255</v>
      </c>
      <c r="B259" s="9" t="s">
        <v>607</v>
      </c>
      <c r="C259" s="15" t="s">
        <v>1160</v>
      </c>
      <c r="D259" s="10" t="s">
        <v>1161</v>
      </c>
      <c r="E259" s="11">
        <v>3234614.29</v>
      </c>
      <c r="F259" s="11">
        <v>-101868.59</v>
      </c>
      <c r="G259" s="11">
        <v>0</v>
      </c>
      <c r="I259" s="12">
        <f t="shared" si="10"/>
        <v>3132745.7</v>
      </c>
      <c r="J259" s="10"/>
      <c r="K259" s="9"/>
      <c r="M259" s="13"/>
    </row>
    <row r="260" spans="1:13" outlineLevel="2">
      <c r="A260" s="9">
        <f t="shared" si="9"/>
        <v>256</v>
      </c>
      <c r="B260" s="9" t="s">
        <v>607</v>
      </c>
      <c r="C260" s="15" t="s">
        <v>1162</v>
      </c>
      <c r="D260" s="10" t="s">
        <v>1163</v>
      </c>
      <c r="E260" s="11">
        <v>183222.22</v>
      </c>
      <c r="F260" s="11">
        <v>0</v>
      </c>
      <c r="G260" s="11">
        <v>0</v>
      </c>
      <c r="I260" s="12">
        <f t="shared" si="10"/>
        <v>183222.22</v>
      </c>
      <c r="J260" s="10"/>
      <c r="K260" s="9"/>
      <c r="M260" s="13"/>
    </row>
    <row r="261" spans="1:13" outlineLevel="2">
      <c r="A261" s="9">
        <f t="shared" si="9"/>
        <v>257</v>
      </c>
      <c r="B261" s="9" t="s">
        <v>607</v>
      </c>
      <c r="C261" s="15" t="s">
        <v>1164</v>
      </c>
      <c r="D261" s="10" t="s">
        <v>1165</v>
      </c>
      <c r="E261" s="11">
        <v>7205454.1200000001</v>
      </c>
      <c r="F261" s="11">
        <v>-1346899.36</v>
      </c>
      <c r="G261" s="11">
        <v>0</v>
      </c>
      <c r="I261" s="12">
        <f t="shared" si="10"/>
        <v>5858554.7599999998</v>
      </c>
      <c r="J261" s="10"/>
      <c r="K261" s="9"/>
      <c r="M261" s="13"/>
    </row>
    <row r="262" spans="1:13" outlineLevel="2">
      <c r="A262" s="9">
        <f t="shared" si="9"/>
        <v>258</v>
      </c>
      <c r="B262" s="9" t="s">
        <v>607</v>
      </c>
      <c r="C262" s="15" t="s">
        <v>1166</v>
      </c>
      <c r="D262" s="10" t="s">
        <v>1167</v>
      </c>
      <c r="E262" s="11">
        <v>2775992.03</v>
      </c>
      <c r="F262" s="11">
        <v>-1579680.04</v>
      </c>
      <c r="G262" s="11">
        <v>0</v>
      </c>
      <c r="I262" s="12">
        <f t="shared" si="10"/>
        <v>1196311.9899999998</v>
      </c>
      <c r="J262" s="10"/>
      <c r="K262" s="9"/>
      <c r="M262" s="13"/>
    </row>
    <row r="263" spans="1:13" outlineLevel="2">
      <c r="A263" s="9">
        <f t="shared" si="9"/>
        <v>259</v>
      </c>
      <c r="B263" s="9" t="s">
        <v>607</v>
      </c>
      <c r="C263" s="15" t="s">
        <v>1168</v>
      </c>
      <c r="D263" s="10" t="s">
        <v>1169</v>
      </c>
      <c r="E263" s="11">
        <v>76395.83</v>
      </c>
      <c r="F263" s="11">
        <v>0</v>
      </c>
      <c r="G263" s="11">
        <v>0</v>
      </c>
      <c r="I263" s="12">
        <f t="shared" si="10"/>
        <v>76395.83</v>
      </c>
      <c r="J263" s="10"/>
      <c r="K263" s="9"/>
      <c r="M263" s="13"/>
    </row>
    <row r="264" spans="1:13" outlineLevel="2">
      <c r="A264" s="9">
        <f t="shared" si="9"/>
        <v>260</v>
      </c>
      <c r="B264" s="9" t="s">
        <v>607</v>
      </c>
      <c r="C264" s="15" t="s">
        <v>1170</v>
      </c>
      <c r="D264" s="10" t="s">
        <v>1171</v>
      </c>
      <c r="E264" s="11">
        <v>2935</v>
      </c>
      <c r="F264" s="11">
        <v>0</v>
      </c>
      <c r="G264" s="11">
        <v>0</v>
      </c>
      <c r="I264" s="12">
        <f t="shared" si="10"/>
        <v>2935</v>
      </c>
      <c r="J264" s="10"/>
      <c r="K264" s="9"/>
      <c r="M264" s="13"/>
    </row>
    <row r="265" spans="1:13" s="5" customFormat="1" ht="13.5" outlineLevel="1" thickBot="1">
      <c r="A265" s="9">
        <f t="shared" si="9"/>
        <v>261</v>
      </c>
      <c r="B265" s="16" t="s">
        <v>1172</v>
      </c>
      <c r="C265" s="17"/>
      <c r="D265" s="18" t="s">
        <v>1173</v>
      </c>
      <c r="E265" s="19">
        <f>SUBTOTAL(9,E122:E264)</f>
        <v>733539620.26999998</v>
      </c>
      <c r="F265" s="19">
        <f>SUBTOTAL(9,F122:F264)</f>
        <v>-39753596.38000001</v>
      </c>
      <c r="G265" s="19">
        <f>SUBTOTAL(9,G122:G264)</f>
        <v>0</v>
      </c>
      <c r="H265" s="19">
        <f>SUBTOTAL(9,H122:H264)</f>
        <v>-8376054</v>
      </c>
      <c r="I265" s="19">
        <f>SUBTOTAL(9,I122:I264)</f>
        <v>685409969.89000034</v>
      </c>
      <c r="J265" s="20"/>
      <c r="K265" s="3"/>
      <c r="L265" s="3"/>
      <c r="M265" s="6"/>
    </row>
    <row r="266" spans="1:13" ht="13.5" outlineLevel="2" thickTop="1">
      <c r="A266" s="9">
        <f t="shared" si="9"/>
        <v>262</v>
      </c>
      <c r="B266" s="9" t="s">
        <v>170</v>
      </c>
      <c r="C266" s="15" t="s">
        <v>1174</v>
      </c>
      <c r="D266" s="10" t="s">
        <v>1175</v>
      </c>
      <c r="E266" s="11">
        <v>3488667.41</v>
      </c>
      <c r="F266" s="11">
        <v>0</v>
      </c>
      <c r="G266" s="11">
        <v>0</v>
      </c>
      <c r="I266" s="12">
        <f t="shared" ref="I266:I284" si="11">SUM(E266:G266)</f>
        <v>3488667.41</v>
      </c>
      <c r="K266" s="9"/>
      <c r="M266" s="13"/>
    </row>
    <row r="267" spans="1:13" outlineLevel="2">
      <c r="A267" s="9">
        <f t="shared" si="9"/>
        <v>263</v>
      </c>
      <c r="B267" s="9" t="s">
        <v>170</v>
      </c>
      <c r="C267" s="15" t="s">
        <v>1176</v>
      </c>
      <c r="D267" s="10" t="s">
        <v>1177</v>
      </c>
      <c r="E267" s="11">
        <v>9917898.5700000003</v>
      </c>
      <c r="F267" s="11">
        <v>0</v>
      </c>
      <c r="G267" s="11">
        <v>0</v>
      </c>
      <c r="I267" s="12">
        <f t="shared" si="11"/>
        <v>9917898.5700000003</v>
      </c>
      <c r="K267" s="9"/>
      <c r="M267" s="13"/>
    </row>
    <row r="268" spans="1:13" outlineLevel="2">
      <c r="A268" s="9">
        <f t="shared" si="9"/>
        <v>264</v>
      </c>
      <c r="B268" s="9" t="s">
        <v>170</v>
      </c>
      <c r="C268" s="15" t="s">
        <v>1178</v>
      </c>
      <c r="D268" s="10" t="s">
        <v>1179</v>
      </c>
      <c r="E268" s="11">
        <v>6853288.5700000003</v>
      </c>
      <c r="F268" s="11">
        <v>0</v>
      </c>
      <c r="G268" s="11">
        <v>0</v>
      </c>
      <c r="I268" s="12">
        <f t="shared" si="11"/>
        <v>6853288.5700000003</v>
      </c>
      <c r="K268" s="9"/>
      <c r="M268" s="13"/>
    </row>
    <row r="269" spans="1:13" outlineLevel="2">
      <c r="A269" s="9">
        <f t="shared" si="9"/>
        <v>265</v>
      </c>
      <c r="B269" s="9" t="s">
        <v>170</v>
      </c>
      <c r="C269" s="15" t="s">
        <v>1180</v>
      </c>
      <c r="D269" s="10" t="s">
        <v>1181</v>
      </c>
      <c r="E269" s="11">
        <v>3852063.84</v>
      </c>
      <c r="F269" s="11">
        <v>0</v>
      </c>
      <c r="G269" s="11">
        <v>0</v>
      </c>
      <c r="I269" s="12">
        <f t="shared" si="11"/>
        <v>3852063.84</v>
      </c>
      <c r="K269" s="9"/>
      <c r="M269" s="13"/>
    </row>
    <row r="270" spans="1:13" outlineLevel="2">
      <c r="A270" s="9">
        <f t="shared" si="9"/>
        <v>266</v>
      </c>
      <c r="B270" s="9" t="s">
        <v>170</v>
      </c>
      <c r="C270" s="15" t="s">
        <v>1182</v>
      </c>
      <c r="D270" s="10" t="s">
        <v>1183</v>
      </c>
      <c r="E270" s="11">
        <v>2203120.67</v>
      </c>
      <c r="F270" s="11">
        <v>0</v>
      </c>
      <c r="G270" s="11">
        <v>0</v>
      </c>
      <c r="I270" s="12">
        <f t="shared" si="11"/>
        <v>2203120.67</v>
      </c>
      <c r="K270" s="9"/>
      <c r="M270" s="13"/>
    </row>
    <row r="271" spans="1:13" outlineLevel="2">
      <c r="A271" s="9">
        <f t="shared" si="9"/>
        <v>267</v>
      </c>
      <c r="B271" s="9" t="s">
        <v>170</v>
      </c>
      <c r="C271" s="15" t="s">
        <v>1184</v>
      </c>
      <c r="D271" s="10" t="s">
        <v>1185</v>
      </c>
      <c r="E271" s="11">
        <v>584445.11</v>
      </c>
      <c r="F271" s="11">
        <v>0</v>
      </c>
      <c r="G271" s="11">
        <v>0</v>
      </c>
      <c r="I271" s="12">
        <f t="shared" si="11"/>
        <v>584445.11</v>
      </c>
      <c r="K271" s="9"/>
      <c r="M271" s="13"/>
    </row>
    <row r="272" spans="1:13" outlineLevel="2">
      <c r="A272" s="9">
        <f t="shared" si="9"/>
        <v>268</v>
      </c>
      <c r="B272" s="9" t="s">
        <v>170</v>
      </c>
      <c r="C272" s="15" t="s">
        <v>1186</v>
      </c>
      <c r="D272" s="10" t="s">
        <v>1187</v>
      </c>
      <c r="E272" s="11">
        <v>8407258.6799999997</v>
      </c>
      <c r="F272" s="11">
        <v>0</v>
      </c>
      <c r="G272" s="11">
        <v>0</v>
      </c>
      <c r="I272" s="12">
        <f t="shared" si="11"/>
        <v>8407258.6799999997</v>
      </c>
      <c r="K272" s="9"/>
      <c r="M272" s="13"/>
    </row>
    <row r="273" spans="1:13" outlineLevel="2">
      <c r="A273" s="9">
        <f t="shared" si="9"/>
        <v>269</v>
      </c>
      <c r="B273" s="9" t="s">
        <v>170</v>
      </c>
      <c r="C273" s="15" t="s">
        <v>1188</v>
      </c>
      <c r="D273" s="10" t="s">
        <v>1189</v>
      </c>
      <c r="E273" s="11">
        <v>2209622.59</v>
      </c>
      <c r="F273" s="11">
        <v>0</v>
      </c>
      <c r="G273" s="11">
        <v>0</v>
      </c>
      <c r="I273" s="12">
        <f t="shared" si="11"/>
        <v>2209622.59</v>
      </c>
      <c r="K273" s="9"/>
      <c r="M273" s="13"/>
    </row>
    <row r="274" spans="1:13" outlineLevel="2">
      <c r="A274" s="9">
        <f t="shared" si="9"/>
        <v>270</v>
      </c>
      <c r="B274" s="9" t="s">
        <v>170</v>
      </c>
      <c r="C274" s="15" t="s">
        <v>1190</v>
      </c>
      <c r="D274" s="10" t="s">
        <v>1191</v>
      </c>
      <c r="E274" s="11">
        <v>493999.14</v>
      </c>
      <c r="F274" s="11">
        <v>0</v>
      </c>
      <c r="G274" s="11">
        <v>0</v>
      </c>
      <c r="I274" s="12">
        <f t="shared" si="11"/>
        <v>493999.14</v>
      </c>
      <c r="K274" s="9"/>
      <c r="M274" s="13"/>
    </row>
    <row r="275" spans="1:13" outlineLevel="2">
      <c r="A275" s="9">
        <f t="shared" si="9"/>
        <v>271</v>
      </c>
      <c r="B275" s="9" t="s">
        <v>170</v>
      </c>
      <c r="C275" s="15" t="s">
        <v>1192</v>
      </c>
      <c r="D275" s="10" t="s">
        <v>1193</v>
      </c>
      <c r="E275" s="11">
        <v>2797866.06</v>
      </c>
      <c r="F275" s="11">
        <v>0</v>
      </c>
      <c r="G275" s="11">
        <v>0</v>
      </c>
      <c r="I275" s="12">
        <f t="shared" si="11"/>
        <v>2797866.06</v>
      </c>
      <c r="K275" s="9"/>
      <c r="M275" s="13"/>
    </row>
    <row r="276" spans="1:13" outlineLevel="2">
      <c r="A276" s="9">
        <f t="shared" si="9"/>
        <v>272</v>
      </c>
      <c r="B276" s="9" t="s">
        <v>170</v>
      </c>
      <c r="C276" s="15" t="s">
        <v>1194</v>
      </c>
      <c r="D276" s="10" t="s">
        <v>1195</v>
      </c>
      <c r="E276" s="11">
        <v>3874657.35</v>
      </c>
      <c r="F276" s="11">
        <v>0</v>
      </c>
      <c r="G276" s="11">
        <v>0</v>
      </c>
      <c r="I276" s="12">
        <f t="shared" si="11"/>
        <v>3874657.35</v>
      </c>
      <c r="K276" s="9"/>
      <c r="M276" s="13"/>
    </row>
    <row r="277" spans="1:13" outlineLevel="2">
      <c r="A277" s="9">
        <f t="shared" si="9"/>
        <v>273</v>
      </c>
      <c r="B277" s="9" t="s">
        <v>170</v>
      </c>
      <c r="C277" s="15" t="s">
        <v>1196</v>
      </c>
      <c r="D277" s="10" t="s">
        <v>1197</v>
      </c>
      <c r="E277" s="11">
        <v>1025254.07</v>
      </c>
      <c r="F277" s="11">
        <v>0</v>
      </c>
      <c r="G277" s="11">
        <v>0</v>
      </c>
      <c r="I277" s="12">
        <f t="shared" si="11"/>
        <v>1025254.07</v>
      </c>
      <c r="K277" s="9"/>
      <c r="M277" s="13"/>
    </row>
    <row r="278" spans="1:13" outlineLevel="2">
      <c r="A278" s="9">
        <f t="shared" si="9"/>
        <v>274</v>
      </c>
      <c r="B278" s="9" t="s">
        <v>170</v>
      </c>
      <c r="C278" s="15" t="s">
        <v>1198</v>
      </c>
      <c r="D278" s="10" t="s">
        <v>1199</v>
      </c>
      <c r="E278" s="11">
        <v>96884.41</v>
      </c>
      <c r="F278" s="11">
        <v>0</v>
      </c>
      <c r="G278" s="11">
        <v>0</v>
      </c>
      <c r="I278" s="12">
        <f t="shared" si="11"/>
        <v>96884.41</v>
      </c>
      <c r="K278" s="9"/>
      <c r="M278" s="13"/>
    </row>
    <row r="279" spans="1:13" outlineLevel="2">
      <c r="A279" s="9">
        <f t="shared" si="9"/>
        <v>275</v>
      </c>
      <c r="B279" s="9" t="s">
        <v>170</v>
      </c>
      <c r="C279" s="15" t="s">
        <v>1200</v>
      </c>
      <c r="D279" s="10" t="s">
        <v>1201</v>
      </c>
      <c r="E279" s="11">
        <v>1679381.52</v>
      </c>
      <c r="F279" s="11">
        <v>0</v>
      </c>
      <c r="G279" s="11">
        <v>0</v>
      </c>
      <c r="I279" s="12">
        <f t="shared" si="11"/>
        <v>1679381.52</v>
      </c>
      <c r="K279" s="9"/>
      <c r="M279" s="13"/>
    </row>
    <row r="280" spans="1:13" outlineLevel="2">
      <c r="A280" s="9">
        <f t="shared" ref="A280:A337" si="12">A279+1</f>
        <v>276</v>
      </c>
      <c r="B280" s="9" t="s">
        <v>170</v>
      </c>
      <c r="C280" s="15" t="s">
        <v>1202</v>
      </c>
      <c r="D280" s="10" t="s">
        <v>1203</v>
      </c>
      <c r="E280" s="11">
        <v>1051383.4099999999</v>
      </c>
      <c r="F280" s="11">
        <v>0</v>
      </c>
      <c r="G280" s="11">
        <v>0</v>
      </c>
      <c r="I280" s="12">
        <f t="shared" si="11"/>
        <v>1051383.4099999999</v>
      </c>
      <c r="K280" s="9"/>
      <c r="M280" s="13"/>
    </row>
    <row r="281" spans="1:13" outlineLevel="2">
      <c r="A281" s="9">
        <f t="shared" si="12"/>
        <v>277</v>
      </c>
      <c r="B281" s="9" t="s">
        <v>170</v>
      </c>
      <c r="C281" s="15" t="s">
        <v>1204</v>
      </c>
      <c r="D281" s="10" t="s">
        <v>1205</v>
      </c>
      <c r="E281" s="11">
        <v>2221966.7200000002</v>
      </c>
      <c r="F281" s="11">
        <v>0</v>
      </c>
      <c r="G281" s="11">
        <v>0</v>
      </c>
      <c r="I281" s="12">
        <f t="shared" si="11"/>
        <v>2221966.7200000002</v>
      </c>
      <c r="K281" s="9"/>
      <c r="M281" s="13"/>
    </row>
    <row r="282" spans="1:13" ht="12.75" customHeight="1" outlineLevel="2">
      <c r="A282" s="9">
        <f t="shared" si="12"/>
        <v>278</v>
      </c>
      <c r="B282" s="9" t="s">
        <v>170</v>
      </c>
      <c r="C282" s="799" t="s">
        <v>1206</v>
      </c>
      <c r="D282" s="10" t="s">
        <v>1207</v>
      </c>
      <c r="E282" s="11">
        <v>7115527.4800000004</v>
      </c>
      <c r="F282" s="11">
        <v>0</v>
      </c>
      <c r="G282" s="11">
        <v>0</v>
      </c>
      <c r="I282" s="12">
        <f t="shared" si="11"/>
        <v>7115527.4800000004</v>
      </c>
      <c r="J282" s="10"/>
      <c r="K282" s="9"/>
      <c r="M282" s="13"/>
    </row>
    <row r="283" spans="1:13" outlineLevel="2">
      <c r="A283" s="9">
        <f t="shared" si="12"/>
        <v>279</v>
      </c>
      <c r="B283" s="9" t="s">
        <v>170</v>
      </c>
      <c r="C283" s="15" t="s">
        <v>1208</v>
      </c>
      <c r="D283" s="10" t="s">
        <v>1209</v>
      </c>
      <c r="E283" s="11">
        <v>239919.86</v>
      </c>
      <c r="F283" s="11">
        <v>0</v>
      </c>
      <c r="G283" s="11">
        <v>0</v>
      </c>
      <c r="I283" s="12">
        <f t="shared" si="11"/>
        <v>239919.86</v>
      </c>
      <c r="J283" s="799"/>
      <c r="K283" s="9"/>
    </row>
    <row r="284" spans="1:13" outlineLevel="2">
      <c r="A284" s="9">
        <f t="shared" si="12"/>
        <v>280</v>
      </c>
      <c r="B284" s="9" t="s">
        <v>170</v>
      </c>
      <c r="C284" s="15" t="s">
        <v>1210</v>
      </c>
      <c r="D284" s="10" t="s">
        <v>1211</v>
      </c>
      <c r="E284" s="11">
        <v>7452150.5499999998</v>
      </c>
      <c r="F284" s="11">
        <v>0</v>
      </c>
      <c r="G284" s="11">
        <v>0</v>
      </c>
      <c r="I284" s="12">
        <f t="shared" si="11"/>
        <v>7452150.5499999998</v>
      </c>
      <c r="K284" s="9"/>
      <c r="M284" s="13"/>
    </row>
    <row r="285" spans="1:13" s="5" customFormat="1" ht="13.5" outlineLevel="1" thickBot="1">
      <c r="A285" s="9">
        <f t="shared" si="12"/>
        <v>281</v>
      </c>
      <c r="B285" s="16" t="s">
        <v>1212</v>
      </c>
      <c r="C285" s="17"/>
      <c r="D285" s="18" t="s">
        <v>1213</v>
      </c>
      <c r="E285" s="19">
        <f>SUBTOTAL(9,E266:E284)</f>
        <v>65565356.00999999</v>
      </c>
      <c r="F285" s="19">
        <f>SUBTOTAL(9,F266:F284)</f>
        <v>0</v>
      </c>
      <c r="G285" s="19">
        <f>SUBTOTAL(9,G266:G284)</f>
        <v>0</v>
      </c>
      <c r="H285" s="19"/>
      <c r="I285" s="675">
        <f>SUBTOTAL(9,I266:I284)</f>
        <v>65565356.00999999</v>
      </c>
      <c r="J285" s="20"/>
      <c r="K285" s="3"/>
      <c r="L285" s="3"/>
      <c r="M285" s="6"/>
    </row>
    <row r="286" spans="1:13" ht="13.5" outlineLevel="2" thickTop="1">
      <c r="A286" s="9">
        <f t="shared" si="12"/>
        <v>282</v>
      </c>
      <c r="B286" s="9" t="s">
        <v>1214</v>
      </c>
      <c r="C286" s="15" t="s">
        <v>1215</v>
      </c>
      <c r="D286" s="1" t="s">
        <v>1216</v>
      </c>
      <c r="E286" s="11">
        <v>6046940.6500000004</v>
      </c>
      <c r="F286" s="11">
        <v>0</v>
      </c>
      <c r="G286" s="11">
        <v>0</v>
      </c>
      <c r="H286" s="11">
        <f>'WS13-SSCDFac'!H5</f>
        <v>0</v>
      </c>
      <c r="I286" s="12">
        <f>SUM(E286:H286)</f>
        <v>6046940.6500000004</v>
      </c>
      <c r="J286" s="872" t="s">
        <v>1217</v>
      </c>
      <c r="K286" s="9"/>
    </row>
    <row r="287" spans="1:13" ht="12.75" customHeight="1" outlineLevel="2">
      <c r="A287" s="9">
        <f t="shared" si="12"/>
        <v>283</v>
      </c>
      <c r="B287" s="9" t="s">
        <v>1214</v>
      </c>
      <c r="C287" s="15" t="s">
        <v>1218</v>
      </c>
      <c r="D287" s="10" t="s">
        <v>1219</v>
      </c>
      <c r="E287" s="11">
        <v>1568214.28</v>
      </c>
      <c r="F287" s="11">
        <v>0</v>
      </c>
      <c r="G287" s="11">
        <v>0</v>
      </c>
      <c r="H287" s="11">
        <f>'WS13-SSCDFac'!H6</f>
        <v>-272718.56215000013</v>
      </c>
      <c r="I287" s="12">
        <f>SUM(E287:H287)</f>
        <v>1295495.7178499999</v>
      </c>
      <c r="J287" s="873"/>
      <c r="K287" s="9"/>
      <c r="M287" s="13"/>
    </row>
    <row r="288" spans="1:13" outlineLevel="2">
      <c r="A288" s="9">
        <f t="shared" si="12"/>
        <v>284</v>
      </c>
      <c r="B288" s="9" t="s">
        <v>1214</v>
      </c>
      <c r="C288" s="15" t="s">
        <v>1220</v>
      </c>
      <c r="D288" s="10" t="s">
        <v>1221</v>
      </c>
      <c r="E288" s="11">
        <v>12069071.66</v>
      </c>
      <c r="F288" s="11">
        <v>0</v>
      </c>
      <c r="G288" s="11">
        <v>0</v>
      </c>
      <c r="H288" s="11">
        <f>'WS13-SSCDFac'!H7</f>
        <v>-1224081.9945500009</v>
      </c>
      <c r="I288" s="12">
        <f>SUM(E288:H288)</f>
        <v>10844989.665449999</v>
      </c>
      <c r="J288" s="873"/>
      <c r="K288" s="9"/>
      <c r="M288" s="13"/>
    </row>
    <row r="289" spans="1:13" s="5" customFormat="1" ht="13.5" outlineLevel="1" thickBot="1">
      <c r="A289" s="9">
        <f t="shared" si="12"/>
        <v>285</v>
      </c>
      <c r="B289" s="16" t="s">
        <v>1222</v>
      </c>
      <c r="C289" s="17"/>
      <c r="D289" s="18" t="s">
        <v>1223</v>
      </c>
      <c r="E289" s="19">
        <f>SUBTOTAL(9,E286:E288)</f>
        <v>19684226.59</v>
      </c>
      <c r="F289" s="19">
        <f>SUBTOTAL(9,F286:F288)</f>
        <v>0</v>
      </c>
      <c r="G289" s="19">
        <f>SUBTOTAL(9,G286:G288)</f>
        <v>0</v>
      </c>
      <c r="H289" s="19">
        <f>SUBTOTAL(9,H286:H288)</f>
        <v>-1496800.556700001</v>
      </c>
      <c r="I289" s="675">
        <f>SUBTOTAL(9,I286:I288)</f>
        <v>18187426.033299997</v>
      </c>
      <c r="J289" s="23"/>
      <c r="K289" s="3"/>
      <c r="L289" s="3"/>
      <c r="M289" s="6"/>
    </row>
    <row r="290" spans="1:13" ht="13.5" outlineLevel="2" thickTop="1">
      <c r="A290" s="9">
        <f t="shared" si="12"/>
        <v>286</v>
      </c>
      <c r="B290" s="9" t="s">
        <v>1224</v>
      </c>
      <c r="C290" s="15" t="s">
        <v>1225</v>
      </c>
      <c r="D290" s="10" t="s">
        <v>1226</v>
      </c>
      <c r="E290" s="11">
        <v>69740.75</v>
      </c>
      <c r="F290" s="11">
        <v>0</v>
      </c>
      <c r="G290" s="11">
        <v>0</v>
      </c>
      <c r="I290" s="12">
        <f t="shared" ref="I290:I304" si="13">SUM(E290:G290)</f>
        <v>69740.75</v>
      </c>
      <c r="K290" s="9"/>
      <c r="M290" s="13"/>
    </row>
    <row r="291" spans="1:13" outlineLevel="2">
      <c r="A291" s="9">
        <f t="shared" si="12"/>
        <v>287</v>
      </c>
      <c r="B291" s="9" t="s">
        <v>1224</v>
      </c>
      <c r="C291" s="15" t="s">
        <v>1227</v>
      </c>
      <c r="D291" s="10" t="s">
        <v>1228</v>
      </c>
      <c r="E291" s="11">
        <v>213000</v>
      </c>
      <c r="F291" s="11">
        <v>0</v>
      </c>
      <c r="G291" s="11">
        <v>0</v>
      </c>
      <c r="I291" s="12">
        <f t="shared" si="13"/>
        <v>213000</v>
      </c>
      <c r="K291" s="9"/>
      <c r="M291" s="13"/>
    </row>
    <row r="292" spans="1:13" outlineLevel="2">
      <c r="A292" s="9">
        <f t="shared" si="12"/>
        <v>288</v>
      </c>
      <c r="B292" s="9" t="s">
        <v>1224</v>
      </c>
      <c r="C292" s="15" t="s">
        <v>1229</v>
      </c>
      <c r="D292" s="10" t="s">
        <v>1230</v>
      </c>
      <c r="E292" s="11">
        <v>218492.84</v>
      </c>
      <c r="F292" s="11">
        <v>0</v>
      </c>
      <c r="G292" s="11">
        <v>0</v>
      </c>
      <c r="I292" s="12">
        <f t="shared" si="13"/>
        <v>218492.84</v>
      </c>
      <c r="K292" s="9"/>
      <c r="M292" s="13"/>
    </row>
    <row r="293" spans="1:13" outlineLevel="2">
      <c r="A293" s="9">
        <f t="shared" si="12"/>
        <v>289</v>
      </c>
      <c r="B293" s="9" t="s">
        <v>1224</v>
      </c>
      <c r="C293" s="15" t="s">
        <v>1231</v>
      </c>
      <c r="D293" s="10" t="s">
        <v>1232</v>
      </c>
      <c r="E293" s="11">
        <v>814665.16</v>
      </c>
      <c r="F293" s="11">
        <v>0</v>
      </c>
      <c r="G293" s="11">
        <v>0</v>
      </c>
      <c r="I293" s="12">
        <f t="shared" si="13"/>
        <v>814665.16</v>
      </c>
      <c r="K293" s="9"/>
      <c r="M293" s="13"/>
    </row>
    <row r="294" spans="1:13" outlineLevel="2">
      <c r="A294" s="9">
        <f t="shared" si="12"/>
        <v>290</v>
      </c>
      <c r="B294" s="9" t="s">
        <v>1224</v>
      </c>
      <c r="C294" s="15" t="s">
        <v>1233</v>
      </c>
      <c r="D294" s="10" t="s">
        <v>1234</v>
      </c>
      <c r="E294" s="11">
        <f>519632.09+6569.16</f>
        <v>526201.25</v>
      </c>
      <c r="F294" s="11">
        <v>0</v>
      </c>
      <c r="G294" s="11">
        <v>0</v>
      </c>
      <c r="I294" s="12">
        <f t="shared" si="13"/>
        <v>526201.25</v>
      </c>
      <c r="K294" s="9"/>
      <c r="M294" s="13"/>
    </row>
    <row r="295" spans="1:13" outlineLevel="2">
      <c r="A295" s="9">
        <f t="shared" si="12"/>
        <v>291</v>
      </c>
      <c r="B295" s="9" t="s">
        <v>1224</v>
      </c>
      <c r="C295" s="15" t="s">
        <v>1235</v>
      </c>
      <c r="D295" s="10" t="s">
        <v>1236</v>
      </c>
      <c r="E295" s="11">
        <v>170278</v>
      </c>
      <c r="F295" s="11">
        <v>0</v>
      </c>
      <c r="G295" s="11">
        <v>0</v>
      </c>
      <c r="I295" s="12">
        <f t="shared" si="13"/>
        <v>170278</v>
      </c>
      <c r="K295" s="9"/>
      <c r="M295" s="13"/>
    </row>
    <row r="296" spans="1:13" outlineLevel="2">
      <c r="A296" s="9">
        <f t="shared" si="12"/>
        <v>292</v>
      </c>
      <c r="B296" s="9" t="s">
        <v>1224</v>
      </c>
      <c r="C296" s="15" t="s">
        <v>1237</v>
      </c>
      <c r="D296" s="10" t="s">
        <v>1238</v>
      </c>
      <c r="E296" s="11">
        <v>35070.980000000003</v>
      </c>
      <c r="F296" s="11">
        <v>0</v>
      </c>
      <c r="G296" s="11">
        <v>0</v>
      </c>
      <c r="I296" s="12">
        <f t="shared" si="13"/>
        <v>35070.980000000003</v>
      </c>
      <c r="K296" s="9"/>
      <c r="M296" s="13"/>
    </row>
    <row r="297" spans="1:13" outlineLevel="2">
      <c r="A297" s="9">
        <f t="shared" si="12"/>
        <v>293</v>
      </c>
      <c r="B297" s="9" t="s">
        <v>1224</v>
      </c>
      <c r="C297" s="15" t="s">
        <v>1239</v>
      </c>
      <c r="D297" s="10" t="s">
        <v>1240</v>
      </c>
      <c r="E297" s="11">
        <v>163694.91</v>
      </c>
      <c r="F297" s="11">
        <v>0</v>
      </c>
      <c r="G297" s="11">
        <v>0</v>
      </c>
      <c r="I297" s="12">
        <f t="shared" si="13"/>
        <v>163694.91</v>
      </c>
      <c r="K297" s="9"/>
      <c r="M297" s="13"/>
    </row>
    <row r="298" spans="1:13" outlineLevel="2">
      <c r="A298" s="9">
        <f t="shared" si="12"/>
        <v>294</v>
      </c>
      <c r="B298" s="9" t="s">
        <v>1224</v>
      </c>
      <c r="C298" s="15" t="s">
        <v>1241</v>
      </c>
      <c r="D298" s="10" t="s">
        <v>1242</v>
      </c>
      <c r="E298" s="11">
        <v>19074.86</v>
      </c>
      <c r="F298" s="11">
        <v>0</v>
      </c>
      <c r="G298" s="11">
        <v>0</v>
      </c>
      <c r="I298" s="12">
        <f t="shared" si="13"/>
        <v>19074.86</v>
      </c>
      <c r="K298" s="9"/>
      <c r="M298" s="13"/>
    </row>
    <row r="299" spans="1:13" outlineLevel="2">
      <c r="A299" s="9">
        <f t="shared" si="12"/>
        <v>295</v>
      </c>
      <c r="B299" s="9" t="s">
        <v>1224</v>
      </c>
      <c r="C299" s="15" t="s">
        <v>1243</v>
      </c>
      <c r="D299" s="10" t="s">
        <v>1244</v>
      </c>
      <c r="E299" s="11">
        <v>127143.62</v>
      </c>
      <c r="F299" s="11">
        <v>0</v>
      </c>
      <c r="G299" s="11">
        <v>0</v>
      </c>
      <c r="I299" s="12">
        <f t="shared" si="13"/>
        <v>127143.62</v>
      </c>
      <c r="K299" s="9"/>
      <c r="M299" s="13"/>
    </row>
    <row r="300" spans="1:13" outlineLevel="2">
      <c r="A300" s="9">
        <f t="shared" si="12"/>
        <v>296</v>
      </c>
      <c r="B300" s="9" t="s">
        <v>1224</v>
      </c>
      <c r="C300" s="15" t="s">
        <v>1245</v>
      </c>
      <c r="D300" s="10" t="s">
        <v>1246</v>
      </c>
      <c r="E300" s="11">
        <v>404166.08</v>
      </c>
      <c r="F300" s="11">
        <v>0</v>
      </c>
      <c r="G300" s="11">
        <v>0</v>
      </c>
      <c r="I300" s="12">
        <f t="shared" si="13"/>
        <v>404166.08</v>
      </c>
      <c r="K300" s="9"/>
      <c r="M300" s="13"/>
    </row>
    <row r="301" spans="1:13" outlineLevel="2">
      <c r="A301" s="9">
        <f t="shared" si="12"/>
        <v>297</v>
      </c>
      <c r="B301" s="9" t="s">
        <v>1224</v>
      </c>
      <c r="C301" s="15" t="s">
        <v>1247</v>
      </c>
      <c r="D301" s="10" t="s">
        <v>1248</v>
      </c>
      <c r="E301" s="11">
        <v>1474766.3</v>
      </c>
      <c r="F301" s="11">
        <v>-1474766</v>
      </c>
      <c r="I301" s="12">
        <f t="shared" si="13"/>
        <v>0.30000000004656613</v>
      </c>
      <c r="K301" s="9"/>
      <c r="M301" s="13"/>
    </row>
    <row r="302" spans="1:13" outlineLevel="2">
      <c r="A302" s="9">
        <f t="shared" si="12"/>
        <v>298</v>
      </c>
      <c r="B302" s="9" t="s">
        <v>1224</v>
      </c>
      <c r="C302" s="15" t="s">
        <v>1249</v>
      </c>
      <c r="D302" s="10" t="s">
        <v>1250</v>
      </c>
      <c r="E302" s="11">
        <v>192498.02</v>
      </c>
      <c r="F302" s="11">
        <v>-192498.02</v>
      </c>
      <c r="G302" s="11">
        <v>0</v>
      </c>
      <c r="I302" s="12">
        <f t="shared" si="13"/>
        <v>0</v>
      </c>
      <c r="K302" s="9"/>
      <c r="M302" s="13"/>
    </row>
    <row r="303" spans="1:13" outlineLevel="2">
      <c r="A303" s="9">
        <f t="shared" si="12"/>
        <v>299</v>
      </c>
      <c r="B303" s="9" t="s">
        <v>1224</v>
      </c>
      <c r="C303" s="15" t="s">
        <v>1251</v>
      </c>
      <c r="D303" s="10" t="s">
        <v>1252</v>
      </c>
      <c r="E303" s="11">
        <v>71118</v>
      </c>
      <c r="F303" s="11">
        <v>0</v>
      </c>
      <c r="G303" s="11">
        <v>0</v>
      </c>
      <c r="I303" s="12">
        <f t="shared" si="13"/>
        <v>71118</v>
      </c>
      <c r="K303" s="9"/>
      <c r="M303" s="13"/>
    </row>
    <row r="304" spans="1:13" outlineLevel="2">
      <c r="A304" s="9">
        <f t="shared" si="12"/>
        <v>300</v>
      </c>
      <c r="B304" s="9" t="s">
        <v>1224</v>
      </c>
      <c r="C304" s="15" t="s">
        <v>1253</v>
      </c>
      <c r="D304" s="10" t="s">
        <v>1254</v>
      </c>
      <c r="E304" s="11">
        <v>179327.81</v>
      </c>
      <c r="F304" s="11">
        <v>0</v>
      </c>
      <c r="G304" s="11">
        <v>0</v>
      </c>
      <c r="I304" s="12">
        <f t="shared" si="13"/>
        <v>179327.81</v>
      </c>
      <c r="K304" s="9"/>
      <c r="M304" s="13"/>
    </row>
    <row r="305" spans="1:13" s="5" customFormat="1" ht="13.5" outlineLevel="1" thickBot="1">
      <c r="A305" s="9">
        <f t="shared" si="12"/>
        <v>301</v>
      </c>
      <c r="B305" s="16" t="s">
        <v>1255</v>
      </c>
      <c r="C305" s="17"/>
      <c r="D305" s="18" t="s">
        <v>1256</v>
      </c>
      <c r="E305" s="19">
        <f>SUBTOTAL(9,E290:E304)</f>
        <v>4679238.5799999991</v>
      </c>
      <c r="F305" s="19">
        <f>SUBTOTAL(9,F290:F304)</f>
        <v>-1667264.02</v>
      </c>
      <c r="G305" s="19">
        <f>SUBTOTAL(9,G290:G304)</f>
        <v>0</v>
      </c>
      <c r="H305" s="19"/>
      <c r="I305" s="675">
        <f>SUBTOTAL(9,I290:I304)</f>
        <v>3011974.56</v>
      </c>
      <c r="J305" s="20"/>
      <c r="K305" s="3"/>
      <c r="L305" s="3"/>
      <c r="M305" s="6"/>
    </row>
    <row r="306" spans="1:13" ht="13.5" outlineLevel="2" thickTop="1">
      <c r="A306" s="9">
        <f t="shared" si="12"/>
        <v>302</v>
      </c>
      <c r="B306" s="9" t="s">
        <v>1257</v>
      </c>
      <c r="C306" s="15" t="s">
        <v>1258</v>
      </c>
      <c r="D306" s="10" t="s">
        <v>1259</v>
      </c>
      <c r="E306" s="11">
        <v>81944</v>
      </c>
      <c r="F306" s="11">
        <v>0</v>
      </c>
      <c r="G306" s="11">
        <v>-81944</v>
      </c>
      <c r="I306" s="12">
        <f>SUM(E306:G306)</f>
        <v>0</v>
      </c>
      <c r="J306" s="10"/>
      <c r="K306" s="9"/>
      <c r="M306" s="13"/>
    </row>
    <row r="307" spans="1:13" outlineLevel="2">
      <c r="A307" s="9">
        <f t="shared" si="12"/>
        <v>303</v>
      </c>
      <c r="B307" s="9" t="s">
        <v>1257</v>
      </c>
      <c r="C307" s="15" t="s">
        <v>1260</v>
      </c>
      <c r="D307" s="10" t="s">
        <v>1261</v>
      </c>
      <c r="E307" s="11">
        <v>64611.39</v>
      </c>
      <c r="F307" s="11">
        <v>0</v>
      </c>
      <c r="G307" s="11">
        <v>-64611.39</v>
      </c>
      <c r="I307" s="12">
        <f>SUM(E307:G307)</f>
        <v>0</v>
      </c>
      <c r="K307" s="9"/>
      <c r="M307" s="13"/>
    </row>
    <row r="308" spans="1:13" outlineLevel="2">
      <c r="A308" s="9">
        <f t="shared" si="12"/>
        <v>304</v>
      </c>
      <c r="B308" s="9" t="s">
        <v>1257</v>
      </c>
      <c r="C308" s="15" t="s">
        <v>1262</v>
      </c>
      <c r="D308" s="10" t="s">
        <v>1263</v>
      </c>
      <c r="E308" s="11">
        <v>922163.82</v>
      </c>
      <c r="F308" s="11">
        <v>0</v>
      </c>
      <c r="G308" s="11">
        <v>0</v>
      </c>
      <c r="I308" s="12">
        <f>SUM(E308:G308)</f>
        <v>922163.82</v>
      </c>
      <c r="K308" s="9"/>
      <c r="M308" s="13"/>
    </row>
    <row r="309" spans="1:13" outlineLevel="2">
      <c r="A309" s="9">
        <f t="shared" si="12"/>
        <v>305</v>
      </c>
      <c r="B309" s="9" t="s">
        <v>1257</v>
      </c>
      <c r="C309" s="15" t="s">
        <v>1264</v>
      </c>
      <c r="D309" s="10" t="s">
        <v>1265</v>
      </c>
      <c r="E309" s="11">
        <v>690735.13</v>
      </c>
      <c r="F309" s="11">
        <v>0</v>
      </c>
      <c r="G309" s="11">
        <v>0</v>
      </c>
      <c r="I309" s="12">
        <f>SUM(E309:G309)</f>
        <v>690735.13</v>
      </c>
      <c r="K309" s="9"/>
      <c r="M309" s="13"/>
    </row>
    <row r="310" spans="1:13" s="5" customFormat="1" ht="13.5" outlineLevel="1" thickBot="1">
      <c r="A310" s="9">
        <f t="shared" si="12"/>
        <v>306</v>
      </c>
      <c r="B310" s="16" t="s">
        <v>1266</v>
      </c>
      <c r="C310" s="17"/>
      <c r="D310" s="18" t="s">
        <v>1267</v>
      </c>
      <c r="E310" s="19">
        <f>SUBTOTAL(9,E306:E309)</f>
        <v>1759454.3399999999</v>
      </c>
      <c r="F310" s="19">
        <f>SUBTOTAL(9,F306:F309)</f>
        <v>0</v>
      </c>
      <c r="G310" s="19">
        <f>SUBTOTAL(9,G306:G309)</f>
        <v>-146555.39000000001</v>
      </c>
      <c r="H310" s="19"/>
      <c r="I310" s="675">
        <f>SUBTOTAL(9,I306:I309)</f>
        <v>1612898.95</v>
      </c>
      <c r="J310" s="20"/>
      <c r="K310" s="3"/>
      <c r="L310" s="3"/>
      <c r="M310" s="6"/>
    </row>
    <row r="311" spans="1:13" ht="13.5" outlineLevel="2" thickTop="1">
      <c r="A311" s="9">
        <f t="shared" si="12"/>
        <v>307</v>
      </c>
      <c r="B311" s="9" t="s">
        <v>1268</v>
      </c>
      <c r="C311" s="15" t="s">
        <v>1269</v>
      </c>
      <c r="D311" s="10" t="s">
        <v>1270</v>
      </c>
      <c r="E311" s="11">
        <v>17199.41</v>
      </c>
      <c r="F311" s="11">
        <v>0</v>
      </c>
      <c r="G311" s="11">
        <f>-(E311*$J$314)</f>
        <v>-5495.2114950000005</v>
      </c>
      <c r="I311" s="12">
        <f t="shared" ref="I311:I379" si="14">SUM(E311:G311)</f>
        <v>11704.198505</v>
      </c>
      <c r="J311" s="872" t="s">
        <v>2708</v>
      </c>
      <c r="K311" s="9"/>
    </row>
    <row r="312" spans="1:13" outlineLevel="2">
      <c r="A312" s="9">
        <f t="shared" si="12"/>
        <v>308</v>
      </c>
      <c r="B312" s="9" t="s">
        <v>1268</v>
      </c>
      <c r="C312" s="15" t="s">
        <v>1271</v>
      </c>
      <c r="D312" s="10" t="s">
        <v>1272</v>
      </c>
      <c r="E312" s="11">
        <v>255788.79999999999</v>
      </c>
      <c r="F312" s="11">
        <v>0</v>
      </c>
      <c r="G312" s="11">
        <f t="shared" ref="G312:G381" si="15">-(E312*$J$314)</f>
        <v>-81724.521599999993</v>
      </c>
      <c r="I312" s="12">
        <f t="shared" si="14"/>
        <v>174064.27840000001</v>
      </c>
      <c r="J312" s="873"/>
      <c r="K312" s="9"/>
    </row>
    <row r="313" spans="1:13" outlineLevel="2">
      <c r="A313" s="9">
        <f t="shared" si="12"/>
        <v>309</v>
      </c>
      <c r="B313" s="9" t="s">
        <v>1268</v>
      </c>
      <c r="C313" s="15" t="s">
        <v>1273</v>
      </c>
      <c r="D313" s="10" t="s">
        <v>1274</v>
      </c>
      <c r="E313" s="11">
        <v>409859.66</v>
      </c>
      <c r="F313" s="11">
        <v>0</v>
      </c>
      <c r="G313" s="11">
        <f t="shared" si="15"/>
        <v>-130950.16137</v>
      </c>
      <c r="I313" s="12">
        <f t="shared" si="14"/>
        <v>278909.49862999999</v>
      </c>
      <c r="J313" s="873"/>
      <c r="K313" s="9"/>
    </row>
    <row r="314" spans="1:13" outlineLevel="2">
      <c r="A314" s="9">
        <f t="shared" si="12"/>
        <v>310</v>
      </c>
      <c r="B314" s="9" t="s">
        <v>1268</v>
      </c>
      <c r="C314" s="15" t="s">
        <v>1275</v>
      </c>
      <c r="D314" s="10" t="s">
        <v>1276</v>
      </c>
      <c r="E314" s="11">
        <v>99834.58</v>
      </c>
      <c r="F314" s="11">
        <v>0</v>
      </c>
      <c r="G314" s="11">
        <f t="shared" si="15"/>
        <v>-31897.14831</v>
      </c>
      <c r="I314" s="12">
        <f t="shared" si="14"/>
        <v>67937.431689999998</v>
      </c>
      <c r="J314" s="24">
        <v>0.31950000000000001</v>
      </c>
      <c r="K314" s="9"/>
      <c r="M314" s="13"/>
    </row>
    <row r="315" spans="1:13" outlineLevel="2">
      <c r="A315" s="9">
        <f t="shared" si="12"/>
        <v>311</v>
      </c>
      <c r="B315" s="9" t="s">
        <v>1268</v>
      </c>
      <c r="C315" s="15" t="s">
        <v>1277</v>
      </c>
      <c r="D315" s="10" t="s">
        <v>1278</v>
      </c>
      <c r="E315" s="11">
        <v>329570.19</v>
      </c>
      <c r="F315" s="11">
        <v>0</v>
      </c>
      <c r="G315" s="11">
        <f t="shared" si="15"/>
        <v>-105297.675705</v>
      </c>
      <c r="I315" s="12">
        <f t="shared" si="14"/>
        <v>224272.514295</v>
      </c>
      <c r="K315" s="9"/>
      <c r="M315" s="13"/>
    </row>
    <row r="316" spans="1:13" outlineLevel="2">
      <c r="A316" s="9">
        <f t="shared" si="12"/>
        <v>312</v>
      </c>
      <c r="B316" s="9" t="s">
        <v>1268</v>
      </c>
      <c r="C316" s="15" t="s">
        <v>1279</v>
      </c>
      <c r="D316" s="10" t="s">
        <v>1280</v>
      </c>
      <c r="E316" s="11">
        <v>257178.8</v>
      </c>
      <c r="F316" s="11">
        <v>0</v>
      </c>
      <c r="G316" s="11">
        <f t="shared" si="15"/>
        <v>-82168.626600000003</v>
      </c>
      <c r="I316" s="12">
        <f t="shared" si="14"/>
        <v>175010.17339999997</v>
      </c>
      <c r="K316" s="9"/>
      <c r="M316" s="13"/>
    </row>
    <row r="317" spans="1:13" outlineLevel="2">
      <c r="A317" s="9">
        <f t="shared" si="12"/>
        <v>313</v>
      </c>
      <c r="B317" s="9" t="s">
        <v>1268</v>
      </c>
      <c r="C317" s="15" t="s">
        <v>1281</v>
      </c>
      <c r="D317" s="10" t="s">
        <v>1282</v>
      </c>
      <c r="E317" s="11">
        <v>196601.21</v>
      </c>
      <c r="F317" s="11">
        <v>0</v>
      </c>
      <c r="G317" s="11">
        <f t="shared" si="15"/>
        <v>-62814.086595000001</v>
      </c>
      <c r="I317" s="12">
        <f t="shared" si="14"/>
        <v>133787.12340499999</v>
      </c>
      <c r="K317" s="9"/>
      <c r="M317" s="13"/>
    </row>
    <row r="318" spans="1:13" outlineLevel="2">
      <c r="A318" s="9">
        <f t="shared" si="12"/>
        <v>314</v>
      </c>
      <c r="B318" s="9" t="s">
        <v>1268</v>
      </c>
      <c r="C318" s="15" t="s">
        <v>1283</v>
      </c>
      <c r="D318" s="10" t="s">
        <v>1284</v>
      </c>
      <c r="E318" s="11">
        <v>10678.65</v>
      </c>
      <c r="F318" s="11">
        <v>0</v>
      </c>
      <c r="G318" s="11">
        <f t="shared" si="15"/>
        <v>-3411.8286749999997</v>
      </c>
      <c r="I318" s="12">
        <f t="shared" si="14"/>
        <v>7266.8213249999999</v>
      </c>
      <c r="K318" s="9"/>
      <c r="M318" s="13"/>
    </row>
    <row r="319" spans="1:13" outlineLevel="2">
      <c r="A319" s="9">
        <f t="shared" si="12"/>
        <v>315</v>
      </c>
      <c r="B319" s="9" t="s">
        <v>1268</v>
      </c>
      <c r="C319" s="15" t="s">
        <v>1285</v>
      </c>
      <c r="D319" s="10" t="s">
        <v>1286</v>
      </c>
      <c r="E319" s="11">
        <v>113361.84</v>
      </c>
      <c r="F319" s="11">
        <v>0</v>
      </c>
      <c r="G319" s="11">
        <f t="shared" si="15"/>
        <v>-36219.107880000003</v>
      </c>
      <c r="I319" s="12">
        <f t="shared" si="14"/>
        <v>77142.732120000001</v>
      </c>
      <c r="K319" s="9"/>
      <c r="M319" s="13"/>
    </row>
    <row r="320" spans="1:13" outlineLevel="2">
      <c r="A320" s="9">
        <f t="shared" si="12"/>
        <v>316</v>
      </c>
      <c r="B320" s="9" t="s">
        <v>1268</v>
      </c>
      <c r="C320" s="15" t="s">
        <v>1287</v>
      </c>
      <c r="D320" s="10" t="s">
        <v>1288</v>
      </c>
      <c r="E320" s="11">
        <v>587474.26</v>
      </c>
      <c r="F320" s="11">
        <v>0</v>
      </c>
      <c r="G320" s="11">
        <f t="shared" si="15"/>
        <v>-187698.02606999999</v>
      </c>
      <c r="I320" s="12">
        <f t="shared" si="14"/>
        <v>399776.23392999999</v>
      </c>
      <c r="K320" s="9"/>
      <c r="M320" s="13"/>
    </row>
    <row r="321" spans="1:13" outlineLevel="2">
      <c r="A321" s="9">
        <f t="shared" si="12"/>
        <v>317</v>
      </c>
      <c r="B321" s="9" t="s">
        <v>1268</v>
      </c>
      <c r="C321" s="15" t="s">
        <v>1289</v>
      </c>
      <c r="D321" s="10" t="s">
        <v>1290</v>
      </c>
      <c r="E321" s="11">
        <v>158945.60000000001</v>
      </c>
      <c r="G321" s="11">
        <v>-136495</v>
      </c>
      <c r="I321" s="12">
        <f t="shared" si="14"/>
        <v>22450.600000000006</v>
      </c>
      <c r="K321" s="9"/>
      <c r="M321" s="13"/>
    </row>
    <row r="322" spans="1:13" outlineLevel="2">
      <c r="A322" s="9">
        <f t="shared" si="12"/>
        <v>318</v>
      </c>
      <c r="B322" s="9" t="s">
        <v>1268</v>
      </c>
      <c r="C322" s="15" t="s">
        <v>1291</v>
      </c>
      <c r="D322" s="10" t="s">
        <v>1292</v>
      </c>
      <c r="E322" s="11">
        <v>413470.76</v>
      </c>
      <c r="F322" s="11">
        <v>0</v>
      </c>
      <c r="G322" s="11">
        <f t="shared" si="15"/>
        <v>-132103.90781999999</v>
      </c>
      <c r="I322" s="12">
        <f t="shared" si="14"/>
        <v>281366.85218000005</v>
      </c>
      <c r="K322" s="9"/>
      <c r="M322" s="13"/>
    </row>
    <row r="323" spans="1:13" outlineLevel="2">
      <c r="A323" s="9">
        <f t="shared" si="12"/>
        <v>319</v>
      </c>
      <c r="B323" s="9" t="s">
        <v>1268</v>
      </c>
      <c r="C323" s="15" t="s">
        <v>1293</v>
      </c>
      <c r="D323" s="10" t="s">
        <v>1294</v>
      </c>
      <c r="E323" s="11">
        <v>232617.76</v>
      </c>
      <c r="F323" s="11">
        <v>0</v>
      </c>
      <c r="G323" s="11">
        <f t="shared" si="15"/>
        <v>-74321.374320000003</v>
      </c>
      <c r="I323" s="12">
        <f t="shared" si="14"/>
        <v>158296.38568000001</v>
      </c>
      <c r="K323" s="9"/>
      <c r="M323" s="13"/>
    </row>
    <row r="324" spans="1:13" outlineLevel="2">
      <c r="A324" s="9">
        <f t="shared" si="12"/>
        <v>320</v>
      </c>
      <c r="B324" s="9" t="s">
        <v>1268</v>
      </c>
      <c r="C324" s="15" t="s">
        <v>1295</v>
      </c>
      <c r="D324" s="10" t="s">
        <v>1296</v>
      </c>
      <c r="E324" s="11">
        <v>149227.87</v>
      </c>
      <c r="F324" s="11">
        <v>0</v>
      </c>
      <c r="G324" s="11">
        <f t="shared" si="15"/>
        <v>-47678.304465000001</v>
      </c>
      <c r="I324" s="12">
        <f t="shared" si="14"/>
        <v>101549.565535</v>
      </c>
      <c r="K324" s="9"/>
      <c r="M324" s="13"/>
    </row>
    <row r="325" spans="1:13" outlineLevel="2">
      <c r="A325" s="9">
        <f t="shared" si="12"/>
        <v>321</v>
      </c>
      <c r="B325" s="9" t="s">
        <v>1268</v>
      </c>
      <c r="C325" s="15" t="s">
        <v>1297</v>
      </c>
      <c r="D325" s="10" t="s">
        <v>1298</v>
      </c>
      <c r="E325" s="11">
        <v>122277.31</v>
      </c>
      <c r="F325" s="11">
        <v>0</v>
      </c>
      <c r="G325" s="11">
        <f t="shared" si="15"/>
        <v>-39067.600545000001</v>
      </c>
      <c r="I325" s="12">
        <f t="shared" si="14"/>
        <v>83209.709455000004</v>
      </c>
      <c r="K325" s="9"/>
      <c r="M325" s="13"/>
    </row>
    <row r="326" spans="1:13" outlineLevel="2">
      <c r="A326" s="9">
        <f t="shared" si="12"/>
        <v>322</v>
      </c>
      <c r="B326" s="9" t="s">
        <v>1268</v>
      </c>
      <c r="C326" s="15" t="s">
        <v>1299</v>
      </c>
      <c r="D326" s="10" t="s">
        <v>1300</v>
      </c>
      <c r="E326" s="11">
        <v>19704.27</v>
      </c>
      <c r="F326" s="11">
        <v>0</v>
      </c>
      <c r="G326" s="11">
        <f t="shared" si="15"/>
        <v>-6295.5142650000007</v>
      </c>
      <c r="I326" s="12">
        <f t="shared" si="14"/>
        <v>13408.755734999999</v>
      </c>
      <c r="K326" s="9"/>
      <c r="M326" s="13"/>
    </row>
    <row r="327" spans="1:13" outlineLevel="2">
      <c r="A327" s="9">
        <f t="shared" si="12"/>
        <v>323</v>
      </c>
      <c r="B327" s="9" t="s">
        <v>1268</v>
      </c>
      <c r="C327" s="15" t="s">
        <v>1301</v>
      </c>
      <c r="D327" s="10" t="s">
        <v>1302</v>
      </c>
      <c r="E327" s="11">
        <v>92595.35</v>
      </c>
      <c r="F327" s="11">
        <v>0</v>
      </c>
      <c r="G327" s="11">
        <f t="shared" si="15"/>
        <v>-29584.214325000001</v>
      </c>
      <c r="I327" s="12">
        <f t="shared" si="14"/>
        <v>63011.135675000005</v>
      </c>
      <c r="K327" s="9"/>
      <c r="M327" s="13"/>
    </row>
    <row r="328" spans="1:13" outlineLevel="2">
      <c r="A328" s="9">
        <f t="shared" si="12"/>
        <v>324</v>
      </c>
      <c r="B328" s="9" t="s">
        <v>1268</v>
      </c>
      <c r="C328" s="15" t="s">
        <v>1303</v>
      </c>
      <c r="D328" s="10" t="s">
        <v>1304</v>
      </c>
      <c r="E328" s="11">
        <v>107342.37</v>
      </c>
      <c r="F328" s="11">
        <v>0</v>
      </c>
      <c r="G328" s="11">
        <f>-(E328*$J$314)</f>
        <v>-34295.887215000002</v>
      </c>
      <c r="I328" s="12">
        <f t="shared" si="14"/>
        <v>73046.482785</v>
      </c>
      <c r="K328" s="9"/>
      <c r="M328" s="13"/>
    </row>
    <row r="329" spans="1:13" outlineLevel="2">
      <c r="A329" s="9">
        <f t="shared" si="12"/>
        <v>325</v>
      </c>
      <c r="B329" s="9" t="s">
        <v>1268</v>
      </c>
      <c r="C329" s="15" t="s">
        <v>1305</v>
      </c>
      <c r="D329" s="10" t="s">
        <v>1306</v>
      </c>
      <c r="E329" s="11">
        <v>199391.7</v>
      </c>
      <c r="F329" s="11">
        <v>0</v>
      </c>
      <c r="G329" s="11">
        <f t="shared" si="15"/>
        <v>-63705.648150000008</v>
      </c>
      <c r="I329" s="12">
        <f t="shared" si="14"/>
        <v>135686.05184999999</v>
      </c>
      <c r="K329" s="9"/>
      <c r="M329" s="13"/>
    </row>
    <row r="330" spans="1:13" outlineLevel="2">
      <c r="A330" s="9">
        <f t="shared" si="12"/>
        <v>326</v>
      </c>
      <c r="B330" s="9" t="s">
        <v>1268</v>
      </c>
      <c r="C330" s="15" t="s">
        <v>1307</v>
      </c>
      <c r="D330" s="10" t="s">
        <v>1308</v>
      </c>
      <c r="E330" s="11">
        <v>703660.5</v>
      </c>
      <c r="F330" s="11">
        <v>0</v>
      </c>
      <c r="G330" s="11">
        <f t="shared" si="15"/>
        <v>-224819.52975000002</v>
      </c>
      <c r="I330" s="12">
        <f t="shared" si="14"/>
        <v>478840.97025000001</v>
      </c>
      <c r="K330" s="9"/>
      <c r="M330" s="13"/>
    </row>
    <row r="331" spans="1:13" ht="13.5" customHeight="1" outlineLevel="2">
      <c r="A331" s="9">
        <f t="shared" si="12"/>
        <v>327</v>
      </c>
      <c r="B331" s="9" t="s">
        <v>1268</v>
      </c>
      <c r="C331" s="15" t="s">
        <v>1309</v>
      </c>
      <c r="D331" s="10" t="s">
        <v>1310</v>
      </c>
      <c r="E331" s="11">
        <v>37033.769999999997</v>
      </c>
      <c r="F331" s="11">
        <v>0</v>
      </c>
      <c r="G331" s="11">
        <f t="shared" si="15"/>
        <v>-11832.289514999999</v>
      </c>
      <c r="I331" s="12">
        <f t="shared" si="14"/>
        <v>25201.480485</v>
      </c>
      <c r="K331" s="9"/>
      <c r="M331" s="13"/>
    </row>
    <row r="332" spans="1:13" outlineLevel="2">
      <c r="A332" s="9">
        <f t="shared" si="12"/>
        <v>328</v>
      </c>
      <c r="B332" s="9" t="s">
        <v>1268</v>
      </c>
      <c r="C332" s="15" t="s">
        <v>1311</v>
      </c>
      <c r="D332" s="10" t="s">
        <v>1312</v>
      </c>
      <c r="E332" s="11">
        <v>284048.28000000003</v>
      </c>
      <c r="F332" s="11">
        <v>0</v>
      </c>
      <c r="G332" s="11">
        <f t="shared" si="15"/>
        <v>-90753.425460000013</v>
      </c>
      <c r="I332" s="12">
        <f t="shared" si="14"/>
        <v>193294.85454000003</v>
      </c>
      <c r="K332" s="9"/>
      <c r="M332" s="13"/>
    </row>
    <row r="333" spans="1:13" outlineLevel="2">
      <c r="A333" s="9">
        <f t="shared" si="12"/>
        <v>329</v>
      </c>
      <c r="B333" s="9" t="s">
        <v>1268</v>
      </c>
      <c r="C333" s="15" t="s">
        <v>1313</v>
      </c>
      <c r="D333" s="10" t="s">
        <v>1314</v>
      </c>
      <c r="E333" s="11">
        <v>17796.689999999999</v>
      </c>
      <c r="F333" s="11">
        <v>0</v>
      </c>
      <c r="G333" s="11">
        <f t="shared" si="15"/>
        <v>-5686.0424549999998</v>
      </c>
      <c r="I333" s="12">
        <f t="shared" si="14"/>
        <v>12110.647545</v>
      </c>
      <c r="K333" s="9"/>
      <c r="M333" s="13"/>
    </row>
    <row r="334" spans="1:13" outlineLevel="2">
      <c r="A334" s="9">
        <f t="shared" si="12"/>
        <v>330</v>
      </c>
      <c r="B334" s="9" t="s">
        <v>1268</v>
      </c>
      <c r="C334" s="15" t="s">
        <v>1315</v>
      </c>
      <c r="D334" s="10" t="s">
        <v>1316</v>
      </c>
      <c r="E334" s="11">
        <v>742839.78</v>
      </c>
      <c r="F334" s="11">
        <v>0</v>
      </c>
      <c r="G334" s="11">
        <f t="shared" si="15"/>
        <v>-237337.30971</v>
      </c>
      <c r="I334" s="12">
        <f t="shared" si="14"/>
        <v>505502.47029000003</v>
      </c>
      <c r="K334" s="9"/>
      <c r="M334" s="13"/>
    </row>
    <row r="335" spans="1:13" outlineLevel="2">
      <c r="A335" s="9">
        <f t="shared" si="12"/>
        <v>331</v>
      </c>
      <c r="B335" s="9" t="s">
        <v>1268</v>
      </c>
      <c r="C335" s="15" t="s">
        <v>1317</v>
      </c>
      <c r="D335" s="10" t="s">
        <v>1318</v>
      </c>
      <c r="E335" s="11">
        <v>66872.3</v>
      </c>
      <c r="F335" s="11">
        <v>0</v>
      </c>
      <c r="G335" s="11">
        <f t="shared" si="15"/>
        <v>-21365.699850000001</v>
      </c>
      <c r="I335" s="12">
        <f t="shared" si="14"/>
        <v>45506.600149999998</v>
      </c>
      <c r="K335" s="9"/>
      <c r="M335" s="13"/>
    </row>
    <row r="336" spans="1:13" outlineLevel="2">
      <c r="A336" s="9">
        <f t="shared" si="12"/>
        <v>332</v>
      </c>
      <c r="B336" s="9" t="s">
        <v>1268</v>
      </c>
      <c r="C336" s="15" t="s">
        <v>1319</v>
      </c>
      <c r="D336" s="10" t="s">
        <v>1320</v>
      </c>
      <c r="E336" s="11">
        <v>105280.95</v>
      </c>
      <c r="F336" s="11">
        <v>0</v>
      </c>
      <c r="G336" s="11">
        <f t="shared" si="15"/>
        <v>-33637.263525000002</v>
      </c>
      <c r="I336" s="12">
        <f t="shared" si="14"/>
        <v>71643.686474999995</v>
      </c>
      <c r="K336" s="9"/>
      <c r="M336" s="13"/>
    </row>
    <row r="337" spans="1:13" outlineLevel="2">
      <c r="A337" s="9">
        <f t="shared" si="12"/>
        <v>333</v>
      </c>
      <c r="B337" s="9" t="s">
        <v>1268</v>
      </c>
      <c r="C337" s="15" t="s">
        <v>1321</v>
      </c>
      <c r="D337" s="10" t="s">
        <v>1322</v>
      </c>
      <c r="E337" s="11">
        <v>301355.36</v>
      </c>
      <c r="F337" s="11">
        <v>0</v>
      </c>
      <c r="G337" s="11">
        <f t="shared" si="15"/>
        <v>-96283.037519999998</v>
      </c>
      <c r="I337" s="12">
        <f t="shared" si="14"/>
        <v>205072.32247999997</v>
      </c>
      <c r="K337" s="9"/>
      <c r="M337" s="13"/>
    </row>
    <row r="338" spans="1:13" outlineLevel="2">
      <c r="A338" s="9">
        <f t="shared" ref="A338:A406" si="16">A337+1</f>
        <v>334</v>
      </c>
      <c r="B338" s="9" t="s">
        <v>1268</v>
      </c>
      <c r="C338" s="15" t="s">
        <v>1323</v>
      </c>
      <c r="D338" s="10" t="s">
        <v>1324</v>
      </c>
      <c r="E338" s="11">
        <v>887626.81</v>
      </c>
      <c r="F338" s="11">
        <v>0</v>
      </c>
      <c r="G338" s="11">
        <f t="shared" si="15"/>
        <v>-283596.76579500001</v>
      </c>
      <c r="I338" s="12">
        <f t="shared" si="14"/>
        <v>604030.04420500004</v>
      </c>
      <c r="K338" s="9"/>
      <c r="M338" s="13"/>
    </row>
    <row r="339" spans="1:13" outlineLevel="2">
      <c r="A339" s="9">
        <f t="shared" si="16"/>
        <v>335</v>
      </c>
      <c r="B339" s="9" t="s">
        <v>1268</v>
      </c>
      <c r="C339" s="15" t="s">
        <v>1325</v>
      </c>
      <c r="D339" s="10" t="s">
        <v>1326</v>
      </c>
      <c r="E339" s="11">
        <v>1399.06</v>
      </c>
      <c r="F339" s="11">
        <v>0</v>
      </c>
      <c r="G339" s="11">
        <f t="shared" si="15"/>
        <v>-446.99966999999998</v>
      </c>
      <c r="I339" s="12">
        <f t="shared" si="14"/>
        <v>952.06033000000002</v>
      </c>
      <c r="K339" s="9"/>
    </row>
    <row r="340" spans="1:13" outlineLevel="2">
      <c r="A340" s="9">
        <f t="shared" si="16"/>
        <v>336</v>
      </c>
      <c r="B340" s="9" t="s">
        <v>1268</v>
      </c>
      <c r="C340" s="15" t="s">
        <v>1327</v>
      </c>
      <c r="D340" s="10" t="s">
        <v>1328</v>
      </c>
      <c r="E340" s="11">
        <v>21339.59</v>
      </c>
      <c r="F340" s="11">
        <v>0</v>
      </c>
      <c r="G340" s="11">
        <f t="shared" si="15"/>
        <v>-6817.9990050000006</v>
      </c>
      <c r="I340" s="12">
        <f t="shared" si="14"/>
        <v>14521.590994999999</v>
      </c>
      <c r="K340" s="9"/>
      <c r="M340" s="13"/>
    </row>
    <row r="341" spans="1:13" outlineLevel="2">
      <c r="A341" s="9">
        <f t="shared" si="16"/>
        <v>337</v>
      </c>
      <c r="B341" s="9" t="s">
        <v>1268</v>
      </c>
      <c r="C341" s="15" t="s">
        <v>1329</v>
      </c>
      <c r="D341" s="10" t="s">
        <v>1330</v>
      </c>
      <c r="E341" s="11">
        <v>251028.92</v>
      </c>
      <c r="F341" s="11">
        <v>0</v>
      </c>
      <c r="G341" s="11">
        <f>-(E341*$J$314)</f>
        <v>-80203.739939999999</v>
      </c>
      <c r="I341" s="12">
        <f t="shared" si="14"/>
        <v>170825.18006000001</v>
      </c>
      <c r="K341" s="9"/>
      <c r="M341" s="13"/>
    </row>
    <row r="342" spans="1:13" outlineLevel="2">
      <c r="A342" s="9">
        <f t="shared" si="16"/>
        <v>338</v>
      </c>
      <c r="B342" s="9" t="s">
        <v>1268</v>
      </c>
      <c r="C342" s="15" t="s">
        <v>1331</v>
      </c>
      <c r="D342" s="10" t="s">
        <v>1332</v>
      </c>
      <c r="E342" s="11">
        <v>52564.95</v>
      </c>
      <c r="F342" s="11">
        <v>0</v>
      </c>
      <c r="G342" s="11">
        <f t="shared" si="15"/>
        <v>-16794.501525</v>
      </c>
      <c r="I342" s="12">
        <f t="shared" si="14"/>
        <v>35770.448474999997</v>
      </c>
      <c r="K342" s="9"/>
      <c r="M342" s="13"/>
    </row>
    <row r="343" spans="1:13" outlineLevel="2">
      <c r="A343" s="9">
        <f t="shared" si="16"/>
        <v>339</v>
      </c>
      <c r="B343" s="9" t="s">
        <v>1268</v>
      </c>
      <c r="C343" s="15" t="s">
        <v>1333</v>
      </c>
      <c r="D343" s="10" t="s">
        <v>1334</v>
      </c>
      <c r="E343" s="11">
        <v>1926</v>
      </c>
      <c r="F343" s="11">
        <v>0</v>
      </c>
      <c r="G343" s="11">
        <f t="shared" si="15"/>
        <v>-615.35699999999997</v>
      </c>
      <c r="I343" s="12">
        <f t="shared" si="14"/>
        <v>1310.643</v>
      </c>
      <c r="K343" s="9"/>
      <c r="M343" s="13"/>
    </row>
    <row r="344" spans="1:13" outlineLevel="2">
      <c r="A344" s="9">
        <f t="shared" si="16"/>
        <v>340</v>
      </c>
      <c r="B344" s="9" t="s">
        <v>1268</v>
      </c>
      <c r="C344" s="15" t="s">
        <v>1335</v>
      </c>
      <c r="D344" s="10" t="s">
        <v>1336</v>
      </c>
      <c r="E344" s="11">
        <v>31101.66</v>
      </c>
      <c r="F344" s="11">
        <v>0</v>
      </c>
      <c r="G344" s="11">
        <f t="shared" si="15"/>
        <v>-9936.9803699999993</v>
      </c>
      <c r="I344" s="12">
        <f t="shared" si="14"/>
        <v>21164.679629999999</v>
      </c>
      <c r="K344" s="9"/>
      <c r="M344" s="13"/>
    </row>
    <row r="345" spans="1:13" outlineLevel="2">
      <c r="A345" s="9">
        <f t="shared" si="16"/>
        <v>341</v>
      </c>
      <c r="B345" s="9" t="s">
        <v>1268</v>
      </c>
      <c r="C345" s="15" t="s">
        <v>1337</v>
      </c>
      <c r="D345" s="10" t="s">
        <v>1338</v>
      </c>
      <c r="E345" s="11">
        <v>84853.98</v>
      </c>
      <c r="F345" s="11">
        <v>0</v>
      </c>
      <c r="G345" s="11">
        <f t="shared" si="15"/>
        <v>-27110.846610000001</v>
      </c>
      <c r="I345" s="12">
        <f t="shared" si="14"/>
        <v>57743.133389999995</v>
      </c>
      <c r="K345" s="9"/>
      <c r="M345" s="13"/>
    </row>
    <row r="346" spans="1:13" outlineLevel="2">
      <c r="A346" s="9">
        <f t="shared" si="16"/>
        <v>342</v>
      </c>
      <c r="B346" s="9" t="s">
        <v>1268</v>
      </c>
      <c r="C346" s="15" t="s">
        <v>1339</v>
      </c>
      <c r="D346" s="10" t="s">
        <v>1340</v>
      </c>
      <c r="E346" s="11">
        <v>63659.87</v>
      </c>
      <c r="F346" s="11">
        <v>0</v>
      </c>
      <c r="G346" s="11">
        <f t="shared" si="15"/>
        <v>-20339.328465000002</v>
      </c>
      <c r="I346" s="12">
        <f t="shared" si="14"/>
        <v>43320.541534999997</v>
      </c>
      <c r="K346" s="9"/>
      <c r="M346" s="13"/>
    </row>
    <row r="347" spans="1:13" outlineLevel="2">
      <c r="A347" s="9">
        <f t="shared" si="16"/>
        <v>343</v>
      </c>
      <c r="B347" s="9" t="s">
        <v>1268</v>
      </c>
      <c r="C347" s="15" t="s">
        <v>1341</v>
      </c>
      <c r="D347" s="10" t="s">
        <v>1342</v>
      </c>
      <c r="E347" s="11">
        <v>257504.6</v>
      </c>
      <c r="F347" s="11">
        <v>0</v>
      </c>
      <c r="G347" s="11">
        <f t="shared" si="15"/>
        <v>-82272.719700000001</v>
      </c>
      <c r="I347" s="12">
        <f t="shared" si="14"/>
        <v>175231.88030000002</v>
      </c>
      <c r="K347" s="9"/>
      <c r="M347" s="13"/>
    </row>
    <row r="348" spans="1:13" outlineLevel="2">
      <c r="A348" s="9">
        <f t="shared" si="16"/>
        <v>344</v>
      </c>
      <c r="B348" s="9" t="s">
        <v>1268</v>
      </c>
      <c r="C348" s="15" t="s">
        <v>1343</v>
      </c>
      <c r="D348" s="10" t="s">
        <v>1344</v>
      </c>
      <c r="E348" s="11">
        <v>530314.63</v>
      </c>
      <c r="F348" s="11">
        <v>0</v>
      </c>
      <c r="G348" s="11">
        <f t="shared" si="15"/>
        <v>-169435.52428499999</v>
      </c>
      <c r="I348" s="12">
        <f t="shared" si="14"/>
        <v>360879.10571500001</v>
      </c>
      <c r="K348" s="9"/>
      <c r="M348" s="13"/>
    </row>
    <row r="349" spans="1:13" outlineLevel="2">
      <c r="A349" s="9">
        <f t="shared" si="16"/>
        <v>345</v>
      </c>
      <c r="B349" s="9" t="s">
        <v>1268</v>
      </c>
      <c r="C349" s="15" t="s">
        <v>1345</v>
      </c>
      <c r="D349" s="10" t="s">
        <v>1346</v>
      </c>
      <c r="E349" s="11">
        <v>882795.2</v>
      </c>
      <c r="F349" s="11">
        <v>0</v>
      </c>
      <c r="G349" s="11">
        <f t="shared" si="15"/>
        <v>-282053.06640000001</v>
      </c>
      <c r="I349" s="12">
        <f t="shared" si="14"/>
        <v>600742.13359999994</v>
      </c>
      <c r="K349" s="9"/>
      <c r="M349" s="13"/>
    </row>
    <row r="350" spans="1:13" outlineLevel="2">
      <c r="A350" s="9">
        <f t="shared" si="16"/>
        <v>346</v>
      </c>
      <c r="B350" s="9" t="s">
        <v>1268</v>
      </c>
      <c r="C350" s="15" t="s">
        <v>1347</v>
      </c>
      <c r="D350" s="10" t="s">
        <v>1348</v>
      </c>
      <c r="E350" s="11">
        <v>403352.23</v>
      </c>
      <c r="F350" s="11">
        <v>0</v>
      </c>
      <c r="G350" s="11">
        <f t="shared" si="15"/>
        <v>-128871.03748499999</v>
      </c>
      <c r="I350" s="12">
        <f t="shared" si="14"/>
        <v>274481.192515</v>
      </c>
      <c r="K350" s="9"/>
      <c r="M350" s="13"/>
    </row>
    <row r="351" spans="1:13" outlineLevel="2">
      <c r="A351" s="9">
        <f t="shared" si="16"/>
        <v>347</v>
      </c>
      <c r="B351" s="9" t="s">
        <v>1268</v>
      </c>
      <c r="C351" s="15" t="s">
        <v>1349</v>
      </c>
      <c r="D351" s="10" t="s">
        <v>1350</v>
      </c>
      <c r="E351" s="11">
        <v>79113.22</v>
      </c>
      <c r="F351" s="11">
        <v>0</v>
      </c>
      <c r="G351" s="11">
        <f t="shared" si="15"/>
        <v>-25276.673790000001</v>
      </c>
      <c r="I351" s="12">
        <f t="shared" si="14"/>
        <v>53836.54621</v>
      </c>
      <c r="K351" s="9"/>
      <c r="M351" s="13"/>
    </row>
    <row r="352" spans="1:13" outlineLevel="2">
      <c r="A352" s="9">
        <f t="shared" si="16"/>
        <v>348</v>
      </c>
      <c r="B352" s="9" t="s">
        <v>1268</v>
      </c>
      <c r="C352" s="15" t="s">
        <v>1351</v>
      </c>
      <c r="D352" s="10" t="s">
        <v>1352</v>
      </c>
      <c r="E352" s="11">
        <v>1821.43</v>
      </c>
      <c r="F352" s="11">
        <v>0</v>
      </c>
      <c r="G352" s="11">
        <f t="shared" si="15"/>
        <v>-581.94688500000007</v>
      </c>
      <c r="I352" s="12">
        <f t="shared" si="14"/>
        <v>1239.483115</v>
      </c>
      <c r="K352" s="9"/>
      <c r="M352" s="13"/>
    </row>
    <row r="353" spans="1:13" outlineLevel="2">
      <c r="A353" s="9">
        <f t="shared" si="16"/>
        <v>349</v>
      </c>
      <c r="B353" s="9" t="s">
        <v>1268</v>
      </c>
      <c r="C353" s="15" t="s">
        <v>1353</v>
      </c>
      <c r="D353" s="10" t="s">
        <v>1354</v>
      </c>
      <c r="E353" s="11">
        <v>79274.58</v>
      </c>
      <c r="F353" s="11">
        <v>0</v>
      </c>
      <c r="G353" s="11">
        <f t="shared" si="15"/>
        <v>-25328.228310000002</v>
      </c>
      <c r="I353" s="12">
        <f t="shared" si="14"/>
        <v>53946.351689999996</v>
      </c>
      <c r="K353" s="9"/>
      <c r="M353" s="13"/>
    </row>
    <row r="354" spans="1:13" outlineLevel="2">
      <c r="A354" s="9">
        <f t="shared" si="16"/>
        <v>350</v>
      </c>
      <c r="B354" s="9" t="s">
        <v>1268</v>
      </c>
      <c r="C354" s="15" t="s">
        <v>1355</v>
      </c>
      <c r="D354" s="10" t="s">
        <v>1356</v>
      </c>
      <c r="E354" s="11">
        <v>151424.91</v>
      </c>
      <c r="F354" s="11">
        <v>0</v>
      </c>
      <c r="G354" s="11">
        <f t="shared" si="15"/>
        <v>-48380.258744999999</v>
      </c>
      <c r="I354" s="12">
        <f t="shared" si="14"/>
        <v>103044.651255</v>
      </c>
      <c r="K354" s="9"/>
      <c r="M354" s="13"/>
    </row>
    <row r="355" spans="1:13" outlineLevel="2">
      <c r="A355" s="9">
        <f t="shared" si="16"/>
        <v>351</v>
      </c>
      <c r="B355" s="9" t="s">
        <v>1268</v>
      </c>
      <c r="C355" s="15" t="s">
        <v>1357</v>
      </c>
      <c r="D355" s="10" t="s">
        <v>1358</v>
      </c>
      <c r="E355" s="11">
        <v>240323.88</v>
      </c>
      <c r="F355" s="11">
        <v>0</v>
      </c>
      <c r="G355" s="11">
        <f>-(E355*$J$314)</f>
        <v>-76783.479659999997</v>
      </c>
      <c r="I355" s="12">
        <f t="shared" si="14"/>
        <v>163540.40033999999</v>
      </c>
      <c r="K355" s="9"/>
      <c r="M355" s="13"/>
    </row>
    <row r="356" spans="1:13" outlineLevel="2">
      <c r="A356" s="9">
        <f t="shared" si="16"/>
        <v>352</v>
      </c>
      <c r="B356" s="9" t="s">
        <v>1268</v>
      </c>
      <c r="C356" s="15" t="s">
        <v>1359</v>
      </c>
      <c r="D356" s="10" t="s">
        <v>1360</v>
      </c>
      <c r="E356" s="11">
        <v>211379.48</v>
      </c>
      <c r="F356" s="11">
        <v>0</v>
      </c>
      <c r="G356" s="11">
        <f t="shared" si="15"/>
        <v>-67535.743860000002</v>
      </c>
      <c r="I356" s="12">
        <f t="shared" si="14"/>
        <v>143843.73613999999</v>
      </c>
      <c r="K356" s="9"/>
      <c r="M356" s="13"/>
    </row>
    <row r="357" spans="1:13" outlineLevel="2">
      <c r="A357" s="9">
        <f t="shared" si="16"/>
        <v>353</v>
      </c>
      <c r="B357" s="9" t="s">
        <v>1268</v>
      </c>
      <c r="C357" s="15" t="s">
        <v>1361</v>
      </c>
      <c r="D357" s="10" t="s">
        <v>1362</v>
      </c>
      <c r="E357" s="11">
        <v>814134.54</v>
      </c>
      <c r="F357" s="11">
        <v>0</v>
      </c>
      <c r="G357" s="11">
        <f t="shared" si="15"/>
        <v>-260115.98553000001</v>
      </c>
      <c r="I357" s="12">
        <f t="shared" si="14"/>
        <v>554018.55447000009</v>
      </c>
      <c r="K357" s="9"/>
      <c r="M357" s="13"/>
    </row>
    <row r="358" spans="1:13" outlineLevel="2">
      <c r="A358" s="9">
        <f t="shared" si="16"/>
        <v>354</v>
      </c>
      <c r="B358" s="9" t="s">
        <v>1268</v>
      </c>
      <c r="C358" s="15" t="s">
        <v>1363</v>
      </c>
      <c r="D358" s="10" t="s">
        <v>1364</v>
      </c>
      <c r="E358" s="11">
        <v>200661.38</v>
      </c>
      <c r="F358" s="11">
        <v>0</v>
      </c>
      <c r="G358" s="11">
        <f t="shared" si="15"/>
        <v>-64111.31091</v>
      </c>
      <c r="I358" s="12">
        <f t="shared" si="14"/>
        <v>136550.06909</v>
      </c>
      <c r="K358" s="9"/>
      <c r="M358" s="13"/>
    </row>
    <row r="359" spans="1:13" outlineLevel="2">
      <c r="A359" s="9">
        <f t="shared" si="16"/>
        <v>355</v>
      </c>
      <c r="B359" s="9" t="s">
        <v>1268</v>
      </c>
      <c r="C359" s="15" t="s">
        <v>1365</v>
      </c>
      <c r="D359" s="10" t="s">
        <v>1366</v>
      </c>
      <c r="E359" s="11">
        <v>99569.22</v>
      </c>
      <c r="F359" s="11">
        <v>0</v>
      </c>
      <c r="G359" s="11">
        <f t="shared" si="15"/>
        <v>-31812.36579</v>
      </c>
      <c r="I359" s="12">
        <f t="shared" si="14"/>
        <v>67756.854210000005</v>
      </c>
      <c r="K359" s="9"/>
      <c r="M359" s="13"/>
    </row>
    <row r="360" spans="1:13" outlineLevel="2">
      <c r="A360" s="9">
        <f t="shared" si="16"/>
        <v>356</v>
      </c>
      <c r="B360" s="9" t="s">
        <v>1268</v>
      </c>
      <c r="C360" s="15" t="s">
        <v>1367</v>
      </c>
      <c r="D360" s="10" t="s">
        <v>1368</v>
      </c>
      <c r="E360" s="11">
        <v>2527</v>
      </c>
      <c r="F360" s="11">
        <v>0</v>
      </c>
      <c r="G360" s="11">
        <f t="shared" si="15"/>
        <v>-807.37649999999996</v>
      </c>
      <c r="I360" s="12">
        <f t="shared" si="14"/>
        <v>1719.6235000000001</v>
      </c>
      <c r="K360" s="9"/>
      <c r="M360" s="13"/>
    </row>
    <row r="361" spans="1:13" outlineLevel="2">
      <c r="A361" s="9">
        <f t="shared" si="16"/>
        <v>357</v>
      </c>
      <c r="B361" s="9" t="s">
        <v>1268</v>
      </c>
      <c r="C361" s="15" t="s">
        <v>1369</v>
      </c>
      <c r="D361" s="10" t="s">
        <v>1370</v>
      </c>
      <c r="E361" s="11">
        <v>76407.48</v>
      </c>
      <c r="F361" s="11">
        <v>0</v>
      </c>
      <c r="G361" s="11">
        <f t="shared" si="15"/>
        <v>-24412.189859999999</v>
      </c>
      <c r="I361" s="12">
        <f t="shared" si="14"/>
        <v>51995.290139999997</v>
      </c>
      <c r="K361" s="9"/>
      <c r="M361" s="13"/>
    </row>
    <row r="362" spans="1:13" outlineLevel="2">
      <c r="A362" s="9">
        <f t="shared" si="16"/>
        <v>358</v>
      </c>
      <c r="B362" s="9" t="s">
        <v>1268</v>
      </c>
      <c r="C362" s="15" t="s">
        <v>1371</v>
      </c>
      <c r="D362" s="10" t="s">
        <v>1372</v>
      </c>
      <c r="E362" s="11">
        <v>206549.66</v>
      </c>
      <c r="F362" s="11">
        <v>0</v>
      </c>
      <c r="G362" s="11">
        <f t="shared" si="15"/>
        <v>-65992.616370000003</v>
      </c>
      <c r="I362" s="12">
        <f t="shared" si="14"/>
        <v>140557.04363</v>
      </c>
      <c r="K362" s="9"/>
      <c r="M362" s="13"/>
    </row>
    <row r="363" spans="1:13" outlineLevel="2">
      <c r="A363" s="9">
        <f t="shared" si="16"/>
        <v>359</v>
      </c>
      <c r="B363" s="9" t="s">
        <v>1268</v>
      </c>
      <c r="C363" s="15" t="s">
        <v>1373</v>
      </c>
      <c r="D363" s="10" t="s">
        <v>1374</v>
      </c>
      <c r="E363" s="11">
        <v>211742.81</v>
      </c>
      <c r="F363" s="11">
        <v>0</v>
      </c>
      <c r="G363" s="11">
        <f t="shared" si="15"/>
        <v>-67651.827795000005</v>
      </c>
      <c r="I363" s="12">
        <f t="shared" si="14"/>
        <v>144090.98220500001</v>
      </c>
      <c r="K363" s="9"/>
      <c r="M363" s="13"/>
    </row>
    <row r="364" spans="1:13" outlineLevel="2">
      <c r="A364" s="9">
        <f t="shared" si="16"/>
        <v>360</v>
      </c>
      <c r="B364" s="9" t="s">
        <v>1268</v>
      </c>
      <c r="C364" s="15" t="s">
        <v>1375</v>
      </c>
      <c r="D364" s="10" t="s">
        <v>1376</v>
      </c>
      <c r="E364" s="11">
        <v>109866.21</v>
      </c>
      <c r="G364" s="11">
        <f t="shared" si="15"/>
        <v>-35102.254095000004</v>
      </c>
      <c r="I364" s="12">
        <f t="shared" si="14"/>
        <v>74763.95590500001</v>
      </c>
      <c r="K364" s="9"/>
      <c r="M364" s="13"/>
    </row>
    <row r="365" spans="1:13" outlineLevel="2">
      <c r="A365" s="9">
        <f t="shared" si="16"/>
        <v>361</v>
      </c>
      <c r="B365" s="9" t="s">
        <v>1268</v>
      </c>
      <c r="C365" s="15" t="s">
        <v>1377</v>
      </c>
      <c r="D365" s="10" t="s">
        <v>1378</v>
      </c>
      <c r="E365" s="11">
        <v>498567.41</v>
      </c>
      <c r="F365" s="11">
        <v>0</v>
      </c>
      <c r="G365" s="11">
        <f>-(E365*$J$314)</f>
        <v>-159292.287495</v>
      </c>
      <c r="I365" s="12">
        <f t="shared" si="14"/>
        <v>339275.12250499998</v>
      </c>
      <c r="K365" s="9"/>
      <c r="M365" s="13"/>
    </row>
    <row r="366" spans="1:13" outlineLevel="2">
      <c r="A366" s="9">
        <f t="shared" si="16"/>
        <v>362</v>
      </c>
      <c r="B366" s="9" t="s">
        <v>1268</v>
      </c>
      <c r="C366" s="15" t="s">
        <v>1379</v>
      </c>
      <c r="D366" s="10" t="s">
        <v>1380</v>
      </c>
      <c r="E366" s="11">
        <v>68763.06</v>
      </c>
      <c r="F366" s="11">
        <v>0</v>
      </c>
      <c r="G366" s="11">
        <f t="shared" si="15"/>
        <v>-21969.79767</v>
      </c>
      <c r="I366" s="12">
        <f t="shared" si="14"/>
        <v>46793.262329999998</v>
      </c>
      <c r="K366" s="9"/>
      <c r="M366" s="13"/>
    </row>
    <row r="367" spans="1:13" outlineLevel="2">
      <c r="A367" s="9">
        <f t="shared" si="16"/>
        <v>363</v>
      </c>
      <c r="B367" s="9" t="s">
        <v>1268</v>
      </c>
      <c r="C367" s="15" t="s">
        <v>1381</v>
      </c>
      <c r="D367" s="10" t="s">
        <v>1382</v>
      </c>
      <c r="E367" s="11">
        <v>70574.899999999994</v>
      </c>
      <c r="F367" s="11">
        <v>0</v>
      </c>
      <c r="G367" s="11">
        <f t="shared" si="15"/>
        <v>-22548.680549999997</v>
      </c>
      <c r="I367" s="12">
        <f t="shared" si="14"/>
        <v>48026.219449999997</v>
      </c>
      <c r="K367" s="9"/>
      <c r="M367" s="13"/>
    </row>
    <row r="368" spans="1:13" outlineLevel="2">
      <c r="A368" s="9">
        <f t="shared" si="16"/>
        <v>364</v>
      </c>
      <c r="B368" s="9" t="s">
        <v>1268</v>
      </c>
      <c r="C368" s="15" t="s">
        <v>1383</v>
      </c>
      <c r="D368" s="10" t="s">
        <v>1384</v>
      </c>
      <c r="E368" s="11">
        <v>132263.39000000001</v>
      </c>
      <c r="F368" s="11">
        <v>0</v>
      </c>
      <c r="G368" s="11">
        <f t="shared" si="15"/>
        <v>-42258.153105000005</v>
      </c>
      <c r="I368" s="12">
        <f t="shared" si="14"/>
        <v>90005.236895000009</v>
      </c>
      <c r="K368" s="9"/>
      <c r="M368" s="13"/>
    </row>
    <row r="369" spans="1:13" outlineLevel="2">
      <c r="A369" s="9">
        <f t="shared" si="16"/>
        <v>365</v>
      </c>
      <c r="B369" s="9" t="s">
        <v>1268</v>
      </c>
      <c r="C369" s="15" t="s">
        <v>1385</v>
      </c>
      <c r="D369" s="10" t="s">
        <v>1386</v>
      </c>
      <c r="E369" s="11">
        <v>97511.52</v>
      </c>
      <c r="F369" s="11">
        <v>0</v>
      </c>
      <c r="G369" s="11">
        <f t="shared" si="15"/>
        <v>-31154.930640000002</v>
      </c>
      <c r="I369" s="12">
        <f t="shared" si="14"/>
        <v>66356.589359999998</v>
      </c>
      <c r="K369" s="9"/>
      <c r="M369" s="13"/>
    </row>
    <row r="370" spans="1:13" outlineLevel="2">
      <c r="A370" s="9">
        <f t="shared" si="16"/>
        <v>366</v>
      </c>
      <c r="B370" s="9" t="s">
        <v>1268</v>
      </c>
      <c r="C370" s="15" t="s">
        <v>1387</v>
      </c>
      <c r="D370" s="10" t="s">
        <v>1388</v>
      </c>
      <c r="E370" s="11">
        <v>423028.52</v>
      </c>
      <c r="F370" s="11">
        <v>0</v>
      </c>
      <c r="G370" s="11">
        <f t="shared" si="15"/>
        <v>-135157.61214000001</v>
      </c>
      <c r="I370" s="12">
        <f t="shared" si="14"/>
        <v>287870.90786000004</v>
      </c>
      <c r="K370" s="9"/>
      <c r="M370" s="13"/>
    </row>
    <row r="371" spans="1:13" outlineLevel="2">
      <c r="A371" s="9">
        <f t="shared" si="16"/>
        <v>367</v>
      </c>
      <c r="B371" s="9" t="s">
        <v>1268</v>
      </c>
      <c r="C371" s="15" t="s">
        <v>1389</v>
      </c>
      <c r="D371" s="10" t="s">
        <v>1390</v>
      </c>
      <c r="E371" s="11">
        <v>105589.24</v>
      </c>
      <c r="F371" s="11">
        <v>0</v>
      </c>
      <c r="G371" s="11">
        <f t="shared" si="15"/>
        <v>-33735.762180000005</v>
      </c>
      <c r="I371" s="12">
        <f t="shared" si="14"/>
        <v>71853.47782</v>
      </c>
      <c r="K371" s="9"/>
      <c r="M371" s="13"/>
    </row>
    <row r="372" spans="1:13" outlineLevel="2">
      <c r="A372" s="9">
        <f t="shared" si="16"/>
        <v>368</v>
      </c>
      <c r="B372" s="9" t="s">
        <v>1268</v>
      </c>
      <c r="C372" s="15" t="s">
        <v>1391</v>
      </c>
      <c r="D372" s="10" t="s">
        <v>1392</v>
      </c>
      <c r="E372" s="11">
        <v>785698.39</v>
      </c>
      <c r="G372" s="11">
        <f t="shared" si="15"/>
        <v>-251030.63560500002</v>
      </c>
      <c r="I372" s="12">
        <f t="shared" si="14"/>
        <v>534667.75439499994</v>
      </c>
      <c r="K372" s="9"/>
      <c r="M372" s="13"/>
    </row>
    <row r="373" spans="1:13" outlineLevel="2">
      <c r="A373" s="9">
        <f t="shared" si="16"/>
        <v>369</v>
      </c>
      <c r="B373" s="9" t="s">
        <v>1268</v>
      </c>
      <c r="C373" s="15" t="s">
        <v>1393</v>
      </c>
      <c r="D373" s="10" t="s">
        <v>1394</v>
      </c>
      <c r="E373" s="11">
        <v>99222.88</v>
      </c>
      <c r="F373" s="11">
        <v>0</v>
      </c>
      <c r="G373" s="11">
        <f t="shared" si="15"/>
        <v>-31701.710160000002</v>
      </c>
      <c r="I373" s="12">
        <f t="shared" si="14"/>
        <v>67521.169840000002</v>
      </c>
      <c r="K373" s="9"/>
      <c r="M373" s="13"/>
    </row>
    <row r="374" spans="1:13" outlineLevel="2">
      <c r="A374" s="9">
        <f t="shared" si="16"/>
        <v>370</v>
      </c>
      <c r="B374" s="9" t="s">
        <v>1268</v>
      </c>
      <c r="C374" s="15" t="s">
        <v>1395</v>
      </c>
      <c r="D374" s="10" t="s">
        <v>1396</v>
      </c>
      <c r="E374" s="11">
        <v>301613.96999999997</v>
      </c>
      <c r="F374" s="11">
        <v>0</v>
      </c>
      <c r="G374" s="11">
        <f t="shared" si="15"/>
        <v>-96365.663414999988</v>
      </c>
      <c r="I374" s="12">
        <f t="shared" si="14"/>
        <v>205248.30658499998</v>
      </c>
      <c r="K374" s="9"/>
      <c r="M374" s="13"/>
    </row>
    <row r="375" spans="1:13" outlineLevel="2">
      <c r="A375" s="9">
        <f t="shared" si="16"/>
        <v>371</v>
      </c>
      <c r="B375" s="9" t="s">
        <v>1268</v>
      </c>
      <c r="C375" s="15" t="s">
        <v>1397</v>
      </c>
      <c r="D375" s="10" t="s">
        <v>1398</v>
      </c>
      <c r="E375" s="11">
        <v>423094</v>
      </c>
      <c r="F375" s="11">
        <v>0</v>
      </c>
      <c r="G375" s="11">
        <f t="shared" si="15"/>
        <v>-135178.533</v>
      </c>
      <c r="I375" s="12">
        <f t="shared" si="14"/>
        <v>287915.467</v>
      </c>
      <c r="K375" s="9"/>
      <c r="M375" s="13"/>
    </row>
    <row r="376" spans="1:13" outlineLevel="2">
      <c r="A376" s="9">
        <f t="shared" si="16"/>
        <v>372</v>
      </c>
      <c r="B376" s="9" t="s">
        <v>1268</v>
      </c>
      <c r="C376" s="15" t="s">
        <v>1399</v>
      </c>
      <c r="D376" s="10" t="s">
        <v>1400</v>
      </c>
      <c r="E376" s="11">
        <v>61203.72</v>
      </c>
      <c r="F376" s="11">
        <v>0</v>
      </c>
      <c r="G376" s="11">
        <f t="shared" si="15"/>
        <v>-19554.588540000001</v>
      </c>
      <c r="I376" s="12">
        <f t="shared" si="14"/>
        <v>41649.131460000004</v>
      </c>
      <c r="K376" s="9"/>
      <c r="M376" s="13"/>
    </row>
    <row r="377" spans="1:13" outlineLevel="2">
      <c r="A377" s="9">
        <f t="shared" si="16"/>
        <v>373</v>
      </c>
      <c r="B377" s="9" t="s">
        <v>1268</v>
      </c>
      <c r="C377" s="15" t="s">
        <v>1401</v>
      </c>
      <c r="D377" s="10" t="s">
        <v>1402</v>
      </c>
      <c r="E377" s="11">
        <v>303953.87</v>
      </c>
      <c r="F377" s="11">
        <v>0</v>
      </c>
      <c r="G377" s="11">
        <f t="shared" si="15"/>
        <v>-97113.261465000003</v>
      </c>
      <c r="I377" s="12">
        <f t="shared" si="14"/>
        <v>206840.60853500001</v>
      </c>
      <c r="K377" s="9"/>
      <c r="M377" s="13"/>
    </row>
    <row r="378" spans="1:13" outlineLevel="2">
      <c r="A378" s="9">
        <f t="shared" si="16"/>
        <v>374</v>
      </c>
      <c r="B378" s="9" t="s">
        <v>1268</v>
      </c>
      <c r="C378" s="15" t="s">
        <v>1403</v>
      </c>
      <c r="D378" s="10" t="s">
        <v>1404</v>
      </c>
      <c r="E378" s="11">
        <v>80798.66</v>
      </c>
      <c r="F378" s="11">
        <v>0</v>
      </c>
      <c r="G378" s="11">
        <f>-(E378*$J$314)</f>
        <v>-25815.171870000002</v>
      </c>
      <c r="I378" s="12">
        <f t="shared" si="14"/>
        <v>54983.488129999998</v>
      </c>
      <c r="K378" s="9"/>
      <c r="M378" s="13"/>
    </row>
    <row r="379" spans="1:13" outlineLevel="2">
      <c r="A379" s="9">
        <f t="shared" si="16"/>
        <v>375</v>
      </c>
      <c r="B379" s="9" t="s">
        <v>1268</v>
      </c>
      <c r="C379" s="15" t="s">
        <v>167</v>
      </c>
      <c r="D379" s="10" t="s">
        <v>1405</v>
      </c>
      <c r="E379" s="11">
        <v>148752.31</v>
      </c>
      <c r="F379" s="11">
        <v>0</v>
      </c>
      <c r="G379" s="11">
        <f t="shared" si="15"/>
        <v>-47526.363044999998</v>
      </c>
      <c r="I379" s="12">
        <f t="shared" si="14"/>
        <v>101225.94695499999</v>
      </c>
      <c r="K379" s="9"/>
      <c r="M379" s="13"/>
    </row>
    <row r="380" spans="1:13" outlineLevel="2">
      <c r="A380" s="9">
        <f t="shared" si="16"/>
        <v>376</v>
      </c>
      <c r="B380" s="9" t="s">
        <v>1268</v>
      </c>
      <c r="C380" s="15" t="s">
        <v>1406</v>
      </c>
      <c r="D380" s="10" t="s">
        <v>1407</v>
      </c>
      <c r="E380" s="11">
        <v>325519.83</v>
      </c>
      <c r="F380" s="11">
        <v>0</v>
      </c>
      <c r="G380" s="11">
        <f t="shared" si="15"/>
        <v>-104003.58568500001</v>
      </c>
      <c r="I380" s="12">
        <f t="shared" ref="I380:I445" si="17">SUM(E380:G380)</f>
        <v>221516.24431500002</v>
      </c>
      <c r="K380" s="9"/>
      <c r="M380" s="13"/>
    </row>
    <row r="381" spans="1:13" outlineLevel="2">
      <c r="A381" s="9">
        <f t="shared" si="16"/>
        <v>377</v>
      </c>
      <c r="B381" s="9" t="s">
        <v>1268</v>
      </c>
      <c r="C381" s="15" t="s">
        <v>1408</v>
      </c>
      <c r="D381" s="10" t="s">
        <v>1409</v>
      </c>
      <c r="E381" s="11">
        <v>378095.18</v>
      </c>
      <c r="F381" s="11">
        <v>0</v>
      </c>
      <c r="G381" s="11">
        <f t="shared" si="15"/>
        <v>-120801.41001000001</v>
      </c>
      <c r="I381" s="12">
        <f t="shared" si="17"/>
        <v>257293.76999</v>
      </c>
      <c r="K381" s="9"/>
      <c r="M381" s="13"/>
    </row>
    <row r="382" spans="1:13" outlineLevel="2">
      <c r="A382" s="9">
        <f t="shared" si="16"/>
        <v>378</v>
      </c>
      <c r="B382" s="9" t="s">
        <v>1268</v>
      </c>
      <c r="C382" s="15" t="s">
        <v>1410</v>
      </c>
      <c r="D382" s="10" t="s">
        <v>1411</v>
      </c>
      <c r="E382" s="11">
        <v>272857.44</v>
      </c>
      <c r="F382" s="11">
        <v>0</v>
      </c>
      <c r="G382" s="11">
        <f t="shared" ref="G382:G404" si="18">-(E382*$J$314)</f>
        <v>-87177.952080000003</v>
      </c>
      <c r="I382" s="12">
        <f t="shared" si="17"/>
        <v>185679.48791999999</v>
      </c>
      <c r="K382" s="9"/>
      <c r="M382" s="13"/>
    </row>
    <row r="383" spans="1:13" outlineLevel="2">
      <c r="A383" s="9">
        <f t="shared" si="16"/>
        <v>379</v>
      </c>
      <c r="B383" s="9" t="s">
        <v>1268</v>
      </c>
      <c r="C383" s="15" t="s">
        <v>1412</v>
      </c>
      <c r="D383" s="10" t="s">
        <v>1413</v>
      </c>
      <c r="E383" s="11">
        <v>23846.98</v>
      </c>
      <c r="F383" s="11">
        <v>0</v>
      </c>
      <c r="G383" s="11">
        <f t="shared" si="18"/>
        <v>-7619.1101099999996</v>
      </c>
      <c r="I383" s="12">
        <f t="shared" si="17"/>
        <v>16227.86989</v>
      </c>
      <c r="K383" s="9"/>
      <c r="M383" s="13"/>
    </row>
    <row r="384" spans="1:13" outlineLevel="2">
      <c r="A384" s="9">
        <f t="shared" si="16"/>
        <v>380</v>
      </c>
      <c r="B384" s="9" t="s">
        <v>1268</v>
      </c>
      <c r="C384" s="15" t="s">
        <v>1414</v>
      </c>
      <c r="D384" s="10" t="s">
        <v>1415</v>
      </c>
      <c r="E384" s="11">
        <v>736184.44</v>
      </c>
      <c r="G384" s="11">
        <f t="shared" si="18"/>
        <v>-235210.92857999998</v>
      </c>
      <c r="I384" s="12">
        <f t="shared" si="17"/>
        <v>500973.51142</v>
      </c>
      <c r="K384" s="9"/>
      <c r="M384" s="13"/>
    </row>
    <row r="385" spans="1:13" outlineLevel="2">
      <c r="A385" s="9">
        <f t="shared" si="16"/>
        <v>381</v>
      </c>
      <c r="B385" s="9" t="s">
        <v>1268</v>
      </c>
      <c r="C385" s="15" t="s">
        <v>1416</v>
      </c>
      <c r="D385" s="10" t="s">
        <v>1417</v>
      </c>
      <c r="E385" s="11">
        <v>78926.19</v>
      </c>
      <c r="F385" s="11">
        <v>0</v>
      </c>
      <c r="G385" s="11">
        <f t="shared" si="18"/>
        <v>-25216.917705</v>
      </c>
      <c r="I385" s="12">
        <f t="shared" si="17"/>
        <v>53709.272295000002</v>
      </c>
      <c r="K385" s="9"/>
      <c r="M385" s="13"/>
    </row>
    <row r="386" spans="1:13" outlineLevel="2">
      <c r="A386" s="9">
        <f t="shared" si="16"/>
        <v>382</v>
      </c>
      <c r="B386" s="9" t="s">
        <v>1268</v>
      </c>
      <c r="C386" s="15" t="s">
        <v>1418</v>
      </c>
      <c r="D386" s="10" t="s">
        <v>1419</v>
      </c>
      <c r="E386" s="11">
        <v>109706.08</v>
      </c>
      <c r="F386" s="11">
        <v>0</v>
      </c>
      <c r="G386" s="11">
        <f t="shared" si="18"/>
        <v>-35051.092560000005</v>
      </c>
      <c r="I386" s="12">
        <f t="shared" si="17"/>
        <v>74654.987439999997</v>
      </c>
      <c r="K386" s="9"/>
      <c r="M386" s="13"/>
    </row>
    <row r="387" spans="1:13" outlineLevel="2">
      <c r="A387" s="9">
        <f t="shared" si="16"/>
        <v>383</v>
      </c>
      <c r="B387" s="9" t="s">
        <v>1268</v>
      </c>
      <c r="C387" s="15" t="s">
        <v>1420</v>
      </c>
      <c r="D387" s="10" t="s">
        <v>1421</v>
      </c>
      <c r="E387" s="11">
        <v>882588.11</v>
      </c>
      <c r="F387" s="11">
        <v>0</v>
      </c>
      <c r="G387" s="11">
        <f t="shared" si="18"/>
        <v>-281986.90114500001</v>
      </c>
      <c r="I387" s="12">
        <f t="shared" si="17"/>
        <v>600601.20885499998</v>
      </c>
      <c r="K387" s="9"/>
      <c r="M387" s="13"/>
    </row>
    <row r="388" spans="1:13" outlineLevel="2">
      <c r="A388" s="9">
        <f t="shared" si="16"/>
        <v>384</v>
      </c>
      <c r="B388" s="9" t="s">
        <v>1268</v>
      </c>
      <c r="C388" s="15" t="s">
        <v>1422</v>
      </c>
      <c r="D388" s="10" t="s">
        <v>1423</v>
      </c>
      <c r="E388" s="11">
        <v>68891.070000000007</v>
      </c>
      <c r="F388" s="11">
        <v>0</v>
      </c>
      <c r="G388" s="11">
        <f t="shared" si="18"/>
        <v>-22010.696865000002</v>
      </c>
      <c r="I388" s="12">
        <f t="shared" si="17"/>
        <v>46880.373135000002</v>
      </c>
      <c r="K388" s="9"/>
      <c r="M388" s="13"/>
    </row>
    <row r="389" spans="1:13" outlineLevel="2">
      <c r="A389" s="9">
        <f t="shared" si="16"/>
        <v>385</v>
      </c>
      <c r="B389" s="9" t="s">
        <v>1268</v>
      </c>
      <c r="C389" s="15" t="s">
        <v>1424</v>
      </c>
      <c r="D389" s="10" t="s">
        <v>1425</v>
      </c>
      <c r="E389" s="11">
        <v>302700.90999999997</v>
      </c>
      <c r="F389" s="11">
        <v>0</v>
      </c>
      <c r="G389" s="11">
        <f t="shared" si="18"/>
        <v>-96712.940745</v>
      </c>
      <c r="I389" s="12">
        <f t="shared" si="17"/>
        <v>205987.96925499997</v>
      </c>
      <c r="K389" s="9"/>
      <c r="M389" s="13"/>
    </row>
    <row r="390" spans="1:13" outlineLevel="2">
      <c r="A390" s="9">
        <f t="shared" si="16"/>
        <v>386</v>
      </c>
      <c r="B390" s="9" t="s">
        <v>1268</v>
      </c>
      <c r="C390" s="15" t="s">
        <v>1426</v>
      </c>
      <c r="D390" s="10" t="s">
        <v>1427</v>
      </c>
      <c r="E390" s="11">
        <v>22883.759999999998</v>
      </c>
      <c r="F390" s="11">
        <v>0</v>
      </c>
      <c r="G390" s="11">
        <f t="shared" si="18"/>
        <v>-7311.36132</v>
      </c>
      <c r="I390" s="12">
        <f t="shared" si="17"/>
        <v>15572.398679999998</v>
      </c>
      <c r="K390" s="9"/>
      <c r="M390" s="13"/>
    </row>
    <row r="391" spans="1:13" outlineLevel="2">
      <c r="A391" s="9">
        <f t="shared" si="16"/>
        <v>387</v>
      </c>
      <c r="B391" s="9" t="s">
        <v>1268</v>
      </c>
      <c r="C391" s="15" t="s">
        <v>1428</v>
      </c>
      <c r="D391" s="10" t="s">
        <v>1429</v>
      </c>
      <c r="E391" s="11">
        <v>157601.32</v>
      </c>
      <c r="F391" s="11">
        <v>0</v>
      </c>
      <c r="G391" s="11">
        <f t="shared" si="18"/>
        <v>-50353.621740000002</v>
      </c>
      <c r="I391" s="12">
        <f t="shared" si="17"/>
        <v>107247.69826</v>
      </c>
      <c r="K391" s="9"/>
      <c r="M391" s="13"/>
    </row>
    <row r="392" spans="1:13" outlineLevel="2">
      <c r="A392" s="9">
        <f t="shared" si="16"/>
        <v>388</v>
      </c>
      <c r="B392" s="9" t="s">
        <v>1268</v>
      </c>
      <c r="C392" s="15" t="s">
        <v>1430</v>
      </c>
      <c r="D392" s="10" t="s">
        <v>1431</v>
      </c>
      <c r="E392" s="11">
        <v>22896.21</v>
      </c>
      <c r="F392" s="11">
        <v>0</v>
      </c>
      <c r="G392" s="11">
        <f t="shared" si="18"/>
        <v>-7315.3390950000003</v>
      </c>
      <c r="I392" s="12">
        <f t="shared" si="17"/>
        <v>15580.870905</v>
      </c>
      <c r="K392" s="9"/>
      <c r="M392" s="13"/>
    </row>
    <row r="393" spans="1:13" outlineLevel="2">
      <c r="A393" s="9">
        <f t="shared" si="16"/>
        <v>389</v>
      </c>
      <c r="B393" s="9" t="s">
        <v>1268</v>
      </c>
      <c r="C393" s="15" t="s">
        <v>1432</v>
      </c>
      <c r="D393" s="10" t="s">
        <v>1433</v>
      </c>
      <c r="E393" s="11">
        <v>201837.42</v>
      </c>
      <c r="F393" s="11">
        <v>0</v>
      </c>
      <c r="G393" s="11">
        <f t="shared" si="18"/>
        <v>-64487.055690000008</v>
      </c>
      <c r="I393" s="12">
        <f t="shared" si="17"/>
        <v>137350.36431</v>
      </c>
      <c r="K393" s="9"/>
      <c r="M393" s="13"/>
    </row>
    <row r="394" spans="1:13" outlineLevel="2">
      <c r="A394" s="9">
        <f t="shared" si="16"/>
        <v>390</v>
      </c>
      <c r="B394" s="9" t="s">
        <v>1268</v>
      </c>
      <c r="C394" s="15" t="s">
        <v>1434</v>
      </c>
      <c r="D394" s="10" t="s">
        <v>1435</v>
      </c>
      <c r="E394" s="11">
        <v>85067.66</v>
      </c>
      <c r="F394" s="11">
        <v>0</v>
      </c>
      <c r="G394" s="11">
        <f t="shared" si="18"/>
        <v>-27179.11737</v>
      </c>
      <c r="I394" s="12">
        <f t="shared" si="17"/>
        <v>57888.542630000004</v>
      </c>
      <c r="K394" s="9"/>
      <c r="M394" s="13"/>
    </row>
    <row r="395" spans="1:13" outlineLevel="2">
      <c r="A395" s="9">
        <f t="shared" si="16"/>
        <v>391</v>
      </c>
      <c r="B395" s="9" t="s">
        <v>1268</v>
      </c>
      <c r="C395" s="15" t="s">
        <v>1436</v>
      </c>
      <c r="D395" s="10" t="s">
        <v>1437</v>
      </c>
      <c r="E395" s="11">
        <v>273932.39</v>
      </c>
      <c r="F395" s="11">
        <v>0</v>
      </c>
      <c r="G395" s="11">
        <f t="shared" si="18"/>
        <v>-87521.398605000009</v>
      </c>
      <c r="I395" s="12">
        <f t="shared" si="17"/>
        <v>186410.99139500002</v>
      </c>
      <c r="K395" s="9"/>
      <c r="M395" s="13"/>
    </row>
    <row r="396" spans="1:13" outlineLevel="2">
      <c r="A396" s="9">
        <f t="shared" si="16"/>
        <v>392</v>
      </c>
      <c r="B396" s="9" t="s">
        <v>1268</v>
      </c>
      <c r="C396" s="15" t="s">
        <v>1438</v>
      </c>
      <c r="D396" s="10" t="s">
        <v>1439</v>
      </c>
      <c r="E396" s="11">
        <v>210227.06</v>
      </c>
      <c r="F396" s="11">
        <v>0</v>
      </c>
      <c r="G396" s="11">
        <f t="shared" si="18"/>
        <v>-67167.545670000007</v>
      </c>
      <c r="I396" s="12">
        <f t="shared" si="17"/>
        <v>143059.51432999998</v>
      </c>
      <c r="K396" s="9"/>
      <c r="M396" s="13"/>
    </row>
    <row r="397" spans="1:13" outlineLevel="2">
      <c r="A397" s="9">
        <f t="shared" si="16"/>
        <v>393</v>
      </c>
      <c r="B397" s="9" t="s">
        <v>1268</v>
      </c>
      <c r="C397" s="15" t="s">
        <v>1440</v>
      </c>
      <c r="D397" s="10" t="s">
        <v>1441</v>
      </c>
      <c r="E397" s="11">
        <v>780864.99</v>
      </c>
      <c r="F397" s="11">
        <v>0</v>
      </c>
      <c r="G397" s="11">
        <f t="shared" si="18"/>
        <v>-249486.364305</v>
      </c>
      <c r="I397" s="12">
        <f t="shared" si="17"/>
        <v>531378.62569499994</v>
      </c>
      <c r="K397" s="9"/>
      <c r="M397" s="13"/>
    </row>
    <row r="398" spans="1:13" outlineLevel="2">
      <c r="A398" s="9">
        <f t="shared" si="16"/>
        <v>394</v>
      </c>
      <c r="B398" s="9" t="s">
        <v>1268</v>
      </c>
      <c r="C398" s="15" t="s">
        <v>1442</v>
      </c>
      <c r="D398" s="10" t="s">
        <v>1443</v>
      </c>
      <c r="E398" s="11">
        <v>90226.7</v>
      </c>
      <c r="F398" s="11">
        <v>0</v>
      </c>
      <c r="G398" s="11">
        <f t="shared" si="18"/>
        <v>-28827.430649999998</v>
      </c>
      <c r="I398" s="12">
        <f t="shared" si="17"/>
        <v>61399.269350000002</v>
      </c>
      <c r="K398" s="9"/>
      <c r="M398" s="13"/>
    </row>
    <row r="399" spans="1:13" outlineLevel="2">
      <c r="A399" s="9">
        <f t="shared" si="16"/>
        <v>395</v>
      </c>
      <c r="B399" s="9" t="s">
        <v>1268</v>
      </c>
      <c r="C399" s="15" t="s">
        <v>1444</v>
      </c>
      <c r="D399" s="10" t="s">
        <v>1445</v>
      </c>
      <c r="E399" s="11">
        <v>46981.39</v>
      </c>
      <c r="F399" s="11">
        <v>0</v>
      </c>
      <c r="G399" s="11">
        <f t="shared" si="18"/>
        <v>-15010.554104999999</v>
      </c>
      <c r="I399" s="12">
        <f t="shared" si="17"/>
        <v>31970.835895</v>
      </c>
      <c r="K399" s="9"/>
      <c r="M399" s="13"/>
    </row>
    <row r="400" spans="1:13" outlineLevel="2">
      <c r="A400" s="9">
        <f t="shared" si="16"/>
        <v>396</v>
      </c>
      <c r="B400" s="9" t="s">
        <v>1268</v>
      </c>
      <c r="C400" s="15" t="s">
        <v>1446</v>
      </c>
      <c r="D400" s="10" t="s">
        <v>1447</v>
      </c>
      <c r="E400" s="11">
        <v>267394.71999999997</v>
      </c>
      <c r="F400" s="11">
        <v>0</v>
      </c>
      <c r="G400" s="11">
        <f t="shared" si="18"/>
        <v>-85432.613039999997</v>
      </c>
      <c r="I400" s="12">
        <f t="shared" si="17"/>
        <v>181962.10695999998</v>
      </c>
      <c r="K400" s="9"/>
      <c r="M400" s="13"/>
    </row>
    <row r="401" spans="1:13" outlineLevel="2">
      <c r="A401" s="9">
        <f t="shared" si="16"/>
        <v>397</v>
      </c>
      <c r="B401" s="9" t="s">
        <v>1268</v>
      </c>
      <c r="C401" s="15" t="s">
        <v>1448</v>
      </c>
      <c r="D401" s="10" t="s">
        <v>1449</v>
      </c>
      <c r="E401" s="11">
        <v>206812.58</v>
      </c>
      <c r="F401" s="11">
        <v>0</v>
      </c>
      <c r="G401" s="11">
        <f t="shared" si="18"/>
        <v>-66076.619309999995</v>
      </c>
      <c r="I401" s="12">
        <f t="shared" si="17"/>
        <v>140735.96068999998</v>
      </c>
      <c r="K401" s="9"/>
      <c r="M401" s="13"/>
    </row>
    <row r="402" spans="1:13" outlineLevel="2">
      <c r="A402" s="9">
        <f t="shared" si="16"/>
        <v>398</v>
      </c>
      <c r="B402" s="9" t="s">
        <v>1268</v>
      </c>
      <c r="C402" s="15" t="s">
        <v>1450</v>
      </c>
      <c r="D402" s="10" t="s">
        <v>1451</v>
      </c>
      <c r="E402" s="11">
        <v>543499.84</v>
      </c>
      <c r="F402" s="11">
        <v>0</v>
      </c>
      <c r="G402" s="11">
        <f t="shared" si="18"/>
        <v>-173648.19887999998</v>
      </c>
      <c r="I402" s="12">
        <f t="shared" si="17"/>
        <v>369851.64111999999</v>
      </c>
      <c r="K402" s="9"/>
      <c r="M402" s="13"/>
    </row>
    <row r="403" spans="1:13" outlineLevel="2">
      <c r="A403" s="9">
        <f t="shared" si="16"/>
        <v>399</v>
      </c>
      <c r="B403" s="9" t="s">
        <v>1268</v>
      </c>
      <c r="C403" s="15" t="s">
        <v>1452</v>
      </c>
      <c r="D403" s="10" t="s">
        <v>1453</v>
      </c>
      <c r="E403" s="11">
        <v>941913.5</v>
      </c>
      <c r="F403" s="11">
        <v>0</v>
      </c>
      <c r="G403" s="11">
        <f t="shared" si="18"/>
        <v>-300941.36324999999</v>
      </c>
      <c r="I403" s="12">
        <f t="shared" si="17"/>
        <v>640972.13675000006</v>
      </c>
      <c r="K403" s="9"/>
      <c r="M403" s="13"/>
    </row>
    <row r="404" spans="1:13" outlineLevel="2">
      <c r="A404" s="9">
        <f t="shared" si="16"/>
        <v>400</v>
      </c>
      <c r="B404" s="9" t="s">
        <v>1268</v>
      </c>
      <c r="C404" s="15" t="s">
        <v>1454</v>
      </c>
      <c r="D404" s="10" t="s">
        <v>1455</v>
      </c>
      <c r="E404" s="11">
        <v>759357.31</v>
      </c>
      <c r="F404" s="11">
        <v>0</v>
      </c>
      <c r="G404" s="11">
        <f t="shared" si="18"/>
        <v>-242614.66054500002</v>
      </c>
      <c r="I404" s="12">
        <f t="shared" si="17"/>
        <v>516742.64945500006</v>
      </c>
      <c r="K404" s="9"/>
      <c r="M404" s="13"/>
    </row>
    <row r="405" spans="1:13" outlineLevel="2">
      <c r="A405" s="9">
        <f t="shared" si="16"/>
        <v>401</v>
      </c>
      <c r="B405" s="9" t="s">
        <v>1268</v>
      </c>
      <c r="C405" s="15" t="s">
        <v>1456</v>
      </c>
      <c r="D405" s="10" t="s">
        <v>1457</v>
      </c>
      <c r="E405" s="11">
        <v>735971.03</v>
      </c>
      <c r="F405" s="11">
        <v>0</v>
      </c>
      <c r="G405" s="11">
        <f>-(E405*$J$314)</f>
        <v>-235142.74408500001</v>
      </c>
      <c r="I405" s="12">
        <f t="shared" si="17"/>
        <v>500828.28591500001</v>
      </c>
      <c r="K405" s="9"/>
      <c r="M405" s="13"/>
    </row>
    <row r="406" spans="1:13" outlineLevel="2">
      <c r="A406" s="9">
        <f t="shared" si="16"/>
        <v>402</v>
      </c>
      <c r="B406" s="9" t="s">
        <v>1268</v>
      </c>
      <c r="C406" s="15" t="s">
        <v>1458</v>
      </c>
      <c r="D406" s="10" t="s">
        <v>1459</v>
      </c>
      <c r="E406" s="11">
        <v>48470.16</v>
      </c>
      <c r="F406" s="11">
        <v>0</v>
      </c>
      <c r="G406" s="11">
        <f t="shared" ref="G406:G420" si="19">-(E406*$J$314)</f>
        <v>-15486.216120000001</v>
      </c>
      <c r="I406" s="12">
        <f t="shared" si="17"/>
        <v>32983.943880000006</v>
      </c>
      <c r="K406" s="9"/>
      <c r="M406" s="13"/>
    </row>
    <row r="407" spans="1:13" outlineLevel="2">
      <c r="A407" s="9">
        <f t="shared" ref="A407:A472" si="20">A406+1</f>
        <v>403</v>
      </c>
      <c r="B407" s="9" t="s">
        <v>1268</v>
      </c>
      <c r="C407" s="15" t="s">
        <v>1460</v>
      </c>
      <c r="D407" s="10" t="s">
        <v>1461</v>
      </c>
      <c r="E407" s="11">
        <v>64370.11</v>
      </c>
      <c r="F407" s="11">
        <v>0</v>
      </c>
      <c r="G407" s="11">
        <f t="shared" si="19"/>
        <v>-20566.250145000002</v>
      </c>
      <c r="I407" s="12">
        <f t="shared" si="17"/>
        <v>43803.859855000002</v>
      </c>
      <c r="K407" s="9"/>
      <c r="M407" s="13"/>
    </row>
    <row r="408" spans="1:13" outlineLevel="2">
      <c r="A408" s="9">
        <f t="shared" si="20"/>
        <v>404</v>
      </c>
      <c r="B408" s="9" t="s">
        <v>1268</v>
      </c>
      <c r="C408" s="15" t="s">
        <v>1462</v>
      </c>
      <c r="D408" s="10" t="s">
        <v>1463</v>
      </c>
      <c r="E408" s="11">
        <v>330604.18</v>
      </c>
      <c r="G408" s="11">
        <f t="shared" si="19"/>
        <v>-105628.03551</v>
      </c>
      <c r="I408" s="12">
        <f t="shared" si="17"/>
        <v>224976.14448999998</v>
      </c>
      <c r="K408" s="9"/>
      <c r="M408" s="13"/>
    </row>
    <row r="409" spans="1:13" outlineLevel="2">
      <c r="A409" s="9">
        <f t="shared" si="20"/>
        <v>405</v>
      </c>
      <c r="B409" s="9" t="s">
        <v>1268</v>
      </c>
      <c r="C409" s="15" t="s">
        <v>1464</v>
      </c>
      <c r="D409" s="10" t="s">
        <v>1465</v>
      </c>
      <c r="E409" s="11">
        <v>54516.4</v>
      </c>
      <c r="F409" s="11">
        <v>0</v>
      </c>
      <c r="G409" s="11">
        <f t="shared" si="19"/>
        <v>-17417.989799999999</v>
      </c>
      <c r="I409" s="12">
        <f t="shared" si="17"/>
        <v>37098.410199999998</v>
      </c>
      <c r="K409" s="9"/>
      <c r="M409" s="13"/>
    </row>
    <row r="410" spans="1:13" outlineLevel="2">
      <c r="A410" s="9">
        <f t="shared" si="20"/>
        <v>406</v>
      </c>
      <c r="B410" s="9" t="s">
        <v>1268</v>
      </c>
      <c r="C410" s="15" t="s">
        <v>1466</v>
      </c>
      <c r="D410" s="10" t="s">
        <v>1467</v>
      </c>
      <c r="E410" s="11">
        <v>32444.86</v>
      </c>
      <c r="F410" s="11">
        <v>0</v>
      </c>
      <c r="G410" s="11">
        <f t="shared" si="19"/>
        <v>-10366.13277</v>
      </c>
      <c r="I410" s="12">
        <f t="shared" si="17"/>
        <v>22078.72723</v>
      </c>
      <c r="K410" s="9"/>
      <c r="M410" s="13"/>
    </row>
    <row r="411" spans="1:13" outlineLevel="2">
      <c r="A411" s="9">
        <f t="shared" si="20"/>
        <v>407</v>
      </c>
      <c r="B411" s="9" t="s">
        <v>1268</v>
      </c>
      <c r="C411" s="15" t="s">
        <v>1468</v>
      </c>
      <c r="D411" s="10" t="s">
        <v>1469</v>
      </c>
      <c r="E411" s="11">
        <v>794469.24</v>
      </c>
      <c r="F411" s="11">
        <v>0</v>
      </c>
      <c r="G411" s="11">
        <f t="shared" si="19"/>
        <v>-253832.92217999999</v>
      </c>
      <c r="I411" s="12">
        <f t="shared" si="17"/>
        <v>540636.31782</v>
      </c>
      <c r="K411" s="9"/>
      <c r="M411" s="13"/>
    </row>
    <row r="412" spans="1:13" outlineLevel="2">
      <c r="A412" s="9">
        <f t="shared" si="20"/>
        <v>408</v>
      </c>
      <c r="B412" s="9" t="s">
        <v>1268</v>
      </c>
      <c r="C412" s="15" t="s">
        <v>1470</v>
      </c>
      <c r="D412" s="10" t="s">
        <v>1471</v>
      </c>
      <c r="E412" s="11">
        <v>69987.59</v>
      </c>
      <c r="F412" s="11">
        <v>0</v>
      </c>
      <c r="G412" s="11">
        <f t="shared" si="19"/>
        <v>-22361.035004999998</v>
      </c>
      <c r="I412" s="12">
        <f t="shared" si="17"/>
        <v>47626.554994999999</v>
      </c>
      <c r="K412" s="9"/>
      <c r="M412" s="13"/>
    </row>
    <row r="413" spans="1:13" outlineLevel="2">
      <c r="A413" s="9">
        <f t="shared" si="20"/>
        <v>409</v>
      </c>
      <c r="B413" s="9" t="s">
        <v>1268</v>
      </c>
      <c r="C413" s="15" t="s">
        <v>1472</v>
      </c>
      <c r="D413" s="10" t="s">
        <v>1473</v>
      </c>
      <c r="E413" s="11">
        <v>172792.24</v>
      </c>
      <c r="F413" s="11">
        <v>0</v>
      </c>
      <c r="G413" s="11">
        <f t="shared" si="19"/>
        <v>-55207.12068</v>
      </c>
      <c r="I413" s="12">
        <f t="shared" si="17"/>
        <v>117585.11932</v>
      </c>
      <c r="K413" s="9"/>
      <c r="M413" s="13"/>
    </row>
    <row r="414" spans="1:13" outlineLevel="2">
      <c r="A414" s="9">
        <f t="shared" si="20"/>
        <v>410</v>
      </c>
      <c r="B414" s="9" t="s">
        <v>1268</v>
      </c>
      <c r="C414" s="15" t="s">
        <v>1474</v>
      </c>
      <c r="D414" s="10" t="s">
        <v>1475</v>
      </c>
      <c r="E414" s="11">
        <v>291093.93</v>
      </c>
      <c r="F414" s="11">
        <v>0</v>
      </c>
      <c r="G414" s="11">
        <f t="shared" si="19"/>
        <v>-93004.510634999999</v>
      </c>
      <c r="I414" s="12">
        <f t="shared" si="17"/>
        <v>198089.41936499998</v>
      </c>
      <c r="K414" s="9"/>
      <c r="M414" s="13"/>
    </row>
    <row r="415" spans="1:13" outlineLevel="2">
      <c r="A415" s="9">
        <f t="shared" si="20"/>
        <v>411</v>
      </c>
      <c r="B415" s="9" t="s">
        <v>1268</v>
      </c>
      <c r="C415" s="15" t="s">
        <v>1476</v>
      </c>
      <c r="D415" s="10" t="s">
        <v>1477</v>
      </c>
      <c r="E415" s="11">
        <v>187938.56</v>
      </c>
      <c r="F415" s="11">
        <v>0</v>
      </c>
      <c r="G415" s="11">
        <f t="shared" si="19"/>
        <v>-60046.369919999997</v>
      </c>
      <c r="I415" s="12">
        <f t="shared" si="17"/>
        <v>127892.19008</v>
      </c>
      <c r="K415" s="9"/>
      <c r="M415" s="13"/>
    </row>
    <row r="416" spans="1:13" outlineLevel="2">
      <c r="A416" s="9">
        <f t="shared" si="20"/>
        <v>412</v>
      </c>
      <c r="B416" s="9" t="s">
        <v>1268</v>
      </c>
      <c r="C416" s="15" t="s">
        <v>1478</v>
      </c>
      <c r="D416" s="10" t="s">
        <v>1479</v>
      </c>
      <c r="E416" s="11">
        <v>542296.30000000005</v>
      </c>
      <c r="F416" s="11">
        <v>0</v>
      </c>
      <c r="G416" s="11">
        <f t="shared" si="19"/>
        <v>-173263.66785000003</v>
      </c>
      <c r="I416" s="12">
        <f t="shared" si="17"/>
        <v>369032.63215000002</v>
      </c>
      <c r="K416" s="9"/>
      <c r="M416" s="13"/>
    </row>
    <row r="417" spans="1:13" outlineLevel="2">
      <c r="A417" s="9">
        <f t="shared" si="20"/>
        <v>413</v>
      </c>
      <c r="B417" s="9" t="s">
        <v>1268</v>
      </c>
      <c r="C417" s="15" t="s">
        <v>1480</v>
      </c>
      <c r="D417" s="10" t="s">
        <v>1481</v>
      </c>
      <c r="E417" s="11">
        <v>15011.61</v>
      </c>
      <c r="F417" s="11">
        <v>0</v>
      </c>
      <c r="G417" s="11">
        <f t="shared" si="19"/>
        <v>-4796.2093949999999</v>
      </c>
      <c r="I417" s="12">
        <f t="shared" si="17"/>
        <v>10215.400605000001</v>
      </c>
      <c r="K417" s="9"/>
      <c r="M417" s="13"/>
    </row>
    <row r="418" spans="1:13" outlineLevel="2">
      <c r="A418" s="9">
        <f t="shared" si="20"/>
        <v>414</v>
      </c>
      <c r="B418" s="9" t="s">
        <v>1268</v>
      </c>
      <c r="C418" s="15" t="s">
        <v>1482</v>
      </c>
      <c r="D418" s="10" t="s">
        <v>1483</v>
      </c>
      <c r="E418" s="11">
        <v>125057.06</v>
      </c>
      <c r="F418" s="11">
        <v>0</v>
      </c>
      <c r="G418" s="11">
        <f t="shared" si="19"/>
        <v>-39955.730669999997</v>
      </c>
      <c r="I418" s="12">
        <f t="shared" si="17"/>
        <v>85101.329330000008</v>
      </c>
      <c r="K418" s="9"/>
      <c r="M418" s="13"/>
    </row>
    <row r="419" spans="1:13" outlineLevel="2">
      <c r="A419" s="9">
        <f t="shared" si="20"/>
        <v>415</v>
      </c>
      <c r="B419" s="9" t="s">
        <v>1268</v>
      </c>
      <c r="C419" s="15" t="s">
        <v>1484</v>
      </c>
      <c r="D419" s="10" t="s">
        <v>1485</v>
      </c>
      <c r="E419" s="11">
        <v>133450.65</v>
      </c>
      <c r="F419" s="11">
        <v>0</v>
      </c>
      <c r="G419" s="11">
        <f t="shared" si="19"/>
        <v>-42637.482674999999</v>
      </c>
      <c r="I419" s="12">
        <f t="shared" si="17"/>
        <v>90813.167324999988</v>
      </c>
      <c r="K419" s="9"/>
      <c r="M419" s="13"/>
    </row>
    <row r="420" spans="1:13" outlineLevel="2">
      <c r="A420" s="9">
        <f t="shared" si="20"/>
        <v>416</v>
      </c>
      <c r="B420" s="9" t="s">
        <v>1268</v>
      </c>
      <c r="C420" s="15" t="s">
        <v>1486</v>
      </c>
      <c r="D420" s="10" t="s">
        <v>1487</v>
      </c>
      <c r="E420" s="11">
        <v>216330.02</v>
      </c>
      <c r="F420" s="11">
        <v>0</v>
      </c>
      <c r="G420" s="11">
        <f t="shared" si="19"/>
        <v>-69117.441389999993</v>
      </c>
      <c r="I420" s="12">
        <f t="shared" si="17"/>
        <v>147212.57861</v>
      </c>
      <c r="K420" s="9"/>
      <c r="M420" s="13"/>
    </row>
    <row r="421" spans="1:13" outlineLevel="2">
      <c r="A421" s="9">
        <f t="shared" si="20"/>
        <v>417</v>
      </c>
      <c r="B421" s="9" t="s">
        <v>1268</v>
      </c>
      <c r="C421" s="15" t="s">
        <v>1488</v>
      </c>
      <c r="D421" s="10" t="s">
        <v>1489</v>
      </c>
      <c r="E421" s="11">
        <v>577873.56000000006</v>
      </c>
      <c r="F421" s="11">
        <v>0</v>
      </c>
      <c r="G421" s="11">
        <f>-(E421*$J$314)</f>
        <v>-184630.60242000001</v>
      </c>
      <c r="I421" s="12">
        <f t="shared" si="17"/>
        <v>393242.95758000005</v>
      </c>
      <c r="K421" s="9"/>
      <c r="M421" s="13"/>
    </row>
    <row r="422" spans="1:13" outlineLevel="2">
      <c r="A422" s="9">
        <f t="shared" si="20"/>
        <v>418</v>
      </c>
      <c r="B422" s="9" t="s">
        <v>1268</v>
      </c>
      <c r="C422" s="15" t="s">
        <v>1490</v>
      </c>
      <c r="D422" s="10" t="s">
        <v>1491</v>
      </c>
      <c r="E422" s="11">
        <v>373458.6</v>
      </c>
      <c r="F422" s="11">
        <v>0</v>
      </c>
      <c r="G422" s="11">
        <f t="shared" ref="G422:G438" si="21">-(E422*$J$314)</f>
        <v>-119320.0227</v>
      </c>
      <c r="I422" s="12">
        <f t="shared" si="17"/>
        <v>254138.57729999998</v>
      </c>
      <c r="K422" s="9"/>
      <c r="M422" s="13"/>
    </row>
    <row r="423" spans="1:13" outlineLevel="2">
      <c r="A423" s="9">
        <f t="shared" si="20"/>
        <v>419</v>
      </c>
      <c r="B423" s="9" t="s">
        <v>1268</v>
      </c>
      <c r="C423" s="15" t="s">
        <v>1492</v>
      </c>
      <c r="D423" s="10" t="s">
        <v>1493</v>
      </c>
      <c r="E423" s="11">
        <v>2626361.89</v>
      </c>
      <c r="F423" s="11">
        <v>0</v>
      </c>
      <c r="G423" s="11">
        <f t="shared" si="21"/>
        <v>-839122.62385500001</v>
      </c>
      <c r="I423" s="12">
        <f t="shared" si="17"/>
        <v>1787239.2661450002</v>
      </c>
      <c r="K423" s="9"/>
      <c r="M423" s="13"/>
    </row>
    <row r="424" spans="1:13" outlineLevel="2">
      <c r="A424" s="9">
        <f t="shared" si="20"/>
        <v>420</v>
      </c>
      <c r="B424" s="9" t="s">
        <v>1268</v>
      </c>
      <c r="C424" s="15" t="s">
        <v>1494</v>
      </c>
      <c r="D424" s="10" t="s">
        <v>1495</v>
      </c>
      <c r="E424" s="11">
        <v>16445.21</v>
      </c>
      <c r="F424" s="11">
        <v>0</v>
      </c>
      <c r="G424" s="11">
        <f t="shared" si="21"/>
        <v>-5254.2445950000001</v>
      </c>
      <c r="I424" s="12">
        <f t="shared" si="17"/>
        <v>11190.965404999999</v>
      </c>
      <c r="K424" s="9"/>
      <c r="M424" s="13"/>
    </row>
    <row r="425" spans="1:13" outlineLevel="2">
      <c r="A425" s="9">
        <f t="shared" si="20"/>
        <v>421</v>
      </c>
      <c r="B425" s="9" t="s">
        <v>1268</v>
      </c>
      <c r="C425" s="15" t="s">
        <v>1496</v>
      </c>
      <c r="D425" s="10" t="s">
        <v>1497</v>
      </c>
      <c r="E425" s="11">
        <v>7684.53</v>
      </c>
      <c r="F425" s="11">
        <v>0</v>
      </c>
      <c r="G425" s="11">
        <f t="shared" si="21"/>
        <v>-2455.2073350000001</v>
      </c>
      <c r="I425" s="12">
        <f t="shared" si="17"/>
        <v>5229.3226649999997</v>
      </c>
      <c r="K425" s="9"/>
      <c r="M425" s="13"/>
    </row>
    <row r="426" spans="1:13" outlineLevel="2">
      <c r="A426" s="9">
        <f t="shared" si="20"/>
        <v>422</v>
      </c>
      <c r="B426" s="9" t="s">
        <v>1268</v>
      </c>
      <c r="C426" s="15" t="s">
        <v>1498</v>
      </c>
      <c r="D426" s="10" t="s">
        <v>1499</v>
      </c>
      <c r="E426" s="11">
        <v>1646</v>
      </c>
      <c r="F426" s="11">
        <v>0</v>
      </c>
      <c r="G426" s="11">
        <f t="shared" si="21"/>
        <v>-525.89700000000005</v>
      </c>
      <c r="I426" s="12">
        <f t="shared" si="17"/>
        <v>1120.1030000000001</v>
      </c>
      <c r="K426" s="9"/>
      <c r="M426" s="13"/>
    </row>
    <row r="427" spans="1:13" outlineLevel="2">
      <c r="A427" s="9">
        <f t="shared" si="20"/>
        <v>423</v>
      </c>
      <c r="B427" s="9" t="s">
        <v>1268</v>
      </c>
      <c r="C427" s="15" t="s">
        <v>1500</v>
      </c>
      <c r="D427" s="10" t="s">
        <v>1501</v>
      </c>
      <c r="E427" s="11">
        <v>107002.99</v>
      </c>
      <c r="F427" s="11">
        <v>0</v>
      </c>
      <c r="G427" s="11">
        <f t="shared" si="21"/>
        <v>-34187.455305000003</v>
      </c>
      <c r="I427" s="12">
        <f t="shared" si="17"/>
        <v>72815.534695000009</v>
      </c>
      <c r="K427" s="9"/>
      <c r="M427" s="13"/>
    </row>
    <row r="428" spans="1:13" outlineLevel="2">
      <c r="A428" s="9">
        <f t="shared" si="20"/>
        <v>424</v>
      </c>
      <c r="B428" s="9" t="s">
        <v>1268</v>
      </c>
      <c r="C428" s="15" t="s">
        <v>1502</v>
      </c>
      <c r="D428" s="10" t="s">
        <v>1503</v>
      </c>
      <c r="E428" s="11">
        <v>92751.41</v>
      </c>
      <c r="F428" s="11">
        <v>0</v>
      </c>
      <c r="G428" s="11">
        <f t="shared" si="21"/>
        <v>-29634.075495000001</v>
      </c>
      <c r="I428" s="12">
        <f t="shared" si="17"/>
        <v>63117.334505000006</v>
      </c>
      <c r="K428" s="9"/>
      <c r="M428" s="13"/>
    </row>
    <row r="429" spans="1:13" outlineLevel="2">
      <c r="A429" s="9">
        <f t="shared" si="20"/>
        <v>425</v>
      </c>
      <c r="B429" s="9" t="s">
        <v>1268</v>
      </c>
      <c r="C429" s="15" t="s">
        <v>1504</v>
      </c>
      <c r="D429" s="10" t="s">
        <v>1505</v>
      </c>
      <c r="E429" s="11">
        <v>636440.68999999994</v>
      </c>
      <c r="F429" s="11">
        <v>0</v>
      </c>
      <c r="G429" s="11">
        <f t="shared" si="21"/>
        <v>-203342.80045499999</v>
      </c>
      <c r="I429" s="12">
        <f t="shared" si="17"/>
        <v>433097.88954499993</v>
      </c>
      <c r="K429" s="9"/>
      <c r="M429" s="13"/>
    </row>
    <row r="430" spans="1:13" outlineLevel="2">
      <c r="A430" s="9">
        <f t="shared" si="20"/>
        <v>426</v>
      </c>
      <c r="B430" s="9" t="s">
        <v>1268</v>
      </c>
      <c r="C430" s="15" t="s">
        <v>1506</v>
      </c>
      <c r="D430" s="10" t="s">
        <v>1507</v>
      </c>
      <c r="E430" s="11">
        <v>17849.39</v>
      </c>
      <c r="F430" s="11">
        <v>0</v>
      </c>
      <c r="G430" s="11">
        <f t="shared" si="21"/>
        <v>-5702.8801050000002</v>
      </c>
      <c r="I430" s="12">
        <f t="shared" si="17"/>
        <v>12146.509894999999</v>
      </c>
      <c r="K430" s="9"/>
      <c r="M430" s="13"/>
    </row>
    <row r="431" spans="1:13" outlineLevel="2">
      <c r="A431" s="9">
        <f t="shared" si="20"/>
        <v>427</v>
      </c>
      <c r="B431" s="9" t="s">
        <v>1268</v>
      </c>
      <c r="C431" s="15" t="s">
        <v>1508</v>
      </c>
      <c r="D431" s="10" t="s">
        <v>1509</v>
      </c>
      <c r="E431" s="11">
        <v>190890.73</v>
      </c>
      <c r="F431" s="11">
        <v>0</v>
      </c>
      <c r="G431" s="11">
        <f t="shared" si="21"/>
        <v>-60989.588235000003</v>
      </c>
      <c r="I431" s="12">
        <f t="shared" si="17"/>
        <v>129901.14176500001</v>
      </c>
      <c r="K431" s="9"/>
      <c r="M431" s="13"/>
    </row>
    <row r="432" spans="1:13" outlineLevel="2">
      <c r="A432" s="9">
        <f t="shared" si="20"/>
        <v>428</v>
      </c>
      <c r="B432" s="9" t="s">
        <v>1268</v>
      </c>
      <c r="C432" s="15" t="s">
        <v>1510</v>
      </c>
      <c r="D432" s="10" t="s">
        <v>1511</v>
      </c>
      <c r="E432" s="11">
        <v>371732.81</v>
      </c>
      <c r="F432" s="11">
        <v>0</v>
      </c>
      <c r="G432" s="11">
        <f t="shared" si="21"/>
        <v>-118768.632795</v>
      </c>
      <c r="I432" s="12">
        <f t="shared" si="17"/>
        <v>252964.17720500001</v>
      </c>
      <c r="K432" s="9"/>
      <c r="M432" s="13"/>
    </row>
    <row r="433" spans="1:13" outlineLevel="2">
      <c r="A433" s="9">
        <f t="shared" si="20"/>
        <v>429</v>
      </c>
      <c r="B433" s="9" t="s">
        <v>1268</v>
      </c>
      <c r="C433" s="15" t="s">
        <v>1512</v>
      </c>
      <c r="D433" s="10" t="s">
        <v>1513</v>
      </c>
      <c r="E433" s="11">
        <v>37177.79</v>
      </c>
      <c r="F433" s="11">
        <v>0</v>
      </c>
      <c r="G433" s="11">
        <f t="shared" si="21"/>
        <v>-11878.303905000001</v>
      </c>
      <c r="I433" s="12">
        <f t="shared" si="17"/>
        <v>25299.486095</v>
      </c>
      <c r="K433" s="9"/>
      <c r="M433" s="13"/>
    </row>
    <row r="434" spans="1:13" outlineLevel="2">
      <c r="A434" s="9">
        <f t="shared" si="20"/>
        <v>430</v>
      </c>
      <c r="B434" s="9" t="s">
        <v>1268</v>
      </c>
      <c r="C434" s="15" t="s">
        <v>1514</v>
      </c>
      <c r="D434" s="10" t="s">
        <v>1515</v>
      </c>
      <c r="E434" s="11">
        <v>4771.8900000000003</v>
      </c>
      <c r="F434" s="11">
        <v>0</v>
      </c>
      <c r="G434" s="11">
        <f t="shared" si="21"/>
        <v>-1524.6188550000002</v>
      </c>
      <c r="I434" s="12">
        <f t="shared" si="17"/>
        <v>3247.2711450000002</v>
      </c>
      <c r="K434" s="9"/>
      <c r="M434" s="13"/>
    </row>
    <row r="435" spans="1:13" outlineLevel="2">
      <c r="A435" s="9">
        <f t="shared" si="20"/>
        <v>431</v>
      </c>
      <c r="B435" s="9" t="s">
        <v>1268</v>
      </c>
      <c r="C435" s="15" t="s">
        <v>1516</v>
      </c>
      <c r="D435" s="10" t="s">
        <v>1517</v>
      </c>
      <c r="E435" s="11">
        <v>428660.1</v>
      </c>
      <c r="F435" s="11">
        <v>0</v>
      </c>
      <c r="G435" s="11">
        <f t="shared" si="21"/>
        <v>-136956.90195</v>
      </c>
      <c r="I435" s="12">
        <f t="shared" si="17"/>
        <v>291703.19805000001</v>
      </c>
      <c r="K435" s="9"/>
      <c r="M435" s="13"/>
    </row>
    <row r="436" spans="1:13" outlineLevel="2">
      <c r="A436" s="9">
        <f t="shared" si="20"/>
        <v>432</v>
      </c>
      <c r="B436" s="9" t="s">
        <v>1268</v>
      </c>
      <c r="C436" s="15" t="s">
        <v>1518</v>
      </c>
      <c r="D436" s="10" t="s">
        <v>1519</v>
      </c>
      <c r="E436" s="11">
        <v>161748.41</v>
      </c>
      <c r="F436" s="11">
        <v>0</v>
      </c>
      <c r="G436" s="11">
        <f t="shared" si="21"/>
        <v>-51678.616995000004</v>
      </c>
      <c r="I436" s="12">
        <f t="shared" si="17"/>
        <v>110069.793005</v>
      </c>
      <c r="K436" s="9"/>
      <c r="M436" s="13"/>
    </row>
    <row r="437" spans="1:13" outlineLevel="2">
      <c r="A437" s="9">
        <f t="shared" si="20"/>
        <v>433</v>
      </c>
      <c r="B437" s="9" t="s">
        <v>1268</v>
      </c>
      <c r="C437" s="15" t="s">
        <v>1520</v>
      </c>
      <c r="D437" s="10" t="s">
        <v>1521</v>
      </c>
      <c r="E437" s="11">
        <v>166315.1</v>
      </c>
      <c r="F437" s="11">
        <v>0</v>
      </c>
      <c r="G437" s="11">
        <f t="shared" si="21"/>
        <v>-53137.674450000006</v>
      </c>
      <c r="I437" s="12">
        <f t="shared" si="17"/>
        <v>113177.42555</v>
      </c>
      <c r="K437" s="9"/>
      <c r="M437" s="13"/>
    </row>
    <row r="438" spans="1:13" outlineLevel="2">
      <c r="A438" s="9">
        <f t="shared" si="20"/>
        <v>434</v>
      </c>
      <c r="B438" s="9" t="s">
        <v>1268</v>
      </c>
      <c r="C438" s="15" t="s">
        <v>1522</v>
      </c>
      <c r="D438" s="10" t="s">
        <v>1523</v>
      </c>
      <c r="E438" s="11">
        <v>267563.39</v>
      </c>
      <c r="F438" s="11">
        <v>0</v>
      </c>
      <c r="G438" s="11">
        <f t="shared" si="21"/>
        <v>-85486.503105000011</v>
      </c>
      <c r="I438" s="12">
        <f t="shared" si="17"/>
        <v>182076.886895</v>
      </c>
      <c r="K438" s="9"/>
      <c r="M438" s="13"/>
    </row>
    <row r="439" spans="1:13" outlineLevel="2">
      <c r="A439" s="9">
        <f t="shared" si="20"/>
        <v>435</v>
      </c>
      <c r="B439" s="9" t="s">
        <v>1268</v>
      </c>
      <c r="C439" s="15" t="s">
        <v>1524</v>
      </c>
      <c r="D439" s="10" t="s">
        <v>1525</v>
      </c>
      <c r="E439" s="11">
        <v>226933.71</v>
      </c>
      <c r="F439" s="11">
        <v>0</v>
      </c>
      <c r="G439" s="11">
        <f>-(E439*$J$314)</f>
        <v>-72505.320345</v>
      </c>
      <c r="I439" s="12">
        <f t="shared" si="17"/>
        <v>154428.38965500001</v>
      </c>
      <c r="K439" s="9"/>
      <c r="M439" s="13"/>
    </row>
    <row r="440" spans="1:13" outlineLevel="2">
      <c r="A440" s="9">
        <f t="shared" si="20"/>
        <v>436</v>
      </c>
      <c r="B440" s="9" t="s">
        <v>1268</v>
      </c>
      <c r="C440" s="15" t="s">
        <v>1526</v>
      </c>
      <c r="D440" s="10" t="s">
        <v>1527</v>
      </c>
      <c r="E440" s="11">
        <v>83269.600000000006</v>
      </c>
      <c r="F440" s="11">
        <v>0</v>
      </c>
      <c r="G440" s="11">
        <f>-(E440*$J$314)</f>
        <v>-26604.637200000001</v>
      </c>
      <c r="I440" s="12">
        <f t="shared" si="17"/>
        <v>56664.962800000008</v>
      </c>
      <c r="K440" s="9"/>
      <c r="M440" s="13"/>
    </row>
    <row r="441" spans="1:13" outlineLevel="2">
      <c r="A441" s="9">
        <f t="shared" si="20"/>
        <v>437</v>
      </c>
      <c r="B441" s="9" t="s">
        <v>1268</v>
      </c>
      <c r="C441" s="15" t="s">
        <v>1528</v>
      </c>
      <c r="D441" s="10" t="s">
        <v>1529</v>
      </c>
      <c r="E441" s="11">
        <v>396626.79</v>
      </c>
      <c r="F441" s="11">
        <v>0</v>
      </c>
      <c r="G441" s="11">
        <f t="shared" ref="G441:G451" si="22">-(E441*$J$314)</f>
        <v>-126722.25940499999</v>
      </c>
      <c r="I441" s="12">
        <f t="shared" si="17"/>
        <v>269904.53059500002</v>
      </c>
      <c r="K441" s="9"/>
      <c r="M441" s="13"/>
    </row>
    <row r="442" spans="1:13" outlineLevel="2">
      <c r="A442" s="9">
        <f t="shared" si="20"/>
        <v>438</v>
      </c>
      <c r="B442" s="9" t="s">
        <v>1268</v>
      </c>
      <c r="C442" s="15" t="s">
        <v>1530</v>
      </c>
      <c r="D442" s="10" t="s">
        <v>1531</v>
      </c>
      <c r="E442" s="11">
        <v>1122798.52</v>
      </c>
      <c r="F442" s="11">
        <v>0</v>
      </c>
      <c r="G442" s="11">
        <f t="shared" si="22"/>
        <v>-358734.12714</v>
      </c>
      <c r="I442" s="12">
        <f t="shared" si="17"/>
        <v>764064.39286000002</v>
      </c>
      <c r="K442" s="9"/>
      <c r="M442" s="13"/>
    </row>
    <row r="443" spans="1:13" outlineLevel="2">
      <c r="A443" s="9">
        <f t="shared" si="20"/>
        <v>439</v>
      </c>
      <c r="B443" s="9" t="s">
        <v>1268</v>
      </c>
      <c r="C443" s="15" t="s">
        <v>1532</v>
      </c>
      <c r="D443" s="10" t="s">
        <v>1533</v>
      </c>
      <c r="E443" s="11">
        <v>1237</v>
      </c>
      <c r="F443" s="11">
        <v>0</v>
      </c>
      <c r="G443" s="11">
        <f t="shared" si="22"/>
        <v>-395.22149999999999</v>
      </c>
      <c r="I443" s="12">
        <f t="shared" si="17"/>
        <v>841.77850000000001</v>
      </c>
      <c r="K443" s="9"/>
      <c r="M443" s="13"/>
    </row>
    <row r="444" spans="1:13" outlineLevel="2">
      <c r="A444" s="9">
        <f t="shared" si="20"/>
        <v>440</v>
      </c>
      <c r="B444" s="9" t="s">
        <v>1268</v>
      </c>
      <c r="C444" s="15" t="s">
        <v>1534</v>
      </c>
      <c r="D444" s="10" t="s">
        <v>1535</v>
      </c>
      <c r="E444" s="11">
        <v>92147.92</v>
      </c>
      <c r="F444" s="11">
        <v>0</v>
      </c>
      <c r="G444" s="11">
        <f t="shared" si="22"/>
        <v>-29441.260439999998</v>
      </c>
      <c r="I444" s="12">
        <f t="shared" si="17"/>
        <v>62706.65956</v>
      </c>
      <c r="K444" s="9"/>
      <c r="M444" s="13"/>
    </row>
    <row r="445" spans="1:13" outlineLevel="2">
      <c r="A445" s="9">
        <f t="shared" si="20"/>
        <v>441</v>
      </c>
      <c r="B445" s="9" t="s">
        <v>1268</v>
      </c>
      <c r="C445" s="15" t="s">
        <v>1536</v>
      </c>
      <c r="D445" s="10" t="s">
        <v>1537</v>
      </c>
      <c r="E445" s="11">
        <v>933274.55</v>
      </c>
      <c r="F445" s="11">
        <v>0</v>
      </c>
      <c r="G445" s="11">
        <f t="shared" si="22"/>
        <v>-298181.21872500004</v>
      </c>
      <c r="I445" s="12">
        <f t="shared" si="17"/>
        <v>635093.331275</v>
      </c>
      <c r="K445" s="9"/>
      <c r="M445" s="13"/>
    </row>
    <row r="446" spans="1:13" outlineLevel="2">
      <c r="A446" s="9">
        <f t="shared" si="20"/>
        <v>442</v>
      </c>
      <c r="B446" s="9" t="s">
        <v>1268</v>
      </c>
      <c r="C446" s="15" t="s">
        <v>1538</v>
      </c>
      <c r="D446" s="10" t="s">
        <v>1539</v>
      </c>
      <c r="E446" s="11">
        <v>457086.04</v>
      </c>
      <c r="F446" s="11">
        <v>0</v>
      </c>
      <c r="G446" s="11">
        <f t="shared" si="22"/>
        <v>-146038.98978</v>
      </c>
      <c r="I446" s="12">
        <f t="shared" ref="I446:I472" si="23">SUM(E446:G446)</f>
        <v>311047.05021999998</v>
      </c>
      <c r="K446" s="9"/>
      <c r="M446" s="13"/>
    </row>
    <row r="447" spans="1:13" outlineLevel="2">
      <c r="A447" s="9">
        <f t="shared" si="20"/>
        <v>443</v>
      </c>
      <c r="B447" s="9" t="s">
        <v>1268</v>
      </c>
      <c r="C447" s="15" t="s">
        <v>1540</v>
      </c>
      <c r="D447" s="10" t="s">
        <v>1541</v>
      </c>
      <c r="E447" s="11">
        <v>344682.98</v>
      </c>
      <c r="F447" s="11">
        <v>0</v>
      </c>
      <c r="G447" s="11">
        <f t="shared" si="22"/>
        <v>-110126.21210999999</v>
      </c>
      <c r="I447" s="12">
        <f t="shared" si="23"/>
        <v>234556.76788999999</v>
      </c>
      <c r="J447" s="25"/>
      <c r="K447" s="9"/>
      <c r="M447" s="13"/>
    </row>
    <row r="448" spans="1:13" outlineLevel="2">
      <c r="A448" s="9">
        <f t="shared" si="20"/>
        <v>444</v>
      </c>
      <c r="B448" s="9" t="s">
        <v>1268</v>
      </c>
      <c r="C448" s="15" t="s">
        <v>1542</v>
      </c>
      <c r="D448" s="10" t="s">
        <v>1543</v>
      </c>
      <c r="E448" s="11">
        <v>1366</v>
      </c>
      <c r="F448" s="11">
        <v>0</v>
      </c>
      <c r="G448" s="11">
        <f t="shared" si="22"/>
        <v>-436.43700000000001</v>
      </c>
      <c r="I448" s="12">
        <f t="shared" si="23"/>
        <v>929.56299999999999</v>
      </c>
      <c r="J448" s="25"/>
      <c r="K448" s="9"/>
      <c r="M448" s="13"/>
    </row>
    <row r="449" spans="1:13" outlineLevel="2">
      <c r="A449" s="9">
        <f t="shared" si="20"/>
        <v>445</v>
      </c>
      <c r="B449" s="9" t="s">
        <v>1268</v>
      </c>
      <c r="C449" s="15" t="s">
        <v>1544</v>
      </c>
      <c r="D449" s="10" t="s">
        <v>1545</v>
      </c>
      <c r="E449" s="11">
        <v>541759.02</v>
      </c>
      <c r="F449" s="11">
        <v>0</v>
      </c>
      <c r="G449" s="11">
        <f t="shared" si="22"/>
        <v>-173092.00689000002</v>
      </c>
      <c r="I449" s="12">
        <f t="shared" si="23"/>
        <v>368667.01311</v>
      </c>
      <c r="J449" s="25"/>
      <c r="K449" s="9"/>
      <c r="M449" s="13"/>
    </row>
    <row r="450" spans="1:13" outlineLevel="2">
      <c r="A450" s="9">
        <f t="shared" si="20"/>
        <v>446</v>
      </c>
      <c r="B450" s="9" t="s">
        <v>1268</v>
      </c>
      <c r="C450" s="15" t="s">
        <v>1546</v>
      </c>
      <c r="D450" s="10" t="s">
        <v>1547</v>
      </c>
      <c r="E450" s="11">
        <v>534310.96</v>
      </c>
      <c r="F450" s="11">
        <v>0</v>
      </c>
      <c r="G450" s="11">
        <f t="shared" si="22"/>
        <v>-170712.35171999998</v>
      </c>
      <c r="I450" s="12">
        <f t="shared" si="23"/>
        <v>363598.60827999999</v>
      </c>
      <c r="J450" s="25"/>
      <c r="K450" s="9"/>
      <c r="M450" s="13"/>
    </row>
    <row r="451" spans="1:13" outlineLevel="2">
      <c r="A451" s="9">
        <f t="shared" si="20"/>
        <v>447</v>
      </c>
      <c r="B451" s="9" t="s">
        <v>1268</v>
      </c>
      <c r="C451" s="15" t="s">
        <v>1548</v>
      </c>
      <c r="D451" s="10" t="s">
        <v>1549</v>
      </c>
      <c r="E451" s="11">
        <v>295982.49</v>
      </c>
      <c r="F451" s="11">
        <v>0</v>
      </c>
      <c r="G451" s="11">
        <f t="shared" si="22"/>
        <v>-94566.405555000005</v>
      </c>
      <c r="I451" s="12">
        <f t="shared" si="23"/>
        <v>201416.08444499999</v>
      </c>
      <c r="J451" s="25"/>
      <c r="K451" s="9"/>
      <c r="M451" s="13"/>
    </row>
    <row r="452" spans="1:13" outlineLevel="2">
      <c r="A452" s="9">
        <f t="shared" si="20"/>
        <v>448</v>
      </c>
      <c r="B452" s="9" t="s">
        <v>1268</v>
      </c>
      <c r="C452" s="15" t="s">
        <v>1550</v>
      </c>
      <c r="D452" s="10" t="s">
        <v>1551</v>
      </c>
      <c r="E452" s="11">
        <v>1853</v>
      </c>
      <c r="F452" s="11">
        <v>0</v>
      </c>
      <c r="G452" s="11">
        <f>-(E452*$J$314)</f>
        <v>-592.0335</v>
      </c>
      <c r="I452" s="12">
        <f t="shared" si="23"/>
        <v>1260.9665</v>
      </c>
      <c r="J452" s="25"/>
      <c r="K452" s="9"/>
      <c r="M452" s="13"/>
    </row>
    <row r="453" spans="1:13" outlineLevel="2">
      <c r="A453" s="9">
        <f t="shared" si="20"/>
        <v>449</v>
      </c>
      <c r="B453" s="9" t="s">
        <v>1268</v>
      </c>
      <c r="C453" s="15" t="s">
        <v>1552</v>
      </c>
      <c r="D453" s="10" t="s">
        <v>1553</v>
      </c>
      <c r="E453" s="11">
        <v>50053.17</v>
      </c>
      <c r="F453" s="11">
        <v>0</v>
      </c>
      <c r="G453" s="11">
        <f t="shared" ref="G453:G472" si="24">-(E453*$J$314)</f>
        <v>-15991.987815</v>
      </c>
      <c r="I453" s="12">
        <f t="shared" si="23"/>
        <v>34061.182184999998</v>
      </c>
      <c r="J453" s="25"/>
      <c r="K453" s="9"/>
      <c r="M453" s="13"/>
    </row>
    <row r="454" spans="1:13" outlineLevel="2">
      <c r="A454" s="9">
        <f t="shared" si="20"/>
        <v>450</v>
      </c>
      <c r="B454" s="9" t="s">
        <v>1268</v>
      </c>
      <c r="C454" s="15" t="s">
        <v>1554</v>
      </c>
      <c r="D454" s="10" t="s">
        <v>1555</v>
      </c>
      <c r="E454" s="11">
        <v>478071.92</v>
      </c>
      <c r="F454" s="11">
        <v>0</v>
      </c>
      <c r="G454" s="11">
        <f t="shared" si="24"/>
        <v>-152743.97844000001</v>
      </c>
      <c r="I454" s="12">
        <f t="shared" si="23"/>
        <v>325327.94155999995</v>
      </c>
      <c r="J454" s="25"/>
      <c r="K454" s="9"/>
      <c r="M454" s="13"/>
    </row>
    <row r="455" spans="1:13" outlineLevel="2">
      <c r="A455" s="9">
        <f t="shared" si="20"/>
        <v>451</v>
      </c>
      <c r="B455" s="9" t="s">
        <v>1268</v>
      </c>
      <c r="C455" s="15" t="s">
        <v>1556</v>
      </c>
      <c r="D455" s="10" t="s">
        <v>1557</v>
      </c>
      <c r="E455" s="11">
        <v>461151.23</v>
      </c>
      <c r="F455" s="11">
        <v>0</v>
      </c>
      <c r="G455" s="11">
        <f t="shared" si="24"/>
        <v>-147337.817985</v>
      </c>
      <c r="I455" s="12">
        <f t="shared" si="23"/>
        <v>313813.41201500001</v>
      </c>
      <c r="J455" s="25"/>
      <c r="K455" s="9"/>
      <c r="M455" s="13"/>
    </row>
    <row r="456" spans="1:13" outlineLevel="2">
      <c r="A456" s="9">
        <f t="shared" si="20"/>
        <v>452</v>
      </c>
      <c r="B456" s="9" t="s">
        <v>1268</v>
      </c>
      <c r="C456" s="15" t="s">
        <v>1558</v>
      </c>
      <c r="D456" s="10" t="s">
        <v>1559</v>
      </c>
      <c r="E456" s="11">
        <v>8781.5400000000009</v>
      </c>
      <c r="F456" s="11">
        <v>0</v>
      </c>
      <c r="G456" s="11">
        <f t="shared" si="24"/>
        <v>-2805.7020300000004</v>
      </c>
      <c r="I456" s="12">
        <f t="shared" si="23"/>
        <v>5975.8379700000005</v>
      </c>
      <c r="J456" s="25"/>
      <c r="K456" s="9"/>
      <c r="M456" s="13"/>
    </row>
    <row r="457" spans="1:13" outlineLevel="2">
      <c r="A457" s="9">
        <f t="shared" si="20"/>
        <v>453</v>
      </c>
      <c r="B457" s="9" t="s">
        <v>1268</v>
      </c>
      <c r="C457" s="15" t="s">
        <v>1560</v>
      </c>
      <c r="D457" s="10" t="s">
        <v>1561</v>
      </c>
      <c r="E457" s="11">
        <v>106095.81</v>
      </c>
      <c r="F457" s="11">
        <v>0</v>
      </c>
      <c r="G457" s="11">
        <f t="shared" si="24"/>
        <v>-33897.611295000002</v>
      </c>
      <c r="I457" s="12">
        <f t="shared" si="23"/>
        <v>72198.198704999988</v>
      </c>
      <c r="J457" s="25"/>
      <c r="K457" s="9"/>
      <c r="M457" s="13"/>
    </row>
    <row r="458" spans="1:13" outlineLevel="2">
      <c r="A458" s="9">
        <f t="shared" si="20"/>
        <v>454</v>
      </c>
      <c r="B458" s="9" t="s">
        <v>1268</v>
      </c>
      <c r="C458" s="15" t="s">
        <v>1562</v>
      </c>
      <c r="D458" s="10" t="s">
        <v>1563</v>
      </c>
      <c r="E458" s="11">
        <v>216887.19</v>
      </c>
      <c r="F458" s="11">
        <v>0</v>
      </c>
      <c r="G458" s="11">
        <f t="shared" si="24"/>
        <v>-69295.457204999999</v>
      </c>
      <c r="I458" s="12">
        <f t="shared" si="23"/>
        <v>147591.73279500002</v>
      </c>
      <c r="J458" s="25"/>
      <c r="K458" s="9"/>
      <c r="M458" s="13"/>
    </row>
    <row r="459" spans="1:13" outlineLevel="2">
      <c r="A459" s="9">
        <f t="shared" si="20"/>
        <v>455</v>
      </c>
      <c r="B459" s="9" t="s">
        <v>1268</v>
      </c>
      <c r="C459" s="15" t="s">
        <v>1564</v>
      </c>
      <c r="D459" s="10" t="s">
        <v>1565</v>
      </c>
      <c r="E459" s="11">
        <v>588189.96</v>
      </c>
      <c r="F459" s="11">
        <v>0</v>
      </c>
      <c r="G459" s="11">
        <f t="shared" si="24"/>
        <v>-187926.69222</v>
      </c>
      <c r="I459" s="12">
        <f t="shared" si="23"/>
        <v>400263.26777999999</v>
      </c>
      <c r="J459" s="25"/>
      <c r="K459" s="9"/>
      <c r="M459" s="13"/>
    </row>
    <row r="460" spans="1:13" outlineLevel="2">
      <c r="A460" s="9">
        <f t="shared" si="20"/>
        <v>456</v>
      </c>
      <c r="B460" s="9" t="s">
        <v>1268</v>
      </c>
      <c r="C460" s="15" t="s">
        <v>1566</v>
      </c>
      <c r="D460" s="10" t="s">
        <v>1567</v>
      </c>
      <c r="E460" s="11">
        <v>1242427.9099999999</v>
      </c>
      <c r="F460" s="11">
        <v>0</v>
      </c>
      <c r="G460" s="11">
        <f t="shared" si="24"/>
        <v>-396955.71724500001</v>
      </c>
      <c r="I460" s="12">
        <f t="shared" si="23"/>
        <v>845472.19275499997</v>
      </c>
      <c r="J460" s="25"/>
      <c r="K460" s="9"/>
      <c r="M460" s="13"/>
    </row>
    <row r="461" spans="1:13" outlineLevel="2">
      <c r="A461" s="9">
        <f t="shared" si="20"/>
        <v>457</v>
      </c>
      <c r="B461" s="9" t="s">
        <v>1268</v>
      </c>
      <c r="C461" s="15" t="s">
        <v>1568</v>
      </c>
      <c r="D461" s="10" t="s">
        <v>1569</v>
      </c>
      <c r="E461" s="11">
        <v>228059.18</v>
      </c>
      <c r="F461" s="11">
        <v>0</v>
      </c>
      <c r="G461" s="11">
        <f t="shared" si="24"/>
        <v>-72864.908009999999</v>
      </c>
      <c r="I461" s="12">
        <f t="shared" si="23"/>
        <v>155194.27198999998</v>
      </c>
      <c r="J461" s="25"/>
      <c r="K461" s="9"/>
      <c r="M461" s="13"/>
    </row>
    <row r="462" spans="1:13" outlineLevel="2">
      <c r="A462" s="9">
        <f t="shared" si="20"/>
        <v>458</v>
      </c>
      <c r="B462" s="9" t="s">
        <v>1268</v>
      </c>
      <c r="C462" s="15" t="s">
        <v>1570</v>
      </c>
      <c r="D462" s="10" t="s">
        <v>1571</v>
      </c>
      <c r="E462" s="11">
        <v>102030.91</v>
      </c>
      <c r="F462" s="11">
        <v>0</v>
      </c>
      <c r="G462" s="11">
        <f t="shared" si="24"/>
        <v>-32598.875745000001</v>
      </c>
      <c r="I462" s="12">
        <f t="shared" si="23"/>
        <v>69432.034255000006</v>
      </c>
      <c r="J462" s="25"/>
      <c r="K462" s="9"/>
      <c r="M462" s="13"/>
    </row>
    <row r="463" spans="1:13" outlineLevel="2">
      <c r="A463" s="9">
        <f t="shared" si="20"/>
        <v>459</v>
      </c>
      <c r="B463" s="9" t="s">
        <v>1268</v>
      </c>
      <c r="C463" s="15" t="s">
        <v>1572</v>
      </c>
      <c r="D463" s="10" t="s">
        <v>1573</v>
      </c>
      <c r="E463" s="11">
        <v>543452.09</v>
      </c>
      <c r="F463" s="11">
        <v>0</v>
      </c>
      <c r="G463" s="11">
        <f t="shared" si="24"/>
        <v>-173632.942755</v>
      </c>
      <c r="I463" s="12">
        <f t="shared" si="23"/>
        <v>369819.147245</v>
      </c>
      <c r="J463" s="25"/>
      <c r="K463" s="9"/>
      <c r="M463" s="13"/>
    </row>
    <row r="464" spans="1:13" outlineLevel="2">
      <c r="A464" s="9">
        <f t="shared" si="20"/>
        <v>460</v>
      </c>
      <c r="B464" s="9" t="s">
        <v>1268</v>
      </c>
      <c r="C464" s="15" t="s">
        <v>1574</v>
      </c>
      <c r="D464" s="10" t="s">
        <v>1575</v>
      </c>
      <c r="E464" s="11">
        <v>729388.88</v>
      </c>
      <c r="F464" s="11">
        <v>0</v>
      </c>
      <c r="G464" s="11">
        <f t="shared" si="24"/>
        <v>-233039.74716</v>
      </c>
      <c r="I464" s="12">
        <f t="shared" si="23"/>
        <v>496349.13283999998</v>
      </c>
      <c r="J464" s="25"/>
      <c r="K464" s="9"/>
      <c r="M464" s="13"/>
    </row>
    <row r="465" spans="1:13" outlineLevel="2">
      <c r="A465" s="9">
        <f t="shared" si="20"/>
        <v>461</v>
      </c>
      <c r="B465" s="9" t="s">
        <v>1268</v>
      </c>
      <c r="C465" s="15" t="s">
        <v>1576</v>
      </c>
      <c r="D465" s="10" t="s">
        <v>1577</v>
      </c>
      <c r="E465" s="11">
        <v>17781.11</v>
      </c>
      <c r="F465" s="11">
        <v>0</v>
      </c>
      <c r="G465" s="11">
        <f t="shared" si="24"/>
        <v>-5681.0646450000004</v>
      </c>
      <c r="I465" s="12">
        <f t="shared" si="23"/>
        <v>12100.045355</v>
      </c>
      <c r="K465" s="9"/>
      <c r="M465" s="13"/>
    </row>
    <row r="466" spans="1:13" outlineLevel="2">
      <c r="A466" s="9">
        <f t="shared" si="20"/>
        <v>462</v>
      </c>
      <c r="B466" s="9" t="s">
        <v>1268</v>
      </c>
      <c r="C466" s="15" t="s">
        <v>1578</v>
      </c>
      <c r="D466" s="10" t="s">
        <v>1579</v>
      </c>
      <c r="E466" s="11">
        <v>690355.92</v>
      </c>
      <c r="F466" s="11">
        <v>0</v>
      </c>
      <c r="G466" s="11">
        <f t="shared" si="24"/>
        <v>-220568.71644000002</v>
      </c>
      <c r="I466" s="12">
        <f t="shared" si="23"/>
        <v>469787.20356000005</v>
      </c>
      <c r="K466" s="9"/>
      <c r="M466" s="13"/>
    </row>
    <row r="467" spans="1:13" outlineLevel="2">
      <c r="A467" s="9">
        <f t="shared" si="20"/>
        <v>463</v>
      </c>
      <c r="B467" s="9" t="s">
        <v>1268</v>
      </c>
      <c r="C467" s="15" t="s">
        <v>1580</v>
      </c>
      <c r="D467" s="10" t="s">
        <v>1581</v>
      </c>
      <c r="E467" s="11">
        <v>25197.93</v>
      </c>
      <c r="F467" s="11">
        <v>0</v>
      </c>
      <c r="G467" s="11">
        <f t="shared" si="24"/>
        <v>-8050.7386350000006</v>
      </c>
      <c r="I467" s="12">
        <f t="shared" si="23"/>
        <v>17147.191364999999</v>
      </c>
      <c r="K467" s="9"/>
      <c r="M467" s="13"/>
    </row>
    <row r="468" spans="1:13" outlineLevel="2">
      <c r="A468" s="9">
        <f t="shared" si="20"/>
        <v>464</v>
      </c>
      <c r="B468" s="9" t="s">
        <v>1268</v>
      </c>
      <c r="C468" s="15" t="s">
        <v>1582</v>
      </c>
      <c r="D468" s="10" t="s">
        <v>1583</v>
      </c>
      <c r="E468" s="11">
        <v>91987.25</v>
      </c>
      <c r="F468" s="11">
        <v>0</v>
      </c>
      <c r="G468" s="11">
        <f>-(E468*$J$314)</f>
        <v>-29389.926374999999</v>
      </c>
      <c r="I468" s="12">
        <f t="shared" si="23"/>
        <v>62597.323625000005</v>
      </c>
      <c r="J468" s="12"/>
      <c r="K468" s="9"/>
      <c r="L468" s="12"/>
      <c r="M468" s="12"/>
    </row>
    <row r="469" spans="1:13" outlineLevel="2">
      <c r="A469" s="9">
        <f t="shared" si="20"/>
        <v>465</v>
      </c>
      <c r="B469" s="9" t="s">
        <v>1268</v>
      </c>
      <c r="C469" s="15" t="s">
        <v>1584</v>
      </c>
      <c r="D469" s="10" t="s">
        <v>1585</v>
      </c>
      <c r="E469" s="11">
        <v>165594.23999999999</v>
      </c>
      <c r="F469" s="11">
        <v>0</v>
      </c>
      <c r="G469" s="11">
        <f t="shared" si="24"/>
        <v>-52907.359680000001</v>
      </c>
      <c r="I469" s="12">
        <f t="shared" si="23"/>
        <v>112686.88032</v>
      </c>
      <c r="J469" s="10"/>
      <c r="K469" s="9"/>
      <c r="M469" s="13"/>
    </row>
    <row r="470" spans="1:13" outlineLevel="2">
      <c r="A470" s="9">
        <f t="shared" si="20"/>
        <v>466</v>
      </c>
      <c r="B470" s="9" t="s">
        <v>1268</v>
      </c>
      <c r="C470" s="15" t="s">
        <v>1586</v>
      </c>
      <c r="D470" s="10" t="s">
        <v>1587</v>
      </c>
      <c r="E470" s="11">
        <v>19230</v>
      </c>
      <c r="G470" s="11">
        <f t="shared" si="24"/>
        <v>-6143.9849999999997</v>
      </c>
      <c r="I470" s="12">
        <f t="shared" si="23"/>
        <v>13086.014999999999</v>
      </c>
      <c r="J470" s="10"/>
      <c r="K470" s="9"/>
      <c r="M470" s="13"/>
    </row>
    <row r="471" spans="1:13" outlineLevel="2">
      <c r="A471" s="9">
        <f t="shared" si="20"/>
        <v>467</v>
      </c>
      <c r="B471" s="9" t="s">
        <v>1268</v>
      </c>
      <c r="C471" s="15" t="s">
        <v>1588</v>
      </c>
      <c r="D471" s="10" t="s">
        <v>1589</v>
      </c>
      <c r="E471" s="11">
        <v>28279.89</v>
      </c>
      <c r="F471" s="11">
        <v>0</v>
      </c>
      <c r="G471" s="11">
        <f t="shared" si="24"/>
        <v>-9035.4248549999993</v>
      </c>
      <c r="I471" s="12">
        <f t="shared" si="23"/>
        <v>19244.465145000002</v>
      </c>
      <c r="J471" s="10"/>
      <c r="K471" s="9"/>
    </row>
    <row r="472" spans="1:13" outlineLevel="2">
      <c r="A472" s="9">
        <f t="shared" si="20"/>
        <v>468</v>
      </c>
      <c r="B472" s="9" t="s">
        <v>1268</v>
      </c>
      <c r="C472" s="10" t="s">
        <v>1590</v>
      </c>
      <c r="D472" s="10" t="s">
        <v>1591</v>
      </c>
      <c r="E472" s="11">
        <f>72507.65+150859.01</f>
        <v>223366.66</v>
      </c>
      <c r="F472" s="11">
        <v>0</v>
      </c>
      <c r="G472" s="11">
        <f t="shared" si="24"/>
        <v>-71365.647870000001</v>
      </c>
      <c r="I472" s="12">
        <f t="shared" si="23"/>
        <v>152001.01212999999</v>
      </c>
      <c r="J472" s="10"/>
      <c r="K472" s="9"/>
      <c r="M472" s="13"/>
    </row>
    <row r="473" spans="1:13" s="5" customFormat="1" ht="13.5" outlineLevel="1" thickBot="1">
      <c r="A473" s="9">
        <f t="shared" ref="A473:A516" si="25">A472+1</f>
        <v>469</v>
      </c>
      <c r="B473" s="16" t="s">
        <v>1592</v>
      </c>
      <c r="C473" s="18"/>
      <c r="D473" s="18" t="s">
        <v>1593</v>
      </c>
      <c r="E473" s="19">
        <f>SUBTOTAL(9,E311:E472)</f>
        <v>44328610.040000007</v>
      </c>
      <c r="F473" s="19">
        <f>SUBTOTAL(9,F311:F472)</f>
        <v>0</v>
      </c>
      <c r="G473" s="19">
        <f>SUBTOTAL(9,G311:G472)</f>
        <v>-14248702.788580004</v>
      </c>
      <c r="H473" s="19"/>
      <c r="I473" s="675">
        <f>SUBTOTAL(9,I311:I472)</f>
        <v>30079907.251420002</v>
      </c>
      <c r="K473" s="3"/>
      <c r="L473" s="3"/>
      <c r="M473" s="6"/>
    </row>
    <row r="474" spans="1:13" ht="13.5" outlineLevel="2" thickTop="1">
      <c r="A474" s="9">
        <f t="shared" si="25"/>
        <v>470</v>
      </c>
      <c r="B474" s="9" t="s">
        <v>1594</v>
      </c>
      <c r="C474" s="15" t="s">
        <v>1595</v>
      </c>
      <c r="D474" s="10" t="s">
        <v>1596</v>
      </c>
      <c r="E474" s="11">
        <v>19890751.77</v>
      </c>
      <c r="F474" s="11">
        <v>0</v>
      </c>
      <c r="G474" s="11">
        <v>0</v>
      </c>
      <c r="I474" s="12">
        <f>SUM(E474:G474)</f>
        <v>19890751.77</v>
      </c>
      <c r="J474" s="10"/>
      <c r="K474" s="9"/>
      <c r="M474" s="13"/>
    </row>
    <row r="475" spans="1:13" outlineLevel="2">
      <c r="A475" s="9">
        <f t="shared" si="25"/>
        <v>471</v>
      </c>
      <c r="B475" s="9" t="s">
        <v>1594</v>
      </c>
      <c r="C475" s="799" t="s">
        <v>1595</v>
      </c>
      <c r="D475" s="10" t="s">
        <v>1597</v>
      </c>
      <c r="E475" s="11">
        <v>3680368.76</v>
      </c>
      <c r="F475" s="11">
        <v>0</v>
      </c>
      <c r="G475" s="11">
        <v>0</v>
      </c>
      <c r="I475" s="12">
        <f>SUM(E475:G475)</f>
        <v>3680368.76</v>
      </c>
      <c r="J475" s="10"/>
      <c r="K475" s="9"/>
      <c r="M475" s="13"/>
    </row>
    <row r="476" spans="1:13" s="5" customFormat="1" ht="13.5" outlineLevel="1" thickBot="1">
      <c r="A476" s="9">
        <f t="shared" si="25"/>
        <v>472</v>
      </c>
      <c r="B476" s="16" t="s">
        <v>1598</v>
      </c>
      <c r="C476" s="26"/>
      <c r="D476" s="18" t="s">
        <v>1599</v>
      </c>
      <c r="E476" s="19">
        <f>SUBTOTAL(9,E474:E475)</f>
        <v>23571120.530000001</v>
      </c>
      <c r="F476" s="19">
        <f>SUBTOTAL(9,F474:F475)</f>
        <v>0</v>
      </c>
      <c r="G476" s="19">
        <f>SUBTOTAL(9,G474:G475)</f>
        <v>0</v>
      </c>
      <c r="H476" s="19"/>
      <c r="I476" s="675">
        <f>SUBTOTAL(9,I474:I475)</f>
        <v>23571120.530000001</v>
      </c>
      <c r="K476" s="3"/>
      <c r="L476" s="3"/>
      <c r="M476" s="6"/>
    </row>
    <row r="477" spans="1:13" ht="13.5" outlineLevel="2" thickTop="1">
      <c r="A477" s="9">
        <f t="shared" si="25"/>
        <v>473</v>
      </c>
      <c r="B477" s="9" t="s">
        <v>1600</v>
      </c>
      <c r="C477" s="15" t="s">
        <v>1601</v>
      </c>
      <c r="D477" s="10" t="s">
        <v>1602</v>
      </c>
      <c r="E477" s="11">
        <v>650000.85</v>
      </c>
      <c r="F477" s="11">
        <v>-650000.85</v>
      </c>
      <c r="G477" s="11">
        <v>0</v>
      </c>
      <c r="I477" s="12">
        <f t="shared" ref="I477:I493" si="26">SUM(E477:G477)</f>
        <v>0</v>
      </c>
      <c r="J477" s="872"/>
      <c r="K477" s="9"/>
      <c r="M477" s="13"/>
    </row>
    <row r="478" spans="1:13" outlineLevel="2">
      <c r="A478" s="9">
        <f t="shared" si="25"/>
        <v>474</v>
      </c>
      <c r="B478" s="9" t="s">
        <v>1600</v>
      </c>
      <c r="C478" s="15" t="s">
        <v>350</v>
      </c>
      <c r="D478" s="10" t="s">
        <v>1603</v>
      </c>
      <c r="E478" s="11">
        <v>184827.19</v>
      </c>
      <c r="F478" s="11">
        <v>-184827.19</v>
      </c>
      <c r="G478" s="11">
        <v>0</v>
      </c>
      <c r="I478" s="12">
        <f t="shared" si="26"/>
        <v>0</v>
      </c>
      <c r="J478" s="873"/>
      <c r="K478" s="9"/>
      <c r="M478" s="13"/>
    </row>
    <row r="479" spans="1:13" outlineLevel="2">
      <c r="A479" s="9">
        <f t="shared" si="25"/>
        <v>475</v>
      </c>
      <c r="B479" s="9" t="s">
        <v>1600</v>
      </c>
      <c r="C479" s="15" t="s">
        <v>1604</v>
      </c>
      <c r="D479" s="10" t="s">
        <v>1605</v>
      </c>
      <c r="E479" s="11">
        <v>223594.2</v>
      </c>
      <c r="F479" s="11">
        <v>-223594.2</v>
      </c>
      <c r="G479" s="11">
        <v>0</v>
      </c>
      <c r="I479" s="12">
        <f t="shared" si="26"/>
        <v>0</v>
      </c>
      <c r="J479" s="873"/>
      <c r="K479" s="9"/>
      <c r="M479" s="13"/>
    </row>
    <row r="480" spans="1:13" outlineLevel="2">
      <c r="A480" s="9">
        <f t="shared" si="25"/>
        <v>476</v>
      </c>
      <c r="B480" s="9" t="s">
        <v>1600</v>
      </c>
      <c r="C480" s="15" t="s">
        <v>1606</v>
      </c>
      <c r="D480" s="10" t="s">
        <v>1607</v>
      </c>
      <c r="E480" s="11">
        <v>171256.71</v>
      </c>
      <c r="F480" s="11">
        <v>-171256.71</v>
      </c>
      <c r="G480" s="11">
        <v>0</v>
      </c>
      <c r="I480" s="12">
        <f t="shared" si="26"/>
        <v>0</v>
      </c>
      <c r="K480" s="9"/>
      <c r="M480" s="13"/>
    </row>
    <row r="481" spans="1:13" outlineLevel="2">
      <c r="A481" s="9">
        <f t="shared" si="25"/>
        <v>477</v>
      </c>
      <c r="B481" s="9" t="s">
        <v>1600</v>
      </c>
      <c r="C481" s="15" t="s">
        <v>1608</v>
      </c>
      <c r="D481" s="10" t="s">
        <v>1609</v>
      </c>
      <c r="E481" s="11">
        <v>25505.599999999999</v>
      </c>
      <c r="F481" s="11">
        <v>-25505.599999999999</v>
      </c>
      <c r="G481" s="11">
        <v>0</v>
      </c>
      <c r="I481" s="12">
        <f t="shared" si="26"/>
        <v>0</v>
      </c>
      <c r="K481" s="9"/>
      <c r="M481" s="13"/>
    </row>
    <row r="482" spans="1:13" outlineLevel="2">
      <c r="A482" s="9">
        <f t="shared" si="25"/>
        <v>478</v>
      </c>
      <c r="B482" s="9" t="s">
        <v>1600</v>
      </c>
      <c r="C482" s="15" t="s">
        <v>1610</v>
      </c>
      <c r="D482" s="10" t="s">
        <v>1611</v>
      </c>
      <c r="E482" s="11">
        <v>485722.23</v>
      </c>
      <c r="F482" s="11">
        <v>-485722</v>
      </c>
      <c r="G482" s="11">
        <v>0</v>
      </c>
      <c r="I482" s="12">
        <f t="shared" si="26"/>
        <v>0.22999999998137355</v>
      </c>
      <c r="K482" s="9"/>
      <c r="M482" s="13"/>
    </row>
    <row r="483" spans="1:13" outlineLevel="2">
      <c r="A483" s="9">
        <f t="shared" si="25"/>
        <v>479</v>
      </c>
      <c r="B483" s="9" t="s">
        <v>1600</v>
      </c>
      <c r="C483" s="15" t="s">
        <v>1612</v>
      </c>
      <c r="D483" s="10" t="s">
        <v>1613</v>
      </c>
      <c r="E483" s="11">
        <v>253597.44</v>
      </c>
      <c r="F483" s="11">
        <v>-253597.44</v>
      </c>
      <c r="G483" s="11">
        <v>0</v>
      </c>
      <c r="I483" s="12">
        <f t="shared" si="26"/>
        <v>0</v>
      </c>
      <c r="K483" s="9"/>
      <c r="M483" s="13"/>
    </row>
    <row r="484" spans="1:13" outlineLevel="2">
      <c r="A484" s="9">
        <f t="shared" si="25"/>
        <v>480</v>
      </c>
      <c r="B484" s="9" t="s">
        <v>1600</v>
      </c>
      <c r="C484" s="15" t="s">
        <v>1614</v>
      </c>
      <c r="D484" s="10" t="s">
        <v>1615</v>
      </c>
      <c r="E484" s="11">
        <v>1079091.51</v>
      </c>
      <c r="F484" s="11">
        <v>-1079091.51</v>
      </c>
      <c r="G484" s="11">
        <v>0</v>
      </c>
      <c r="I484" s="12">
        <f t="shared" si="26"/>
        <v>0</v>
      </c>
      <c r="K484" s="9"/>
      <c r="M484" s="13"/>
    </row>
    <row r="485" spans="1:13" outlineLevel="2">
      <c r="A485" s="9">
        <f t="shared" si="25"/>
        <v>481</v>
      </c>
      <c r="B485" s="9" t="s">
        <v>1600</v>
      </c>
      <c r="C485" s="15" t="s">
        <v>1616</v>
      </c>
      <c r="D485" s="10" t="s">
        <v>1617</v>
      </c>
      <c r="E485" s="11">
        <v>425706.26</v>
      </c>
      <c r="F485" s="11">
        <v>-425706.26</v>
      </c>
      <c r="G485" s="11">
        <v>0</v>
      </c>
      <c r="I485" s="12">
        <f t="shared" si="26"/>
        <v>0</v>
      </c>
      <c r="K485" s="9"/>
      <c r="M485" s="13"/>
    </row>
    <row r="486" spans="1:13" outlineLevel="2">
      <c r="A486" s="9">
        <f t="shared" si="25"/>
        <v>482</v>
      </c>
      <c r="B486" s="9" t="s">
        <v>1600</v>
      </c>
      <c r="C486" s="15" t="s">
        <v>1618</v>
      </c>
      <c r="D486" s="10" t="s">
        <v>1619</v>
      </c>
      <c r="E486" s="11">
        <v>108040.31</v>
      </c>
      <c r="F486" s="11">
        <v>-108040.31</v>
      </c>
      <c r="G486" s="11">
        <v>0</v>
      </c>
      <c r="I486" s="12">
        <f t="shared" si="26"/>
        <v>0</v>
      </c>
      <c r="K486" s="9"/>
      <c r="M486" s="13"/>
    </row>
    <row r="487" spans="1:13" outlineLevel="2">
      <c r="A487" s="9">
        <f t="shared" si="25"/>
        <v>483</v>
      </c>
      <c r="B487" s="9" t="s">
        <v>1600</v>
      </c>
      <c r="C487" s="15" t="s">
        <v>1620</v>
      </c>
      <c r="D487" s="10" t="s">
        <v>1621</v>
      </c>
      <c r="E487" s="11">
        <v>6494</v>
      </c>
      <c r="F487" s="11">
        <v>-6494</v>
      </c>
      <c r="G487" s="11">
        <v>0</v>
      </c>
      <c r="I487" s="12">
        <f t="shared" si="26"/>
        <v>0</v>
      </c>
      <c r="K487" s="9"/>
      <c r="M487" s="13"/>
    </row>
    <row r="488" spans="1:13" outlineLevel="2">
      <c r="A488" s="9">
        <f t="shared" si="25"/>
        <v>484</v>
      </c>
      <c r="B488" s="9" t="s">
        <v>1600</v>
      </c>
      <c r="C488" s="15" t="s">
        <v>1622</v>
      </c>
      <c r="D488" s="10" t="s">
        <v>1623</v>
      </c>
      <c r="E488" s="11">
        <v>102282.9</v>
      </c>
      <c r="F488" s="11">
        <v>-102282.9</v>
      </c>
      <c r="G488" s="11">
        <v>0</v>
      </c>
      <c r="I488" s="12">
        <f t="shared" si="26"/>
        <v>0</v>
      </c>
      <c r="K488" s="9"/>
      <c r="M488" s="13"/>
    </row>
    <row r="489" spans="1:13" outlineLevel="2">
      <c r="A489" s="9">
        <f t="shared" si="25"/>
        <v>485</v>
      </c>
      <c r="B489" s="9" t="s">
        <v>1600</v>
      </c>
      <c r="C489" s="15" t="s">
        <v>1624</v>
      </c>
      <c r="D489" s="10" t="s">
        <v>1625</v>
      </c>
      <c r="E489" s="11">
        <v>1237730.0900000001</v>
      </c>
      <c r="F489" s="11">
        <v>-1237730.0900000001</v>
      </c>
      <c r="G489" s="11">
        <v>0</v>
      </c>
      <c r="I489" s="12">
        <f t="shared" si="26"/>
        <v>0</v>
      </c>
      <c r="K489" s="9"/>
      <c r="M489" s="13"/>
    </row>
    <row r="490" spans="1:13" outlineLevel="2">
      <c r="A490" s="9">
        <f t="shared" si="25"/>
        <v>486</v>
      </c>
      <c r="B490" s="9" t="s">
        <v>1600</v>
      </c>
      <c r="C490" s="15" t="s">
        <v>1626</v>
      </c>
      <c r="D490" s="10" t="s">
        <v>1627</v>
      </c>
      <c r="E490" s="11">
        <v>920941.25</v>
      </c>
      <c r="F490" s="11">
        <v>-920941.25</v>
      </c>
      <c r="G490" s="11">
        <v>0</v>
      </c>
      <c r="I490" s="12">
        <f t="shared" si="26"/>
        <v>0</v>
      </c>
      <c r="K490" s="9"/>
      <c r="M490" s="13"/>
    </row>
    <row r="491" spans="1:13" ht="12.75" customHeight="1" outlineLevel="2">
      <c r="A491" s="9">
        <f t="shared" si="25"/>
        <v>487</v>
      </c>
      <c r="B491" s="9" t="s">
        <v>1600</v>
      </c>
      <c r="C491" s="15" t="s">
        <v>164</v>
      </c>
      <c r="D491" s="10" t="s">
        <v>1628</v>
      </c>
      <c r="E491" s="11">
        <v>474403.84000000003</v>
      </c>
      <c r="F491" s="11">
        <v>-474403.84000000003</v>
      </c>
      <c r="G491" s="11">
        <v>0</v>
      </c>
      <c r="I491" s="12">
        <f t="shared" si="26"/>
        <v>0</v>
      </c>
      <c r="J491" s="10"/>
      <c r="K491" s="9"/>
      <c r="M491" s="13"/>
    </row>
    <row r="492" spans="1:13" outlineLevel="2">
      <c r="A492" s="9">
        <f t="shared" si="25"/>
        <v>488</v>
      </c>
      <c r="B492" s="9" t="s">
        <v>1600</v>
      </c>
      <c r="C492" s="15" t="s">
        <v>1629</v>
      </c>
      <c r="D492" s="10" t="s">
        <v>1630</v>
      </c>
      <c r="E492" s="11">
        <v>659368.23</v>
      </c>
      <c r="F492" s="11">
        <v>-659368.23</v>
      </c>
      <c r="G492" s="11">
        <v>0</v>
      </c>
      <c r="I492" s="12">
        <f t="shared" si="26"/>
        <v>0</v>
      </c>
      <c r="J492" s="799"/>
      <c r="K492" s="9"/>
      <c r="M492" s="13"/>
    </row>
    <row r="493" spans="1:13" outlineLevel="2">
      <c r="A493" s="9">
        <f t="shared" si="25"/>
        <v>489</v>
      </c>
      <c r="B493" s="9" t="s">
        <v>1600</v>
      </c>
      <c r="C493" s="10" t="s">
        <v>1631</v>
      </c>
      <c r="D493" s="10" t="s">
        <v>1632</v>
      </c>
      <c r="E493" s="11">
        <v>216162.68</v>
      </c>
      <c r="F493" s="11">
        <v>-216162.68</v>
      </c>
      <c r="G493" s="11">
        <v>0</v>
      </c>
      <c r="I493" s="12">
        <f t="shared" si="26"/>
        <v>0</v>
      </c>
      <c r="K493" s="9"/>
      <c r="M493" s="13"/>
    </row>
    <row r="494" spans="1:13" s="5" customFormat="1" ht="13.5" outlineLevel="1" thickBot="1">
      <c r="A494" s="9">
        <f t="shared" si="25"/>
        <v>490</v>
      </c>
      <c r="B494" s="16" t="s">
        <v>1633</v>
      </c>
      <c r="C494" s="18"/>
      <c r="D494" s="18" t="s">
        <v>1634</v>
      </c>
      <c r="E494" s="19">
        <f>SUBTOTAL(9,E477:E493)</f>
        <v>7224725.2899999991</v>
      </c>
      <c r="F494" s="19">
        <f>SUBTOTAL(9,F477:F493)</f>
        <v>-7224725.0599999987</v>
      </c>
      <c r="G494" s="19">
        <f>SUBTOTAL(9,G477:G493)</f>
        <v>0</v>
      </c>
      <c r="H494" s="19"/>
      <c r="I494" s="675">
        <f>SUBTOTAL(9,I477:I493)</f>
        <v>0.22999999998137355</v>
      </c>
      <c r="J494" s="20"/>
      <c r="K494" s="3"/>
      <c r="L494" s="3"/>
      <c r="M494" s="6"/>
    </row>
    <row r="495" spans="1:13" ht="13.5" customHeight="1" outlineLevel="2" thickTop="1">
      <c r="A495" s="9">
        <f t="shared" si="25"/>
        <v>491</v>
      </c>
      <c r="B495" s="9" t="s">
        <v>1635</v>
      </c>
      <c r="C495" s="15" t="s">
        <v>1636</v>
      </c>
      <c r="D495" s="1" t="s">
        <v>1637</v>
      </c>
      <c r="E495" s="11">
        <v>287835</v>
      </c>
      <c r="F495" s="11">
        <v>0</v>
      </c>
      <c r="G495" s="11">
        <v>0</v>
      </c>
      <c r="I495" s="12">
        <f t="shared" ref="I495:I503" si="27">SUM(E495:G495)</f>
        <v>287835</v>
      </c>
      <c r="J495" s="874"/>
      <c r="K495" s="9"/>
      <c r="M495" s="13"/>
    </row>
    <row r="496" spans="1:13" s="9" customFormat="1" ht="13.5" customHeight="1" outlineLevel="2">
      <c r="A496" s="9">
        <f t="shared" si="25"/>
        <v>492</v>
      </c>
      <c r="B496" s="9" t="s">
        <v>1635</v>
      </c>
      <c r="C496" s="398" t="s">
        <v>1638</v>
      </c>
      <c r="D496" s="10" t="s">
        <v>1639</v>
      </c>
      <c r="E496" s="11">
        <v>12414412.949999999</v>
      </c>
      <c r="F496" s="11">
        <v>-12111803.949999999</v>
      </c>
      <c r="G496" s="11">
        <v>0</v>
      </c>
      <c r="H496" s="11"/>
      <c r="I496" s="12">
        <f t="shared" si="27"/>
        <v>302609</v>
      </c>
      <c r="J496" s="875"/>
      <c r="M496" s="13"/>
    </row>
    <row r="497" spans="1:13" s="9" customFormat="1" ht="13.5" customHeight="1" outlineLevel="2">
      <c r="A497" s="9">
        <f t="shared" si="25"/>
        <v>493</v>
      </c>
      <c r="B497" s="9" t="s">
        <v>1635</v>
      </c>
      <c r="C497" s="398" t="s">
        <v>1638</v>
      </c>
      <c r="D497" s="10" t="s">
        <v>1639</v>
      </c>
      <c r="E497" s="11">
        <v>226392.01</v>
      </c>
      <c r="F497" s="11">
        <v>-226392.01</v>
      </c>
      <c r="G497" s="11"/>
      <c r="H497" s="11"/>
      <c r="I497" s="12">
        <f t="shared" si="27"/>
        <v>0</v>
      </c>
      <c r="J497" s="875"/>
      <c r="M497" s="13"/>
    </row>
    <row r="498" spans="1:13" s="9" customFormat="1" outlineLevel="2">
      <c r="A498" s="9">
        <f t="shared" si="25"/>
        <v>494</v>
      </c>
      <c r="B498" s="9" t="s">
        <v>1635</v>
      </c>
      <c r="C498" s="398" t="s">
        <v>1640</v>
      </c>
      <c r="D498" s="10" t="s">
        <v>1641</v>
      </c>
      <c r="E498" s="11">
        <v>2978205</v>
      </c>
      <c r="F498" s="11">
        <v>0</v>
      </c>
      <c r="G498" s="11">
        <v>0</v>
      </c>
      <c r="H498" s="11"/>
      <c r="I498" s="12">
        <f t="shared" si="27"/>
        <v>2978205</v>
      </c>
      <c r="J498" s="875"/>
      <c r="M498" s="13"/>
    </row>
    <row r="499" spans="1:13" s="9" customFormat="1" outlineLevel="2">
      <c r="A499" s="9">
        <f t="shared" si="25"/>
        <v>495</v>
      </c>
      <c r="B499" s="9" t="s">
        <v>1635</v>
      </c>
      <c r="C499" s="398" t="s">
        <v>1576</v>
      </c>
      <c r="D499" s="10" t="s">
        <v>1577</v>
      </c>
      <c r="E499" s="11">
        <v>237295.95</v>
      </c>
      <c r="F499" s="11"/>
      <c r="G499" s="11"/>
      <c r="H499" s="11"/>
      <c r="I499" s="12">
        <f t="shared" si="27"/>
        <v>237295.95</v>
      </c>
      <c r="J499" s="875"/>
      <c r="M499" s="13"/>
    </row>
    <row r="500" spans="1:13" s="9" customFormat="1" outlineLevel="2">
      <c r="A500" s="9">
        <f t="shared" si="25"/>
        <v>496</v>
      </c>
      <c r="B500" s="9" t="s">
        <v>1635</v>
      </c>
      <c r="C500" s="398" t="s">
        <v>1642</v>
      </c>
      <c r="D500" s="10" t="s">
        <v>1643</v>
      </c>
      <c r="E500" s="11">
        <v>121494.9</v>
      </c>
      <c r="F500" s="11">
        <f>-(E500*0.75)</f>
        <v>-91121.174999999988</v>
      </c>
      <c r="G500" s="11"/>
      <c r="H500" s="11"/>
      <c r="I500" s="12">
        <f t="shared" si="27"/>
        <v>30373.725000000006</v>
      </c>
      <c r="J500" s="875"/>
      <c r="M500" s="13"/>
    </row>
    <row r="501" spans="1:13" s="9" customFormat="1" outlineLevel="2">
      <c r="A501" s="9">
        <f t="shared" si="25"/>
        <v>497</v>
      </c>
      <c r="B501" s="9" t="s">
        <v>1635</v>
      </c>
      <c r="C501" s="398" t="s">
        <v>1644</v>
      </c>
      <c r="D501" s="10" t="s">
        <v>1645</v>
      </c>
      <c r="E501" s="11">
        <f>475783.06+216551.65</f>
        <v>692334.71</v>
      </c>
      <c r="F501" s="11">
        <f>-(E501*0.75)</f>
        <v>-519251.03249999997</v>
      </c>
      <c r="G501" s="11"/>
      <c r="H501" s="11"/>
      <c r="I501" s="12">
        <f t="shared" si="27"/>
        <v>173083.67749999999</v>
      </c>
      <c r="J501" s="875"/>
      <c r="M501" s="13"/>
    </row>
    <row r="502" spans="1:13" s="9" customFormat="1" outlineLevel="2">
      <c r="A502" s="9">
        <f t="shared" si="25"/>
        <v>498</v>
      </c>
      <c r="B502" s="9" t="s">
        <v>1635</v>
      </c>
      <c r="C502" s="398" t="s">
        <v>1646</v>
      </c>
      <c r="D502" s="10" t="s">
        <v>1647</v>
      </c>
      <c r="E502" s="11">
        <v>13270517.16</v>
      </c>
      <c r="F502" s="11">
        <f>-E502*0.75</f>
        <v>-9952887.870000001</v>
      </c>
      <c r="G502" s="11"/>
      <c r="H502" s="11"/>
      <c r="I502" s="12">
        <f t="shared" si="27"/>
        <v>3317629.2899999991</v>
      </c>
      <c r="J502" s="875"/>
      <c r="M502" s="13"/>
    </row>
    <row r="503" spans="1:13" s="9" customFormat="1" outlineLevel="2">
      <c r="A503" s="9">
        <f t="shared" si="25"/>
        <v>499</v>
      </c>
      <c r="B503" s="9" t="s">
        <v>1635</v>
      </c>
      <c r="C503" s="398" t="s">
        <v>1648</v>
      </c>
      <c r="D503" s="10" t="s">
        <v>1649</v>
      </c>
      <c r="E503" s="11">
        <v>33085.21</v>
      </c>
      <c r="F503" s="11">
        <f>-(E503*0.75)</f>
        <v>-24813.907500000001</v>
      </c>
      <c r="G503" s="11"/>
      <c r="H503" s="11"/>
      <c r="I503" s="12">
        <f t="shared" si="27"/>
        <v>8271.302499999998</v>
      </c>
      <c r="J503" s="801"/>
      <c r="M503" s="13"/>
    </row>
    <row r="504" spans="1:13" s="3" customFormat="1" ht="13.5" outlineLevel="1" thickBot="1">
      <c r="A504" s="9">
        <f t="shared" si="25"/>
        <v>500</v>
      </c>
      <c r="B504" s="16" t="s">
        <v>1650</v>
      </c>
      <c r="C504" s="27"/>
      <c r="D504" s="18" t="s">
        <v>1651</v>
      </c>
      <c r="E504" s="19">
        <f>SUBTOTAL(9,E495:E503)</f>
        <v>30261572.890000001</v>
      </c>
      <c r="F504" s="19">
        <f>SUBTOTAL(9,F495:F503)</f>
        <v>-22926269.945</v>
      </c>
      <c r="G504" s="19">
        <f t="shared" ref="G504:H504" si="28">SUBTOTAL(9,G495:G503)</f>
        <v>0</v>
      </c>
      <c r="H504" s="19">
        <f t="shared" si="28"/>
        <v>0</v>
      </c>
      <c r="I504" s="19">
        <f>SUBTOTAL(9,I495:I503)</f>
        <v>7335302.9449999994</v>
      </c>
      <c r="J504" s="28"/>
      <c r="M504" s="6"/>
    </row>
    <row r="505" spans="1:13" s="9" customFormat="1" ht="13.5" outlineLevel="2" thickTop="1">
      <c r="A505" s="9">
        <f t="shared" si="25"/>
        <v>501</v>
      </c>
      <c r="B505" s="9" t="s">
        <v>432</v>
      </c>
      <c r="C505" s="13"/>
      <c r="D505" s="10" t="s">
        <v>1286</v>
      </c>
      <c r="E505" s="11">
        <v>2370872.7999999998</v>
      </c>
      <c r="F505" s="11">
        <v>-1772523.45</v>
      </c>
      <c r="G505" s="11"/>
      <c r="H505" s="11"/>
      <c r="I505" s="12">
        <f t="shared" ref="I505:I510" si="29">SUM(E505:G505)</f>
        <v>598349.34999999986</v>
      </c>
      <c r="M505" s="13"/>
    </row>
    <row r="506" spans="1:13" s="9" customFormat="1" outlineLevel="2">
      <c r="A506" s="9">
        <f t="shared" si="25"/>
        <v>502</v>
      </c>
      <c r="B506" s="9" t="s">
        <v>432</v>
      </c>
      <c r="C506" s="13"/>
      <c r="D506" s="10" t="s">
        <v>1652</v>
      </c>
      <c r="E506" s="11">
        <v>6186445.3200000003</v>
      </c>
      <c r="F506" s="11">
        <v>-933622.63</v>
      </c>
      <c r="G506" s="11"/>
      <c r="H506" s="11"/>
      <c r="I506" s="12">
        <f t="shared" si="29"/>
        <v>5252822.6900000004</v>
      </c>
      <c r="M506" s="13"/>
    </row>
    <row r="507" spans="1:13" s="9" customFormat="1" outlineLevel="2">
      <c r="A507" s="9">
        <f t="shared" si="25"/>
        <v>503</v>
      </c>
      <c r="B507" s="9" t="s">
        <v>432</v>
      </c>
      <c r="C507" s="13"/>
      <c r="D507" s="10" t="s">
        <v>986</v>
      </c>
      <c r="E507" s="11">
        <v>25114691.530000001</v>
      </c>
      <c r="F507" s="11">
        <v>-3244665.75</v>
      </c>
      <c r="G507" s="11"/>
      <c r="H507" s="11"/>
      <c r="I507" s="12">
        <f t="shared" si="29"/>
        <v>21870025.780000001</v>
      </c>
      <c r="M507" s="13"/>
    </row>
    <row r="508" spans="1:13" s="9" customFormat="1" outlineLevel="2">
      <c r="A508" s="9">
        <f t="shared" si="25"/>
        <v>504</v>
      </c>
      <c r="B508" s="9" t="s">
        <v>432</v>
      </c>
      <c r="C508" s="13"/>
      <c r="D508" s="10" t="s">
        <v>1402</v>
      </c>
      <c r="E508" s="11">
        <v>88976668.870000005</v>
      </c>
      <c r="F508" s="11">
        <v>-45917714.630000003</v>
      </c>
      <c r="G508" s="11"/>
      <c r="H508" s="11"/>
      <c r="I508" s="12">
        <f t="shared" si="29"/>
        <v>43058954.240000002</v>
      </c>
      <c r="M508" s="13"/>
    </row>
    <row r="509" spans="1:13" s="9" customFormat="1" outlineLevel="2">
      <c r="A509" s="9">
        <f t="shared" si="25"/>
        <v>505</v>
      </c>
      <c r="B509" s="9" t="s">
        <v>432</v>
      </c>
      <c r="C509" s="13"/>
      <c r="D509" s="10" t="s">
        <v>1653</v>
      </c>
      <c r="E509" s="11">
        <v>11255584.4</v>
      </c>
      <c r="F509" s="11">
        <v>-7108374.7300000004</v>
      </c>
      <c r="G509" s="11"/>
      <c r="H509" s="11"/>
      <c r="I509" s="12">
        <f t="shared" si="29"/>
        <v>4147209.67</v>
      </c>
      <c r="M509" s="13"/>
    </row>
    <row r="510" spans="1:13" s="9" customFormat="1" outlineLevel="2">
      <c r="A510" s="9">
        <f t="shared" si="25"/>
        <v>506</v>
      </c>
      <c r="B510" s="9" t="s">
        <v>432</v>
      </c>
      <c r="C510" s="13"/>
      <c r="D510" s="10" t="s">
        <v>1489</v>
      </c>
      <c r="E510" s="11">
        <v>22940618.440000001</v>
      </c>
      <c r="F510" s="11">
        <v>-3557583.15</v>
      </c>
      <c r="G510" s="11"/>
      <c r="H510" s="11"/>
      <c r="I510" s="12">
        <f t="shared" si="29"/>
        <v>19383035.290000003</v>
      </c>
      <c r="M510" s="13"/>
    </row>
    <row r="511" spans="1:13" s="3" customFormat="1" ht="13.5" outlineLevel="1" thickBot="1">
      <c r="A511" s="9">
        <f t="shared" si="25"/>
        <v>507</v>
      </c>
      <c r="B511" s="16" t="s">
        <v>1654</v>
      </c>
      <c r="C511" s="18"/>
      <c r="D511" s="18" t="s">
        <v>1655</v>
      </c>
      <c r="E511" s="29">
        <f>SUM(E505:E510)</f>
        <v>156844881.36000001</v>
      </c>
      <c r="F511" s="29">
        <f>SUM(F505:F510)</f>
        <v>-62534484.339999996</v>
      </c>
      <c r="G511" s="29">
        <f>SUM(G505:G510)</f>
        <v>0</v>
      </c>
      <c r="H511" s="29"/>
      <c r="I511" s="29">
        <f>SUM(I505:I510)</f>
        <v>94310397.020000011</v>
      </c>
      <c r="J511" s="6"/>
    </row>
    <row r="512" spans="1:13" s="3" customFormat="1" ht="14" thickTop="1" thickBot="1">
      <c r="A512" s="9">
        <f t="shared" si="25"/>
        <v>508</v>
      </c>
      <c r="B512" s="482" t="s">
        <v>1656</v>
      </c>
      <c r="C512" s="483"/>
      <c r="D512" s="483" t="s">
        <v>1657</v>
      </c>
      <c r="E512" s="484">
        <f>SUBTOTAL(9,E5:E510)</f>
        <v>1675427306.900001</v>
      </c>
      <c r="F512" s="484">
        <f>SUBTOTAL(9,F5:F510)</f>
        <v>-134682429.41499999</v>
      </c>
      <c r="G512" s="484">
        <f>SUBTOTAL(9,G5:G510)</f>
        <v>-14395258.178580005</v>
      </c>
      <c r="H512" s="484">
        <f>SUBTOTAL(9,H5:H510)</f>
        <v>-9872854.5567000005</v>
      </c>
      <c r="I512" s="676">
        <f>SUBTOTAL(9,I5:I510)</f>
        <v>1516476764.7497199</v>
      </c>
      <c r="J512" s="6"/>
    </row>
    <row r="513" spans="1:17" s="9" customFormat="1" ht="13.5" thickTop="1">
      <c r="A513" s="9">
        <f t="shared" si="25"/>
        <v>509</v>
      </c>
      <c r="C513" s="13"/>
      <c r="D513" s="1" t="s">
        <v>1658</v>
      </c>
      <c r="E513" s="30">
        <f>E512-E511-E504</f>
        <v>1488320852.6500008</v>
      </c>
      <c r="F513" s="30">
        <f>F512-F511-F504</f>
        <v>-49221675.129999988</v>
      </c>
      <c r="G513" s="31">
        <f>(G512-G511)*-1</f>
        <v>14395258.178580005</v>
      </c>
      <c r="H513" s="31">
        <f>(H512-H511)*-1</f>
        <v>9872854.5567000005</v>
      </c>
      <c r="I513" s="12">
        <f>I512-I504-I511</f>
        <v>1414831064.7847199</v>
      </c>
      <c r="J513" s="10"/>
      <c r="N513" s="10"/>
      <c r="O513" s="10"/>
      <c r="P513" s="10"/>
    </row>
    <row r="514" spans="1:17" s="9" customFormat="1">
      <c r="A514" s="9">
        <f t="shared" si="25"/>
        <v>510</v>
      </c>
      <c r="B514" s="721" t="s">
        <v>1659</v>
      </c>
      <c r="C514" s="13"/>
      <c r="E514" s="30"/>
      <c r="F514" s="30"/>
      <c r="G514" s="31"/>
      <c r="H514" s="31"/>
      <c r="I514" s="12"/>
      <c r="J514" s="10"/>
      <c r="N514" s="10"/>
      <c r="O514" s="10"/>
      <c r="P514" s="10"/>
    </row>
    <row r="515" spans="1:17" s="9" customFormat="1">
      <c r="A515" s="9">
        <f t="shared" si="25"/>
        <v>511</v>
      </c>
      <c r="B515" s="721" t="s">
        <v>1660</v>
      </c>
      <c r="C515" s="13"/>
      <c r="D515" s="1"/>
      <c r="E515" s="30"/>
      <c r="F515" s="30"/>
      <c r="G515" s="31"/>
      <c r="H515" s="31"/>
      <c r="I515" s="12"/>
      <c r="J515" s="10"/>
      <c r="N515" s="10"/>
      <c r="O515" s="10"/>
      <c r="P515" s="10"/>
    </row>
    <row r="516" spans="1:17" s="9" customFormat="1">
      <c r="A516" s="9">
        <f t="shared" si="25"/>
        <v>512</v>
      </c>
      <c r="C516" s="13"/>
      <c r="D516" s="1" t="s">
        <v>1634</v>
      </c>
      <c r="E516" s="30"/>
      <c r="F516" s="30">
        <f>-(F513+F511)</f>
        <v>111756159.46999998</v>
      </c>
      <c r="G516" s="30"/>
      <c r="H516" s="30"/>
      <c r="I516" s="12">
        <f>I513+I511+I495+I496+I498</f>
        <v>1512710110.8047199</v>
      </c>
      <c r="J516" s="10"/>
      <c r="N516" s="10"/>
      <c r="O516" s="10"/>
      <c r="P516" s="10"/>
    </row>
    <row r="517" spans="1:17" s="9" customFormat="1">
      <c r="C517" s="13"/>
      <c r="D517" s="1"/>
      <c r="E517" s="31"/>
      <c r="F517" s="30"/>
      <c r="G517" s="30"/>
      <c r="H517" s="30"/>
      <c r="I517" s="12"/>
      <c r="J517" s="10"/>
      <c r="N517" s="10"/>
      <c r="O517" s="10"/>
      <c r="P517" s="10"/>
    </row>
    <row r="518" spans="1:17">
      <c r="C518" s="10"/>
      <c r="D518" s="1"/>
      <c r="E518" s="485">
        <f>E513+12220370.61</f>
        <v>1500541223.2600007</v>
      </c>
      <c r="F518" s="30"/>
      <c r="J518" s="10"/>
      <c r="K518" s="30"/>
    </row>
    <row r="519" spans="1:17">
      <c r="C519" s="10"/>
      <c r="D519" s="1"/>
      <c r="E519" s="485"/>
      <c r="F519" s="485"/>
      <c r="G519" s="485"/>
      <c r="H519" s="485"/>
      <c r="I519" s="11"/>
      <c r="J519" s="10"/>
      <c r="K519" s="30"/>
    </row>
    <row r="520" spans="1:17">
      <c r="C520" s="10"/>
      <c r="D520" s="1"/>
      <c r="E520" s="485"/>
      <c r="F520" s="485"/>
      <c r="G520" s="485"/>
      <c r="H520" s="485"/>
      <c r="I520" s="485"/>
      <c r="J520" s="10"/>
      <c r="K520" s="30"/>
    </row>
    <row r="521" spans="1:17">
      <c r="C521" s="10"/>
      <c r="E521" s="12"/>
      <c r="F521" s="12"/>
      <c r="G521" s="12"/>
      <c r="H521" s="12"/>
      <c r="J521" s="10"/>
      <c r="K521" s="9"/>
    </row>
    <row r="522" spans="1:17">
      <c r="C522" s="10"/>
      <c r="E522" s="12"/>
      <c r="F522" s="12"/>
      <c r="G522" s="12"/>
      <c r="H522" s="12"/>
      <c r="J522" s="395"/>
      <c r="K522" s="9"/>
    </row>
    <row r="523" spans="1:17">
      <c r="C523" s="10"/>
      <c r="E523" s="12"/>
      <c r="F523" s="12"/>
      <c r="G523" s="12"/>
      <c r="H523" s="12"/>
      <c r="J523" s="10"/>
      <c r="K523" s="9"/>
    </row>
    <row r="524" spans="1:17">
      <c r="C524" s="10"/>
      <c r="E524" s="12"/>
      <c r="F524" s="12"/>
      <c r="G524" s="12"/>
      <c r="H524" s="12"/>
      <c r="J524" s="12"/>
      <c r="K524" s="9"/>
    </row>
    <row r="525" spans="1:17">
      <c r="C525" s="10"/>
      <c r="E525" s="12"/>
      <c r="F525" s="12"/>
      <c r="G525" s="12"/>
      <c r="H525" s="12"/>
      <c r="J525" s="12"/>
      <c r="K525" s="9"/>
    </row>
    <row r="526" spans="1:17" s="9" customFormat="1">
      <c r="C526" s="10"/>
      <c r="D526" s="10"/>
      <c r="E526" s="12"/>
      <c r="F526" s="12"/>
      <c r="G526" s="12"/>
      <c r="H526" s="12"/>
      <c r="I526" s="12"/>
      <c r="J526" s="12"/>
      <c r="N526" s="10"/>
      <c r="O526" s="10"/>
      <c r="P526" s="10"/>
      <c r="Q526" s="10"/>
    </row>
    <row r="527" spans="1:17" s="9" customFormat="1">
      <c r="C527" s="10"/>
      <c r="D527" s="10"/>
      <c r="E527" s="12"/>
      <c r="F527" s="12"/>
      <c r="G527" s="12"/>
      <c r="H527" s="12"/>
      <c r="I527" s="12"/>
      <c r="J527" s="12"/>
      <c r="N527" s="10"/>
      <c r="O527" s="10"/>
      <c r="P527" s="10"/>
      <c r="Q527" s="10"/>
    </row>
    <row r="528" spans="1:17" s="9" customFormat="1">
      <c r="C528" s="10"/>
      <c r="D528" s="10"/>
      <c r="E528" s="12"/>
      <c r="F528" s="12"/>
      <c r="G528" s="12"/>
      <c r="H528" s="12"/>
      <c r="I528" s="12"/>
      <c r="J528" s="12"/>
      <c r="K528" s="30"/>
      <c r="N528" s="10"/>
      <c r="O528" s="10"/>
      <c r="P528" s="10"/>
      <c r="Q528" s="10"/>
    </row>
    <row r="529" spans="3:17" s="9" customFormat="1">
      <c r="C529" s="10"/>
      <c r="D529" s="10"/>
      <c r="E529" s="12"/>
      <c r="F529" s="12"/>
      <c r="G529" s="12"/>
      <c r="H529" s="12"/>
      <c r="I529" s="12"/>
      <c r="J529" s="12"/>
      <c r="N529" s="10"/>
      <c r="O529" s="10"/>
      <c r="P529" s="10"/>
      <c r="Q529" s="10"/>
    </row>
    <row r="530" spans="3:17" s="9" customFormat="1">
      <c r="C530" s="10"/>
      <c r="D530" s="10"/>
      <c r="E530" s="12"/>
      <c r="F530" s="12"/>
      <c r="G530" s="12"/>
      <c r="H530" s="12"/>
      <c r="I530" s="12"/>
      <c r="J530" s="10"/>
      <c r="N530" s="10"/>
      <c r="O530" s="10"/>
      <c r="P530" s="10"/>
      <c r="Q530" s="10"/>
    </row>
    <row r="531" spans="3:17" s="9" customFormat="1">
      <c r="C531" s="10"/>
      <c r="D531" s="10"/>
      <c r="E531" s="12"/>
      <c r="F531" s="12"/>
      <c r="G531" s="12"/>
      <c r="H531" s="12"/>
      <c r="I531" s="12"/>
      <c r="J531" s="10"/>
      <c r="N531" s="10"/>
      <c r="O531" s="10"/>
      <c r="P531" s="10"/>
      <c r="Q531" s="10"/>
    </row>
    <row r="532" spans="3:17" s="9" customFormat="1">
      <c r="C532" s="10"/>
      <c r="D532" s="10"/>
      <c r="E532" s="11"/>
      <c r="F532" s="11"/>
      <c r="G532" s="11"/>
      <c r="H532" s="11"/>
      <c r="I532" s="12"/>
      <c r="J532" s="10"/>
      <c r="N532" s="10"/>
      <c r="O532" s="10"/>
      <c r="P532" s="10"/>
      <c r="Q532" s="10"/>
    </row>
    <row r="533" spans="3:17" s="9" customFormat="1">
      <c r="C533" s="10"/>
      <c r="D533" s="10"/>
      <c r="E533" s="11"/>
      <c r="F533" s="11"/>
      <c r="G533" s="11"/>
      <c r="H533" s="11"/>
      <c r="I533" s="12"/>
      <c r="J533" s="10"/>
      <c r="N533" s="10"/>
      <c r="O533" s="10"/>
      <c r="P533" s="10"/>
      <c r="Q533" s="10"/>
    </row>
    <row r="534" spans="3:17" s="9" customFormat="1">
      <c r="C534" s="10"/>
      <c r="D534" s="10"/>
      <c r="E534" s="11"/>
      <c r="F534" s="11"/>
      <c r="G534" s="11"/>
      <c r="H534" s="11"/>
      <c r="I534" s="12"/>
      <c r="J534" s="10"/>
      <c r="N534" s="10"/>
      <c r="O534" s="10"/>
      <c r="P534" s="10"/>
      <c r="Q534" s="10"/>
    </row>
    <row r="535" spans="3:17" s="9" customFormat="1">
      <c r="C535" s="10"/>
      <c r="D535" s="10"/>
      <c r="E535" s="11"/>
      <c r="F535" s="11"/>
      <c r="G535" s="11"/>
      <c r="H535" s="11"/>
      <c r="I535" s="12"/>
      <c r="J535" s="10"/>
      <c r="N535" s="10"/>
      <c r="O535" s="10"/>
      <c r="P535" s="10"/>
      <c r="Q535" s="10"/>
    </row>
    <row r="536" spans="3:17" s="9" customFormat="1">
      <c r="C536" s="10"/>
      <c r="D536" s="10"/>
      <c r="E536" s="11"/>
      <c r="F536" s="11"/>
      <c r="G536" s="11"/>
      <c r="H536" s="11"/>
      <c r="I536" s="12"/>
      <c r="J536" s="10"/>
      <c r="N536" s="10"/>
      <c r="O536" s="10"/>
      <c r="P536" s="10"/>
      <c r="Q536" s="10"/>
    </row>
    <row r="537" spans="3:17" s="9" customFormat="1">
      <c r="C537" s="10"/>
      <c r="D537" s="10"/>
      <c r="E537" s="11"/>
      <c r="F537" s="11"/>
      <c r="G537" s="11"/>
      <c r="H537" s="11"/>
      <c r="I537" s="12"/>
      <c r="J537" s="10"/>
      <c r="N537" s="10"/>
      <c r="O537" s="10"/>
      <c r="P537" s="10"/>
      <c r="Q537" s="10"/>
    </row>
    <row r="538" spans="3:17" s="9" customFormat="1">
      <c r="C538" s="10"/>
      <c r="D538" s="10"/>
      <c r="E538" s="11"/>
      <c r="F538" s="11"/>
      <c r="G538" s="11"/>
      <c r="H538" s="11"/>
      <c r="I538" s="12"/>
      <c r="J538" s="10"/>
      <c r="N538" s="10"/>
      <c r="O538" s="10"/>
      <c r="P538" s="10"/>
      <c r="Q538" s="10"/>
    </row>
    <row r="539" spans="3:17" s="9" customFormat="1">
      <c r="C539" s="10"/>
      <c r="D539" s="10"/>
      <c r="E539" s="11"/>
      <c r="F539" s="11"/>
      <c r="G539" s="11"/>
      <c r="H539" s="11"/>
      <c r="I539" s="12"/>
      <c r="J539" s="10"/>
      <c r="N539" s="10"/>
      <c r="O539" s="10"/>
      <c r="P539" s="10"/>
      <c r="Q539" s="10"/>
    </row>
    <row r="540" spans="3:17" s="9" customFormat="1">
      <c r="C540" s="10"/>
      <c r="D540" s="10"/>
      <c r="E540" s="11"/>
      <c r="F540" s="11"/>
      <c r="G540" s="11"/>
      <c r="H540" s="11"/>
      <c r="I540" s="12"/>
      <c r="J540" s="10"/>
      <c r="N540" s="10"/>
      <c r="O540" s="10"/>
      <c r="P540" s="10"/>
      <c r="Q540" s="10"/>
    </row>
    <row r="541" spans="3:17" s="9" customFormat="1">
      <c r="C541" s="10"/>
      <c r="D541" s="10"/>
      <c r="E541" s="11"/>
      <c r="F541" s="11"/>
      <c r="G541" s="11"/>
      <c r="H541" s="11"/>
      <c r="I541" s="12"/>
      <c r="J541" s="10"/>
      <c r="N541" s="10"/>
      <c r="O541" s="10"/>
      <c r="P541" s="10"/>
      <c r="Q541" s="10"/>
    </row>
    <row r="542" spans="3:17" s="9" customFormat="1">
      <c r="C542" s="10"/>
      <c r="D542" s="10"/>
      <c r="E542" s="11"/>
      <c r="F542" s="11"/>
      <c r="G542" s="11"/>
      <c r="H542" s="11"/>
      <c r="I542" s="12"/>
      <c r="J542" s="10"/>
      <c r="N542" s="10"/>
      <c r="O542" s="10"/>
      <c r="P542" s="10"/>
      <c r="Q542" s="10"/>
    </row>
    <row r="543" spans="3:17" s="9" customFormat="1">
      <c r="C543" s="10"/>
      <c r="D543" s="10"/>
      <c r="E543" s="11"/>
      <c r="F543" s="11"/>
      <c r="G543" s="11"/>
      <c r="H543" s="11"/>
      <c r="I543" s="12"/>
      <c r="J543" s="10"/>
      <c r="N543" s="10"/>
      <c r="O543" s="10"/>
      <c r="P543" s="10"/>
      <c r="Q543" s="10"/>
    </row>
    <row r="544" spans="3:17" s="9" customFormat="1">
      <c r="C544" s="10"/>
      <c r="D544" s="10"/>
      <c r="E544" s="11"/>
      <c r="F544" s="11"/>
      <c r="G544" s="11"/>
      <c r="H544" s="11"/>
      <c r="I544" s="12"/>
      <c r="J544" s="10"/>
      <c r="N544" s="10"/>
      <c r="O544" s="10"/>
      <c r="P544" s="10"/>
      <c r="Q544" s="10"/>
    </row>
    <row r="545" spans="3:17" s="9" customFormat="1">
      <c r="C545" s="10"/>
      <c r="D545" s="10"/>
      <c r="E545" s="11"/>
      <c r="F545" s="11"/>
      <c r="G545" s="11"/>
      <c r="H545" s="11"/>
      <c r="I545" s="12"/>
      <c r="J545" s="10"/>
      <c r="N545" s="10"/>
      <c r="O545" s="10"/>
      <c r="P545" s="10"/>
      <c r="Q545" s="10"/>
    </row>
    <row r="546" spans="3:17" s="9" customFormat="1">
      <c r="C546" s="10"/>
      <c r="D546" s="10"/>
      <c r="E546" s="11"/>
      <c r="F546" s="11"/>
      <c r="G546" s="11"/>
      <c r="H546" s="11"/>
      <c r="I546" s="12"/>
      <c r="J546" s="10"/>
      <c r="N546" s="10"/>
      <c r="O546" s="10"/>
      <c r="P546" s="10"/>
      <c r="Q546" s="10"/>
    </row>
    <row r="547" spans="3:17" s="9" customFormat="1">
      <c r="C547" s="10"/>
      <c r="D547" s="10"/>
      <c r="E547" s="11"/>
      <c r="F547" s="11"/>
      <c r="G547" s="11"/>
      <c r="H547" s="11"/>
      <c r="I547" s="12"/>
      <c r="J547" s="10"/>
      <c r="N547" s="10"/>
      <c r="O547" s="10"/>
      <c r="P547" s="10"/>
      <c r="Q547" s="10"/>
    </row>
    <row r="548" spans="3:17" s="9" customFormat="1">
      <c r="C548" s="10"/>
      <c r="D548" s="10"/>
      <c r="E548" s="11"/>
      <c r="F548" s="11"/>
      <c r="G548" s="11"/>
      <c r="H548" s="11"/>
      <c r="I548" s="12"/>
      <c r="J548" s="10"/>
      <c r="N548" s="10"/>
      <c r="O548" s="10"/>
      <c r="P548" s="10"/>
      <c r="Q548" s="10"/>
    </row>
    <row r="549" spans="3:17" s="9" customFormat="1">
      <c r="C549" s="10"/>
      <c r="D549" s="10"/>
      <c r="E549" s="11"/>
      <c r="F549" s="11"/>
      <c r="G549" s="11"/>
      <c r="H549" s="11"/>
      <c r="I549" s="12"/>
      <c r="J549" s="10"/>
      <c r="N549" s="10"/>
      <c r="O549" s="10"/>
      <c r="P549" s="10"/>
      <c r="Q549" s="10"/>
    </row>
    <row r="550" spans="3:17" s="9" customFormat="1">
      <c r="C550" s="10"/>
      <c r="D550" s="10"/>
      <c r="E550" s="11"/>
      <c r="F550" s="11"/>
      <c r="G550" s="11"/>
      <c r="H550" s="11"/>
      <c r="I550" s="12"/>
      <c r="J550" s="10"/>
      <c r="N550" s="10"/>
      <c r="O550" s="10"/>
      <c r="P550" s="10"/>
      <c r="Q550" s="10"/>
    </row>
    <row r="551" spans="3:17" s="9" customFormat="1">
      <c r="C551" s="10"/>
      <c r="D551" s="10"/>
      <c r="E551" s="11"/>
      <c r="F551" s="11"/>
      <c r="G551" s="11"/>
      <c r="H551" s="11"/>
      <c r="I551" s="12"/>
      <c r="J551" s="10"/>
      <c r="N551" s="10"/>
      <c r="O551" s="10"/>
      <c r="P551" s="10"/>
      <c r="Q551" s="10"/>
    </row>
    <row r="552" spans="3:17" s="9" customFormat="1">
      <c r="C552" s="10"/>
      <c r="D552" s="10"/>
      <c r="E552" s="11"/>
      <c r="F552" s="11"/>
      <c r="G552" s="11"/>
      <c r="H552" s="11"/>
      <c r="I552" s="12"/>
      <c r="J552" s="10"/>
      <c r="N552" s="10"/>
      <c r="O552" s="10"/>
      <c r="P552" s="10"/>
      <c r="Q552" s="10"/>
    </row>
    <row r="553" spans="3:17" s="9" customFormat="1">
      <c r="C553" s="10"/>
      <c r="D553" s="10"/>
      <c r="E553" s="11"/>
      <c r="F553" s="11"/>
      <c r="G553" s="11"/>
      <c r="H553" s="11"/>
      <c r="I553" s="12"/>
      <c r="J553" s="10"/>
      <c r="N553" s="10"/>
      <c r="O553" s="10"/>
      <c r="P553" s="10"/>
      <c r="Q553" s="10"/>
    </row>
    <row r="554" spans="3:17" s="9" customFormat="1">
      <c r="C554" s="10"/>
      <c r="D554" s="10"/>
      <c r="E554" s="11"/>
      <c r="F554" s="11"/>
      <c r="G554" s="11"/>
      <c r="H554" s="11"/>
      <c r="I554" s="12"/>
      <c r="J554" s="10"/>
      <c r="N554" s="10"/>
      <c r="O554" s="10"/>
      <c r="P554" s="10"/>
      <c r="Q554" s="10"/>
    </row>
    <row r="555" spans="3:17" s="9" customFormat="1">
      <c r="C555" s="10"/>
      <c r="D555" s="10"/>
      <c r="E555" s="11"/>
      <c r="F555" s="11"/>
      <c r="G555" s="11"/>
      <c r="H555" s="11"/>
      <c r="I555" s="12"/>
      <c r="J555" s="10"/>
      <c r="N555" s="10"/>
      <c r="O555" s="10"/>
      <c r="P555" s="10"/>
      <c r="Q555" s="10"/>
    </row>
    <row r="556" spans="3:17" s="9" customFormat="1">
      <c r="C556" s="10"/>
      <c r="D556" s="10"/>
      <c r="E556" s="11"/>
      <c r="F556" s="11"/>
      <c r="G556" s="11"/>
      <c r="H556" s="11"/>
      <c r="I556" s="12"/>
      <c r="J556" s="10"/>
      <c r="N556" s="10"/>
      <c r="O556" s="10"/>
      <c r="P556" s="10"/>
      <c r="Q556" s="10"/>
    </row>
    <row r="557" spans="3:17" s="9" customFormat="1">
      <c r="C557" s="10"/>
      <c r="D557" s="10"/>
      <c r="E557" s="11"/>
      <c r="F557" s="11"/>
      <c r="G557" s="11"/>
      <c r="H557" s="11"/>
      <c r="I557" s="12"/>
      <c r="J557" s="10"/>
      <c r="N557" s="10"/>
      <c r="O557" s="10"/>
      <c r="P557" s="10"/>
      <c r="Q557" s="10"/>
    </row>
    <row r="558" spans="3:17" s="9" customFormat="1">
      <c r="C558" s="10"/>
      <c r="D558" s="10"/>
      <c r="E558" s="11"/>
      <c r="F558" s="11"/>
      <c r="G558" s="11"/>
      <c r="H558" s="11"/>
      <c r="I558" s="12"/>
      <c r="J558" s="10"/>
      <c r="N558" s="10"/>
      <c r="O558" s="10"/>
      <c r="P558" s="10"/>
      <c r="Q558" s="10"/>
    </row>
    <row r="559" spans="3:17" s="9" customFormat="1">
      <c r="C559" s="10"/>
      <c r="D559" s="10"/>
      <c r="E559" s="11"/>
      <c r="F559" s="11"/>
      <c r="G559" s="11"/>
      <c r="H559" s="11"/>
      <c r="I559" s="12"/>
      <c r="J559" s="10"/>
      <c r="N559" s="10"/>
      <c r="O559" s="10"/>
      <c r="P559" s="10"/>
      <c r="Q559" s="10"/>
    </row>
    <row r="560" spans="3:17" s="9" customFormat="1">
      <c r="C560" s="10"/>
      <c r="D560" s="10"/>
      <c r="E560" s="11"/>
      <c r="F560" s="11"/>
      <c r="G560" s="11"/>
      <c r="H560" s="11"/>
      <c r="I560" s="12"/>
      <c r="J560" s="10"/>
      <c r="N560" s="10"/>
      <c r="O560" s="10"/>
      <c r="P560" s="10"/>
      <c r="Q560" s="10"/>
    </row>
    <row r="561" spans="3:17" s="9" customFormat="1">
      <c r="C561" s="10"/>
      <c r="D561" s="10"/>
      <c r="E561" s="11"/>
      <c r="F561" s="11"/>
      <c r="G561" s="11"/>
      <c r="H561" s="11"/>
      <c r="I561" s="12"/>
      <c r="J561" s="10"/>
      <c r="N561" s="10"/>
      <c r="O561" s="10"/>
      <c r="P561" s="10"/>
      <c r="Q561" s="10"/>
    </row>
    <row r="562" spans="3:17" s="9" customFormat="1">
      <c r="C562" s="10"/>
      <c r="D562" s="10"/>
      <c r="E562" s="11"/>
      <c r="F562" s="11"/>
      <c r="G562" s="11"/>
      <c r="H562" s="11"/>
      <c r="I562" s="12"/>
      <c r="J562" s="10"/>
      <c r="N562" s="10"/>
      <c r="O562" s="10"/>
      <c r="P562" s="10"/>
      <c r="Q562" s="10"/>
    </row>
    <row r="563" spans="3:17" s="9" customFormat="1">
      <c r="C563" s="10"/>
      <c r="D563" s="10"/>
      <c r="E563" s="11"/>
      <c r="F563" s="11"/>
      <c r="G563" s="11"/>
      <c r="H563" s="11"/>
      <c r="I563" s="12"/>
      <c r="J563" s="10"/>
      <c r="N563" s="10"/>
      <c r="O563" s="10"/>
      <c r="P563" s="10"/>
      <c r="Q563" s="10"/>
    </row>
    <row r="564" spans="3:17" s="9" customFormat="1">
      <c r="C564" s="10"/>
      <c r="D564" s="10"/>
      <c r="E564" s="11"/>
      <c r="F564" s="11"/>
      <c r="G564" s="11"/>
      <c r="H564" s="11"/>
      <c r="I564" s="12"/>
      <c r="J564" s="10"/>
      <c r="N564" s="10"/>
      <c r="O564" s="10"/>
      <c r="P564" s="10"/>
      <c r="Q564" s="10"/>
    </row>
    <row r="565" spans="3:17" s="9" customFormat="1">
      <c r="C565" s="10"/>
      <c r="D565" s="10"/>
      <c r="E565" s="11"/>
      <c r="F565" s="11"/>
      <c r="G565" s="11"/>
      <c r="H565" s="11"/>
      <c r="I565" s="12"/>
      <c r="J565" s="10"/>
      <c r="N565" s="10"/>
      <c r="O565" s="10"/>
      <c r="P565" s="10"/>
      <c r="Q565" s="10"/>
    </row>
    <row r="566" spans="3:17" s="9" customFormat="1">
      <c r="C566" s="10"/>
      <c r="D566" s="10"/>
      <c r="E566" s="11"/>
      <c r="F566" s="11"/>
      <c r="G566" s="11"/>
      <c r="H566" s="11"/>
      <c r="I566" s="12"/>
      <c r="J566" s="10"/>
      <c r="N566" s="10"/>
      <c r="O566" s="10"/>
      <c r="P566" s="10"/>
      <c r="Q566" s="10"/>
    </row>
    <row r="567" spans="3:17" s="9" customFormat="1">
      <c r="C567" s="10"/>
      <c r="D567" s="10"/>
      <c r="E567" s="11"/>
      <c r="F567" s="11"/>
      <c r="G567" s="11"/>
      <c r="H567" s="11"/>
      <c r="I567" s="12"/>
      <c r="J567" s="10"/>
      <c r="N567" s="10"/>
      <c r="O567" s="10"/>
      <c r="P567" s="10"/>
      <c r="Q567" s="10"/>
    </row>
    <row r="568" spans="3:17" s="9" customFormat="1">
      <c r="C568" s="10"/>
      <c r="D568" s="10"/>
      <c r="E568" s="11"/>
      <c r="F568" s="11"/>
      <c r="G568" s="11"/>
      <c r="H568" s="11"/>
      <c r="I568" s="12"/>
      <c r="J568" s="10"/>
      <c r="N568" s="10"/>
      <c r="O568" s="10"/>
      <c r="P568" s="10"/>
      <c r="Q568" s="10"/>
    </row>
    <row r="569" spans="3:17" s="9" customFormat="1">
      <c r="C569" s="10"/>
      <c r="D569" s="10"/>
      <c r="E569" s="11"/>
      <c r="F569" s="11"/>
      <c r="G569" s="11"/>
      <c r="H569" s="11"/>
      <c r="I569" s="12"/>
      <c r="J569" s="10"/>
      <c r="N569" s="10"/>
      <c r="O569" s="10"/>
      <c r="P569" s="10"/>
      <c r="Q569" s="10"/>
    </row>
    <row r="570" spans="3:17" s="9" customFormat="1">
      <c r="C570" s="10"/>
      <c r="D570" s="10"/>
      <c r="E570" s="11"/>
      <c r="F570" s="11"/>
      <c r="G570" s="11"/>
      <c r="H570" s="11"/>
      <c r="I570" s="12"/>
      <c r="J570" s="10"/>
      <c r="N570" s="10"/>
      <c r="O570" s="10"/>
      <c r="P570" s="10"/>
      <c r="Q570" s="10"/>
    </row>
    <row r="571" spans="3:17" s="9" customFormat="1">
      <c r="C571" s="10"/>
      <c r="D571" s="10"/>
      <c r="E571" s="11"/>
      <c r="F571" s="11"/>
      <c r="G571" s="11"/>
      <c r="H571" s="11"/>
      <c r="I571" s="12"/>
      <c r="J571" s="10"/>
      <c r="N571" s="10"/>
      <c r="O571" s="10"/>
      <c r="P571" s="10"/>
      <c r="Q571" s="10"/>
    </row>
    <row r="572" spans="3:17" s="9" customFormat="1">
      <c r="C572" s="10"/>
      <c r="D572" s="10"/>
      <c r="E572" s="11"/>
      <c r="F572" s="11"/>
      <c r="G572" s="11"/>
      <c r="H572" s="11"/>
      <c r="I572" s="12"/>
      <c r="J572" s="10"/>
      <c r="N572" s="10"/>
      <c r="O572" s="10"/>
      <c r="P572" s="10"/>
      <c r="Q572" s="10"/>
    </row>
    <row r="573" spans="3:17" s="9" customFormat="1">
      <c r="C573" s="10"/>
      <c r="D573" s="10"/>
      <c r="E573" s="11"/>
      <c r="F573" s="11"/>
      <c r="G573" s="11"/>
      <c r="H573" s="11"/>
      <c r="I573" s="12"/>
      <c r="J573" s="10"/>
      <c r="N573" s="10"/>
      <c r="O573" s="10"/>
      <c r="P573" s="10"/>
      <c r="Q573" s="10"/>
    </row>
    <row r="574" spans="3:17" s="9" customFormat="1">
      <c r="C574" s="10"/>
      <c r="D574" s="10"/>
      <c r="E574" s="11"/>
      <c r="F574" s="11"/>
      <c r="G574" s="11"/>
      <c r="H574" s="11"/>
      <c r="I574" s="12"/>
      <c r="J574" s="10"/>
      <c r="N574" s="10"/>
      <c r="O574" s="10"/>
      <c r="P574" s="10"/>
      <c r="Q574" s="10"/>
    </row>
    <row r="575" spans="3:17" s="9" customFormat="1">
      <c r="C575" s="10"/>
      <c r="D575" s="10"/>
      <c r="E575" s="11"/>
      <c r="F575" s="11"/>
      <c r="G575" s="11"/>
      <c r="H575" s="11"/>
      <c r="I575" s="12"/>
      <c r="J575" s="10"/>
      <c r="N575" s="10"/>
      <c r="O575" s="10"/>
      <c r="P575" s="10"/>
      <c r="Q575" s="10"/>
    </row>
    <row r="576" spans="3:17" s="9" customFormat="1">
      <c r="C576" s="10"/>
      <c r="D576" s="10"/>
      <c r="E576" s="11"/>
      <c r="F576" s="11"/>
      <c r="G576" s="11"/>
      <c r="H576" s="11"/>
      <c r="I576" s="12"/>
      <c r="J576" s="10"/>
      <c r="N576" s="10"/>
      <c r="O576" s="10"/>
      <c r="P576" s="10"/>
      <c r="Q576" s="10"/>
    </row>
    <row r="577" spans="3:17" s="9" customFormat="1">
      <c r="C577" s="10"/>
      <c r="D577" s="10"/>
      <c r="E577" s="11"/>
      <c r="F577" s="11"/>
      <c r="G577" s="11"/>
      <c r="H577" s="11"/>
      <c r="I577" s="12"/>
      <c r="J577" s="10"/>
      <c r="N577" s="10"/>
      <c r="O577" s="10"/>
      <c r="P577" s="10"/>
      <c r="Q577" s="10"/>
    </row>
    <row r="578" spans="3:17" s="9" customFormat="1">
      <c r="C578" s="10"/>
      <c r="D578" s="10"/>
      <c r="E578" s="11"/>
      <c r="F578" s="11"/>
      <c r="G578" s="11"/>
      <c r="H578" s="11"/>
      <c r="I578" s="12"/>
      <c r="J578" s="10"/>
      <c r="N578" s="10"/>
      <c r="O578" s="10"/>
      <c r="P578" s="10"/>
      <c r="Q578" s="10"/>
    </row>
    <row r="579" spans="3:17" s="9" customFormat="1">
      <c r="C579" s="10"/>
      <c r="D579" s="10"/>
      <c r="E579" s="11"/>
      <c r="F579" s="11"/>
      <c r="G579" s="11"/>
      <c r="H579" s="11"/>
      <c r="I579" s="12"/>
      <c r="J579" s="10"/>
      <c r="N579" s="10"/>
      <c r="O579" s="10"/>
      <c r="P579" s="10"/>
      <c r="Q579" s="10"/>
    </row>
    <row r="580" spans="3:17" s="9" customFormat="1">
      <c r="C580" s="10"/>
      <c r="D580" s="10"/>
      <c r="E580" s="11"/>
      <c r="F580" s="11"/>
      <c r="G580" s="11"/>
      <c r="H580" s="11"/>
      <c r="I580" s="12"/>
      <c r="J580" s="10"/>
      <c r="N580" s="10"/>
      <c r="O580" s="10"/>
      <c r="P580" s="10"/>
      <c r="Q580" s="10"/>
    </row>
    <row r="581" spans="3:17" s="9" customFormat="1">
      <c r="C581" s="10"/>
      <c r="D581" s="10"/>
      <c r="E581" s="11"/>
      <c r="F581" s="11"/>
      <c r="G581" s="11"/>
      <c r="H581" s="11"/>
      <c r="I581" s="12"/>
      <c r="J581" s="10"/>
      <c r="N581" s="10"/>
      <c r="O581" s="10"/>
      <c r="P581" s="10"/>
      <c r="Q581" s="10"/>
    </row>
    <row r="582" spans="3:17" s="9" customFormat="1">
      <c r="C582" s="10"/>
      <c r="D582" s="10"/>
      <c r="E582" s="11"/>
      <c r="F582" s="11"/>
      <c r="G582" s="11"/>
      <c r="H582" s="11"/>
      <c r="I582" s="12"/>
      <c r="J582" s="10"/>
      <c r="N582" s="10"/>
      <c r="O582" s="10"/>
      <c r="P582" s="10"/>
      <c r="Q582" s="10"/>
    </row>
    <row r="583" spans="3:17" s="9" customFormat="1">
      <c r="C583" s="10"/>
      <c r="D583" s="10"/>
      <c r="E583" s="11"/>
      <c r="F583" s="11"/>
      <c r="G583" s="11"/>
      <c r="H583" s="11"/>
      <c r="I583" s="12"/>
      <c r="J583" s="10"/>
      <c r="N583" s="10"/>
      <c r="O583" s="10"/>
      <c r="P583" s="10"/>
      <c r="Q583" s="10"/>
    </row>
    <row r="584" spans="3:17" s="9" customFormat="1">
      <c r="C584" s="10"/>
      <c r="D584" s="10"/>
      <c r="E584" s="11"/>
      <c r="F584" s="11"/>
      <c r="G584" s="11"/>
      <c r="H584" s="11"/>
      <c r="I584" s="12"/>
      <c r="J584" s="10"/>
      <c r="N584" s="10"/>
      <c r="O584" s="10"/>
      <c r="P584" s="10"/>
      <c r="Q584" s="10"/>
    </row>
    <row r="585" spans="3:17" s="9" customFormat="1">
      <c r="C585" s="10"/>
      <c r="D585" s="10"/>
      <c r="E585" s="11"/>
      <c r="F585" s="11"/>
      <c r="G585" s="11"/>
      <c r="H585" s="11"/>
      <c r="I585" s="12"/>
      <c r="J585" s="10"/>
      <c r="N585" s="10"/>
      <c r="O585" s="10"/>
      <c r="P585" s="10"/>
      <c r="Q585" s="10"/>
    </row>
    <row r="586" spans="3:17" s="9" customFormat="1">
      <c r="C586" s="10"/>
      <c r="D586" s="10"/>
      <c r="E586" s="11"/>
      <c r="F586" s="11"/>
      <c r="G586" s="11"/>
      <c r="H586" s="11"/>
      <c r="I586" s="12"/>
      <c r="J586" s="10"/>
      <c r="N586" s="10"/>
      <c r="O586" s="10"/>
      <c r="P586" s="10"/>
      <c r="Q586" s="10"/>
    </row>
    <row r="587" spans="3:17" s="9" customFormat="1">
      <c r="C587" s="10"/>
      <c r="D587" s="10"/>
      <c r="E587" s="11"/>
      <c r="F587" s="11"/>
      <c r="G587" s="11"/>
      <c r="H587" s="11"/>
      <c r="I587" s="12"/>
      <c r="J587" s="10"/>
      <c r="N587" s="10"/>
      <c r="O587" s="10"/>
      <c r="P587" s="10"/>
      <c r="Q587" s="10"/>
    </row>
    <row r="588" spans="3:17" s="9" customFormat="1">
      <c r="C588" s="10"/>
      <c r="D588" s="10"/>
      <c r="E588" s="11"/>
      <c r="F588" s="11"/>
      <c r="G588" s="11"/>
      <c r="H588" s="11"/>
      <c r="I588" s="12"/>
      <c r="J588" s="10"/>
      <c r="N588" s="10"/>
      <c r="O588" s="10"/>
      <c r="P588" s="10"/>
      <c r="Q588" s="10"/>
    </row>
    <row r="589" spans="3:17" s="9" customFormat="1">
      <c r="C589" s="10"/>
      <c r="D589" s="10"/>
      <c r="E589" s="11"/>
      <c r="F589" s="11"/>
      <c r="G589" s="11"/>
      <c r="H589" s="11"/>
      <c r="I589" s="12"/>
      <c r="J589" s="15"/>
      <c r="N589" s="10"/>
      <c r="O589" s="10"/>
      <c r="P589" s="10"/>
      <c r="Q589" s="10"/>
    </row>
    <row r="590" spans="3:17" s="9" customFormat="1">
      <c r="C590" s="10"/>
      <c r="D590" s="10"/>
      <c r="E590" s="11"/>
      <c r="F590" s="11"/>
      <c r="G590" s="11"/>
      <c r="H590" s="11"/>
      <c r="I590" s="12"/>
      <c r="J590" s="15"/>
      <c r="N590" s="10"/>
      <c r="O590" s="10"/>
      <c r="P590" s="10"/>
      <c r="Q590" s="10"/>
    </row>
    <row r="591" spans="3:17" s="9" customFormat="1">
      <c r="C591" s="10"/>
      <c r="D591" s="10"/>
      <c r="E591" s="11"/>
      <c r="F591" s="11"/>
      <c r="G591" s="11"/>
      <c r="H591" s="11"/>
      <c r="I591" s="12"/>
      <c r="J591" s="15"/>
      <c r="N591" s="10"/>
      <c r="O591" s="10"/>
      <c r="P591" s="10"/>
      <c r="Q591" s="10"/>
    </row>
    <row r="592" spans="3:17" s="9" customFormat="1">
      <c r="C592" s="10"/>
      <c r="D592" s="10"/>
      <c r="E592" s="11"/>
      <c r="F592" s="11"/>
      <c r="G592" s="11"/>
      <c r="H592" s="11"/>
      <c r="I592" s="12"/>
      <c r="J592" s="15"/>
      <c r="N592" s="10"/>
      <c r="O592" s="10"/>
      <c r="P592" s="10"/>
      <c r="Q592" s="10"/>
    </row>
    <row r="593" spans="3:17" s="9" customFormat="1">
      <c r="C593" s="15"/>
      <c r="D593" s="10"/>
      <c r="E593" s="11"/>
      <c r="F593" s="11"/>
      <c r="G593" s="11"/>
      <c r="H593" s="11"/>
      <c r="I593" s="12"/>
      <c r="J593" s="15"/>
      <c r="N593" s="10"/>
      <c r="O593" s="10"/>
      <c r="P593" s="10"/>
      <c r="Q593" s="10"/>
    </row>
  </sheetData>
  <mergeCells count="4">
    <mergeCell ref="J286:J288"/>
    <mergeCell ref="J311:J313"/>
    <mergeCell ref="J477:J479"/>
    <mergeCell ref="J495:J502"/>
  </mergeCells>
  <hyperlinks>
    <hyperlink ref="E1" location="'Cover Sheets'!A18" display="(Back to Worksheet Links)" xr:uid="{00000000-0004-0000-0900-000000000000}"/>
  </hyperlinks>
  <printOptions horizontalCentered="1"/>
  <pageMargins left="0.75" right="0.75" top="0.75" bottom="0.75" header="0.5" footer="0.5"/>
  <pageSetup scale="77" fitToHeight="0"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01"/>
  <sheetViews>
    <sheetView view="pageBreakPreview" zoomScale="80" zoomScaleNormal="80" zoomScaleSheetLayoutView="80" workbookViewId="0"/>
  </sheetViews>
  <sheetFormatPr defaultColWidth="8.7265625" defaultRowHeight="14.5"/>
  <cols>
    <col min="1" max="2" width="6.81640625" style="429" customWidth="1"/>
    <col min="3" max="3" width="25.81640625" style="442" customWidth="1"/>
    <col min="4" max="4" width="63.7265625" style="430" customWidth="1"/>
    <col min="5" max="5" width="9.7265625" style="444" hidden="1" customWidth="1"/>
    <col min="6" max="6" width="19.1796875" style="450" hidden="1" customWidth="1"/>
    <col min="7" max="13" width="4.453125" style="430" customWidth="1"/>
    <col min="14" max="14" width="69.26953125" style="430" customWidth="1"/>
    <col min="15" max="16384" width="8.7265625" style="430"/>
  </cols>
  <sheetData>
    <row r="1" spans="1:14">
      <c r="A1" s="625" t="str">
        <f>'Cover Sheets'!A10:D10</f>
        <v>WAPA-UGP 2020 Rate True-up Calculation</v>
      </c>
      <c r="B1" s="601"/>
      <c r="C1" s="626"/>
      <c r="D1" s="579" t="s">
        <v>97</v>
      </c>
      <c r="E1" s="602"/>
      <c r="F1" s="603"/>
      <c r="G1" s="604"/>
      <c r="H1" s="604"/>
      <c r="I1" s="604"/>
      <c r="J1" s="604"/>
      <c r="K1" s="604"/>
      <c r="L1" s="604"/>
      <c r="M1" s="604"/>
      <c r="N1" s="605"/>
    </row>
    <row r="2" spans="1:14">
      <c r="A2" s="627" t="s">
        <v>1661</v>
      </c>
      <c r="B2" s="606"/>
      <c r="C2" s="594"/>
      <c r="D2" s="526"/>
      <c r="E2" s="595"/>
      <c r="F2" s="599"/>
      <c r="G2" s="526"/>
      <c r="H2" s="526"/>
      <c r="I2" s="526"/>
      <c r="J2" s="526"/>
      <c r="K2" s="526"/>
      <c r="L2" s="526"/>
      <c r="M2" s="526"/>
      <c r="N2" s="389"/>
    </row>
    <row r="3" spans="1:14">
      <c r="A3" s="627" t="str">
        <f>'Summary-TrueUp'!A3</f>
        <v>12 Months Ending 09/30/2020 True-up</v>
      </c>
      <c r="B3" s="606"/>
      <c r="C3" s="594"/>
      <c r="D3" s="526"/>
      <c r="E3" s="595"/>
      <c r="F3" s="599"/>
      <c r="G3" s="526"/>
      <c r="H3" s="526"/>
      <c r="I3" s="526"/>
      <c r="J3" s="526"/>
      <c r="K3" s="526"/>
      <c r="L3" s="526"/>
      <c r="M3" s="526"/>
      <c r="N3" s="389"/>
    </row>
    <row r="4" spans="1:14">
      <c r="A4" s="618"/>
      <c r="B4" s="619"/>
      <c r="C4" s="620"/>
      <c r="D4" s="621"/>
      <c r="E4" s="622"/>
      <c r="F4" s="623"/>
      <c r="G4" s="876" t="s">
        <v>1662</v>
      </c>
      <c r="H4" s="876"/>
      <c r="I4" s="876"/>
      <c r="J4" s="876"/>
      <c r="K4" s="876"/>
      <c r="L4" s="876"/>
      <c r="M4" s="876"/>
      <c r="N4" s="624"/>
    </row>
    <row r="5" spans="1:14" s="432" customFormat="1" ht="29">
      <c r="A5" s="613" t="s">
        <v>49</v>
      </c>
      <c r="B5" s="607" t="s">
        <v>616</v>
      </c>
      <c r="C5" s="608" t="s">
        <v>1663</v>
      </c>
      <c r="D5" s="607" t="s">
        <v>1664</v>
      </c>
      <c r="E5" s="607" t="s">
        <v>1665</v>
      </c>
      <c r="F5" s="609" t="s">
        <v>1666</v>
      </c>
      <c r="G5" s="610" t="s">
        <v>1667</v>
      </c>
      <c r="H5" s="610" t="s">
        <v>1668</v>
      </c>
      <c r="I5" s="610" t="s">
        <v>1669</v>
      </c>
      <c r="J5" s="610" t="s">
        <v>1670</v>
      </c>
      <c r="K5" s="610" t="s">
        <v>1671</v>
      </c>
      <c r="L5" s="610" t="s">
        <v>1672</v>
      </c>
      <c r="M5" s="610" t="s">
        <v>1673</v>
      </c>
      <c r="N5" s="611" t="s">
        <v>1674</v>
      </c>
    </row>
    <row r="6" spans="1:14" s="441" customFormat="1">
      <c r="A6" s="614"/>
      <c r="B6" s="592"/>
      <c r="C6" s="433" t="s">
        <v>1675</v>
      </c>
      <c r="D6" s="434"/>
      <c r="E6" s="435"/>
      <c r="F6" s="436"/>
      <c r="G6" s="437"/>
      <c r="H6" s="437"/>
      <c r="I6" s="438"/>
      <c r="J6" s="438"/>
      <c r="K6" s="439"/>
      <c r="L6" s="438"/>
      <c r="M6" s="438"/>
      <c r="N6" s="440"/>
    </row>
    <row r="7" spans="1:14">
      <c r="A7" s="431">
        <v>1</v>
      </c>
      <c r="B7" s="592" t="s">
        <v>891</v>
      </c>
      <c r="C7" s="442" t="s">
        <v>1676</v>
      </c>
      <c r="D7" s="443" t="s">
        <v>1677</v>
      </c>
      <c r="E7" s="444" t="s">
        <v>303</v>
      </c>
      <c r="F7" s="445">
        <v>5878984</v>
      </c>
      <c r="G7" s="446" t="s">
        <v>1678</v>
      </c>
      <c r="H7" s="447"/>
      <c r="I7" s="447"/>
      <c r="J7" s="447"/>
      <c r="K7" s="448"/>
      <c r="L7" s="447"/>
      <c r="M7" s="447"/>
      <c r="N7" s="449"/>
    </row>
    <row r="8" spans="1:14">
      <c r="A8" s="431">
        <f t="shared" ref="A8:A19" si="0">A7+1</f>
        <v>2</v>
      </c>
      <c r="B8" s="592"/>
      <c r="D8" s="443" t="s">
        <v>1679</v>
      </c>
      <c r="E8" s="444" t="s">
        <v>303</v>
      </c>
      <c r="G8" s="446" t="s">
        <v>1678</v>
      </c>
      <c r="H8" s="447"/>
      <c r="I8" s="447"/>
      <c r="J8" s="447"/>
      <c r="K8" s="448"/>
      <c r="L8" s="447"/>
      <c r="M8" s="447"/>
      <c r="N8" s="449"/>
    </row>
    <row r="9" spans="1:14">
      <c r="A9" s="431">
        <f t="shared" si="0"/>
        <v>3</v>
      </c>
      <c r="B9" s="592" t="s">
        <v>893</v>
      </c>
      <c r="C9" s="442" t="s">
        <v>1680</v>
      </c>
      <c r="D9" s="443" t="s">
        <v>1681</v>
      </c>
      <c r="E9" s="444" t="s">
        <v>303</v>
      </c>
      <c r="F9" s="450">
        <v>1117933</v>
      </c>
      <c r="G9" s="447" t="s">
        <v>1678</v>
      </c>
      <c r="H9" s="447"/>
      <c r="I9" s="447"/>
      <c r="J9" s="447"/>
      <c r="K9" s="448"/>
      <c r="L9" s="447"/>
      <c r="M9" s="447"/>
      <c r="N9" s="449"/>
    </row>
    <row r="10" spans="1:14">
      <c r="A10" s="431">
        <f t="shared" si="0"/>
        <v>4</v>
      </c>
      <c r="B10" s="592"/>
      <c r="D10" s="443" t="s">
        <v>1682</v>
      </c>
      <c r="E10" s="444" t="s">
        <v>303</v>
      </c>
      <c r="G10" s="447" t="s">
        <v>1678</v>
      </c>
      <c r="H10" s="447"/>
      <c r="I10" s="447"/>
      <c r="J10" s="447"/>
      <c r="K10" s="448"/>
      <c r="L10" s="447"/>
      <c r="M10" s="447"/>
      <c r="N10" s="449" t="s">
        <v>1683</v>
      </c>
    </row>
    <row r="11" spans="1:14">
      <c r="A11" s="431">
        <f t="shared" si="0"/>
        <v>5</v>
      </c>
      <c r="B11" s="592"/>
      <c r="D11" s="443" t="s">
        <v>1684</v>
      </c>
      <c r="E11" s="444" t="s">
        <v>303</v>
      </c>
      <c r="G11" s="447" t="s">
        <v>1678</v>
      </c>
      <c r="H11" s="447"/>
      <c r="I11" s="447"/>
      <c r="J11" s="447"/>
      <c r="K11" s="448"/>
      <c r="L11" s="447"/>
      <c r="M11" s="447"/>
      <c r="N11" s="449"/>
    </row>
    <row r="12" spans="1:14" ht="29">
      <c r="A12" s="431">
        <f t="shared" si="0"/>
        <v>6</v>
      </c>
      <c r="B12" s="592"/>
      <c r="D12" s="443" t="s">
        <v>1685</v>
      </c>
      <c r="E12" s="444" t="s">
        <v>303</v>
      </c>
      <c r="G12" s="447"/>
      <c r="H12" s="447" t="s">
        <v>1678</v>
      </c>
      <c r="I12" s="447"/>
      <c r="J12" s="447"/>
      <c r="K12" s="448"/>
      <c r="L12" s="447"/>
      <c r="M12" s="447"/>
      <c r="N12" s="451" t="s">
        <v>1686</v>
      </c>
    </row>
    <row r="13" spans="1:14" ht="19.5" customHeight="1">
      <c r="A13" s="431">
        <f t="shared" si="0"/>
        <v>7</v>
      </c>
      <c r="B13" s="592"/>
      <c r="D13" s="443" t="s">
        <v>1687</v>
      </c>
      <c r="E13" s="444" t="s">
        <v>303</v>
      </c>
      <c r="G13" s="447"/>
      <c r="H13" s="447" t="s">
        <v>1678</v>
      </c>
      <c r="I13" s="447"/>
      <c r="J13" s="447"/>
      <c r="K13" s="448"/>
      <c r="L13" s="447"/>
      <c r="M13" s="447"/>
      <c r="N13" s="451" t="s">
        <v>1688</v>
      </c>
    </row>
    <row r="14" spans="1:14">
      <c r="A14" s="431">
        <f t="shared" si="0"/>
        <v>8</v>
      </c>
      <c r="B14" s="592" t="s">
        <v>1689</v>
      </c>
      <c r="C14" s="442" t="s">
        <v>1690</v>
      </c>
      <c r="D14" s="443" t="s">
        <v>1691</v>
      </c>
      <c r="E14" s="444" t="s">
        <v>303</v>
      </c>
      <c r="F14" s="450">
        <v>63325</v>
      </c>
      <c r="G14" s="446" t="s">
        <v>1678</v>
      </c>
      <c r="H14" s="446"/>
      <c r="I14" s="447"/>
      <c r="J14" s="447"/>
      <c r="K14" s="448"/>
      <c r="L14" s="447"/>
      <c r="M14" s="447"/>
      <c r="N14" s="449"/>
    </row>
    <row r="15" spans="1:14">
      <c r="A15" s="431">
        <f t="shared" si="0"/>
        <v>9</v>
      </c>
      <c r="B15" s="592" t="s">
        <v>899</v>
      </c>
      <c r="C15" s="442" t="s">
        <v>1692</v>
      </c>
      <c r="D15" s="443" t="s">
        <v>1693</v>
      </c>
      <c r="E15" s="444" t="s">
        <v>303</v>
      </c>
      <c r="F15" s="450">
        <v>2775537</v>
      </c>
      <c r="G15" s="447" t="s">
        <v>1678</v>
      </c>
      <c r="H15" s="447"/>
      <c r="I15" s="447"/>
      <c r="J15" s="447"/>
      <c r="K15" s="448"/>
      <c r="L15" s="447"/>
      <c r="M15" s="447"/>
      <c r="N15" s="449"/>
    </row>
    <row r="16" spans="1:14">
      <c r="A16" s="431">
        <f t="shared" si="0"/>
        <v>10</v>
      </c>
      <c r="B16" s="592"/>
      <c r="D16" s="443" t="s">
        <v>1694</v>
      </c>
      <c r="E16" s="444" t="s">
        <v>303</v>
      </c>
      <c r="G16" s="447" t="s">
        <v>1678</v>
      </c>
      <c r="H16" s="447"/>
      <c r="I16" s="447"/>
      <c r="J16" s="447"/>
      <c r="K16" s="448"/>
      <c r="L16" s="447"/>
      <c r="M16" s="447"/>
      <c r="N16" s="449"/>
    </row>
    <row r="17" spans="1:14">
      <c r="A17" s="431">
        <f t="shared" si="0"/>
        <v>11</v>
      </c>
      <c r="B17" s="592"/>
      <c r="D17" s="443" t="s">
        <v>1695</v>
      </c>
      <c r="E17" s="444" t="s">
        <v>303</v>
      </c>
      <c r="G17" s="447" t="s">
        <v>1678</v>
      </c>
      <c r="H17" s="447"/>
      <c r="I17" s="447"/>
      <c r="J17" s="447"/>
      <c r="K17" s="448"/>
      <c r="L17" s="447"/>
      <c r="M17" s="447"/>
      <c r="N17" s="449"/>
    </row>
    <row r="18" spans="1:14">
      <c r="A18" s="431">
        <f t="shared" si="0"/>
        <v>12</v>
      </c>
      <c r="B18" s="592" t="s">
        <v>903</v>
      </c>
      <c r="C18" s="442" t="s">
        <v>1696</v>
      </c>
      <c r="D18" s="443" t="s">
        <v>1697</v>
      </c>
      <c r="E18" s="444" t="s">
        <v>303</v>
      </c>
      <c r="F18" s="450">
        <v>164986</v>
      </c>
      <c r="G18" s="447" t="s">
        <v>1678</v>
      </c>
      <c r="H18" s="447"/>
      <c r="I18" s="447"/>
      <c r="J18" s="447"/>
      <c r="K18" s="448"/>
      <c r="L18" s="447"/>
      <c r="M18" s="447"/>
      <c r="N18" s="449"/>
    </row>
    <row r="19" spans="1:14">
      <c r="A19" s="431">
        <f t="shared" si="0"/>
        <v>13</v>
      </c>
      <c r="B19" s="592" t="s">
        <v>905</v>
      </c>
      <c r="C19" s="442" t="s">
        <v>1698</v>
      </c>
      <c r="D19" s="443" t="s">
        <v>1699</v>
      </c>
      <c r="E19" s="444" t="s">
        <v>303</v>
      </c>
      <c r="F19" s="450">
        <v>13937668</v>
      </c>
      <c r="G19" s="447" t="s">
        <v>1678</v>
      </c>
      <c r="H19" s="447"/>
      <c r="I19" s="447"/>
      <c r="J19" s="447"/>
      <c r="K19" s="448"/>
      <c r="L19" s="447"/>
      <c r="M19" s="447"/>
      <c r="N19" s="449"/>
    </row>
    <row r="20" spans="1:14">
      <c r="A20" s="431">
        <f t="shared" ref="A20:A83" si="1">A19+1</f>
        <v>14</v>
      </c>
      <c r="B20" s="592"/>
      <c r="D20" s="443" t="s">
        <v>1700</v>
      </c>
      <c r="E20" s="444" t="s">
        <v>303</v>
      </c>
      <c r="G20" s="447" t="s">
        <v>1678</v>
      </c>
      <c r="H20" s="447"/>
      <c r="I20" s="447"/>
      <c r="J20" s="447"/>
      <c r="K20" s="448"/>
      <c r="L20" s="447"/>
      <c r="M20" s="447"/>
      <c r="N20" s="449"/>
    </row>
    <row r="21" spans="1:14">
      <c r="A21" s="431">
        <f t="shared" si="1"/>
        <v>15</v>
      </c>
      <c r="B21" s="592"/>
      <c r="D21" s="443" t="s">
        <v>1701</v>
      </c>
      <c r="E21" s="444" t="s">
        <v>303</v>
      </c>
      <c r="G21" s="447" t="s">
        <v>1678</v>
      </c>
      <c r="H21" s="447"/>
      <c r="I21" s="447"/>
      <c r="J21" s="447"/>
      <c r="K21" s="448"/>
      <c r="L21" s="447"/>
      <c r="M21" s="447"/>
      <c r="N21" s="449"/>
    </row>
    <row r="22" spans="1:14">
      <c r="A22" s="431">
        <f t="shared" si="1"/>
        <v>16</v>
      </c>
      <c r="B22" s="592"/>
      <c r="D22" s="443" t="s">
        <v>1702</v>
      </c>
      <c r="E22" s="444" t="s">
        <v>303</v>
      </c>
      <c r="G22" s="447" t="s">
        <v>1678</v>
      </c>
      <c r="H22" s="447"/>
      <c r="I22" s="447"/>
      <c r="J22" s="447"/>
      <c r="K22" s="447"/>
      <c r="L22" s="447"/>
      <c r="M22" s="447"/>
      <c r="N22" s="449"/>
    </row>
    <row r="23" spans="1:14">
      <c r="A23" s="431">
        <f t="shared" si="1"/>
        <v>17</v>
      </c>
      <c r="B23" s="592"/>
      <c r="D23" s="443" t="s">
        <v>1703</v>
      </c>
      <c r="E23" s="444" t="s">
        <v>303</v>
      </c>
      <c r="G23" s="447" t="s">
        <v>1678</v>
      </c>
      <c r="H23" s="447"/>
      <c r="I23" s="447"/>
      <c r="J23" s="447"/>
      <c r="K23" s="447"/>
      <c r="L23" s="447"/>
      <c r="M23" s="447"/>
      <c r="N23" s="449"/>
    </row>
    <row r="24" spans="1:14">
      <c r="A24" s="431">
        <f t="shared" si="1"/>
        <v>18</v>
      </c>
      <c r="B24" s="592" t="s">
        <v>905</v>
      </c>
      <c r="C24" s="442" t="s">
        <v>1704</v>
      </c>
      <c r="D24" s="443" t="s">
        <v>1705</v>
      </c>
      <c r="E24" s="444" t="s">
        <v>303</v>
      </c>
      <c r="F24" s="450">
        <v>3901175</v>
      </c>
      <c r="G24" s="447" t="s">
        <v>1678</v>
      </c>
      <c r="H24" s="447"/>
      <c r="I24" s="447"/>
      <c r="J24" s="447"/>
      <c r="K24" s="447"/>
      <c r="L24" s="447"/>
      <c r="M24" s="447"/>
      <c r="N24" s="449"/>
    </row>
    <row r="25" spans="1:14">
      <c r="A25" s="431">
        <f t="shared" si="1"/>
        <v>19</v>
      </c>
      <c r="B25" s="592"/>
      <c r="D25" s="443" t="s">
        <v>1706</v>
      </c>
      <c r="E25" s="444" t="s">
        <v>303</v>
      </c>
      <c r="G25" s="447" t="s">
        <v>1678</v>
      </c>
      <c r="H25" s="447"/>
      <c r="I25" s="447"/>
      <c r="J25" s="447"/>
      <c r="K25" s="447"/>
      <c r="L25" s="447"/>
      <c r="M25" s="447"/>
      <c r="N25" s="449"/>
    </row>
    <row r="26" spans="1:14">
      <c r="A26" s="431">
        <f t="shared" si="1"/>
        <v>20</v>
      </c>
      <c r="B26" s="592"/>
      <c r="D26" s="443" t="s">
        <v>1707</v>
      </c>
      <c r="E26" s="444" t="s">
        <v>303</v>
      </c>
      <c r="G26" s="447" t="s">
        <v>1678</v>
      </c>
      <c r="H26" s="447"/>
      <c r="I26" s="447"/>
      <c r="J26" s="447"/>
      <c r="K26" s="447"/>
      <c r="L26" s="447"/>
      <c r="M26" s="447"/>
      <c r="N26" s="449"/>
    </row>
    <row r="27" spans="1:14" ht="29">
      <c r="A27" s="431">
        <f t="shared" si="1"/>
        <v>21</v>
      </c>
      <c r="B27" s="592"/>
      <c r="D27" s="443" t="s">
        <v>1708</v>
      </c>
      <c r="E27" s="444" t="s">
        <v>303</v>
      </c>
      <c r="G27" s="447"/>
      <c r="H27" s="447" t="s">
        <v>1678</v>
      </c>
      <c r="I27" s="447"/>
      <c r="J27" s="447"/>
      <c r="K27" s="447"/>
      <c r="L27" s="447"/>
      <c r="M27" s="447"/>
      <c r="N27" s="451" t="s">
        <v>1709</v>
      </c>
    </row>
    <row r="28" spans="1:14" ht="29.25" customHeight="1">
      <c r="A28" s="431">
        <f t="shared" si="1"/>
        <v>22</v>
      </c>
      <c r="B28" s="592"/>
      <c r="D28" s="443" t="s">
        <v>1710</v>
      </c>
      <c r="E28" s="444" t="s">
        <v>303</v>
      </c>
      <c r="G28" s="447"/>
      <c r="H28" s="447" t="s">
        <v>1678</v>
      </c>
      <c r="I28" s="447"/>
      <c r="J28" s="447"/>
      <c r="K28" s="447"/>
      <c r="L28" s="447"/>
      <c r="M28" s="447"/>
      <c r="N28" s="449" t="s">
        <v>1711</v>
      </c>
    </row>
    <row r="29" spans="1:14">
      <c r="A29" s="431">
        <f t="shared" si="1"/>
        <v>23</v>
      </c>
      <c r="B29" s="592" t="s">
        <v>909</v>
      </c>
      <c r="C29" s="442" t="s">
        <v>1712</v>
      </c>
      <c r="D29" s="443" t="s">
        <v>1713</v>
      </c>
      <c r="E29" s="444" t="s">
        <v>303</v>
      </c>
      <c r="F29" s="450">
        <v>56597</v>
      </c>
      <c r="G29" s="447" t="s">
        <v>1678</v>
      </c>
      <c r="H29" s="447"/>
      <c r="I29" s="447"/>
      <c r="J29" s="447"/>
      <c r="K29" s="447"/>
      <c r="L29" s="447"/>
      <c r="M29" s="447"/>
      <c r="N29" s="449"/>
    </row>
    <row r="30" spans="1:14" ht="29">
      <c r="A30" s="431">
        <f t="shared" si="1"/>
        <v>24</v>
      </c>
      <c r="B30" s="592" t="s">
        <v>911</v>
      </c>
      <c r="C30" s="442" t="s">
        <v>1714</v>
      </c>
      <c r="D30" s="443" t="s">
        <v>1715</v>
      </c>
      <c r="E30" s="444" t="s">
        <v>303</v>
      </c>
      <c r="F30" s="450">
        <v>15065318</v>
      </c>
      <c r="G30" s="447" t="s">
        <v>1678</v>
      </c>
      <c r="H30" s="447"/>
      <c r="I30" s="447"/>
      <c r="J30" s="447"/>
      <c r="K30" s="447"/>
      <c r="L30" s="447"/>
      <c r="M30" s="447"/>
      <c r="N30" s="449"/>
    </row>
    <row r="31" spans="1:14">
      <c r="A31" s="431">
        <f t="shared" si="1"/>
        <v>25</v>
      </c>
      <c r="B31" s="592"/>
      <c r="D31" s="443" t="s">
        <v>1716</v>
      </c>
      <c r="E31" s="444" t="s">
        <v>303</v>
      </c>
      <c r="G31" s="447" t="s">
        <v>1678</v>
      </c>
      <c r="H31" s="447"/>
      <c r="I31" s="447"/>
      <c r="J31" s="447"/>
      <c r="K31" s="447"/>
      <c r="L31" s="447"/>
      <c r="M31" s="447"/>
      <c r="N31" s="449"/>
    </row>
    <row r="32" spans="1:14">
      <c r="A32" s="431">
        <f t="shared" si="1"/>
        <v>26</v>
      </c>
      <c r="B32" s="592"/>
      <c r="D32" s="452" t="s">
        <v>1717</v>
      </c>
      <c r="E32" s="444" t="s">
        <v>303</v>
      </c>
      <c r="F32" s="453"/>
      <c r="G32" s="447" t="s">
        <v>1678</v>
      </c>
      <c r="H32" s="447"/>
      <c r="I32" s="447"/>
      <c r="J32" s="447"/>
      <c r="K32" s="447"/>
      <c r="L32" s="447"/>
      <c r="M32" s="447"/>
      <c r="N32" s="449"/>
    </row>
    <row r="33" spans="1:15">
      <c r="A33" s="431">
        <f t="shared" si="1"/>
        <v>27</v>
      </c>
      <c r="B33" s="592"/>
      <c r="D33" s="443" t="s">
        <v>1718</v>
      </c>
      <c r="E33" s="444" t="s">
        <v>303</v>
      </c>
      <c r="G33" s="447" t="s">
        <v>1678</v>
      </c>
      <c r="H33" s="447"/>
      <c r="I33" s="447"/>
      <c r="J33" s="447"/>
      <c r="K33" s="447"/>
      <c r="L33" s="447"/>
      <c r="M33" s="447"/>
      <c r="N33" s="449"/>
    </row>
    <row r="34" spans="1:15">
      <c r="A34" s="431">
        <f t="shared" si="1"/>
        <v>28</v>
      </c>
      <c r="B34" s="592"/>
      <c r="D34" s="443" t="s">
        <v>1719</v>
      </c>
      <c r="E34" s="444" t="s">
        <v>303</v>
      </c>
      <c r="G34" s="447" t="s">
        <v>1678</v>
      </c>
      <c r="H34" s="447"/>
      <c r="I34" s="447"/>
      <c r="J34" s="447"/>
      <c r="K34" s="447"/>
      <c r="L34" s="447"/>
      <c r="M34" s="447"/>
      <c r="N34" s="449" t="s">
        <v>1720</v>
      </c>
    </row>
    <row r="35" spans="1:15">
      <c r="A35" s="431">
        <f t="shared" si="1"/>
        <v>29</v>
      </c>
      <c r="B35" s="592" t="s">
        <v>915</v>
      </c>
      <c r="C35" s="442" t="s">
        <v>1721</v>
      </c>
      <c r="D35" s="443" t="s">
        <v>1722</v>
      </c>
      <c r="E35" s="444" t="s">
        <v>1723</v>
      </c>
      <c r="F35" s="450">
        <v>2316776</v>
      </c>
      <c r="G35" s="447" t="s">
        <v>1678</v>
      </c>
      <c r="H35" s="447"/>
      <c r="I35" s="447"/>
      <c r="J35" s="447"/>
      <c r="K35" s="447"/>
      <c r="L35" s="447"/>
      <c r="M35" s="447"/>
      <c r="N35" s="449"/>
    </row>
    <row r="36" spans="1:15">
      <c r="A36" s="431">
        <f t="shared" si="1"/>
        <v>30</v>
      </c>
      <c r="B36" s="592"/>
      <c r="D36" s="443" t="s">
        <v>1724</v>
      </c>
      <c r="E36" s="444" t="s">
        <v>1723</v>
      </c>
      <c r="G36" s="447" t="s">
        <v>1678</v>
      </c>
      <c r="H36" s="447"/>
      <c r="I36" s="447"/>
      <c r="J36" s="447"/>
      <c r="K36" s="447"/>
      <c r="L36" s="447"/>
      <c r="M36" s="447"/>
      <c r="N36" s="449"/>
    </row>
    <row r="37" spans="1:15">
      <c r="A37" s="431">
        <f t="shared" si="1"/>
        <v>31</v>
      </c>
      <c r="B37" s="592"/>
      <c r="D37" s="443" t="s">
        <v>1725</v>
      </c>
      <c r="E37" s="444" t="s">
        <v>1723</v>
      </c>
      <c r="G37" s="447" t="s">
        <v>1678</v>
      </c>
      <c r="H37" s="447"/>
      <c r="I37" s="447"/>
      <c r="J37" s="447"/>
      <c r="K37" s="447"/>
      <c r="L37" s="447"/>
      <c r="M37" s="447"/>
      <c r="N37" s="449"/>
    </row>
    <row r="38" spans="1:15">
      <c r="A38" s="431">
        <f t="shared" si="1"/>
        <v>32</v>
      </c>
      <c r="B38" s="592"/>
      <c r="D38" s="443" t="s">
        <v>1726</v>
      </c>
      <c r="E38" s="444" t="s">
        <v>1723</v>
      </c>
      <c r="G38" s="447" t="s">
        <v>1678</v>
      </c>
      <c r="H38" s="447"/>
      <c r="I38" s="447"/>
      <c r="J38" s="447"/>
      <c r="K38" s="447"/>
      <c r="L38" s="447"/>
      <c r="M38" s="447"/>
      <c r="N38" s="449"/>
    </row>
    <row r="39" spans="1:15">
      <c r="A39" s="431">
        <f t="shared" si="1"/>
        <v>33</v>
      </c>
      <c r="B39" s="592"/>
      <c r="D39" s="443" t="s">
        <v>1727</v>
      </c>
      <c r="E39" s="444" t="s">
        <v>1723</v>
      </c>
      <c r="G39" s="447"/>
      <c r="H39" s="447" t="s">
        <v>1678</v>
      </c>
      <c r="I39" s="447"/>
      <c r="J39" s="447"/>
      <c r="K39" s="447"/>
      <c r="L39" s="447"/>
      <c r="M39" s="447"/>
      <c r="N39" s="449" t="s">
        <v>1728</v>
      </c>
    </row>
    <row r="40" spans="1:15">
      <c r="A40" s="431">
        <f t="shared" si="1"/>
        <v>34</v>
      </c>
      <c r="B40" s="592" t="s">
        <v>917</v>
      </c>
      <c r="C40" s="442" t="s">
        <v>1729</v>
      </c>
      <c r="D40" s="443" t="s">
        <v>1730</v>
      </c>
      <c r="E40" s="444" t="s">
        <v>303</v>
      </c>
      <c r="F40" s="450">
        <v>2216942</v>
      </c>
      <c r="G40" s="447" t="s">
        <v>1678</v>
      </c>
      <c r="H40" s="447"/>
      <c r="I40" s="447"/>
      <c r="J40" s="447"/>
      <c r="K40" s="447"/>
      <c r="L40" s="447"/>
      <c r="M40" s="447"/>
      <c r="N40" s="449"/>
    </row>
    <row r="41" spans="1:15">
      <c r="A41" s="431">
        <f t="shared" si="1"/>
        <v>35</v>
      </c>
      <c r="B41" s="592"/>
      <c r="D41" s="443" t="s">
        <v>1731</v>
      </c>
      <c r="E41" s="444" t="s">
        <v>303</v>
      </c>
      <c r="G41" s="447" t="s">
        <v>1678</v>
      </c>
      <c r="H41" s="447"/>
      <c r="I41" s="447"/>
      <c r="J41" s="447"/>
      <c r="K41" s="447"/>
      <c r="L41" s="447"/>
      <c r="M41" s="447"/>
      <c r="N41" s="449"/>
      <c r="O41" s="454"/>
    </row>
    <row r="42" spans="1:15">
      <c r="A42" s="431">
        <f t="shared" si="1"/>
        <v>36</v>
      </c>
      <c r="B42" s="592"/>
      <c r="D42" s="443" t="s">
        <v>1732</v>
      </c>
      <c r="E42" s="444" t="s">
        <v>303</v>
      </c>
      <c r="G42" s="447" t="s">
        <v>1678</v>
      </c>
      <c r="H42" s="447"/>
      <c r="I42" s="447"/>
      <c r="J42" s="447"/>
      <c r="K42" s="447"/>
      <c r="L42" s="447"/>
      <c r="M42" s="447"/>
      <c r="N42" s="449"/>
    </row>
    <row r="43" spans="1:15">
      <c r="A43" s="431">
        <f t="shared" si="1"/>
        <v>37</v>
      </c>
      <c r="B43" s="592"/>
      <c r="D43" s="443" t="s">
        <v>1733</v>
      </c>
      <c r="E43" s="444" t="s">
        <v>303</v>
      </c>
      <c r="G43" s="447" t="s">
        <v>1678</v>
      </c>
      <c r="H43" s="447"/>
      <c r="I43" s="447"/>
      <c r="J43" s="447"/>
      <c r="K43" s="447"/>
      <c r="L43" s="447"/>
      <c r="M43" s="447"/>
      <c r="N43" s="449"/>
    </row>
    <row r="44" spans="1:15" ht="16.5" customHeight="1">
      <c r="A44" s="431">
        <f t="shared" si="1"/>
        <v>38</v>
      </c>
      <c r="B44" s="592" t="s">
        <v>919</v>
      </c>
      <c r="C44" s="442" t="s">
        <v>1734</v>
      </c>
      <c r="D44" s="443" t="s">
        <v>1735</v>
      </c>
      <c r="E44" s="444" t="s">
        <v>303</v>
      </c>
      <c r="F44" s="450">
        <v>3573151</v>
      </c>
      <c r="G44" s="447" t="s">
        <v>1678</v>
      </c>
      <c r="H44" s="447"/>
      <c r="I44" s="447"/>
      <c r="J44" s="447"/>
      <c r="K44" s="447"/>
      <c r="L44" s="447"/>
      <c r="M44" s="447"/>
      <c r="N44" s="449"/>
    </row>
    <row r="45" spans="1:15">
      <c r="A45" s="431">
        <f t="shared" si="1"/>
        <v>39</v>
      </c>
      <c r="B45" s="592"/>
      <c r="D45" s="443" t="s">
        <v>1736</v>
      </c>
      <c r="E45" s="444" t="s">
        <v>303</v>
      </c>
      <c r="G45" s="447" t="s">
        <v>1678</v>
      </c>
      <c r="H45" s="447"/>
      <c r="I45" s="447"/>
      <c r="J45" s="447"/>
      <c r="K45" s="447"/>
      <c r="L45" s="447"/>
      <c r="M45" s="447"/>
      <c r="N45" s="449"/>
    </row>
    <row r="46" spans="1:15">
      <c r="A46" s="431">
        <f t="shared" si="1"/>
        <v>40</v>
      </c>
      <c r="B46" s="592"/>
      <c r="D46" s="443" t="s">
        <v>1737</v>
      </c>
      <c r="E46" s="444" t="s">
        <v>303</v>
      </c>
      <c r="G46" s="447" t="s">
        <v>1678</v>
      </c>
      <c r="H46" s="447"/>
      <c r="I46" s="447"/>
      <c r="J46" s="447"/>
      <c r="K46" s="447"/>
      <c r="L46" s="447"/>
      <c r="M46" s="447"/>
      <c r="N46" s="449"/>
    </row>
    <row r="47" spans="1:15" ht="29">
      <c r="A47" s="431">
        <f t="shared" si="1"/>
        <v>41</v>
      </c>
      <c r="B47" s="592"/>
      <c r="D47" s="443" t="s">
        <v>1708</v>
      </c>
      <c r="E47" s="444" t="s">
        <v>303</v>
      </c>
      <c r="G47" s="447"/>
      <c r="H47" s="447" t="s">
        <v>1678</v>
      </c>
      <c r="I47" s="447"/>
      <c r="J47" s="447"/>
      <c r="K47" s="447"/>
      <c r="L47" s="447"/>
      <c r="M47" s="447"/>
      <c r="N47" s="449" t="s">
        <v>1738</v>
      </c>
    </row>
    <row r="48" spans="1:15">
      <c r="A48" s="431">
        <f t="shared" si="1"/>
        <v>42</v>
      </c>
      <c r="B48" s="592"/>
      <c r="D48" s="443" t="s">
        <v>1739</v>
      </c>
      <c r="E48" s="444" t="s">
        <v>303</v>
      </c>
      <c r="G48" s="447" t="s">
        <v>1678</v>
      </c>
      <c r="H48" s="447"/>
      <c r="I48" s="447"/>
      <c r="J48" s="447"/>
      <c r="K48" s="447"/>
      <c r="L48" s="447"/>
      <c r="M48" s="447"/>
      <c r="N48" s="449"/>
    </row>
    <row r="49" spans="1:14" ht="29">
      <c r="A49" s="431">
        <f t="shared" si="1"/>
        <v>43</v>
      </c>
      <c r="B49" s="592"/>
      <c r="D49" s="443" t="s">
        <v>1740</v>
      </c>
      <c r="E49" s="444" t="s">
        <v>303</v>
      </c>
      <c r="G49" s="447"/>
      <c r="H49" s="447" t="s">
        <v>1678</v>
      </c>
      <c r="I49" s="447"/>
      <c r="J49" s="447"/>
      <c r="K49" s="447"/>
      <c r="L49" s="447"/>
      <c r="M49" s="447"/>
      <c r="N49" s="449" t="s">
        <v>1741</v>
      </c>
    </row>
    <row r="50" spans="1:14">
      <c r="A50" s="431">
        <f t="shared" si="1"/>
        <v>44</v>
      </c>
      <c r="B50" s="592" t="s">
        <v>921</v>
      </c>
      <c r="C50" s="442" t="s">
        <v>1742</v>
      </c>
      <c r="D50" s="443" t="s">
        <v>1743</v>
      </c>
      <c r="G50" s="447" t="s">
        <v>1678</v>
      </c>
      <c r="H50" s="447"/>
      <c r="I50" s="447"/>
      <c r="J50" s="447"/>
      <c r="K50" s="447"/>
      <c r="L50" s="447"/>
      <c r="M50" s="447"/>
      <c r="N50" s="449"/>
    </row>
    <row r="51" spans="1:14">
      <c r="A51" s="431">
        <f t="shared" si="1"/>
        <v>45</v>
      </c>
      <c r="B51" s="592" t="s">
        <v>1744</v>
      </c>
      <c r="C51" s="442" t="s">
        <v>1745</v>
      </c>
      <c r="D51" s="443" t="s">
        <v>1746</v>
      </c>
      <c r="E51" s="444" t="s">
        <v>303</v>
      </c>
      <c r="F51" s="450">
        <v>0</v>
      </c>
      <c r="G51" s="447" t="s">
        <v>1678</v>
      </c>
      <c r="H51" s="447"/>
      <c r="I51" s="447"/>
      <c r="J51" s="447"/>
      <c r="K51" s="447"/>
      <c r="L51" s="447"/>
      <c r="M51" s="447"/>
      <c r="N51" s="449"/>
    </row>
    <row r="52" spans="1:14">
      <c r="A52" s="431">
        <f t="shared" si="1"/>
        <v>46</v>
      </c>
      <c r="B52" s="592" t="s">
        <v>923</v>
      </c>
      <c r="C52" s="442" t="s">
        <v>1747</v>
      </c>
      <c r="D52" s="443" t="s">
        <v>1748</v>
      </c>
      <c r="G52" s="447" t="s">
        <v>1678</v>
      </c>
      <c r="H52" s="447"/>
      <c r="I52" s="447"/>
      <c r="J52" s="447"/>
      <c r="K52" s="447"/>
      <c r="L52" s="447"/>
      <c r="M52" s="447"/>
      <c r="N52" s="449"/>
    </row>
    <row r="53" spans="1:14">
      <c r="A53" s="431">
        <f t="shared" si="1"/>
        <v>47</v>
      </c>
      <c r="B53" s="592" t="s">
        <v>925</v>
      </c>
      <c r="C53" s="442" t="s">
        <v>1749</v>
      </c>
      <c r="D53" s="443" t="s">
        <v>1750</v>
      </c>
      <c r="E53" s="444" t="s">
        <v>303</v>
      </c>
      <c r="F53" s="450">
        <v>2463312</v>
      </c>
      <c r="G53" s="447" t="s">
        <v>1678</v>
      </c>
      <c r="H53" s="447" t="s">
        <v>1678</v>
      </c>
      <c r="I53" s="447"/>
      <c r="J53" s="447"/>
      <c r="K53" s="447"/>
      <c r="L53" s="447"/>
      <c r="M53" s="447"/>
      <c r="N53" s="449" t="s">
        <v>1751</v>
      </c>
    </row>
    <row r="54" spans="1:14">
      <c r="A54" s="431">
        <f t="shared" si="1"/>
        <v>48</v>
      </c>
      <c r="B54" s="592"/>
      <c r="D54" s="443" t="s">
        <v>1752</v>
      </c>
      <c r="E54" s="444" t="s">
        <v>303</v>
      </c>
      <c r="G54" s="447" t="s">
        <v>1678</v>
      </c>
      <c r="H54" s="447"/>
      <c r="I54" s="447"/>
      <c r="J54" s="447"/>
      <c r="K54" s="447"/>
      <c r="L54" s="447"/>
      <c r="M54" s="447"/>
      <c r="N54" s="449"/>
    </row>
    <row r="55" spans="1:14">
      <c r="A55" s="431">
        <f t="shared" si="1"/>
        <v>49</v>
      </c>
      <c r="B55" s="592" t="s">
        <v>1753</v>
      </c>
      <c r="C55" s="442" t="s">
        <v>1754</v>
      </c>
      <c r="D55" s="443" t="s">
        <v>1755</v>
      </c>
      <c r="E55" s="444" t="s">
        <v>303</v>
      </c>
      <c r="F55" s="450">
        <v>3157165</v>
      </c>
      <c r="G55" s="447" t="s">
        <v>1678</v>
      </c>
      <c r="H55" s="447"/>
      <c r="I55" s="447"/>
      <c r="J55" s="447"/>
      <c r="K55" s="447"/>
      <c r="L55" s="447"/>
      <c r="M55" s="447"/>
      <c r="N55" s="449"/>
    </row>
    <row r="56" spans="1:14">
      <c r="A56" s="431">
        <f t="shared" si="1"/>
        <v>50</v>
      </c>
      <c r="B56" s="592"/>
      <c r="D56" s="443" t="s">
        <v>1756</v>
      </c>
      <c r="E56" s="444" t="s">
        <v>303</v>
      </c>
      <c r="G56" s="447" t="s">
        <v>1678</v>
      </c>
      <c r="H56" s="447"/>
      <c r="I56" s="447"/>
      <c r="J56" s="447"/>
      <c r="K56" s="447"/>
      <c r="L56" s="447"/>
      <c r="M56" s="447"/>
      <c r="N56" s="449"/>
    </row>
    <row r="57" spans="1:14">
      <c r="A57" s="431">
        <f t="shared" si="1"/>
        <v>51</v>
      </c>
      <c r="B57" s="592"/>
      <c r="D57" s="443" t="s">
        <v>1757</v>
      </c>
      <c r="E57" s="444" t="s">
        <v>303</v>
      </c>
      <c r="G57" s="447" t="s">
        <v>1678</v>
      </c>
      <c r="H57" s="447"/>
      <c r="I57" s="447"/>
      <c r="J57" s="447"/>
      <c r="K57" s="447"/>
      <c r="L57" s="447"/>
      <c r="M57" s="447"/>
      <c r="N57" s="449"/>
    </row>
    <row r="58" spans="1:14">
      <c r="A58" s="431">
        <f t="shared" si="1"/>
        <v>52</v>
      </c>
      <c r="B58" s="592" t="s">
        <v>929</v>
      </c>
      <c r="C58" s="442" t="s">
        <v>1758</v>
      </c>
      <c r="D58" s="443" t="s">
        <v>1759</v>
      </c>
      <c r="E58" s="444" t="s">
        <v>303</v>
      </c>
      <c r="F58" s="450">
        <v>1286118</v>
      </c>
      <c r="G58" s="447" t="s">
        <v>1678</v>
      </c>
      <c r="H58" s="447"/>
      <c r="I58" s="447"/>
      <c r="J58" s="447"/>
      <c r="K58" s="447"/>
      <c r="L58" s="447"/>
      <c r="M58" s="447"/>
      <c r="N58" s="449"/>
    </row>
    <row r="59" spans="1:14">
      <c r="A59" s="431">
        <f t="shared" si="1"/>
        <v>53</v>
      </c>
      <c r="B59" s="592" t="s">
        <v>1760</v>
      </c>
      <c r="C59" s="442" t="s">
        <v>1761</v>
      </c>
      <c r="D59" s="443" t="s">
        <v>1762</v>
      </c>
      <c r="E59" s="444" t="s">
        <v>303</v>
      </c>
      <c r="F59" s="455">
        <v>7760738</v>
      </c>
      <c r="G59" s="447" t="s">
        <v>1678</v>
      </c>
      <c r="H59" s="447"/>
      <c r="I59" s="447"/>
      <c r="J59" s="447"/>
      <c r="K59" s="447"/>
      <c r="L59" s="447"/>
      <c r="M59" s="447"/>
      <c r="N59" s="449"/>
    </row>
    <row r="60" spans="1:14">
      <c r="A60" s="431">
        <f t="shared" si="1"/>
        <v>54</v>
      </c>
      <c r="B60" s="592"/>
      <c r="D60" s="443" t="s">
        <v>1763</v>
      </c>
      <c r="E60" s="444" t="s">
        <v>303</v>
      </c>
      <c r="G60" s="447" t="s">
        <v>1678</v>
      </c>
      <c r="H60" s="447"/>
      <c r="I60" s="447"/>
      <c r="J60" s="447"/>
      <c r="K60" s="447"/>
      <c r="L60" s="447"/>
      <c r="M60" s="447"/>
      <c r="N60" s="449"/>
    </row>
    <row r="61" spans="1:14">
      <c r="A61" s="431">
        <f t="shared" si="1"/>
        <v>55</v>
      </c>
      <c r="B61" s="592"/>
      <c r="D61" s="443" t="s">
        <v>1764</v>
      </c>
      <c r="E61" s="444" t="s">
        <v>303</v>
      </c>
      <c r="G61" s="447" t="s">
        <v>1678</v>
      </c>
      <c r="H61" s="447"/>
      <c r="I61" s="447"/>
      <c r="J61" s="447"/>
      <c r="K61" s="447"/>
      <c r="L61" s="447"/>
      <c r="M61" s="447"/>
      <c r="N61" s="449"/>
    </row>
    <row r="62" spans="1:14">
      <c r="A62" s="431">
        <f t="shared" si="1"/>
        <v>56</v>
      </c>
      <c r="B62" s="592"/>
      <c r="D62" s="443" t="s">
        <v>1765</v>
      </c>
      <c r="E62" s="444" t="s">
        <v>303</v>
      </c>
      <c r="G62" s="447" t="s">
        <v>1678</v>
      </c>
      <c r="H62" s="447"/>
      <c r="I62" s="447"/>
      <c r="J62" s="447"/>
      <c r="K62" s="447"/>
      <c r="L62" s="447"/>
      <c r="M62" s="447"/>
      <c r="N62" s="449"/>
    </row>
    <row r="63" spans="1:14">
      <c r="A63" s="431">
        <f t="shared" si="1"/>
        <v>57</v>
      </c>
      <c r="B63" s="592" t="s">
        <v>933</v>
      </c>
      <c r="C63" s="442" t="s">
        <v>1766</v>
      </c>
      <c r="D63" s="443" t="s">
        <v>1767</v>
      </c>
      <c r="E63" s="444" t="s">
        <v>1723</v>
      </c>
      <c r="F63" s="450">
        <v>5320569</v>
      </c>
      <c r="G63" s="447" t="s">
        <v>1678</v>
      </c>
      <c r="H63" s="447"/>
      <c r="I63" s="447"/>
      <c r="J63" s="447"/>
      <c r="K63" s="447"/>
      <c r="L63" s="447"/>
      <c r="M63" s="447"/>
      <c r="N63" s="449"/>
    </row>
    <row r="64" spans="1:14">
      <c r="A64" s="431">
        <f t="shared" si="1"/>
        <v>58</v>
      </c>
      <c r="B64" s="592"/>
      <c r="D64" s="443" t="s">
        <v>1768</v>
      </c>
      <c r="E64" s="444" t="s">
        <v>1723</v>
      </c>
      <c r="G64" s="447" t="s">
        <v>1678</v>
      </c>
      <c r="H64" s="447"/>
      <c r="I64" s="447"/>
      <c r="J64" s="447"/>
      <c r="K64" s="447"/>
      <c r="L64" s="447"/>
      <c r="M64" s="447"/>
      <c r="N64" s="449"/>
    </row>
    <row r="65" spans="1:14">
      <c r="A65" s="431">
        <f t="shared" si="1"/>
        <v>59</v>
      </c>
      <c r="B65" s="592"/>
      <c r="D65" s="443" t="s">
        <v>1769</v>
      </c>
      <c r="E65" s="444" t="s">
        <v>1723</v>
      </c>
      <c r="G65" s="447" t="s">
        <v>1678</v>
      </c>
      <c r="H65" s="447"/>
      <c r="I65" s="447"/>
      <c r="J65" s="447"/>
      <c r="K65" s="447"/>
      <c r="L65" s="447"/>
      <c r="M65" s="447"/>
      <c r="N65" s="449"/>
    </row>
    <row r="66" spans="1:14" ht="17.25" customHeight="1">
      <c r="A66" s="431">
        <f t="shared" si="1"/>
        <v>60</v>
      </c>
      <c r="B66" s="592"/>
      <c r="D66" s="443" t="s">
        <v>1770</v>
      </c>
      <c r="E66" s="444" t="s">
        <v>1723</v>
      </c>
      <c r="G66" s="447" t="s">
        <v>1678</v>
      </c>
      <c r="H66" s="447"/>
      <c r="I66" s="447"/>
      <c r="J66" s="447"/>
      <c r="K66" s="447"/>
      <c r="L66" s="447"/>
      <c r="M66" s="447"/>
      <c r="N66" s="449"/>
    </row>
    <row r="67" spans="1:14">
      <c r="A67" s="431">
        <f t="shared" si="1"/>
        <v>61</v>
      </c>
      <c r="B67" s="592"/>
      <c r="D67" s="443" t="s">
        <v>1771</v>
      </c>
      <c r="E67" s="444" t="s">
        <v>1723</v>
      </c>
      <c r="G67" s="447" t="s">
        <v>1678</v>
      </c>
      <c r="H67" s="447"/>
      <c r="I67" s="447"/>
      <c r="J67" s="447"/>
      <c r="K67" s="447"/>
      <c r="L67" s="447"/>
      <c r="M67" s="447"/>
      <c r="N67" s="449"/>
    </row>
    <row r="68" spans="1:14" ht="29">
      <c r="A68" s="431">
        <f t="shared" si="1"/>
        <v>62</v>
      </c>
      <c r="B68" s="592" t="s">
        <v>935</v>
      </c>
      <c r="C68" s="442" t="s">
        <v>1772</v>
      </c>
      <c r="D68" s="443" t="s">
        <v>1773</v>
      </c>
      <c r="E68" s="444" t="s">
        <v>303</v>
      </c>
      <c r="F68" s="450">
        <v>8549123</v>
      </c>
      <c r="G68" s="447" t="s">
        <v>1678</v>
      </c>
      <c r="H68" s="447"/>
      <c r="I68" s="447"/>
      <c r="J68" s="447"/>
      <c r="K68" s="447"/>
      <c r="L68" s="447"/>
      <c r="M68" s="447"/>
      <c r="N68" s="449"/>
    </row>
    <row r="69" spans="1:14">
      <c r="A69" s="431">
        <f t="shared" si="1"/>
        <v>63</v>
      </c>
      <c r="B69" s="592"/>
      <c r="D69" s="443" t="s">
        <v>1774</v>
      </c>
      <c r="E69" s="444" t="s">
        <v>303</v>
      </c>
      <c r="G69" s="447" t="s">
        <v>1678</v>
      </c>
      <c r="H69" s="447"/>
      <c r="I69" s="447"/>
      <c r="J69" s="447"/>
      <c r="K69" s="447"/>
      <c r="L69" s="447"/>
      <c r="M69" s="447"/>
      <c r="N69" s="449"/>
    </row>
    <row r="70" spans="1:14">
      <c r="A70" s="431">
        <f t="shared" si="1"/>
        <v>64</v>
      </c>
      <c r="B70" s="592"/>
      <c r="D70" s="443" t="s">
        <v>1775</v>
      </c>
      <c r="E70" s="444" t="s">
        <v>303</v>
      </c>
      <c r="G70" s="447" t="s">
        <v>1678</v>
      </c>
      <c r="H70" s="447"/>
      <c r="I70" s="447"/>
      <c r="J70" s="447"/>
      <c r="K70" s="447"/>
      <c r="L70" s="447"/>
      <c r="M70" s="447"/>
      <c r="N70" s="449"/>
    </row>
    <row r="71" spans="1:14">
      <c r="A71" s="431">
        <f t="shared" si="1"/>
        <v>65</v>
      </c>
      <c r="B71" s="592"/>
      <c r="D71" s="443" t="s">
        <v>1776</v>
      </c>
      <c r="E71" s="444" t="s">
        <v>303</v>
      </c>
      <c r="G71" s="447" t="s">
        <v>1678</v>
      </c>
      <c r="H71" s="447"/>
      <c r="I71" s="447"/>
      <c r="J71" s="447"/>
      <c r="K71" s="447"/>
      <c r="L71" s="447"/>
      <c r="M71" s="447"/>
      <c r="N71" s="449"/>
    </row>
    <row r="72" spans="1:14">
      <c r="A72" s="431">
        <f t="shared" si="1"/>
        <v>66</v>
      </c>
      <c r="B72" s="592"/>
      <c r="D72" s="443" t="s">
        <v>1777</v>
      </c>
      <c r="E72" s="444" t="s">
        <v>303</v>
      </c>
      <c r="G72" s="447" t="s">
        <v>1678</v>
      </c>
      <c r="H72" s="447"/>
      <c r="I72" s="447"/>
      <c r="J72" s="447"/>
      <c r="K72" s="447"/>
      <c r="L72" s="447"/>
      <c r="M72" s="447"/>
      <c r="N72" s="449"/>
    </row>
    <row r="73" spans="1:14">
      <c r="A73" s="431">
        <f t="shared" si="1"/>
        <v>67</v>
      </c>
      <c r="B73" s="592" t="s">
        <v>937</v>
      </c>
      <c r="C73" s="442" t="s">
        <v>1778</v>
      </c>
      <c r="D73" s="443" t="s">
        <v>1779</v>
      </c>
      <c r="E73" s="444" t="s">
        <v>1723</v>
      </c>
      <c r="F73" s="450">
        <v>11177951</v>
      </c>
      <c r="G73" s="447"/>
      <c r="H73" s="447"/>
      <c r="I73" s="447" t="s">
        <v>1678</v>
      </c>
      <c r="J73" s="447"/>
      <c r="K73" s="447"/>
      <c r="L73" s="447"/>
      <c r="M73" s="447"/>
      <c r="N73" s="449" t="s">
        <v>1780</v>
      </c>
    </row>
    <row r="74" spans="1:14">
      <c r="A74" s="431">
        <f t="shared" si="1"/>
        <v>68</v>
      </c>
      <c r="B74" s="592"/>
      <c r="D74" s="443" t="s">
        <v>1781</v>
      </c>
      <c r="E74" s="444" t="s">
        <v>1723</v>
      </c>
      <c r="G74" s="447" t="s">
        <v>1678</v>
      </c>
      <c r="H74" s="447"/>
      <c r="I74" s="447"/>
      <c r="J74" s="447"/>
      <c r="K74" s="447"/>
      <c r="L74" s="447"/>
      <c r="M74" s="447"/>
      <c r="N74" s="449"/>
    </row>
    <row r="75" spans="1:14">
      <c r="A75" s="431">
        <f t="shared" si="1"/>
        <v>69</v>
      </c>
      <c r="B75" s="592"/>
      <c r="D75" s="443" t="s">
        <v>1782</v>
      </c>
      <c r="E75" s="444" t="s">
        <v>1723</v>
      </c>
      <c r="G75" s="447" t="s">
        <v>1678</v>
      </c>
      <c r="H75" s="447"/>
      <c r="I75" s="447"/>
      <c r="J75" s="447"/>
      <c r="K75" s="447"/>
      <c r="L75" s="447"/>
      <c r="M75" s="447"/>
      <c r="N75" s="449"/>
    </row>
    <row r="76" spans="1:14">
      <c r="A76" s="431">
        <f t="shared" si="1"/>
        <v>70</v>
      </c>
      <c r="B76" s="592" t="s">
        <v>939</v>
      </c>
      <c r="C76" s="442" t="s">
        <v>1783</v>
      </c>
      <c r="D76" s="443" t="s">
        <v>1784</v>
      </c>
      <c r="E76" s="444" t="s">
        <v>303</v>
      </c>
      <c r="F76" s="450">
        <v>2390851</v>
      </c>
      <c r="G76" s="447" t="s">
        <v>1678</v>
      </c>
      <c r="H76" s="447" t="s">
        <v>1678</v>
      </c>
      <c r="I76" s="447"/>
      <c r="J76" s="447"/>
      <c r="K76" s="447"/>
      <c r="L76" s="447"/>
      <c r="M76" s="447"/>
      <c r="N76" s="449" t="s">
        <v>1785</v>
      </c>
    </row>
    <row r="77" spans="1:14">
      <c r="A77" s="431">
        <f t="shared" si="1"/>
        <v>71</v>
      </c>
      <c r="B77" s="592" t="s">
        <v>941</v>
      </c>
      <c r="C77" s="442" t="s">
        <v>1786</v>
      </c>
      <c r="D77" s="443" t="s">
        <v>1767</v>
      </c>
      <c r="E77" s="444" t="s">
        <v>1723</v>
      </c>
      <c r="F77" s="450">
        <v>2575384</v>
      </c>
      <c r="G77" s="447" t="s">
        <v>1678</v>
      </c>
      <c r="H77" s="447"/>
      <c r="I77" s="447"/>
      <c r="J77" s="447"/>
      <c r="K77" s="447"/>
      <c r="L77" s="447"/>
      <c r="M77" s="447"/>
      <c r="N77" s="449"/>
    </row>
    <row r="78" spans="1:14">
      <c r="A78" s="431">
        <f t="shared" si="1"/>
        <v>72</v>
      </c>
      <c r="B78" s="592"/>
      <c r="D78" s="443" t="s">
        <v>1787</v>
      </c>
      <c r="E78" s="444" t="s">
        <v>1723</v>
      </c>
      <c r="G78" s="447" t="s">
        <v>1678</v>
      </c>
      <c r="H78" s="447"/>
      <c r="I78" s="447"/>
      <c r="J78" s="447"/>
      <c r="K78" s="447"/>
      <c r="L78" s="447"/>
      <c r="M78" s="447"/>
      <c r="N78" s="449"/>
    </row>
    <row r="79" spans="1:14">
      <c r="A79" s="431">
        <f t="shared" si="1"/>
        <v>73</v>
      </c>
      <c r="B79" s="592"/>
      <c r="D79" s="443" t="s">
        <v>1788</v>
      </c>
      <c r="E79" s="444" t="s">
        <v>1723</v>
      </c>
      <c r="G79" s="447" t="s">
        <v>1678</v>
      </c>
      <c r="H79" s="447"/>
      <c r="I79" s="447"/>
      <c r="J79" s="447"/>
      <c r="K79" s="447"/>
      <c r="L79" s="447"/>
      <c r="M79" s="447"/>
      <c r="N79" s="449"/>
    </row>
    <row r="80" spans="1:14">
      <c r="A80" s="431">
        <f t="shared" si="1"/>
        <v>74</v>
      </c>
      <c r="B80" s="592"/>
      <c r="D80" s="443" t="s">
        <v>1789</v>
      </c>
      <c r="E80" s="444" t="s">
        <v>1723</v>
      </c>
      <c r="G80" s="447" t="s">
        <v>1678</v>
      </c>
      <c r="H80" s="447"/>
      <c r="I80" s="447"/>
      <c r="J80" s="447"/>
      <c r="K80" s="447"/>
      <c r="L80" s="447"/>
      <c r="M80" s="447"/>
      <c r="N80" s="449"/>
    </row>
    <row r="81" spans="1:14">
      <c r="A81" s="431">
        <f t="shared" si="1"/>
        <v>75</v>
      </c>
      <c r="B81" s="592"/>
      <c r="D81" s="443" t="s">
        <v>1790</v>
      </c>
      <c r="E81" s="444" t="s">
        <v>1723</v>
      </c>
      <c r="G81" s="447" t="s">
        <v>1678</v>
      </c>
      <c r="H81" s="447"/>
      <c r="I81" s="447"/>
      <c r="J81" s="447"/>
      <c r="K81" s="447"/>
      <c r="L81" s="447"/>
      <c r="M81" s="447"/>
      <c r="N81" s="449"/>
    </row>
    <row r="82" spans="1:14">
      <c r="A82" s="431">
        <f t="shared" si="1"/>
        <v>76</v>
      </c>
      <c r="B82" s="592" t="s">
        <v>945</v>
      </c>
      <c r="C82" s="442" t="s">
        <v>1791</v>
      </c>
      <c r="D82" s="443" t="s">
        <v>1792</v>
      </c>
      <c r="E82" s="444" t="s">
        <v>303</v>
      </c>
      <c r="F82" s="450">
        <v>10656664</v>
      </c>
      <c r="G82" s="447" t="s">
        <v>1678</v>
      </c>
      <c r="H82" s="447"/>
      <c r="I82" s="447"/>
      <c r="J82" s="447"/>
      <c r="K82" s="447"/>
      <c r="L82" s="447"/>
      <c r="M82" s="447"/>
      <c r="N82" s="449"/>
    </row>
    <row r="83" spans="1:14">
      <c r="A83" s="431">
        <f t="shared" si="1"/>
        <v>77</v>
      </c>
      <c r="B83" s="592"/>
      <c r="D83" s="443" t="s">
        <v>1793</v>
      </c>
      <c r="E83" s="444" t="s">
        <v>303</v>
      </c>
      <c r="G83" s="447" t="s">
        <v>1678</v>
      </c>
      <c r="H83" s="447"/>
      <c r="I83" s="447"/>
      <c r="J83" s="447"/>
      <c r="K83" s="447"/>
      <c r="L83" s="447"/>
      <c r="M83" s="447"/>
      <c r="N83" s="449"/>
    </row>
    <row r="84" spans="1:14">
      <c r="A84" s="431">
        <f t="shared" ref="A84:A147" si="2">A83+1</f>
        <v>78</v>
      </c>
      <c r="B84" s="592"/>
      <c r="D84" s="443" t="s">
        <v>1794</v>
      </c>
      <c r="E84" s="444" t="s">
        <v>303</v>
      </c>
      <c r="G84" s="447" t="s">
        <v>1678</v>
      </c>
      <c r="H84" s="447"/>
      <c r="I84" s="447"/>
      <c r="J84" s="447"/>
      <c r="K84" s="447"/>
      <c r="L84" s="447"/>
      <c r="M84" s="447"/>
      <c r="N84" s="449"/>
    </row>
    <row r="85" spans="1:14">
      <c r="A85" s="431">
        <f t="shared" si="2"/>
        <v>79</v>
      </c>
      <c r="B85" s="592"/>
      <c r="D85" s="443" t="s">
        <v>1706</v>
      </c>
      <c r="E85" s="444" t="s">
        <v>303</v>
      </c>
      <c r="G85" s="447" t="s">
        <v>1678</v>
      </c>
      <c r="H85" s="447"/>
      <c r="I85" s="447"/>
      <c r="J85" s="447"/>
      <c r="K85" s="447"/>
      <c r="L85" s="447"/>
      <c r="M85" s="447"/>
      <c r="N85" s="449"/>
    </row>
    <row r="86" spans="1:14">
      <c r="A86" s="431">
        <f t="shared" si="2"/>
        <v>80</v>
      </c>
      <c r="B86" s="592"/>
      <c r="D86" s="443" t="s">
        <v>1795</v>
      </c>
      <c r="E86" s="444" t="s">
        <v>303</v>
      </c>
      <c r="G86" s="447" t="s">
        <v>1678</v>
      </c>
      <c r="H86" s="447"/>
      <c r="I86" s="447"/>
      <c r="J86" s="447"/>
      <c r="K86" s="447"/>
      <c r="L86" s="447"/>
      <c r="M86" s="447"/>
      <c r="N86" s="449"/>
    </row>
    <row r="87" spans="1:14">
      <c r="A87" s="431">
        <f t="shared" si="2"/>
        <v>81</v>
      </c>
      <c r="B87" s="592"/>
      <c r="D87" s="443" t="s">
        <v>1796</v>
      </c>
      <c r="E87" s="444" t="s">
        <v>303</v>
      </c>
      <c r="G87" s="447" t="s">
        <v>1678</v>
      </c>
      <c r="H87" s="447"/>
      <c r="I87" s="447"/>
      <c r="J87" s="447"/>
      <c r="K87" s="447"/>
      <c r="L87" s="447"/>
      <c r="M87" s="447"/>
      <c r="N87" s="449"/>
    </row>
    <row r="88" spans="1:14" ht="15.75" customHeight="1">
      <c r="A88" s="431">
        <f t="shared" si="2"/>
        <v>82</v>
      </c>
      <c r="B88" s="592"/>
      <c r="D88" s="443" t="s">
        <v>1797</v>
      </c>
      <c r="E88" s="444" t="s">
        <v>303</v>
      </c>
      <c r="G88" s="447" t="s">
        <v>1678</v>
      </c>
      <c r="H88" s="447"/>
      <c r="I88" s="447"/>
      <c r="J88" s="447"/>
      <c r="K88" s="447"/>
      <c r="L88" s="447"/>
      <c r="M88" s="447"/>
      <c r="N88" s="449"/>
    </row>
    <row r="89" spans="1:14" ht="16.5" customHeight="1">
      <c r="A89" s="431">
        <f t="shared" si="2"/>
        <v>83</v>
      </c>
      <c r="B89" s="592" t="s">
        <v>949</v>
      </c>
      <c r="C89" s="442" t="s">
        <v>1798</v>
      </c>
      <c r="D89" s="443" t="s">
        <v>1799</v>
      </c>
      <c r="E89" s="444" t="s">
        <v>303</v>
      </c>
      <c r="F89" s="450">
        <v>14743978</v>
      </c>
      <c r="G89" s="447" t="s">
        <v>1678</v>
      </c>
      <c r="H89" s="447"/>
      <c r="I89" s="447"/>
      <c r="J89" s="447"/>
      <c r="K89" s="447"/>
      <c r="L89" s="447"/>
      <c r="M89" s="447"/>
      <c r="N89" s="449"/>
    </row>
    <row r="90" spans="1:14">
      <c r="A90" s="431">
        <f t="shared" si="2"/>
        <v>84</v>
      </c>
      <c r="B90" s="592"/>
      <c r="D90" s="443" t="s">
        <v>1800</v>
      </c>
      <c r="E90" s="444" t="s">
        <v>303</v>
      </c>
      <c r="G90" s="447" t="s">
        <v>1678</v>
      </c>
      <c r="H90" s="447"/>
      <c r="I90" s="447"/>
      <c r="J90" s="447"/>
      <c r="K90" s="447"/>
      <c r="L90" s="447"/>
      <c r="M90" s="447"/>
      <c r="N90" s="449"/>
    </row>
    <row r="91" spans="1:14">
      <c r="A91" s="431">
        <f t="shared" si="2"/>
        <v>85</v>
      </c>
      <c r="B91" s="592"/>
      <c r="D91" s="443" t="s">
        <v>1801</v>
      </c>
      <c r="E91" s="444" t="s">
        <v>303</v>
      </c>
      <c r="G91" s="447" t="s">
        <v>1678</v>
      </c>
      <c r="H91" s="447"/>
      <c r="I91" s="447"/>
      <c r="J91" s="447"/>
      <c r="K91" s="447"/>
      <c r="L91" s="447"/>
      <c r="M91" s="447"/>
      <c r="N91" s="449"/>
    </row>
    <row r="92" spans="1:14">
      <c r="A92" s="431">
        <f t="shared" si="2"/>
        <v>86</v>
      </c>
      <c r="B92" s="592"/>
      <c r="D92" s="443" t="s">
        <v>1802</v>
      </c>
      <c r="E92" s="444" t="s">
        <v>303</v>
      </c>
      <c r="G92" s="447" t="s">
        <v>1678</v>
      </c>
      <c r="H92" s="447"/>
      <c r="I92" s="447"/>
      <c r="J92" s="447"/>
      <c r="K92" s="447"/>
      <c r="L92" s="447"/>
      <c r="M92" s="447"/>
      <c r="N92" s="449"/>
    </row>
    <row r="93" spans="1:14">
      <c r="A93" s="431">
        <f t="shared" si="2"/>
        <v>87</v>
      </c>
      <c r="B93" s="592"/>
      <c r="D93" s="443" t="s">
        <v>1803</v>
      </c>
      <c r="E93" s="444" t="s">
        <v>303</v>
      </c>
      <c r="G93" s="447" t="s">
        <v>1678</v>
      </c>
      <c r="H93" s="447"/>
      <c r="I93" s="447"/>
      <c r="J93" s="447"/>
      <c r="K93" s="447"/>
      <c r="L93" s="447"/>
      <c r="M93" s="447"/>
      <c r="N93" s="449"/>
    </row>
    <row r="94" spans="1:14" ht="27" customHeight="1">
      <c r="A94" s="431">
        <f t="shared" si="2"/>
        <v>88</v>
      </c>
      <c r="B94" s="592"/>
      <c r="D94" s="443" t="s">
        <v>1804</v>
      </c>
      <c r="E94" s="444" t="s">
        <v>303</v>
      </c>
      <c r="G94" s="447" t="s">
        <v>1678</v>
      </c>
      <c r="H94" s="447"/>
      <c r="I94" s="447"/>
      <c r="J94" s="447"/>
      <c r="K94" s="447"/>
      <c r="L94" s="447"/>
      <c r="M94" s="447"/>
      <c r="N94" s="449"/>
    </row>
    <row r="95" spans="1:14">
      <c r="A95" s="431">
        <f t="shared" si="2"/>
        <v>89</v>
      </c>
      <c r="B95" s="592"/>
      <c r="D95" s="443" t="s">
        <v>1805</v>
      </c>
      <c r="E95" s="444" t="s">
        <v>303</v>
      </c>
      <c r="G95" s="447" t="s">
        <v>1678</v>
      </c>
      <c r="H95" s="447"/>
      <c r="I95" s="447"/>
      <c r="J95" s="447"/>
      <c r="K95" s="447"/>
      <c r="L95" s="447"/>
      <c r="M95" s="447"/>
      <c r="N95" s="449"/>
    </row>
    <row r="96" spans="1:14">
      <c r="A96" s="431">
        <f t="shared" si="2"/>
        <v>90</v>
      </c>
      <c r="B96" s="592"/>
      <c r="D96" s="443" t="s">
        <v>1806</v>
      </c>
      <c r="E96" s="444" t="s">
        <v>303</v>
      </c>
      <c r="G96" s="447" t="s">
        <v>1678</v>
      </c>
      <c r="H96" s="447"/>
      <c r="I96" s="447"/>
      <c r="J96" s="447"/>
      <c r="K96" s="447"/>
      <c r="L96" s="447"/>
      <c r="M96" s="447"/>
      <c r="N96" s="449"/>
    </row>
    <row r="97" spans="1:14">
      <c r="A97" s="431">
        <f t="shared" si="2"/>
        <v>91</v>
      </c>
      <c r="B97" s="592"/>
      <c r="D97" s="443" t="s">
        <v>1807</v>
      </c>
      <c r="E97" s="444" t="s">
        <v>303</v>
      </c>
      <c r="G97" s="447" t="s">
        <v>1678</v>
      </c>
      <c r="H97" s="447"/>
      <c r="I97" s="447"/>
      <c r="J97" s="447"/>
      <c r="K97" s="447"/>
      <c r="L97" s="447"/>
      <c r="M97" s="447"/>
      <c r="N97" s="449"/>
    </row>
    <row r="98" spans="1:14">
      <c r="A98" s="431">
        <f t="shared" si="2"/>
        <v>92</v>
      </c>
      <c r="B98" s="592" t="s">
        <v>953</v>
      </c>
      <c r="C98" s="442" t="s">
        <v>1808</v>
      </c>
      <c r="D98" s="443" t="s">
        <v>1809</v>
      </c>
      <c r="E98" s="444" t="s">
        <v>303</v>
      </c>
      <c r="F98" s="450">
        <v>2779274</v>
      </c>
      <c r="G98" s="447" t="s">
        <v>1678</v>
      </c>
      <c r="H98" s="447"/>
      <c r="I98" s="447"/>
      <c r="J98" s="447"/>
      <c r="K98" s="448"/>
      <c r="L98" s="447"/>
      <c r="M98" s="447"/>
      <c r="N98" s="449"/>
    </row>
    <row r="99" spans="1:14">
      <c r="A99" s="431">
        <f t="shared" si="2"/>
        <v>93</v>
      </c>
      <c r="B99" s="592"/>
      <c r="D99" s="443" t="s">
        <v>1810</v>
      </c>
      <c r="E99" s="444" t="s">
        <v>303</v>
      </c>
      <c r="G99" s="447" t="s">
        <v>1678</v>
      </c>
      <c r="H99" s="447"/>
      <c r="I99" s="447"/>
      <c r="J99" s="447"/>
      <c r="K99" s="448"/>
      <c r="L99" s="447"/>
      <c r="M99" s="447"/>
      <c r="N99" s="449"/>
    </row>
    <row r="100" spans="1:14">
      <c r="A100" s="431">
        <f t="shared" si="2"/>
        <v>94</v>
      </c>
      <c r="B100" s="592"/>
      <c r="D100" s="443" t="s">
        <v>1811</v>
      </c>
      <c r="E100" s="444" t="s">
        <v>303</v>
      </c>
      <c r="G100" s="447" t="s">
        <v>1678</v>
      </c>
      <c r="H100" s="447"/>
      <c r="I100" s="447"/>
      <c r="J100" s="447"/>
      <c r="K100" s="448"/>
      <c r="L100" s="447"/>
      <c r="M100" s="447"/>
      <c r="N100" s="449" t="s">
        <v>1812</v>
      </c>
    </row>
    <row r="101" spans="1:14">
      <c r="A101" s="431">
        <f t="shared" si="2"/>
        <v>95</v>
      </c>
      <c r="B101" s="592"/>
      <c r="D101" s="443" t="s">
        <v>1813</v>
      </c>
      <c r="E101" s="444" t="s">
        <v>303</v>
      </c>
      <c r="G101" s="447" t="s">
        <v>1678</v>
      </c>
      <c r="H101" s="447"/>
      <c r="I101" s="447"/>
      <c r="J101" s="447"/>
      <c r="K101" s="448"/>
      <c r="L101" s="447"/>
      <c r="M101" s="447"/>
      <c r="N101" s="449"/>
    </row>
    <row r="102" spans="1:14">
      <c r="A102" s="431">
        <f t="shared" si="2"/>
        <v>96</v>
      </c>
      <c r="B102" s="592"/>
      <c r="D102" s="443" t="s">
        <v>1814</v>
      </c>
      <c r="E102" s="444" t="s">
        <v>303</v>
      </c>
      <c r="G102" s="447" t="s">
        <v>1678</v>
      </c>
      <c r="H102" s="447"/>
      <c r="I102" s="447"/>
      <c r="J102" s="447"/>
      <c r="K102" s="448"/>
      <c r="L102" s="447"/>
      <c r="M102" s="447"/>
      <c r="N102" s="449"/>
    </row>
    <row r="103" spans="1:14">
      <c r="A103" s="431">
        <f t="shared" si="2"/>
        <v>97</v>
      </c>
      <c r="B103" s="592"/>
      <c r="D103" s="443" t="s">
        <v>1815</v>
      </c>
      <c r="E103" s="444" t="s">
        <v>303</v>
      </c>
      <c r="G103" s="447" t="s">
        <v>1678</v>
      </c>
      <c r="H103" s="447"/>
      <c r="I103" s="447"/>
      <c r="J103" s="447"/>
      <c r="K103" s="448"/>
      <c r="L103" s="447"/>
      <c r="M103" s="447"/>
      <c r="N103" s="449"/>
    </row>
    <row r="104" spans="1:14">
      <c r="A104" s="431">
        <f t="shared" si="2"/>
        <v>98</v>
      </c>
      <c r="B104" s="592"/>
      <c r="D104" s="443" t="s">
        <v>1816</v>
      </c>
      <c r="E104" s="444" t="s">
        <v>303</v>
      </c>
      <c r="G104" s="447" t="s">
        <v>1678</v>
      </c>
      <c r="H104" s="447"/>
      <c r="I104" s="447"/>
      <c r="J104" s="447"/>
      <c r="K104" s="448"/>
      <c r="L104" s="447"/>
      <c r="M104" s="447"/>
      <c r="N104" s="449" t="s">
        <v>1817</v>
      </c>
    </row>
    <row r="105" spans="1:14">
      <c r="A105" s="431">
        <f t="shared" si="2"/>
        <v>99</v>
      </c>
      <c r="B105" s="592" t="s">
        <v>961</v>
      </c>
      <c r="C105" s="442" t="s">
        <v>1818</v>
      </c>
      <c r="D105" s="443" t="s">
        <v>1819</v>
      </c>
      <c r="E105" s="444" t="s">
        <v>303</v>
      </c>
      <c r="F105" s="450">
        <v>950210</v>
      </c>
      <c r="G105" s="447" t="s">
        <v>1678</v>
      </c>
      <c r="H105" s="447"/>
      <c r="I105" s="447"/>
      <c r="J105" s="447"/>
      <c r="K105" s="448"/>
      <c r="L105" s="447"/>
      <c r="M105" s="447"/>
      <c r="N105" s="449"/>
    </row>
    <row r="106" spans="1:14">
      <c r="A106" s="431">
        <f t="shared" si="2"/>
        <v>100</v>
      </c>
      <c r="B106" s="592"/>
      <c r="D106" s="443" t="s">
        <v>1820</v>
      </c>
      <c r="G106" s="447" t="s">
        <v>1678</v>
      </c>
      <c r="H106" s="447"/>
      <c r="I106" s="447"/>
      <c r="J106" s="447"/>
      <c r="K106" s="448"/>
      <c r="L106" s="447"/>
      <c r="M106" s="447"/>
      <c r="N106" s="449"/>
    </row>
    <row r="107" spans="1:14">
      <c r="A107" s="431">
        <f t="shared" si="2"/>
        <v>101</v>
      </c>
      <c r="B107" s="592" t="s">
        <v>963</v>
      </c>
      <c r="C107" s="442" t="s">
        <v>1821</v>
      </c>
      <c r="D107" s="443" t="s">
        <v>1822</v>
      </c>
      <c r="E107" s="444" t="s">
        <v>303</v>
      </c>
      <c r="F107" s="450">
        <v>5403827</v>
      </c>
      <c r="G107" s="447" t="s">
        <v>1678</v>
      </c>
      <c r="H107" s="447"/>
      <c r="I107" s="447"/>
      <c r="J107" s="447"/>
      <c r="K107" s="448"/>
      <c r="L107" s="447"/>
      <c r="M107" s="447"/>
      <c r="N107" s="449"/>
    </row>
    <row r="108" spans="1:14">
      <c r="A108" s="431">
        <f t="shared" si="2"/>
        <v>102</v>
      </c>
      <c r="B108" s="592"/>
      <c r="D108" s="443" t="s">
        <v>1823</v>
      </c>
      <c r="E108" s="444" t="s">
        <v>303</v>
      </c>
      <c r="G108" s="447" t="s">
        <v>1678</v>
      </c>
      <c r="H108" s="447"/>
      <c r="I108" s="447"/>
      <c r="J108" s="447"/>
      <c r="K108" s="448"/>
      <c r="L108" s="447"/>
      <c r="M108" s="447"/>
      <c r="N108" s="449"/>
    </row>
    <row r="109" spans="1:14">
      <c r="A109" s="431">
        <f t="shared" si="2"/>
        <v>103</v>
      </c>
      <c r="B109" s="592"/>
      <c r="D109" s="443" t="s">
        <v>1824</v>
      </c>
      <c r="E109" s="444" t="s">
        <v>303</v>
      </c>
      <c r="G109" s="447" t="s">
        <v>1678</v>
      </c>
      <c r="H109" s="447"/>
      <c r="I109" s="447"/>
      <c r="J109" s="447"/>
      <c r="K109" s="448"/>
      <c r="L109" s="447"/>
      <c r="M109" s="447"/>
      <c r="N109" s="449"/>
    </row>
    <row r="110" spans="1:14">
      <c r="A110" s="431">
        <f t="shared" si="2"/>
        <v>104</v>
      </c>
      <c r="B110" s="592"/>
      <c r="D110" s="443" t="s">
        <v>1825</v>
      </c>
      <c r="E110" s="444" t="s">
        <v>303</v>
      </c>
      <c r="G110" s="447" t="s">
        <v>1678</v>
      </c>
      <c r="H110" s="447"/>
      <c r="I110" s="447"/>
      <c r="J110" s="447"/>
      <c r="K110" s="448"/>
      <c r="L110" s="447"/>
      <c r="M110" s="447"/>
      <c r="N110" s="449"/>
    </row>
    <row r="111" spans="1:14">
      <c r="A111" s="431">
        <f t="shared" si="2"/>
        <v>105</v>
      </c>
      <c r="B111" s="592" t="s">
        <v>965</v>
      </c>
      <c r="C111" s="442" t="s">
        <v>1826</v>
      </c>
      <c r="D111" s="443" t="s">
        <v>1827</v>
      </c>
      <c r="E111" s="444" t="s">
        <v>303</v>
      </c>
      <c r="F111" s="450">
        <v>2086660</v>
      </c>
      <c r="G111" s="447" t="s">
        <v>1678</v>
      </c>
      <c r="H111" s="447"/>
      <c r="I111" s="447"/>
      <c r="J111" s="447"/>
      <c r="K111" s="448"/>
      <c r="L111" s="447"/>
      <c r="M111" s="447"/>
      <c r="N111" s="449"/>
    </row>
    <row r="112" spans="1:14">
      <c r="A112" s="431">
        <f t="shared" si="2"/>
        <v>106</v>
      </c>
      <c r="B112" s="592"/>
      <c r="D112" s="443" t="s">
        <v>1828</v>
      </c>
      <c r="E112" s="444" t="s">
        <v>303</v>
      </c>
      <c r="G112" s="447" t="s">
        <v>1678</v>
      </c>
      <c r="H112" s="447"/>
      <c r="I112" s="447"/>
      <c r="J112" s="447"/>
      <c r="K112" s="448"/>
      <c r="L112" s="447"/>
      <c r="M112" s="447"/>
      <c r="N112" s="449"/>
    </row>
    <row r="113" spans="1:14">
      <c r="A113" s="431">
        <f t="shared" si="2"/>
        <v>107</v>
      </c>
      <c r="B113" s="592" t="s">
        <v>969</v>
      </c>
      <c r="C113" s="442" t="s">
        <v>1829</v>
      </c>
      <c r="D113" s="443" t="s">
        <v>1830</v>
      </c>
      <c r="E113" s="444" t="s">
        <v>303</v>
      </c>
      <c r="F113" s="450">
        <v>3121488</v>
      </c>
      <c r="G113" s="447" t="s">
        <v>1678</v>
      </c>
      <c r="H113" s="447"/>
      <c r="I113" s="447"/>
      <c r="J113" s="447"/>
      <c r="K113" s="448"/>
      <c r="L113" s="447"/>
      <c r="M113" s="447"/>
      <c r="N113" s="449"/>
    </row>
    <row r="114" spans="1:14">
      <c r="A114" s="431">
        <f t="shared" si="2"/>
        <v>108</v>
      </c>
      <c r="B114" s="592" t="s">
        <v>971</v>
      </c>
      <c r="C114" s="442" t="s">
        <v>1831</v>
      </c>
      <c r="D114" s="443" t="s">
        <v>1832</v>
      </c>
      <c r="E114" s="444" t="s">
        <v>303</v>
      </c>
      <c r="F114" s="450">
        <v>749768</v>
      </c>
      <c r="G114" s="447" t="s">
        <v>1678</v>
      </c>
      <c r="H114" s="447"/>
      <c r="I114" s="447"/>
      <c r="J114" s="447"/>
      <c r="K114" s="448"/>
      <c r="L114" s="447"/>
      <c r="M114" s="447"/>
      <c r="N114" s="449"/>
    </row>
    <row r="115" spans="1:14" ht="16.5" customHeight="1">
      <c r="A115" s="431">
        <f t="shared" si="2"/>
        <v>109</v>
      </c>
      <c r="B115" s="592" t="s">
        <v>973</v>
      </c>
      <c r="C115" s="442" t="s">
        <v>1833</v>
      </c>
      <c r="D115" s="443" t="s">
        <v>1834</v>
      </c>
      <c r="E115" s="444" t="s">
        <v>303</v>
      </c>
      <c r="F115" s="450">
        <v>4679262</v>
      </c>
      <c r="G115" s="447" t="s">
        <v>1678</v>
      </c>
      <c r="H115" s="447"/>
      <c r="I115" s="447"/>
      <c r="J115" s="447"/>
      <c r="K115" s="448"/>
      <c r="L115" s="447"/>
      <c r="M115" s="447"/>
      <c r="N115" s="449"/>
    </row>
    <row r="116" spans="1:14">
      <c r="A116" s="431">
        <f t="shared" si="2"/>
        <v>110</v>
      </c>
      <c r="B116" s="592"/>
      <c r="D116" s="443" t="s">
        <v>1835</v>
      </c>
      <c r="E116" s="444" t="s">
        <v>303</v>
      </c>
      <c r="G116" s="447" t="s">
        <v>1678</v>
      </c>
      <c r="H116" s="447"/>
      <c r="I116" s="447"/>
      <c r="J116" s="447"/>
      <c r="K116" s="448"/>
      <c r="L116" s="447"/>
      <c r="M116" s="447"/>
      <c r="N116" s="449"/>
    </row>
    <row r="117" spans="1:14">
      <c r="A117" s="431">
        <f t="shared" si="2"/>
        <v>111</v>
      </c>
      <c r="B117" s="592" t="s">
        <v>975</v>
      </c>
      <c r="C117" s="442" t="s">
        <v>1836</v>
      </c>
      <c r="D117" s="443" t="s">
        <v>1837</v>
      </c>
      <c r="E117" s="444" t="s">
        <v>303</v>
      </c>
      <c r="F117" s="450">
        <v>4296873</v>
      </c>
      <c r="G117" s="447" t="s">
        <v>1678</v>
      </c>
      <c r="H117" s="447"/>
      <c r="I117" s="447"/>
      <c r="J117" s="447"/>
      <c r="K117" s="448"/>
      <c r="L117" s="447"/>
      <c r="M117" s="447"/>
      <c r="N117" s="449"/>
    </row>
    <row r="118" spans="1:14">
      <c r="A118" s="431">
        <f t="shared" si="2"/>
        <v>112</v>
      </c>
      <c r="B118" s="592"/>
      <c r="D118" s="443" t="s">
        <v>1838</v>
      </c>
      <c r="E118" s="444" t="s">
        <v>303</v>
      </c>
      <c r="G118" s="447" t="s">
        <v>1678</v>
      </c>
      <c r="H118" s="447"/>
      <c r="I118" s="447"/>
      <c r="J118" s="447"/>
      <c r="K118" s="448"/>
      <c r="L118" s="447"/>
      <c r="M118" s="447"/>
      <c r="N118" s="449"/>
    </row>
    <row r="119" spans="1:14">
      <c r="A119" s="431">
        <f t="shared" si="2"/>
        <v>113</v>
      </c>
      <c r="B119" s="592" t="s">
        <v>977</v>
      </c>
      <c r="C119" s="442" t="s">
        <v>1839</v>
      </c>
      <c r="D119" s="443" t="s">
        <v>1840</v>
      </c>
      <c r="E119" s="444" t="s">
        <v>303</v>
      </c>
      <c r="F119" s="450">
        <v>757992</v>
      </c>
      <c r="G119" s="447" t="s">
        <v>1678</v>
      </c>
      <c r="H119" s="447"/>
      <c r="I119" s="447"/>
      <c r="J119" s="447"/>
      <c r="K119" s="448"/>
      <c r="L119" s="447"/>
      <c r="M119" s="447"/>
      <c r="N119" s="449"/>
    </row>
    <row r="120" spans="1:14" ht="17.25" customHeight="1">
      <c r="A120" s="431">
        <f t="shared" si="2"/>
        <v>114</v>
      </c>
      <c r="B120" s="592" t="s">
        <v>979</v>
      </c>
      <c r="C120" s="442" t="s">
        <v>1841</v>
      </c>
      <c r="D120" s="443" t="s">
        <v>1842</v>
      </c>
      <c r="E120" s="444" t="s">
        <v>303</v>
      </c>
      <c r="F120" s="450">
        <v>20373151</v>
      </c>
      <c r="G120" s="447" t="s">
        <v>1678</v>
      </c>
      <c r="H120" s="447"/>
      <c r="I120" s="447"/>
      <c r="J120" s="447"/>
      <c r="K120" s="448"/>
      <c r="L120" s="447"/>
      <c r="M120" s="447"/>
      <c r="N120" s="449"/>
    </row>
    <row r="121" spans="1:14" ht="29">
      <c r="A121" s="431">
        <f t="shared" si="2"/>
        <v>115</v>
      </c>
      <c r="B121" s="592"/>
      <c r="D121" s="443" t="s">
        <v>1843</v>
      </c>
      <c r="E121" s="444" t="s">
        <v>303</v>
      </c>
      <c r="G121" s="447" t="s">
        <v>1678</v>
      </c>
      <c r="H121" s="447"/>
      <c r="I121" s="447"/>
      <c r="J121" s="447"/>
      <c r="K121" s="448"/>
      <c r="L121" s="447"/>
      <c r="M121" s="447"/>
      <c r="N121" s="449"/>
    </row>
    <row r="122" spans="1:14">
      <c r="A122" s="431">
        <f t="shared" si="2"/>
        <v>116</v>
      </c>
      <c r="B122" s="592"/>
      <c r="D122" s="443" t="s">
        <v>1844</v>
      </c>
      <c r="E122" s="444" t="s">
        <v>303</v>
      </c>
      <c r="G122" s="447" t="s">
        <v>1678</v>
      </c>
      <c r="H122" s="447"/>
      <c r="I122" s="447"/>
      <c r="J122" s="447"/>
      <c r="K122" s="447"/>
      <c r="L122" s="447"/>
      <c r="M122" s="447"/>
      <c r="N122" s="449"/>
    </row>
    <row r="123" spans="1:14">
      <c r="A123" s="431">
        <f t="shared" si="2"/>
        <v>117</v>
      </c>
      <c r="B123" s="592"/>
      <c r="D123" s="443" t="s">
        <v>1845</v>
      </c>
      <c r="E123" s="444" t="s">
        <v>303</v>
      </c>
      <c r="G123" s="447" t="s">
        <v>1678</v>
      </c>
      <c r="H123" s="447"/>
      <c r="I123" s="447"/>
      <c r="J123" s="447"/>
      <c r="K123" s="447"/>
      <c r="L123" s="447"/>
      <c r="M123" s="447"/>
      <c r="N123" s="449"/>
    </row>
    <row r="124" spans="1:14">
      <c r="A124" s="431">
        <f t="shared" si="2"/>
        <v>118</v>
      </c>
      <c r="B124" s="592"/>
      <c r="D124" s="443" t="s">
        <v>1846</v>
      </c>
      <c r="E124" s="444" t="s">
        <v>303</v>
      </c>
      <c r="G124" s="447" t="s">
        <v>1678</v>
      </c>
      <c r="H124" s="447"/>
      <c r="I124" s="447"/>
      <c r="J124" s="447"/>
      <c r="K124" s="447"/>
      <c r="L124" s="447"/>
      <c r="M124" s="447"/>
      <c r="N124" s="449"/>
    </row>
    <row r="125" spans="1:14">
      <c r="A125" s="431">
        <f t="shared" si="2"/>
        <v>119</v>
      </c>
      <c r="B125" s="592"/>
      <c r="D125" s="443" t="s">
        <v>1847</v>
      </c>
      <c r="E125" s="444" t="s">
        <v>303</v>
      </c>
      <c r="G125" s="447"/>
      <c r="H125" s="447"/>
      <c r="I125" s="447" t="s">
        <v>1678</v>
      </c>
      <c r="J125" s="447"/>
      <c r="K125" s="447"/>
      <c r="L125" s="447"/>
      <c r="M125" s="447"/>
      <c r="N125" s="449" t="s">
        <v>1848</v>
      </c>
    </row>
    <row r="126" spans="1:14">
      <c r="A126" s="431">
        <f t="shared" si="2"/>
        <v>120</v>
      </c>
      <c r="B126" s="592"/>
      <c r="D126" s="443" t="s">
        <v>1849</v>
      </c>
      <c r="E126" s="444" t="s">
        <v>303</v>
      </c>
      <c r="G126" s="447"/>
      <c r="H126" s="447"/>
      <c r="I126" s="447" t="s">
        <v>1678</v>
      </c>
      <c r="J126" s="447"/>
      <c r="K126" s="447"/>
      <c r="L126" s="447"/>
      <c r="M126" s="447"/>
      <c r="N126" s="449" t="s">
        <v>1848</v>
      </c>
    </row>
    <row r="127" spans="1:14">
      <c r="A127" s="431">
        <f t="shared" si="2"/>
        <v>121</v>
      </c>
      <c r="B127" s="592"/>
      <c r="D127" s="443" t="s">
        <v>1850</v>
      </c>
      <c r="E127" s="444" t="s">
        <v>303</v>
      </c>
      <c r="G127" s="447"/>
      <c r="H127" s="447"/>
      <c r="I127" s="447" t="s">
        <v>1678</v>
      </c>
      <c r="J127" s="447"/>
      <c r="K127" s="447"/>
      <c r="L127" s="447"/>
      <c r="M127" s="447"/>
      <c r="N127" s="449" t="s">
        <v>1848</v>
      </c>
    </row>
    <row r="128" spans="1:14">
      <c r="A128" s="431">
        <f t="shared" si="2"/>
        <v>122</v>
      </c>
      <c r="B128" s="592"/>
      <c r="D128" s="443" t="s">
        <v>1851</v>
      </c>
      <c r="E128" s="444" t="s">
        <v>303</v>
      </c>
      <c r="G128" s="447" t="s">
        <v>1678</v>
      </c>
      <c r="H128" s="447"/>
      <c r="I128" s="447"/>
      <c r="J128" s="447"/>
      <c r="K128" s="447"/>
      <c r="L128" s="447"/>
      <c r="M128" s="447"/>
      <c r="N128" s="449"/>
    </row>
    <row r="129" spans="1:14">
      <c r="A129" s="431">
        <f t="shared" si="2"/>
        <v>123</v>
      </c>
      <c r="B129" s="592"/>
      <c r="D129" s="443" t="s">
        <v>1852</v>
      </c>
      <c r="E129" s="444" t="s">
        <v>303</v>
      </c>
      <c r="G129" s="447" t="s">
        <v>1678</v>
      </c>
      <c r="H129" s="447"/>
      <c r="I129" s="447"/>
      <c r="J129" s="447"/>
      <c r="K129" s="447"/>
      <c r="L129" s="447"/>
      <c r="M129" s="447"/>
      <c r="N129" s="449"/>
    </row>
    <row r="130" spans="1:14">
      <c r="A130" s="431">
        <f t="shared" si="2"/>
        <v>124</v>
      </c>
      <c r="B130" s="592"/>
      <c r="D130" s="443" t="s">
        <v>1853</v>
      </c>
      <c r="E130" s="444" t="s">
        <v>303</v>
      </c>
      <c r="G130" s="447" t="s">
        <v>1678</v>
      </c>
      <c r="H130" s="447"/>
      <c r="I130" s="447"/>
      <c r="J130" s="447"/>
      <c r="K130" s="447"/>
      <c r="L130" s="447"/>
      <c r="M130" s="447"/>
      <c r="N130" s="449"/>
    </row>
    <row r="131" spans="1:14">
      <c r="A131" s="431">
        <f t="shared" si="2"/>
        <v>125</v>
      </c>
      <c r="B131" s="592"/>
      <c r="D131" s="443" t="s">
        <v>1854</v>
      </c>
      <c r="E131" s="444" t="s">
        <v>303</v>
      </c>
      <c r="G131" s="447" t="s">
        <v>1678</v>
      </c>
      <c r="H131" s="447"/>
      <c r="I131" s="447"/>
      <c r="J131" s="447"/>
      <c r="K131" s="447"/>
      <c r="L131" s="447"/>
      <c r="M131" s="447"/>
      <c r="N131" s="449"/>
    </row>
    <row r="132" spans="1:14">
      <c r="A132" s="431">
        <f t="shared" si="2"/>
        <v>126</v>
      </c>
      <c r="B132" s="592" t="s">
        <v>981</v>
      </c>
      <c r="C132" s="442" t="s">
        <v>1855</v>
      </c>
      <c r="D132" s="443" t="s">
        <v>1856</v>
      </c>
      <c r="E132" s="444" t="s">
        <v>303</v>
      </c>
      <c r="F132" s="450">
        <v>4222330</v>
      </c>
      <c r="G132" s="447" t="s">
        <v>1678</v>
      </c>
      <c r="H132" s="447"/>
      <c r="I132" s="447"/>
      <c r="J132" s="447"/>
      <c r="K132" s="447"/>
      <c r="L132" s="447"/>
      <c r="M132" s="447"/>
      <c r="N132" s="449"/>
    </row>
    <row r="133" spans="1:14">
      <c r="A133" s="431">
        <f t="shared" si="2"/>
        <v>127</v>
      </c>
      <c r="B133" s="592"/>
      <c r="D133" s="443" t="s">
        <v>1857</v>
      </c>
      <c r="E133" s="444" t="s">
        <v>303</v>
      </c>
      <c r="G133" s="447" t="s">
        <v>1678</v>
      </c>
      <c r="H133" s="447"/>
      <c r="I133" s="447"/>
      <c r="J133" s="447"/>
      <c r="K133" s="447"/>
      <c r="L133" s="447"/>
      <c r="M133" s="447"/>
      <c r="N133" s="449"/>
    </row>
    <row r="134" spans="1:14">
      <c r="A134" s="431">
        <f t="shared" si="2"/>
        <v>128</v>
      </c>
      <c r="B134" s="592"/>
      <c r="D134" s="443" t="s">
        <v>1858</v>
      </c>
      <c r="E134" s="444" t="s">
        <v>303</v>
      </c>
      <c r="G134" s="447" t="s">
        <v>1678</v>
      </c>
      <c r="H134" s="447"/>
      <c r="I134" s="447"/>
      <c r="J134" s="447"/>
      <c r="K134" s="447"/>
      <c r="L134" s="447"/>
      <c r="M134" s="447"/>
      <c r="N134" s="449"/>
    </row>
    <row r="135" spans="1:14" ht="27" customHeight="1">
      <c r="A135" s="431">
        <f t="shared" si="2"/>
        <v>129</v>
      </c>
      <c r="B135" s="592"/>
      <c r="D135" s="443" t="s">
        <v>1859</v>
      </c>
      <c r="E135" s="444" t="s">
        <v>303</v>
      </c>
      <c r="G135" s="447"/>
      <c r="H135" s="447" t="s">
        <v>1678</v>
      </c>
      <c r="I135" s="447"/>
      <c r="J135" s="447"/>
      <c r="K135" s="447"/>
      <c r="L135" s="447"/>
      <c r="M135" s="447"/>
      <c r="N135" s="449" t="s">
        <v>1860</v>
      </c>
    </row>
    <row r="136" spans="1:14" ht="27" customHeight="1">
      <c r="A136" s="431">
        <f t="shared" si="2"/>
        <v>130</v>
      </c>
      <c r="B136" s="592"/>
      <c r="D136" s="443" t="s">
        <v>1861</v>
      </c>
      <c r="E136" s="444" t="s">
        <v>303</v>
      </c>
      <c r="G136" s="447"/>
      <c r="H136" s="447" t="s">
        <v>1678</v>
      </c>
      <c r="I136" s="447"/>
      <c r="J136" s="447"/>
      <c r="K136" s="447"/>
      <c r="L136" s="447"/>
      <c r="M136" s="447"/>
      <c r="N136" s="449" t="s">
        <v>1862</v>
      </c>
    </row>
    <row r="137" spans="1:14">
      <c r="A137" s="431">
        <f t="shared" si="2"/>
        <v>131</v>
      </c>
      <c r="B137" s="592" t="s">
        <v>983</v>
      </c>
      <c r="C137" s="442" t="s">
        <v>1863</v>
      </c>
      <c r="D137" s="452" t="s">
        <v>1864</v>
      </c>
      <c r="E137" s="444" t="s">
        <v>303</v>
      </c>
      <c r="F137" s="450">
        <v>5313905</v>
      </c>
      <c r="G137" s="447" t="s">
        <v>1678</v>
      </c>
      <c r="H137" s="447"/>
      <c r="I137" s="447"/>
      <c r="J137" s="447"/>
      <c r="K137" s="447"/>
      <c r="L137" s="447"/>
      <c r="M137" s="447"/>
      <c r="N137" s="449"/>
    </row>
    <row r="138" spans="1:14">
      <c r="A138" s="431">
        <f t="shared" si="2"/>
        <v>132</v>
      </c>
      <c r="B138" s="592"/>
      <c r="D138" s="443" t="s">
        <v>1865</v>
      </c>
      <c r="E138" s="444" t="s">
        <v>303</v>
      </c>
      <c r="G138" s="447" t="s">
        <v>1678</v>
      </c>
      <c r="H138" s="447"/>
      <c r="I138" s="447"/>
      <c r="J138" s="447"/>
      <c r="K138" s="447"/>
      <c r="L138" s="447"/>
      <c r="M138" s="447"/>
      <c r="N138" s="449"/>
    </row>
    <row r="139" spans="1:14">
      <c r="A139" s="431">
        <f t="shared" si="2"/>
        <v>133</v>
      </c>
      <c r="B139" s="592"/>
      <c r="D139" s="443" t="s">
        <v>1866</v>
      </c>
      <c r="E139" s="444" t="s">
        <v>303</v>
      </c>
      <c r="G139" s="447" t="s">
        <v>1678</v>
      </c>
      <c r="H139" s="447"/>
      <c r="I139" s="447"/>
      <c r="J139" s="447"/>
      <c r="K139" s="447"/>
      <c r="L139" s="447"/>
      <c r="M139" s="447"/>
      <c r="N139" s="449"/>
    </row>
    <row r="140" spans="1:14">
      <c r="A140" s="431">
        <f t="shared" si="2"/>
        <v>134</v>
      </c>
      <c r="B140" s="592"/>
      <c r="D140" s="443" t="s">
        <v>1867</v>
      </c>
      <c r="E140" s="444" t="s">
        <v>303</v>
      </c>
      <c r="G140" s="447" t="s">
        <v>1678</v>
      </c>
      <c r="H140" s="447"/>
      <c r="I140" s="447"/>
      <c r="J140" s="447"/>
      <c r="K140" s="447"/>
      <c r="L140" s="447"/>
      <c r="M140" s="447"/>
      <c r="N140" s="449"/>
    </row>
    <row r="141" spans="1:14">
      <c r="A141" s="431">
        <f t="shared" si="2"/>
        <v>135</v>
      </c>
      <c r="B141" s="592"/>
      <c r="D141" s="443" t="s">
        <v>1868</v>
      </c>
      <c r="E141" s="444" t="s">
        <v>303</v>
      </c>
      <c r="G141" s="447" t="s">
        <v>1678</v>
      </c>
      <c r="H141" s="447"/>
      <c r="I141" s="447"/>
      <c r="J141" s="447"/>
      <c r="K141" s="447"/>
      <c r="L141" s="447"/>
      <c r="M141" s="447"/>
      <c r="N141" s="449"/>
    </row>
    <row r="142" spans="1:14">
      <c r="A142" s="431">
        <f t="shared" si="2"/>
        <v>136</v>
      </c>
      <c r="B142" s="592"/>
      <c r="D142" s="443" t="s">
        <v>1869</v>
      </c>
      <c r="E142" s="444" t="s">
        <v>303</v>
      </c>
      <c r="G142" s="447" t="s">
        <v>1678</v>
      </c>
      <c r="H142" s="447"/>
      <c r="I142" s="447"/>
      <c r="J142" s="447"/>
      <c r="K142" s="447"/>
      <c r="L142" s="447"/>
      <c r="M142" s="447"/>
      <c r="N142" s="449"/>
    </row>
    <row r="143" spans="1:14" ht="43.5">
      <c r="A143" s="431">
        <f t="shared" si="2"/>
        <v>137</v>
      </c>
      <c r="B143" s="592" t="s">
        <v>989</v>
      </c>
      <c r="C143" s="442" t="s">
        <v>1870</v>
      </c>
      <c r="D143" s="443" t="s">
        <v>1871</v>
      </c>
      <c r="E143" s="444" t="s">
        <v>303</v>
      </c>
      <c r="F143" s="450">
        <v>15371304</v>
      </c>
      <c r="G143" s="447" t="s">
        <v>1678</v>
      </c>
      <c r="H143" s="447"/>
      <c r="I143" s="447"/>
      <c r="J143" s="447"/>
      <c r="K143" s="447"/>
      <c r="L143" s="447"/>
      <c r="M143" s="447"/>
      <c r="N143" s="449"/>
    </row>
    <row r="144" spans="1:14">
      <c r="A144" s="431">
        <f t="shared" si="2"/>
        <v>138</v>
      </c>
      <c r="B144" s="592"/>
      <c r="D144" s="443" t="s">
        <v>1872</v>
      </c>
      <c r="E144" s="444" t="s">
        <v>303</v>
      </c>
      <c r="G144" s="447" t="s">
        <v>1678</v>
      </c>
      <c r="H144" s="447"/>
      <c r="I144" s="447"/>
      <c r="J144" s="447"/>
      <c r="K144" s="447"/>
      <c r="L144" s="447"/>
      <c r="M144" s="447"/>
      <c r="N144" s="449"/>
    </row>
    <row r="145" spans="1:14">
      <c r="A145" s="431">
        <f t="shared" si="2"/>
        <v>139</v>
      </c>
      <c r="B145" s="592"/>
      <c r="D145" s="443" t="s">
        <v>1873</v>
      </c>
      <c r="E145" s="444" t="s">
        <v>303</v>
      </c>
      <c r="G145" s="447" t="s">
        <v>1678</v>
      </c>
      <c r="H145" s="447"/>
      <c r="I145" s="447"/>
      <c r="J145" s="447"/>
      <c r="K145" s="447"/>
      <c r="L145" s="447"/>
      <c r="M145" s="447"/>
      <c r="N145" s="449"/>
    </row>
    <row r="146" spans="1:14">
      <c r="A146" s="431">
        <f t="shared" si="2"/>
        <v>140</v>
      </c>
      <c r="B146" s="592"/>
      <c r="D146" s="443" t="s">
        <v>1874</v>
      </c>
      <c r="E146" s="444" t="s">
        <v>303</v>
      </c>
      <c r="G146" s="447" t="s">
        <v>1678</v>
      </c>
      <c r="H146" s="447"/>
      <c r="I146" s="447"/>
      <c r="J146" s="447"/>
      <c r="K146" s="447"/>
      <c r="L146" s="447"/>
      <c r="M146" s="447"/>
      <c r="N146" s="449"/>
    </row>
    <row r="147" spans="1:14">
      <c r="A147" s="431">
        <f t="shared" si="2"/>
        <v>141</v>
      </c>
      <c r="B147" s="592"/>
      <c r="D147" s="443" t="s">
        <v>1875</v>
      </c>
      <c r="E147" s="444" t="s">
        <v>303</v>
      </c>
      <c r="G147" s="447" t="s">
        <v>1678</v>
      </c>
      <c r="H147" s="447"/>
      <c r="I147" s="447"/>
      <c r="J147" s="447"/>
      <c r="K147" s="447"/>
      <c r="L147" s="447"/>
      <c r="M147" s="447"/>
      <c r="N147" s="449"/>
    </row>
    <row r="148" spans="1:14">
      <c r="A148" s="431">
        <f t="shared" ref="A148:A211" si="3">A147+1</f>
        <v>142</v>
      </c>
      <c r="B148" s="592"/>
      <c r="D148" s="443" t="s">
        <v>1876</v>
      </c>
      <c r="E148" s="444" t="s">
        <v>303</v>
      </c>
      <c r="G148" s="447" t="s">
        <v>1678</v>
      </c>
      <c r="H148" s="447"/>
      <c r="I148" s="447"/>
      <c r="J148" s="447"/>
      <c r="K148" s="447"/>
      <c r="L148" s="447"/>
      <c r="M148" s="447"/>
      <c r="N148" s="449"/>
    </row>
    <row r="149" spans="1:14">
      <c r="A149" s="431">
        <f t="shared" si="3"/>
        <v>143</v>
      </c>
      <c r="B149" s="592" t="s">
        <v>987</v>
      </c>
      <c r="C149" s="442" t="s">
        <v>1877</v>
      </c>
      <c r="D149" s="443" t="s">
        <v>1878</v>
      </c>
      <c r="E149" s="444" t="s">
        <v>303</v>
      </c>
      <c r="F149" s="450">
        <v>10761312</v>
      </c>
      <c r="G149" s="447" t="s">
        <v>1678</v>
      </c>
      <c r="H149" s="447"/>
      <c r="I149" s="447"/>
      <c r="J149" s="447"/>
      <c r="K149" s="447"/>
      <c r="L149" s="447"/>
      <c r="M149" s="447"/>
      <c r="N149" s="449"/>
    </row>
    <row r="150" spans="1:14">
      <c r="A150" s="431">
        <f t="shared" si="3"/>
        <v>144</v>
      </c>
      <c r="B150" s="592"/>
      <c r="D150" s="443" t="s">
        <v>1879</v>
      </c>
      <c r="E150" s="444" t="s">
        <v>303</v>
      </c>
      <c r="G150" s="447" t="s">
        <v>1678</v>
      </c>
      <c r="H150" s="447"/>
      <c r="I150" s="447"/>
      <c r="J150" s="447"/>
      <c r="K150" s="447"/>
      <c r="L150" s="447"/>
      <c r="M150" s="447"/>
      <c r="N150" s="449"/>
    </row>
    <row r="151" spans="1:14">
      <c r="A151" s="431">
        <f t="shared" si="3"/>
        <v>145</v>
      </c>
      <c r="B151" s="592"/>
      <c r="D151" s="443" t="s">
        <v>1880</v>
      </c>
      <c r="E151" s="444" t="s">
        <v>303</v>
      </c>
      <c r="G151" s="447" t="s">
        <v>1678</v>
      </c>
      <c r="H151" s="447"/>
      <c r="I151" s="447"/>
      <c r="J151" s="447"/>
      <c r="K151" s="447"/>
      <c r="L151" s="447"/>
      <c r="M151" s="447"/>
      <c r="N151" s="449"/>
    </row>
    <row r="152" spans="1:14">
      <c r="A152" s="431">
        <f t="shared" si="3"/>
        <v>146</v>
      </c>
      <c r="B152" s="592"/>
      <c r="D152" s="443" t="s">
        <v>1881</v>
      </c>
      <c r="E152" s="444" t="s">
        <v>303</v>
      </c>
      <c r="G152" s="447" t="s">
        <v>1678</v>
      </c>
      <c r="H152" s="447"/>
      <c r="I152" s="447"/>
      <c r="J152" s="447"/>
      <c r="K152" s="447"/>
      <c r="L152" s="447"/>
      <c r="M152" s="447"/>
      <c r="N152" s="449"/>
    </row>
    <row r="153" spans="1:14">
      <c r="A153" s="431">
        <f t="shared" si="3"/>
        <v>147</v>
      </c>
      <c r="B153" s="592"/>
      <c r="D153" s="443" t="s">
        <v>1882</v>
      </c>
      <c r="E153" s="444" t="s">
        <v>303</v>
      </c>
      <c r="G153" s="447" t="s">
        <v>1678</v>
      </c>
      <c r="H153" s="447"/>
      <c r="I153" s="447"/>
      <c r="J153" s="447"/>
      <c r="K153" s="447"/>
      <c r="L153" s="447"/>
      <c r="M153" s="447"/>
      <c r="N153" s="449"/>
    </row>
    <row r="154" spans="1:14">
      <c r="A154" s="431">
        <f t="shared" si="3"/>
        <v>148</v>
      </c>
      <c r="B154" s="592"/>
      <c r="D154" s="443" t="s">
        <v>1883</v>
      </c>
      <c r="E154" s="444" t="s">
        <v>303</v>
      </c>
      <c r="G154" s="447" t="s">
        <v>1678</v>
      </c>
      <c r="H154" s="447"/>
      <c r="I154" s="447"/>
      <c r="J154" s="447"/>
      <c r="K154" s="447"/>
      <c r="L154" s="447"/>
      <c r="M154" s="447"/>
      <c r="N154" s="449"/>
    </row>
    <row r="155" spans="1:14">
      <c r="A155" s="431">
        <f t="shared" si="3"/>
        <v>149</v>
      </c>
      <c r="B155" s="592"/>
      <c r="D155" s="443" t="s">
        <v>1884</v>
      </c>
      <c r="E155" s="444" t="s">
        <v>303</v>
      </c>
      <c r="G155" s="447" t="s">
        <v>1678</v>
      </c>
      <c r="H155" s="447"/>
      <c r="I155" s="447"/>
      <c r="J155" s="447"/>
      <c r="K155" s="447"/>
      <c r="L155" s="447"/>
      <c r="M155" s="447"/>
      <c r="N155" s="449"/>
    </row>
    <row r="156" spans="1:14">
      <c r="A156" s="431">
        <f t="shared" si="3"/>
        <v>150</v>
      </c>
      <c r="B156" s="592"/>
      <c r="D156" s="443" t="s">
        <v>1885</v>
      </c>
      <c r="E156" s="444" t="s">
        <v>303</v>
      </c>
      <c r="G156" s="447" t="s">
        <v>1678</v>
      </c>
      <c r="H156" s="447"/>
      <c r="I156" s="447"/>
      <c r="J156" s="447"/>
      <c r="K156" s="447"/>
      <c r="L156" s="447"/>
      <c r="M156" s="447"/>
      <c r="N156" s="449"/>
    </row>
    <row r="157" spans="1:14">
      <c r="A157" s="431">
        <f t="shared" si="3"/>
        <v>151</v>
      </c>
      <c r="B157" s="592" t="s">
        <v>991</v>
      </c>
      <c r="C157" s="442" t="s">
        <v>1886</v>
      </c>
      <c r="D157" s="443" t="s">
        <v>1887</v>
      </c>
      <c r="E157" s="444" t="s">
        <v>303</v>
      </c>
      <c r="F157" s="450">
        <v>1725310</v>
      </c>
      <c r="G157" s="447" t="s">
        <v>1678</v>
      </c>
      <c r="H157" s="447"/>
      <c r="I157" s="447"/>
      <c r="J157" s="447"/>
      <c r="K157" s="447"/>
      <c r="L157" s="447"/>
      <c r="M157" s="447"/>
      <c r="N157" s="449"/>
    </row>
    <row r="158" spans="1:14">
      <c r="A158" s="431">
        <f t="shared" si="3"/>
        <v>152</v>
      </c>
      <c r="B158" s="592"/>
      <c r="D158" s="443" t="s">
        <v>1888</v>
      </c>
      <c r="E158" s="444" t="s">
        <v>303</v>
      </c>
      <c r="G158" s="447"/>
      <c r="H158" s="447" t="s">
        <v>1678</v>
      </c>
      <c r="I158" s="447"/>
      <c r="J158" s="447"/>
      <c r="K158" s="447"/>
      <c r="L158" s="447"/>
      <c r="M158" s="447"/>
      <c r="N158" s="449" t="s">
        <v>1889</v>
      </c>
    </row>
    <row r="159" spans="1:14">
      <c r="A159" s="431">
        <f t="shared" si="3"/>
        <v>153</v>
      </c>
      <c r="B159" s="592"/>
      <c r="D159" s="443" t="s">
        <v>1890</v>
      </c>
      <c r="E159" s="444" t="s">
        <v>303</v>
      </c>
      <c r="G159" s="447"/>
      <c r="H159" s="447" t="s">
        <v>1678</v>
      </c>
      <c r="I159" s="447"/>
      <c r="J159" s="447"/>
      <c r="K159" s="447"/>
      <c r="L159" s="447"/>
      <c r="M159" s="447"/>
      <c r="N159" s="449" t="s">
        <v>1889</v>
      </c>
    </row>
    <row r="160" spans="1:14" ht="29">
      <c r="A160" s="431">
        <f t="shared" si="3"/>
        <v>154</v>
      </c>
      <c r="B160" s="592" t="s">
        <v>993</v>
      </c>
      <c r="C160" s="442" t="s">
        <v>1891</v>
      </c>
      <c r="D160" s="443" t="s">
        <v>1892</v>
      </c>
      <c r="E160" s="444" t="s">
        <v>303</v>
      </c>
      <c r="F160" s="450">
        <v>10146043</v>
      </c>
      <c r="G160" s="447" t="s">
        <v>1678</v>
      </c>
      <c r="H160" s="447"/>
      <c r="I160" s="447"/>
      <c r="J160" s="447"/>
      <c r="K160" s="447"/>
      <c r="L160" s="447"/>
      <c r="M160" s="447"/>
      <c r="N160" s="449"/>
    </row>
    <row r="161" spans="1:14">
      <c r="A161" s="431">
        <f t="shared" si="3"/>
        <v>155</v>
      </c>
      <c r="B161" s="592"/>
      <c r="D161" s="443" t="s">
        <v>1768</v>
      </c>
      <c r="E161" s="444" t="s">
        <v>303</v>
      </c>
      <c r="G161" s="447" t="s">
        <v>1678</v>
      </c>
      <c r="H161" s="447"/>
      <c r="I161" s="447"/>
      <c r="J161" s="447"/>
      <c r="K161" s="447"/>
      <c r="L161" s="447"/>
      <c r="M161" s="447"/>
      <c r="N161" s="449"/>
    </row>
    <row r="162" spans="1:14">
      <c r="A162" s="431">
        <f t="shared" si="3"/>
        <v>156</v>
      </c>
      <c r="B162" s="592"/>
      <c r="D162" s="443" t="s">
        <v>1893</v>
      </c>
      <c r="E162" s="444" t="s">
        <v>303</v>
      </c>
      <c r="G162" s="447" t="s">
        <v>1678</v>
      </c>
      <c r="H162" s="447"/>
      <c r="I162" s="447"/>
      <c r="J162" s="447"/>
      <c r="K162" s="447"/>
      <c r="L162" s="447"/>
      <c r="M162" s="447"/>
      <c r="N162" s="449"/>
    </row>
    <row r="163" spans="1:14">
      <c r="A163" s="431">
        <f t="shared" si="3"/>
        <v>157</v>
      </c>
      <c r="B163" s="592"/>
      <c r="D163" s="443" t="s">
        <v>1894</v>
      </c>
      <c r="E163" s="444" t="s">
        <v>303</v>
      </c>
      <c r="G163" s="447" t="s">
        <v>1678</v>
      </c>
      <c r="H163" s="447"/>
      <c r="I163" s="447"/>
      <c r="J163" s="447"/>
      <c r="K163" s="447"/>
      <c r="L163" s="447"/>
      <c r="M163" s="447"/>
      <c r="N163" s="449"/>
    </row>
    <row r="164" spans="1:14">
      <c r="A164" s="431">
        <f t="shared" si="3"/>
        <v>158</v>
      </c>
      <c r="B164" s="592"/>
      <c r="D164" s="443" t="s">
        <v>1895</v>
      </c>
      <c r="E164" s="444" t="s">
        <v>303</v>
      </c>
      <c r="G164" s="447" t="s">
        <v>1678</v>
      </c>
      <c r="H164" s="447"/>
      <c r="I164" s="447"/>
      <c r="J164" s="447"/>
      <c r="K164" s="447"/>
      <c r="L164" s="447"/>
      <c r="M164" s="447"/>
      <c r="N164" s="449"/>
    </row>
    <row r="165" spans="1:14">
      <c r="A165" s="431">
        <f t="shared" si="3"/>
        <v>159</v>
      </c>
      <c r="B165" s="592"/>
      <c r="D165" s="443" t="s">
        <v>1896</v>
      </c>
      <c r="E165" s="444" t="s">
        <v>303</v>
      </c>
      <c r="G165" s="447" t="s">
        <v>1678</v>
      </c>
      <c r="H165" s="447"/>
      <c r="I165" s="447"/>
      <c r="J165" s="447"/>
      <c r="K165" s="447"/>
      <c r="L165" s="447"/>
      <c r="M165" s="447"/>
      <c r="N165" s="449"/>
    </row>
    <row r="166" spans="1:14" ht="29">
      <c r="A166" s="431">
        <f t="shared" si="3"/>
        <v>160</v>
      </c>
      <c r="B166" s="592"/>
      <c r="D166" s="443" t="s">
        <v>1897</v>
      </c>
      <c r="E166" s="444" t="s">
        <v>303</v>
      </c>
      <c r="G166" s="447"/>
      <c r="H166" s="447"/>
      <c r="I166" s="447" t="s">
        <v>1678</v>
      </c>
      <c r="J166" s="447"/>
      <c r="K166" s="447"/>
      <c r="L166" s="447"/>
      <c r="M166" s="447"/>
      <c r="N166" s="449" t="s">
        <v>1898</v>
      </c>
    </row>
    <row r="167" spans="1:14">
      <c r="A167" s="431">
        <f t="shared" si="3"/>
        <v>161</v>
      </c>
      <c r="B167" s="592"/>
      <c r="D167" s="443" t="s">
        <v>1899</v>
      </c>
      <c r="E167" s="444" t="s">
        <v>303</v>
      </c>
      <c r="G167" s="447" t="s">
        <v>1678</v>
      </c>
      <c r="H167" s="447"/>
      <c r="I167" s="447"/>
      <c r="J167" s="447"/>
      <c r="K167" s="447"/>
      <c r="L167" s="447"/>
      <c r="M167" s="447"/>
      <c r="N167" s="449"/>
    </row>
    <row r="168" spans="1:14" ht="29">
      <c r="A168" s="431">
        <f t="shared" si="3"/>
        <v>162</v>
      </c>
      <c r="B168" s="592" t="s">
        <v>995</v>
      </c>
      <c r="C168" s="442" t="s">
        <v>1900</v>
      </c>
      <c r="D168" s="443" t="s">
        <v>1901</v>
      </c>
      <c r="E168" s="444" t="s">
        <v>303</v>
      </c>
      <c r="F168" s="450">
        <v>12342545</v>
      </c>
      <c r="G168" s="447" t="s">
        <v>1678</v>
      </c>
      <c r="H168" s="447"/>
      <c r="I168" s="447"/>
      <c r="J168" s="447"/>
      <c r="K168" s="447"/>
      <c r="L168" s="447"/>
      <c r="M168" s="447"/>
      <c r="N168" s="449"/>
    </row>
    <row r="169" spans="1:14">
      <c r="A169" s="431">
        <f t="shared" si="3"/>
        <v>163</v>
      </c>
      <c r="B169" s="592"/>
      <c r="D169" s="443" t="s">
        <v>1902</v>
      </c>
      <c r="E169" s="444" t="s">
        <v>303</v>
      </c>
      <c r="G169" s="447" t="s">
        <v>1678</v>
      </c>
      <c r="H169" s="447"/>
      <c r="I169" s="447"/>
      <c r="J169" s="447"/>
      <c r="K169" s="448"/>
      <c r="L169" s="447"/>
      <c r="M169" s="447"/>
      <c r="N169" s="449"/>
    </row>
    <row r="170" spans="1:14">
      <c r="A170" s="431">
        <f t="shared" si="3"/>
        <v>164</v>
      </c>
      <c r="B170" s="592"/>
      <c r="D170" s="443" t="s">
        <v>1903</v>
      </c>
      <c r="E170" s="444" t="s">
        <v>303</v>
      </c>
      <c r="G170" s="447" t="s">
        <v>1678</v>
      </c>
      <c r="H170" s="447"/>
      <c r="I170" s="447"/>
      <c r="J170" s="447"/>
      <c r="K170" s="448"/>
      <c r="L170" s="447"/>
      <c r="M170" s="447"/>
      <c r="N170" s="449"/>
    </row>
    <row r="171" spans="1:14">
      <c r="A171" s="431">
        <f t="shared" si="3"/>
        <v>165</v>
      </c>
      <c r="B171" s="592"/>
      <c r="D171" s="443" t="s">
        <v>1904</v>
      </c>
      <c r="E171" s="444" t="s">
        <v>303</v>
      </c>
      <c r="G171" s="447" t="s">
        <v>1678</v>
      </c>
      <c r="H171" s="447"/>
      <c r="I171" s="447"/>
      <c r="J171" s="447"/>
      <c r="K171" s="448"/>
      <c r="L171" s="447"/>
      <c r="M171" s="447"/>
      <c r="N171" s="449"/>
    </row>
    <row r="172" spans="1:14">
      <c r="A172" s="431">
        <f t="shared" si="3"/>
        <v>166</v>
      </c>
      <c r="B172" s="592"/>
      <c r="D172" s="443" t="s">
        <v>1905</v>
      </c>
      <c r="E172" s="444" t="s">
        <v>303</v>
      </c>
      <c r="G172" s="447" t="s">
        <v>1678</v>
      </c>
      <c r="H172" s="447"/>
      <c r="I172" s="447"/>
      <c r="J172" s="447"/>
      <c r="K172" s="448"/>
      <c r="L172" s="447"/>
      <c r="M172" s="447"/>
      <c r="N172" s="449"/>
    </row>
    <row r="173" spans="1:14">
      <c r="A173" s="431">
        <f t="shared" si="3"/>
        <v>167</v>
      </c>
      <c r="B173" s="592"/>
      <c r="D173" s="443" t="s">
        <v>1906</v>
      </c>
      <c r="E173" s="444" t="s">
        <v>303</v>
      </c>
      <c r="G173" s="447" t="s">
        <v>1678</v>
      </c>
      <c r="H173" s="447"/>
      <c r="I173" s="447"/>
      <c r="J173" s="447"/>
      <c r="K173" s="448"/>
      <c r="L173" s="447"/>
      <c r="M173" s="447"/>
      <c r="N173" s="449"/>
    </row>
    <row r="174" spans="1:14">
      <c r="A174" s="431">
        <f t="shared" si="3"/>
        <v>168</v>
      </c>
      <c r="B174" s="592" t="s">
        <v>997</v>
      </c>
      <c r="C174" s="442" t="s">
        <v>1907</v>
      </c>
      <c r="D174" s="443" t="s">
        <v>1908</v>
      </c>
      <c r="G174" s="447" t="s">
        <v>1678</v>
      </c>
      <c r="H174" s="447"/>
      <c r="I174" s="447"/>
      <c r="J174" s="447"/>
      <c r="K174" s="448"/>
      <c r="L174" s="447"/>
      <c r="M174" s="447"/>
      <c r="N174" s="449"/>
    </row>
    <row r="175" spans="1:14">
      <c r="A175" s="431">
        <f t="shared" si="3"/>
        <v>169</v>
      </c>
      <c r="B175" s="592"/>
      <c r="D175" s="443" t="s">
        <v>1909</v>
      </c>
      <c r="G175" s="447" t="s">
        <v>1678</v>
      </c>
      <c r="H175" s="447"/>
      <c r="I175" s="447"/>
      <c r="J175" s="447"/>
      <c r="K175" s="448"/>
      <c r="L175" s="447"/>
      <c r="M175" s="447"/>
      <c r="N175" s="449"/>
    </row>
    <row r="176" spans="1:14" ht="29">
      <c r="A176" s="431">
        <f t="shared" si="3"/>
        <v>170</v>
      </c>
      <c r="B176" s="592" t="s">
        <v>999</v>
      </c>
      <c r="C176" s="442" t="s">
        <v>1910</v>
      </c>
      <c r="D176" s="443" t="s">
        <v>1911</v>
      </c>
      <c r="E176" s="444" t="s">
        <v>303</v>
      </c>
      <c r="F176" s="450">
        <v>19532694</v>
      </c>
      <c r="G176" s="447" t="s">
        <v>1678</v>
      </c>
      <c r="H176" s="447"/>
      <c r="I176" s="447"/>
      <c r="J176" s="447"/>
      <c r="K176" s="448"/>
      <c r="L176" s="447"/>
      <c r="M176" s="447"/>
      <c r="N176" s="449"/>
    </row>
    <row r="177" spans="1:14">
      <c r="A177" s="431">
        <f t="shared" si="3"/>
        <v>171</v>
      </c>
      <c r="B177" s="592"/>
      <c r="D177" s="443" t="s">
        <v>1912</v>
      </c>
      <c r="E177" s="444" t="s">
        <v>303</v>
      </c>
      <c r="G177" s="447" t="s">
        <v>1678</v>
      </c>
      <c r="H177" s="447"/>
      <c r="I177" s="447"/>
      <c r="J177" s="447"/>
      <c r="K177" s="448"/>
      <c r="L177" s="447"/>
      <c r="M177" s="447"/>
      <c r="N177" s="449"/>
    </row>
    <row r="178" spans="1:14">
      <c r="A178" s="431">
        <f t="shared" si="3"/>
        <v>172</v>
      </c>
      <c r="B178" s="592"/>
      <c r="D178" s="443" t="s">
        <v>1913</v>
      </c>
      <c r="E178" s="444" t="s">
        <v>303</v>
      </c>
      <c r="G178" s="447" t="s">
        <v>1678</v>
      </c>
      <c r="H178" s="447"/>
      <c r="I178" s="447"/>
      <c r="J178" s="447"/>
      <c r="K178" s="448"/>
      <c r="L178" s="447"/>
      <c r="M178" s="447"/>
      <c r="N178" s="449"/>
    </row>
    <row r="179" spans="1:14">
      <c r="A179" s="431">
        <f t="shared" si="3"/>
        <v>173</v>
      </c>
      <c r="B179" s="592"/>
      <c r="D179" s="443" t="s">
        <v>1716</v>
      </c>
      <c r="E179" s="444" t="s">
        <v>303</v>
      </c>
      <c r="G179" s="447" t="s">
        <v>1678</v>
      </c>
      <c r="H179" s="447"/>
      <c r="I179" s="447"/>
      <c r="J179" s="447"/>
      <c r="K179" s="448"/>
      <c r="L179" s="447"/>
      <c r="M179" s="447"/>
      <c r="N179" s="449"/>
    </row>
    <row r="180" spans="1:14">
      <c r="A180" s="431">
        <f t="shared" si="3"/>
        <v>174</v>
      </c>
      <c r="B180" s="592"/>
      <c r="D180" s="443" t="s">
        <v>1914</v>
      </c>
      <c r="E180" s="444" t="s">
        <v>303</v>
      </c>
      <c r="G180" s="447" t="s">
        <v>1678</v>
      </c>
      <c r="H180" s="447"/>
      <c r="I180" s="447"/>
      <c r="J180" s="447"/>
      <c r="K180" s="448"/>
      <c r="L180" s="447"/>
      <c r="M180" s="447"/>
      <c r="N180" s="449"/>
    </row>
    <row r="181" spans="1:14" ht="29">
      <c r="A181" s="431">
        <f t="shared" si="3"/>
        <v>175</v>
      </c>
      <c r="B181" s="592"/>
      <c r="D181" s="443" t="s">
        <v>1915</v>
      </c>
      <c r="E181" s="444" t="s">
        <v>303</v>
      </c>
      <c r="G181" s="447" t="s">
        <v>1678</v>
      </c>
      <c r="H181" s="447"/>
      <c r="I181" s="447"/>
      <c r="J181" s="447"/>
      <c r="K181" s="447"/>
      <c r="L181" s="447"/>
      <c r="M181" s="447"/>
      <c r="N181" s="449"/>
    </row>
    <row r="182" spans="1:14" ht="16.5" customHeight="1">
      <c r="A182" s="431">
        <f t="shared" si="3"/>
        <v>176</v>
      </c>
      <c r="B182" s="592"/>
      <c r="D182" s="443" t="s">
        <v>1916</v>
      </c>
      <c r="E182" s="444" t="s">
        <v>303</v>
      </c>
      <c r="G182" s="447" t="s">
        <v>1678</v>
      </c>
      <c r="H182" s="447"/>
      <c r="I182" s="447"/>
      <c r="J182" s="447"/>
      <c r="K182" s="447"/>
      <c r="L182" s="447"/>
      <c r="M182" s="447"/>
      <c r="N182" s="449"/>
    </row>
    <row r="183" spans="1:14">
      <c r="A183" s="431">
        <f t="shared" si="3"/>
        <v>177</v>
      </c>
      <c r="B183" s="592"/>
      <c r="D183" s="443" t="s">
        <v>1917</v>
      </c>
      <c r="E183" s="444" t="s">
        <v>303</v>
      </c>
      <c r="G183" s="447" t="s">
        <v>1678</v>
      </c>
      <c r="H183" s="447"/>
      <c r="I183" s="447"/>
      <c r="J183" s="447"/>
      <c r="K183" s="447"/>
      <c r="L183" s="447"/>
      <c r="M183" s="447"/>
      <c r="N183" s="449"/>
    </row>
    <row r="184" spans="1:14">
      <c r="A184" s="431">
        <f t="shared" si="3"/>
        <v>178</v>
      </c>
      <c r="B184" s="592"/>
      <c r="D184" s="443" t="s">
        <v>1918</v>
      </c>
      <c r="E184" s="444" t="s">
        <v>303</v>
      </c>
      <c r="G184" s="447" t="s">
        <v>1678</v>
      </c>
      <c r="H184" s="447"/>
      <c r="I184" s="447"/>
      <c r="J184" s="447"/>
      <c r="K184" s="447"/>
      <c r="L184" s="447"/>
      <c r="M184" s="447"/>
      <c r="N184" s="449"/>
    </row>
    <row r="185" spans="1:14">
      <c r="A185" s="431">
        <f t="shared" si="3"/>
        <v>179</v>
      </c>
      <c r="B185" s="592"/>
      <c r="D185" s="443" t="s">
        <v>1919</v>
      </c>
      <c r="E185" s="444" t="s">
        <v>303</v>
      </c>
      <c r="G185" s="447" t="s">
        <v>1678</v>
      </c>
      <c r="H185" s="447"/>
      <c r="I185" s="447"/>
      <c r="J185" s="447"/>
      <c r="K185" s="447"/>
      <c r="L185" s="447"/>
      <c r="M185" s="447"/>
      <c r="N185" s="449"/>
    </row>
    <row r="186" spans="1:14">
      <c r="A186" s="431">
        <f t="shared" si="3"/>
        <v>180</v>
      </c>
      <c r="B186" s="592"/>
      <c r="D186" s="443" t="s">
        <v>1920</v>
      </c>
      <c r="E186" s="444" t="s">
        <v>303</v>
      </c>
      <c r="G186" s="447" t="s">
        <v>1678</v>
      </c>
      <c r="H186" s="447"/>
      <c r="I186" s="447"/>
      <c r="J186" s="447"/>
      <c r="K186" s="447"/>
      <c r="L186" s="447"/>
      <c r="M186" s="447"/>
      <c r="N186" s="449"/>
    </row>
    <row r="187" spans="1:14">
      <c r="A187" s="431">
        <f t="shared" si="3"/>
        <v>181</v>
      </c>
      <c r="B187" s="592" t="s">
        <v>1001</v>
      </c>
      <c r="C187" s="442" t="s">
        <v>1921</v>
      </c>
      <c r="D187" s="443" t="s">
        <v>1922</v>
      </c>
      <c r="E187" s="444" t="s">
        <v>1723</v>
      </c>
      <c r="F187" s="450">
        <v>8188497</v>
      </c>
      <c r="G187" s="447"/>
      <c r="H187" s="447"/>
      <c r="I187" s="447" t="s">
        <v>1678</v>
      </c>
      <c r="J187" s="447"/>
      <c r="K187" s="447"/>
      <c r="L187" s="447"/>
      <c r="M187" s="447"/>
      <c r="N187" s="449" t="s">
        <v>1923</v>
      </c>
    </row>
    <row r="188" spans="1:14">
      <c r="A188" s="431">
        <f t="shared" si="3"/>
        <v>182</v>
      </c>
      <c r="B188" s="592"/>
      <c r="D188" s="443" t="s">
        <v>1924</v>
      </c>
      <c r="E188" s="444" t="s">
        <v>1723</v>
      </c>
      <c r="G188" s="447"/>
      <c r="H188" s="447"/>
      <c r="I188" s="447" t="s">
        <v>1678</v>
      </c>
      <c r="J188" s="447"/>
      <c r="K188" s="447"/>
      <c r="L188" s="447"/>
      <c r="M188" s="447"/>
      <c r="N188" s="449" t="s">
        <v>1923</v>
      </c>
    </row>
    <row r="189" spans="1:14">
      <c r="A189" s="431">
        <f t="shared" si="3"/>
        <v>183</v>
      </c>
      <c r="B189" s="592"/>
      <c r="D189" s="443" t="s">
        <v>1801</v>
      </c>
      <c r="E189" s="444" t="s">
        <v>1723</v>
      </c>
      <c r="G189" s="447" t="s">
        <v>1678</v>
      </c>
      <c r="H189" s="447"/>
      <c r="I189" s="447"/>
      <c r="J189" s="447"/>
      <c r="K189" s="447"/>
      <c r="L189" s="447"/>
      <c r="M189" s="447"/>
      <c r="N189" s="449"/>
    </row>
    <row r="190" spans="1:14">
      <c r="A190" s="431">
        <f t="shared" si="3"/>
        <v>184</v>
      </c>
      <c r="B190" s="592"/>
      <c r="D190" s="443" t="s">
        <v>1925</v>
      </c>
      <c r="E190" s="444" t="s">
        <v>1723</v>
      </c>
      <c r="G190" s="447" t="s">
        <v>1678</v>
      </c>
      <c r="H190" s="447"/>
      <c r="I190" s="447"/>
      <c r="J190" s="447"/>
      <c r="K190" s="447"/>
      <c r="L190" s="447"/>
      <c r="M190" s="447"/>
      <c r="N190" s="449"/>
    </row>
    <row r="191" spans="1:14">
      <c r="A191" s="431">
        <f t="shared" si="3"/>
        <v>185</v>
      </c>
      <c r="B191" s="592"/>
      <c r="D191" s="443" t="s">
        <v>1926</v>
      </c>
      <c r="E191" s="444" t="s">
        <v>1723</v>
      </c>
      <c r="G191" s="447" t="s">
        <v>1678</v>
      </c>
      <c r="H191" s="447"/>
      <c r="I191" s="447"/>
      <c r="J191" s="447"/>
      <c r="K191" s="447"/>
      <c r="L191" s="447"/>
      <c r="M191" s="447"/>
      <c r="N191" s="449"/>
    </row>
    <row r="192" spans="1:14">
      <c r="A192" s="431">
        <f t="shared" si="3"/>
        <v>186</v>
      </c>
      <c r="B192" s="592" t="s">
        <v>1003</v>
      </c>
      <c r="C192" s="442" t="s">
        <v>1927</v>
      </c>
      <c r="D192" s="443" t="s">
        <v>1928</v>
      </c>
      <c r="E192" s="444" t="s">
        <v>303</v>
      </c>
      <c r="F192" s="450">
        <v>1506124</v>
      </c>
      <c r="G192" s="447" t="s">
        <v>1678</v>
      </c>
      <c r="H192" s="447"/>
      <c r="I192" s="447"/>
      <c r="J192" s="447"/>
      <c r="K192" s="447"/>
      <c r="L192" s="447"/>
      <c r="M192" s="447"/>
      <c r="N192" s="449"/>
    </row>
    <row r="193" spans="1:14">
      <c r="A193" s="431">
        <f t="shared" si="3"/>
        <v>187</v>
      </c>
      <c r="B193" s="592" t="s">
        <v>1005</v>
      </c>
      <c r="C193" s="442" t="s">
        <v>1929</v>
      </c>
      <c r="D193" s="443" t="s">
        <v>1930</v>
      </c>
      <c r="E193" s="444" t="s">
        <v>303</v>
      </c>
      <c r="G193" s="447" t="s">
        <v>1678</v>
      </c>
      <c r="H193" s="447"/>
      <c r="I193" s="447"/>
      <c r="J193" s="447"/>
      <c r="K193" s="447"/>
      <c r="L193" s="447"/>
      <c r="M193" s="447"/>
      <c r="N193" s="449"/>
    </row>
    <row r="194" spans="1:14" ht="29">
      <c r="A194" s="431">
        <f t="shared" si="3"/>
        <v>188</v>
      </c>
      <c r="B194" s="592"/>
      <c r="D194" s="443" t="s">
        <v>1931</v>
      </c>
      <c r="E194" s="444" t="s">
        <v>303</v>
      </c>
      <c r="F194" s="450">
        <v>4239318</v>
      </c>
      <c r="G194" s="447" t="s">
        <v>1678</v>
      </c>
      <c r="H194" s="447"/>
      <c r="I194" s="447"/>
      <c r="J194" s="447"/>
      <c r="K194" s="447"/>
      <c r="L194" s="447"/>
      <c r="M194" s="447"/>
      <c r="N194" s="449" t="s">
        <v>1932</v>
      </c>
    </row>
    <row r="195" spans="1:14">
      <c r="A195" s="431">
        <f t="shared" si="3"/>
        <v>189</v>
      </c>
      <c r="B195" s="592"/>
      <c r="D195" s="443" t="s">
        <v>1933</v>
      </c>
      <c r="E195" s="444" t="s">
        <v>303</v>
      </c>
      <c r="G195" s="447" t="s">
        <v>1678</v>
      </c>
      <c r="H195" s="447"/>
      <c r="I195" s="447"/>
      <c r="J195" s="447"/>
      <c r="K195" s="447"/>
      <c r="L195" s="447"/>
      <c r="M195" s="447"/>
      <c r="N195" s="449"/>
    </row>
    <row r="196" spans="1:14">
      <c r="A196" s="431">
        <f t="shared" si="3"/>
        <v>190</v>
      </c>
      <c r="B196" s="592"/>
      <c r="D196" s="443" t="s">
        <v>1934</v>
      </c>
      <c r="E196" s="444" t="s">
        <v>303</v>
      </c>
      <c r="G196" s="447"/>
      <c r="H196" s="447" t="s">
        <v>1678</v>
      </c>
      <c r="I196" s="447"/>
      <c r="J196" s="447"/>
      <c r="K196" s="447"/>
      <c r="L196" s="447"/>
      <c r="M196" s="447"/>
      <c r="N196" s="449" t="s">
        <v>1935</v>
      </c>
    </row>
    <row r="197" spans="1:14">
      <c r="A197" s="431">
        <f t="shared" si="3"/>
        <v>191</v>
      </c>
      <c r="B197" s="592"/>
      <c r="D197" s="443" t="s">
        <v>1936</v>
      </c>
      <c r="G197" s="447" t="s">
        <v>1678</v>
      </c>
      <c r="H197" s="447"/>
      <c r="I197" s="447"/>
      <c r="J197" s="447"/>
      <c r="K197" s="447"/>
      <c r="L197" s="447"/>
      <c r="M197" s="447"/>
      <c r="N197" s="449"/>
    </row>
    <row r="198" spans="1:14">
      <c r="A198" s="431">
        <f t="shared" si="3"/>
        <v>192</v>
      </c>
      <c r="B198" s="592"/>
      <c r="D198" s="443" t="s">
        <v>1937</v>
      </c>
      <c r="G198" s="447" t="s">
        <v>1678</v>
      </c>
      <c r="H198" s="447"/>
      <c r="I198" s="447"/>
      <c r="J198" s="447"/>
      <c r="K198" s="447"/>
      <c r="L198" s="447"/>
      <c r="M198" s="447"/>
      <c r="N198" s="449" t="s">
        <v>1938</v>
      </c>
    </row>
    <row r="199" spans="1:14">
      <c r="A199" s="431">
        <f t="shared" si="3"/>
        <v>193</v>
      </c>
      <c r="B199" s="592"/>
      <c r="D199" s="443" t="s">
        <v>1939</v>
      </c>
      <c r="G199" s="447" t="s">
        <v>1678</v>
      </c>
      <c r="H199" s="447"/>
      <c r="I199" s="447"/>
      <c r="J199" s="447"/>
      <c r="K199" s="447"/>
      <c r="L199" s="447"/>
      <c r="M199" s="447"/>
      <c r="N199" s="449" t="s">
        <v>1940</v>
      </c>
    </row>
    <row r="200" spans="1:14" ht="29">
      <c r="A200" s="431">
        <f t="shared" si="3"/>
        <v>194</v>
      </c>
      <c r="B200" s="592" t="s">
        <v>1007</v>
      </c>
      <c r="C200" s="442" t="s">
        <v>1941</v>
      </c>
      <c r="D200" s="443" t="s">
        <v>1942</v>
      </c>
      <c r="G200" s="447" t="s">
        <v>1678</v>
      </c>
      <c r="H200" s="447"/>
      <c r="I200" s="447"/>
      <c r="J200" s="447"/>
      <c r="K200" s="447"/>
      <c r="L200" s="447"/>
      <c r="M200" s="447"/>
      <c r="N200" s="449"/>
    </row>
    <row r="201" spans="1:14">
      <c r="A201" s="431">
        <f t="shared" si="3"/>
        <v>195</v>
      </c>
      <c r="B201" s="592" t="s">
        <v>1011</v>
      </c>
      <c r="C201" s="442" t="s">
        <v>1943</v>
      </c>
      <c r="D201" s="443" t="s">
        <v>1944</v>
      </c>
      <c r="E201" s="444" t="s">
        <v>1723</v>
      </c>
      <c r="F201" s="450">
        <v>10685663</v>
      </c>
      <c r="G201" s="447" t="s">
        <v>1678</v>
      </c>
      <c r="H201" s="447"/>
      <c r="I201" s="447"/>
      <c r="J201" s="447"/>
      <c r="K201" s="447"/>
      <c r="L201" s="447"/>
      <c r="M201" s="447"/>
      <c r="N201" s="449"/>
    </row>
    <row r="202" spans="1:14">
      <c r="A202" s="431">
        <f t="shared" si="3"/>
        <v>196</v>
      </c>
      <c r="B202" s="592"/>
      <c r="D202" s="443" t="s">
        <v>1945</v>
      </c>
      <c r="E202" s="444" t="s">
        <v>1723</v>
      </c>
      <c r="G202" s="447"/>
      <c r="H202" s="447" t="s">
        <v>1678</v>
      </c>
      <c r="I202" s="447"/>
      <c r="J202" s="447"/>
      <c r="K202" s="447"/>
      <c r="L202" s="447"/>
      <c r="M202" s="447"/>
      <c r="N202" s="449" t="s">
        <v>1946</v>
      </c>
    </row>
    <row r="203" spans="1:14">
      <c r="A203" s="431">
        <f t="shared" si="3"/>
        <v>197</v>
      </c>
      <c r="B203" s="592"/>
      <c r="D203" s="443" t="s">
        <v>1947</v>
      </c>
      <c r="E203" s="444" t="s">
        <v>1723</v>
      </c>
      <c r="G203" s="447" t="s">
        <v>1678</v>
      </c>
      <c r="H203" s="447"/>
      <c r="I203" s="447"/>
      <c r="J203" s="447"/>
      <c r="K203" s="447"/>
      <c r="L203" s="447"/>
      <c r="M203" s="447"/>
      <c r="N203" s="449"/>
    </row>
    <row r="204" spans="1:14">
      <c r="A204" s="431">
        <f t="shared" si="3"/>
        <v>198</v>
      </c>
      <c r="B204" s="592"/>
      <c r="D204" s="443" t="s">
        <v>1948</v>
      </c>
      <c r="E204" s="444" t="s">
        <v>1723</v>
      </c>
      <c r="G204" s="447" t="s">
        <v>1678</v>
      </c>
      <c r="H204" s="447"/>
      <c r="I204" s="447"/>
      <c r="J204" s="447"/>
      <c r="K204" s="447"/>
      <c r="L204" s="447"/>
      <c r="M204" s="447"/>
      <c r="N204" s="449"/>
    </row>
    <row r="205" spans="1:14">
      <c r="A205" s="431">
        <f t="shared" si="3"/>
        <v>199</v>
      </c>
      <c r="B205" s="592"/>
      <c r="D205" s="443" t="s">
        <v>1949</v>
      </c>
      <c r="E205" s="444" t="s">
        <v>1723</v>
      </c>
      <c r="G205" s="447" t="s">
        <v>1678</v>
      </c>
      <c r="H205" s="447"/>
      <c r="I205" s="447"/>
      <c r="J205" s="447"/>
      <c r="K205" s="447"/>
      <c r="L205" s="447"/>
      <c r="M205" s="447"/>
      <c r="N205" s="449"/>
    </row>
    <row r="206" spans="1:14">
      <c r="A206" s="431">
        <f t="shared" si="3"/>
        <v>200</v>
      </c>
      <c r="B206" s="592"/>
      <c r="D206" s="443" t="s">
        <v>1950</v>
      </c>
      <c r="E206" s="444" t="s">
        <v>1723</v>
      </c>
      <c r="G206" s="447" t="s">
        <v>1678</v>
      </c>
      <c r="H206" s="447"/>
      <c r="I206" s="447"/>
      <c r="J206" s="447"/>
      <c r="K206" s="447"/>
      <c r="L206" s="447"/>
      <c r="M206" s="447"/>
      <c r="N206" s="449"/>
    </row>
    <row r="207" spans="1:14">
      <c r="A207" s="431">
        <f t="shared" si="3"/>
        <v>201</v>
      </c>
      <c r="B207" s="592" t="s">
        <v>1013</v>
      </c>
      <c r="C207" s="442" t="s">
        <v>1951</v>
      </c>
      <c r="D207" s="443" t="s">
        <v>1952</v>
      </c>
      <c r="G207" s="447" t="s">
        <v>1678</v>
      </c>
      <c r="H207" s="447"/>
      <c r="I207" s="447"/>
      <c r="J207" s="447"/>
      <c r="K207" s="447"/>
      <c r="L207" s="447"/>
      <c r="M207" s="447"/>
      <c r="N207" s="449"/>
    </row>
    <row r="208" spans="1:14">
      <c r="A208" s="431">
        <f t="shared" si="3"/>
        <v>202</v>
      </c>
      <c r="B208" s="592" t="s">
        <v>1017</v>
      </c>
      <c r="C208" s="442" t="s">
        <v>1953</v>
      </c>
      <c r="D208" s="443" t="s">
        <v>1954</v>
      </c>
      <c r="E208" s="444" t="s">
        <v>303</v>
      </c>
      <c r="F208" s="450">
        <v>3684814</v>
      </c>
      <c r="G208" s="447" t="s">
        <v>1678</v>
      </c>
      <c r="H208" s="447"/>
      <c r="I208" s="447"/>
      <c r="J208" s="447"/>
      <c r="K208" s="447"/>
      <c r="L208" s="447"/>
      <c r="M208" s="447"/>
      <c r="N208" s="456"/>
    </row>
    <row r="209" spans="1:14" ht="29">
      <c r="A209" s="431">
        <f t="shared" si="3"/>
        <v>203</v>
      </c>
      <c r="B209" s="592" t="s">
        <v>1019</v>
      </c>
      <c r="C209" s="442" t="s">
        <v>1955</v>
      </c>
      <c r="D209" s="443" t="s">
        <v>1956</v>
      </c>
      <c r="E209" s="444" t="s">
        <v>303</v>
      </c>
      <c r="F209" s="450">
        <v>10553364</v>
      </c>
      <c r="G209" s="447" t="s">
        <v>1678</v>
      </c>
      <c r="H209" s="447"/>
      <c r="I209" s="447"/>
      <c r="J209" s="447"/>
      <c r="K209" s="447"/>
      <c r="L209" s="447"/>
      <c r="M209" s="447"/>
      <c r="N209" s="449"/>
    </row>
    <row r="210" spans="1:14">
      <c r="A210" s="431">
        <f t="shared" si="3"/>
        <v>204</v>
      </c>
      <c r="B210" s="592"/>
      <c r="D210" s="443" t="s">
        <v>1957</v>
      </c>
      <c r="E210" s="444" t="s">
        <v>303</v>
      </c>
      <c r="G210" s="447" t="s">
        <v>1678</v>
      </c>
      <c r="H210" s="447"/>
      <c r="I210" s="447"/>
      <c r="J210" s="447"/>
      <c r="K210" s="447"/>
      <c r="L210" s="447"/>
      <c r="M210" s="447"/>
      <c r="N210" s="449"/>
    </row>
    <row r="211" spans="1:14">
      <c r="A211" s="431">
        <f t="shared" si="3"/>
        <v>205</v>
      </c>
      <c r="B211" s="592"/>
      <c r="D211" s="443" t="s">
        <v>1958</v>
      </c>
      <c r="E211" s="444" t="s">
        <v>303</v>
      </c>
      <c r="G211" s="447" t="s">
        <v>1678</v>
      </c>
      <c r="H211" s="447"/>
      <c r="I211" s="447"/>
      <c r="J211" s="447"/>
      <c r="K211" s="447"/>
      <c r="L211" s="447"/>
      <c r="M211" s="447"/>
      <c r="N211" s="449"/>
    </row>
    <row r="212" spans="1:14">
      <c r="A212" s="431">
        <f t="shared" ref="A212:A275" si="4">A211+1</f>
        <v>206</v>
      </c>
      <c r="B212" s="592"/>
      <c r="D212" s="443" t="s">
        <v>1959</v>
      </c>
      <c r="E212" s="444" t="s">
        <v>303</v>
      </c>
      <c r="G212" s="447" t="s">
        <v>1678</v>
      </c>
      <c r="H212" s="447"/>
      <c r="I212" s="447"/>
      <c r="J212" s="447"/>
      <c r="K212" s="447"/>
      <c r="L212" s="447"/>
      <c r="M212" s="447"/>
      <c r="N212" s="449"/>
    </row>
    <row r="213" spans="1:14" ht="29">
      <c r="A213" s="431">
        <f t="shared" si="4"/>
        <v>207</v>
      </c>
      <c r="B213" s="592"/>
      <c r="D213" s="443" t="s">
        <v>1960</v>
      </c>
      <c r="E213" s="444" t="s">
        <v>303</v>
      </c>
      <c r="G213" s="447" t="s">
        <v>1678</v>
      </c>
      <c r="H213" s="447"/>
      <c r="I213" s="447"/>
      <c r="J213" s="447"/>
      <c r="K213" s="447"/>
      <c r="L213" s="447"/>
      <c r="M213" s="447"/>
      <c r="N213" s="449"/>
    </row>
    <row r="214" spans="1:14" ht="29">
      <c r="A214" s="431">
        <f t="shared" si="4"/>
        <v>208</v>
      </c>
      <c r="B214" s="592" t="s">
        <v>1961</v>
      </c>
      <c r="C214" s="442" t="s">
        <v>1962</v>
      </c>
      <c r="D214" s="443" t="s">
        <v>1963</v>
      </c>
      <c r="E214" s="444" t="s">
        <v>303</v>
      </c>
      <c r="F214" s="450">
        <v>17106123</v>
      </c>
      <c r="G214" s="447" t="s">
        <v>1678</v>
      </c>
      <c r="H214" s="447"/>
      <c r="I214" s="447"/>
      <c r="J214" s="447"/>
      <c r="K214" s="447"/>
      <c r="L214" s="447"/>
      <c r="M214" s="447"/>
      <c r="N214" s="449"/>
    </row>
    <row r="215" spans="1:14" ht="29">
      <c r="A215" s="431">
        <f t="shared" si="4"/>
        <v>209</v>
      </c>
      <c r="B215" s="592"/>
      <c r="D215" s="443" t="s">
        <v>1964</v>
      </c>
      <c r="E215" s="444" t="s">
        <v>303</v>
      </c>
      <c r="G215" s="447" t="s">
        <v>1678</v>
      </c>
      <c r="H215" s="447"/>
      <c r="I215" s="447"/>
      <c r="J215" s="447"/>
      <c r="K215" s="447"/>
      <c r="L215" s="447"/>
      <c r="M215" s="447"/>
      <c r="N215" s="449" t="s">
        <v>1965</v>
      </c>
    </row>
    <row r="216" spans="1:14">
      <c r="A216" s="431">
        <f t="shared" si="4"/>
        <v>210</v>
      </c>
      <c r="B216" s="592"/>
      <c r="D216" s="443" t="s">
        <v>1966</v>
      </c>
      <c r="E216" s="444" t="s">
        <v>303</v>
      </c>
      <c r="G216" s="447" t="s">
        <v>1678</v>
      </c>
      <c r="H216" s="447"/>
      <c r="I216" s="447"/>
      <c r="J216" s="447"/>
      <c r="K216" s="447"/>
      <c r="L216" s="447"/>
      <c r="M216" s="447"/>
      <c r="N216" s="449"/>
    </row>
    <row r="217" spans="1:14">
      <c r="A217" s="431">
        <f t="shared" si="4"/>
        <v>211</v>
      </c>
      <c r="B217" s="592"/>
      <c r="D217" s="443" t="s">
        <v>1967</v>
      </c>
      <c r="E217" s="444" t="s">
        <v>303</v>
      </c>
      <c r="G217" s="447" t="s">
        <v>1678</v>
      </c>
      <c r="H217" s="447"/>
      <c r="I217" s="447"/>
      <c r="J217" s="447"/>
      <c r="K217" s="447"/>
      <c r="L217" s="447"/>
      <c r="M217" s="447"/>
      <c r="N217" s="449"/>
    </row>
    <row r="218" spans="1:14">
      <c r="A218" s="431">
        <f t="shared" si="4"/>
        <v>212</v>
      </c>
      <c r="B218" s="592"/>
      <c r="D218" s="443" t="s">
        <v>1968</v>
      </c>
      <c r="E218" s="444" t="s">
        <v>303</v>
      </c>
      <c r="G218" s="447" t="s">
        <v>1678</v>
      </c>
      <c r="H218" s="447"/>
      <c r="I218" s="447"/>
      <c r="J218" s="447"/>
      <c r="K218" s="447"/>
      <c r="L218" s="447"/>
      <c r="M218" s="447"/>
      <c r="N218" s="449"/>
    </row>
    <row r="219" spans="1:14">
      <c r="A219" s="431">
        <f t="shared" si="4"/>
        <v>213</v>
      </c>
      <c r="B219" s="592"/>
      <c r="D219" s="443" t="s">
        <v>1969</v>
      </c>
      <c r="E219" s="444" t="s">
        <v>303</v>
      </c>
      <c r="G219" s="447" t="s">
        <v>1678</v>
      </c>
      <c r="H219" s="447"/>
      <c r="I219" s="447"/>
      <c r="J219" s="447"/>
      <c r="K219" s="447"/>
      <c r="L219" s="447"/>
      <c r="M219" s="447"/>
      <c r="N219" s="449"/>
    </row>
    <row r="220" spans="1:14">
      <c r="A220" s="431">
        <f t="shared" si="4"/>
        <v>214</v>
      </c>
      <c r="B220" s="592"/>
      <c r="D220" s="443" t="s">
        <v>1970</v>
      </c>
      <c r="E220" s="444" t="s">
        <v>303</v>
      </c>
      <c r="G220" s="447" t="s">
        <v>1678</v>
      </c>
      <c r="H220" s="447"/>
      <c r="I220" s="447"/>
      <c r="J220" s="447"/>
      <c r="K220" s="447"/>
      <c r="L220" s="447"/>
      <c r="M220" s="447"/>
      <c r="N220" s="449"/>
    </row>
    <row r="221" spans="1:14">
      <c r="A221" s="431">
        <f t="shared" si="4"/>
        <v>215</v>
      </c>
      <c r="B221" s="592"/>
      <c r="D221" s="443" t="s">
        <v>1971</v>
      </c>
      <c r="E221" s="444" t="s">
        <v>303</v>
      </c>
      <c r="G221" s="447" t="s">
        <v>1678</v>
      </c>
      <c r="H221" s="447"/>
      <c r="I221" s="447"/>
      <c r="J221" s="447"/>
      <c r="K221" s="447"/>
      <c r="L221" s="447"/>
      <c r="M221" s="447"/>
      <c r="N221" s="449"/>
    </row>
    <row r="222" spans="1:14">
      <c r="A222" s="431">
        <f t="shared" si="4"/>
        <v>216</v>
      </c>
      <c r="B222" s="592"/>
      <c r="D222" s="443" t="s">
        <v>1972</v>
      </c>
      <c r="E222" s="444" t="s">
        <v>303</v>
      </c>
      <c r="G222" s="447" t="s">
        <v>1678</v>
      </c>
      <c r="H222" s="447"/>
      <c r="I222" s="447"/>
      <c r="J222" s="447"/>
      <c r="K222" s="447"/>
      <c r="L222" s="447"/>
      <c r="M222" s="447"/>
      <c r="N222" s="449"/>
    </row>
    <row r="223" spans="1:14">
      <c r="A223" s="431">
        <f t="shared" si="4"/>
        <v>217</v>
      </c>
      <c r="B223" s="592" t="s">
        <v>1023</v>
      </c>
      <c r="C223" s="442" t="s">
        <v>1973</v>
      </c>
      <c r="D223" s="443" t="s">
        <v>1974</v>
      </c>
      <c r="E223" s="444" t="s">
        <v>303</v>
      </c>
      <c r="F223" s="450">
        <v>6032465</v>
      </c>
      <c r="G223" s="447" t="s">
        <v>1678</v>
      </c>
      <c r="H223" s="447"/>
      <c r="I223" s="447"/>
      <c r="J223" s="447"/>
      <c r="K223" s="447"/>
      <c r="L223" s="447"/>
      <c r="M223" s="447"/>
      <c r="N223" s="449"/>
    </row>
    <row r="224" spans="1:14">
      <c r="A224" s="431">
        <f t="shared" si="4"/>
        <v>218</v>
      </c>
      <c r="B224" s="592"/>
      <c r="D224" s="443" t="s">
        <v>1975</v>
      </c>
      <c r="G224" s="447" t="s">
        <v>1678</v>
      </c>
      <c r="H224" s="447"/>
      <c r="I224" s="447"/>
      <c r="J224" s="447"/>
      <c r="K224" s="447"/>
      <c r="L224" s="447"/>
      <c r="M224" s="447"/>
      <c r="N224" s="449"/>
    </row>
    <row r="225" spans="1:14">
      <c r="A225" s="431">
        <f t="shared" si="4"/>
        <v>219</v>
      </c>
      <c r="B225" s="592"/>
      <c r="D225" s="443" t="s">
        <v>1976</v>
      </c>
      <c r="E225" s="444" t="s">
        <v>303</v>
      </c>
      <c r="G225" s="447" t="s">
        <v>1678</v>
      </c>
      <c r="H225" s="447"/>
      <c r="I225" s="447"/>
      <c r="J225" s="447"/>
      <c r="K225" s="447"/>
      <c r="L225" s="447"/>
      <c r="M225" s="447"/>
      <c r="N225" s="449"/>
    </row>
    <row r="226" spans="1:14">
      <c r="A226" s="431">
        <f t="shared" si="4"/>
        <v>220</v>
      </c>
      <c r="B226" s="592" t="s">
        <v>1025</v>
      </c>
      <c r="C226" s="442" t="s">
        <v>1977</v>
      </c>
      <c r="D226" s="443" t="s">
        <v>1978</v>
      </c>
      <c r="E226" s="444" t="s">
        <v>303</v>
      </c>
      <c r="F226" s="450">
        <v>2709424</v>
      </c>
      <c r="G226" s="447" t="s">
        <v>1678</v>
      </c>
      <c r="H226" s="447"/>
      <c r="I226" s="447"/>
      <c r="J226" s="447"/>
      <c r="K226" s="447"/>
      <c r="L226" s="447"/>
      <c r="M226" s="447"/>
      <c r="N226" s="449"/>
    </row>
    <row r="227" spans="1:14">
      <c r="A227" s="431">
        <f t="shared" si="4"/>
        <v>221</v>
      </c>
      <c r="B227" s="592"/>
      <c r="D227" s="443" t="s">
        <v>1979</v>
      </c>
      <c r="E227" s="444" t="s">
        <v>303</v>
      </c>
      <c r="G227" s="447" t="s">
        <v>1678</v>
      </c>
      <c r="H227" s="447"/>
      <c r="I227" s="447"/>
      <c r="J227" s="447"/>
      <c r="K227" s="447"/>
      <c r="L227" s="447"/>
      <c r="M227" s="447"/>
      <c r="N227" s="449"/>
    </row>
    <row r="228" spans="1:14">
      <c r="A228" s="431">
        <f t="shared" si="4"/>
        <v>222</v>
      </c>
      <c r="B228" s="592" t="s">
        <v>1027</v>
      </c>
      <c r="C228" s="442" t="s">
        <v>1980</v>
      </c>
      <c r="D228" s="443" t="s">
        <v>1981</v>
      </c>
      <c r="E228" s="444" t="s">
        <v>303</v>
      </c>
      <c r="F228" s="450">
        <v>3760923</v>
      </c>
      <c r="G228" s="447" t="s">
        <v>1678</v>
      </c>
      <c r="H228" s="447"/>
      <c r="I228" s="447"/>
      <c r="J228" s="447"/>
      <c r="K228" s="447"/>
      <c r="L228" s="447"/>
      <c r="M228" s="447"/>
      <c r="N228" s="449"/>
    </row>
    <row r="229" spans="1:14">
      <c r="A229" s="431">
        <f t="shared" si="4"/>
        <v>223</v>
      </c>
      <c r="B229" s="592"/>
      <c r="D229" s="443" t="s">
        <v>1982</v>
      </c>
      <c r="E229" s="444" t="s">
        <v>303</v>
      </c>
      <c r="G229" s="447" t="s">
        <v>1678</v>
      </c>
      <c r="H229" s="447"/>
      <c r="I229" s="447"/>
      <c r="J229" s="447"/>
      <c r="K229" s="447"/>
      <c r="L229" s="447"/>
      <c r="M229" s="447"/>
      <c r="N229" s="449"/>
    </row>
    <row r="230" spans="1:14">
      <c r="A230" s="431">
        <f t="shared" si="4"/>
        <v>224</v>
      </c>
      <c r="B230" s="592"/>
      <c r="D230" s="443" t="s">
        <v>1983</v>
      </c>
      <c r="E230" s="444" t="s">
        <v>303</v>
      </c>
      <c r="G230" s="447" t="s">
        <v>1678</v>
      </c>
      <c r="H230" s="447"/>
      <c r="I230" s="447"/>
      <c r="J230" s="447"/>
      <c r="K230" s="447"/>
      <c r="L230" s="447"/>
      <c r="M230" s="447"/>
      <c r="N230" s="449"/>
    </row>
    <row r="231" spans="1:14">
      <c r="A231" s="431">
        <f t="shared" si="4"/>
        <v>225</v>
      </c>
      <c r="B231" s="592"/>
      <c r="D231" s="443" t="s">
        <v>1984</v>
      </c>
      <c r="E231" s="444" t="s">
        <v>303</v>
      </c>
      <c r="G231" s="447" t="s">
        <v>1678</v>
      </c>
      <c r="H231" s="447"/>
      <c r="I231" s="447"/>
      <c r="J231" s="447"/>
      <c r="K231" s="447"/>
      <c r="L231" s="447"/>
      <c r="M231" s="447"/>
      <c r="N231" s="449"/>
    </row>
    <row r="232" spans="1:14">
      <c r="A232" s="431">
        <f t="shared" si="4"/>
        <v>226</v>
      </c>
      <c r="B232" s="592"/>
      <c r="D232" s="443" t="s">
        <v>1985</v>
      </c>
      <c r="E232" s="444" t="s">
        <v>303</v>
      </c>
      <c r="G232" s="447" t="s">
        <v>1678</v>
      </c>
      <c r="H232" s="447"/>
      <c r="I232" s="447"/>
      <c r="J232" s="447"/>
      <c r="K232" s="447"/>
      <c r="L232" s="447"/>
      <c r="M232" s="447"/>
      <c r="N232" s="449"/>
    </row>
    <row r="233" spans="1:14">
      <c r="A233" s="431">
        <f t="shared" si="4"/>
        <v>227</v>
      </c>
      <c r="B233" s="592" t="s">
        <v>1029</v>
      </c>
      <c r="C233" s="442" t="s">
        <v>1986</v>
      </c>
      <c r="D233" s="443" t="s">
        <v>1987</v>
      </c>
      <c r="E233" s="444" t="s">
        <v>303</v>
      </c>
      <c r="F233" s="450">
        <v>10852062</v>
      </c>
      <c r="G233" s="447" t="s">
        <v>1678</v>
      </c>
      <c r="H233" s="447"/>
      <c r="I233" s="447"/>
      <c r="J233" s="447"/>
      <c r="K233" s="447"/>
      <c r="L233" s="447"/>
      <c r="M233" s="447"/>
      <c r="N233" s="449" t="s">
        <v>1988</v>
      </c>
    </row>
    <row r="234" spans="1:14">
      <c r="A234" s="431">
        <f t="shared" si="4"/>
        <v>228</v>
      </c>
      <c r="B234" s="592"/>
      <c r="D234" s="443" t="s">
        <v>1989</v>
      </c>
      <c r="E234" s="444" t="s">
        <v>303</v>
      </c>
      <c r="G234" s="447" t="s">
        <v>1678</v>
      </c>
      <c r="H234" s="447"/>
      <c r="I234" s="447"/>
      <c r="J234" s="447"/>
      <c r="K234" s="447"/>
      <c r="L234" s="447"/>
      <c r="M234" s="447"/>
      <c r="N234" s="449"/>
    </row>
    <row r="235" spans="1:14">
      <c r="A235" s="431">
        <f t="shared" si="4"/>
        <v>229</v>
      </c>
      <c r="B235" s="592"/>
      <c r="D235" s="443" t="s">
        <v>1990</v>
      </c>
      <c r="E235" s="444" t="s">
        <v>303</v>
      </c>
      <c r="G235" s="447" t="s">
        <v>1678</v>
      </c>
      <c r="H235" s="447"/>
      <c r="I235" s="447"/>
      <c r="J235" s="447"/>
      <c r="K235" s="447"/>
      <c r="L235" s="447"/>
      <c r="M235" s="447"/>
      <c r="N235" s="449"/>
    </row>
    <row r="236" spans="1:14">
      <c r="A236" s="431">
        <f t="shared" si="4"/>
        <v>230</v>
      </c>
      <c r="B236" s="592"/>
      <c r="D236" s="443" t="s">
        <v>1991</v>
      </c>
      <c r="E236" s="444" t="s">
        <v>303</v>
      </c>
      <c r="G236" s="447" t="s">
        <v>1678</v>
      </c>
      <c r="H236" s="447"/>
      <c r="I236" s="447"/>
      <c r="J236" s="447"/>
      <c r="K236" s="447"/>
      <c r="L236" s="447"/>
      <c r="M236" s="447"/>
      <c r="N236" s="449"/>
    </row>
    <row r="237" spans="1:14">
      <c r="A237" s="431">
        <f t="shared" si="4"/>
        <v>231</v>
      </c>
      <c r="B237" s="592" t="s">
        <v>1037</v>
      </c>
      <c r="C237" s="442" t="s">
        <v>1992</v>
      </c>
      <c r="D237" s="443" t="s">
        <v>1993</v>
      </c>
      <c r="E237" s="444" t="s">
        <v>303</v>
      </c>
      <c r="F237" s="450">
        <v>845694</v>
      </c>
      <c r="G237" s="447" t="s">
        <v>1678</v>
      </c>
      <c r="H237" s="447"/>
      <c r="I237" s="447"/>
      <c r="J237" s="447"/>
      <c r="K237" s="447"/>
      <c r="L237" s="447"/>
      <c r="M237" s="447"/>
      <c r="N237" s="449"/>
    </row>
    <row r="238" spans="1:14">
      <c r="A238" s="431">
        <f t="shared" si="4"/>
        <v>232</v>
      </c>
      <c r="B238" s="592"/>
      <c r="D238" s="443" t="s">
        <v>1994</v>
      </c>
      <c r="E238" s="444" t="s">
        <v>303</v>
      </c>
      <c r="G238" s="447" t="s">
        <v>1678</v>
      </c>
      <c r="H238" s="447"/>
      <c r="I238" s="447"/>
      <c r="J238" s="447"/>
      <c r="K238" s="447"/>
      <c r="L238" s="447"/>
      <c r="M238" s="447"/>
      <c r="N238" s="449"/>
    </row>
    <row r="239" spans="1:14">
      <c r="A239" s="431">
        <f t="shared" si="4"/>
        <v>233</v>
      </c>
      <c r="B239" s="592" t="s">
        <v>1039</v>
      </c>
      <c r="C239" s="442" t="s">
        <v>1995</v>
      </c>
      <c r="D239" s="443" t="s">
        <v>1996</v>
      </c>
      <c r="E239" s="444" t="s">
        <v>303</v>
      </c>
      <c r="F239" s="450">
        <v>7737533</v>
      </c>
      <c r="G239" s="447" t="s">
        <v>1678</v>
      </c>
      <c r="H239" s="447"/>
      <c r="I239" s="447"/>
      <c r="J239" s="447"/>
      <c r="K239" s="447"/>
      <c r="L239" s="447"/>
      <c r="M239" s="447"/>
      <c r="N239" s="449"/>
    </row>
    <row r="240" spans="1:14">
      <c r="A240" s="431">
        <f t="shared" si="4"/>
        <v>234</v>
      </c>
      <c r="B240" s="592"/>
      <c r="D240" s="443" t="s">
        <v>1768</v>
      </c>
      <c r="E240" s="444" t="s">
        <v>303</v>
      </c>
      <c r="G240" s="447" t="s">
        <v>1678</v>
      </c>
      <c r="H240" s="447"/>
      <c r="I240" s="447"/>
      <c r="J240" s="447"/>
      <c r="K240" s="447"/>
      <c r="L240" s="447"/>
      <c r="M240" s="447"/>
      <c r="N240" s="449"/>
    </row>
    <row r="241" spans="1:14">
      <c r="A241" s="431">
        <f t="shared" si="4"/>
        <v>235</v>
      </c>
      <c r="B241" s="592"/>
      <c r="D241" s="443" t="s">
        <v>1997</v>
      </c>
      <c r="G241" s="447" t="s">
        <v>1678</v>
      </c>
      <c r="H241" s="447"/>
      <c r="I241" s="447"/>
      <c r="J241" s="447"/>
      <c r="K241" s="447"/>
      <c r="L241" s="447"/>
      <c r="M241" s="447"/>
      <c r="N241" s="449"/>
    </row>
    <row r="242" spans="1:14">
      <c r="A242" s="431">
        <f t="shared" si="4"/>
        <v>236</v>
      </c>
      <c r="B242" s="592"/>
      <c r="D242" s="443" t="s">
        <v>1998</v>
      </c>
      <c r="E242" s="444" t="s">
        <v>303</v>
      </c>
      <c r="G242" s="447" t="s">
        <v>1678</v>
      </c>
      <c r="H242" s="447"/>
      <c r="I242" s="447"/>
      <c r="J242" s="447"/>
      <c r="K242" s="447"/>
      <c r="L242" s="447"/>
      <c r="M242" s="447"/>
      <c r="N242" s="449"/>
    </row>
    <row r="243" spans="1:14">
      <c r="A243" s="431">
        <f t="shared" si="4"/>
        <v>237</v>
      </c>
      <c r="B243" s="592"/>
      <c r="D243" s="443" t="s">
        <v>1999</v>
      </c>
      <c r="E243" s="444" t="s">
        <v>303</v>
      </c>
      <c r="G243" s="447" t="s">
        <v>1678</v>
      </c>
      <c r="H243" s="447"/>
      <c r="I243" s="447"/>
      <c r="J243" s="447"/>
      <c r="K243" s="447"/>
      <c r="L243" s="447"/>
      <c r="M243" s="447"/>
      <c r="N243" s="449"/>
    </row>
    <row r="244" spans="1:14">
      <c r="A244" s="431">
        <f t="shared" si="4"/>
        <v>238</v>
      </c>
      <c r="B244" s="592"/>
      <c r="D244" s="443" t="s">
        <v>2000</v>
      </c>
      <c r="E244" s="444" t="s">
        <v>303</v>
      </c>
      <c r="G244" s="447" t="s">
        <v>1678</v>
      </c>
      <c r="H244" s="447"/>
      <c r="I244" s="447"/>
      <c r="J244" s="447"/>
      <c r="K244" s="447"/>
      <c r="L244" s="447"/>
      <c r="M244" s="447"/>
      <c r="N244" s="449"/>
    </row>
    <row r="245" spans="1:14">
      <c r="A245" s="431">
        <f t="shared" si="4"/>
        <v>239</v>
      </c>
      <c r="B245" s="592"/>
      <c r="D245" s="443" t="s">
        <v>2001</v>
      </c>
      <c r="E245" s="444" t="s">
        <v>303</v>
      </c>
      <c r="G245" s="447" t="s">
        <v>1678</v>
      </c>
      <c r="H245" s="447"/>
      <c r="I245" s="447"/>
      <c r="J245" s="447"/>
      <c r="K245" s="447"/>
      <c r="L245" s="447"/>
      <c r="M245" s="447"/>
      <c r="N245" s="449"/>
    </row>
    <row r="246" spans="1:14">
      <c r="A246" s="431">
        <f t="shared" si="4"/>
        <v>240</v>
      </c>
      <c r="B246" s="592" t="s">
        <v>1041</v>
      </c>
      <c r="C246" s="442" t="s">
        <v>2002</v>
      </c>
      <c r="D246" s="443" t="s">
        <v>2003</v>
      </c>
      <c r="E246" s="444" t="s">
        <v>303</v>
      </c>
      <c r="F246" s="450">
        <v>689069</v>
      </c>
      <c r="G246" s="447" t="s">
        <v>1678</v>
      </c>
      <c r="H246" s="447"/>
      <c r="I246" s="447"/>
      <c r="J246" s="447"/>
      <c r="K246" s="447"/>
      <c r="L246" s="447"/>
      <c r="M246" s="447"/>
      <c r="N246" s="449"/>
    </row>
    <row r="247" spans="1:14">
      <c r="A247" s="431">
        <f t="shared" si="4"/>
        <v>241</v>
      </c>
      <c r="B247" s="592"/>
      <c r="D247" s="443" t="s">
        <v>2004</v>
      </c>
      <c r="E247" s="444" t="s">
        <v>303</v>
      </c>
      <c r="G247" s="447" t="s">
        <v>1678</v>
      </c>
      <c r="H247" s="447"/>
      <c r="I247" s="447"/>
      <c r="J247" s="447"/>
      <c r="K247" s="447"/>
      <c r="L247" s="447"/>
      <c r="M247" s="447"/>
      <c r="N247" s="449"/>
    </row>
    <row r="248" spans="1:14">
      <c r="A248" s="431">
        <f t="shared" si="4"/>
        <v>242</v>
      </c>
      <c r="B248" s="592" t="s">
        <v>1047</v>
      </c>
      <c r="C248" s="442" t="s">
        <v>2005</v>
      </c>
      <c r="D248" s="443" t="s">
        <v>2006</v>
      </c>
      <c r="E248" s="444" t="s">
        <v>303</v>
      </c>
      <c r="F248" s="450">
        <v>875329</v>
      </c>
      <c r="G248" s="447"/>
      <c r="H248" s="447" t="s">
        <v>1678</v>
      </c>
      <c r="I248" s="447" t="s">
        <v>1678</v>
      </c>
      <c r="J248" s="447"/>
      <c r="K248" s="447"/>
      <c r="L248" s="447"/>
      <c r="M248" s="447"/>
      <c r="N248" s="449" t="s">
        <v>2007</v>
      </c>
    </row>
    <row r="249" spans="1:14">
      <c r="A249" s="431">
        <f t="shared" si="4"/>
        <v>243</v>
      </c>
      <c r="B249" s="592" t="s">
        <v>1043</v>
      </c>
      <c r="C249" s="442" t="s">
        <v>2008</v>
      </c>
      <c r="D249" s="443" t="s">
        <v>2009</v>
      </c>
      <c r="E249" s="444" t="s">
        <v>303</v>
      </c>
      <c r="F249" s="450">
        <v>6387656</v>
      </c>
      <c r="G249" s="447" t="s">
        <v>1678</v>
      </c>
      <c r="H249" s="447"/>
      <c r="I249" s="447"/>
      <c r="J249" s="447"/>
      <c r="K249" s="447"/>
      <c r="L249" s="447"/>
      <c r="M249" s="447"/>
      <c r="N249" s="449"/>
    </row>
    <row r="250" spans="1:14">
      <c r="A250" s="431">
        <f t="shared" si="4"/>
        <v>244</v>
      </c>
      <c r="B250" s="592"/>
      <c r="D250" s="443" t="s">
        <v>1768</v>
      </c>
      <c r="E250" s="444" t="s">
        <v>303</v>
      </c>
      <c r="G250" s="447" t="s">
        <v>1678</v>
      </c>
      <c r="H250" s="447"/>
      <c r="I250" s="447"/>
      <c r="J250" s="447"/>
      <c r="K250" s="447"/>
      <c r="L250" s="447"/>
      <c r="M250" s="447"/>
      <c r="N250" s="449"/>
    </row>
    <row r="251" spans="1:14" ht="29">
      <c r="A251" s="431">
        <f t="shared" si="4"/>
        <v>245</v>
      </c>
      <c r="B251" s="592"/>
      <c r="D251" s="443" t="s">
        <v>2010</v>
      </c>
      <c r="E251" s="444" t="s">
        <v>303</v>
      </c>
      <c r="G251" s="447" t="s">
        <v>1678</v>
      </c>
      <c r="H251" s="447"/>
      <c r="I251" s="447"/>
      <c r="J251" s="447"/>
      <c r="K251" s="447"/>
      <c r="L251" s="447"/>
      <c r="M251" s="447"/>
      <c r="N251" s="449"/>
    </row>
    <row r="252" spans="1:14">
      <c r="A252" s="431">
        <f t="shared" si="4"/>
        <v>246</v>
      </c>
      <c r="B252" s="592"/>
      <c r="D252" s="443" t="s">
        <v>2011</v>
      </c>
      <c r="E252" s="444" t="s">
        <v>303</v>
      </c>
      <c r="G252" s="447" t="s">
        <v>1678</v>
      </c>
      <c r="H252" s="447"/>
      <c r="I252" s="447"/>
      <c r="J252" s="447"/>
      <c r="K252" s="447"/>
      <c r="L252" s="447"/>
      <c r="M252" s="447"/>
      <c r="N252" s="449"/>
    </row>
    <row r="253" spans="1:14">
      <c r="A253" s="431">
        <f t="shared" si="4"/>
        <v>247</v>
      </c>
      <c r="B253" s="592"/>
      <c r="D253" s="443" t="s">
        <v>2012</v>
      </c>
      <c r="E253" s="444" t="s">
        <v>303</v>
      </c>
      <c r="G253" s="447" t="s">
        <v>1678</v>
      </c>
      <c r="H253" s="447"/>
      <c r="I253" s="447"/>
      <c r="J253" s="447"/>
      <c r="K253" s="447"/>
      <c r="L253" s="447"/>
      <c r="M253" s="447"/>
      <c r="N253" s="449"/>
    </row>
    <row r="254" spans="1:14">
      <c r="A254" s="431">
        <f t="shared" si="4"/>
        <v>248</v>
      </c>
      <c r="B254" s="592"/>
      <c r="D254" s="443" t="s">
        <v>2013</v>
      </c>
      <c r="E254" s="444" t="s">
        <v>303</v>
      </c>
      <c r="G254" s="447" t="s">
        <v>1678</v>
      </c>
      <c r="H254" s="447"/>
      <c r="I254" s="447"/>
      <c r="J254" s="447"/>
      <c r="K254" s="447"/>
      <c r="L254" s="447"/>
      <c r="M254" s="447"/>
      <c r="N254" s="449"/>
    </row>
    <row r="255" spans="1:14">
      <c r="A255" s="431">
        <f t="shared" si="4"/>
        <v>249</v>
      </c>
      <c r="B255" s="592" t="s">
        <v>1045</v>
      </c>
      <c r="C255" s="442" t="s">
        <v>2014</v>
      </c>
      <c r="D255" s="443" t="s">
        <v>2015</v>
      </c>
      <c r="E255" s="444" t="s">
        <v>1723</v>
      </c>
      <c r="F255" s="450">
        <v>1895702</v>
      </c>
      <c r="G255" s="447" t="s">
        <v>1678</v>
      </c>
      <c r="H255" s="447"/>
      <c r="I255" s="447"/>
      <c r="J255" s="447"/>
      <c r="K255" s="447"/>
      <c r="L255" s="447"/>
      <c r="M255" s="447"/>
      <c r="N255" s="449"/>
    </row>
    <row r="256" spans="1:14" ht="18" customHeight="1">
      <c r="A256" s="431">
        <f t="shared" si="4"/>
        <v>250</v>
      </c>
      <c r="B256" s="592" t="s">
        <v>1049</v>
      </c>
      <c r="C256" s="442" t="s">
        <v>2016</v>
      </c>
      <c r="D256" s="443" t="s">
        <v>2017</v>
      </c>
      <c r="G256" s="447" t="s">
        <v>1678</v>
      </c>
      <c r="H256" s="447"/>
      <c r="I256" s="447"/>
      <c r="J256" s="447"/>
      <c r="K256" s="447"/>
      <c r="L256" s="447"/>
      <c r="M256" s="447"/>
      <c r="N256" s="449"/>
    </row>
    <row r="257" spans="1:14">
      <c r="A257" s="431">
        <f t="shared" si="4"/>
        <v>251</v>
      </c>
      <c r="B257" s="592"/>
      <c r="D257" s="443" t="s">
        <v>2018</v>
      </c>
      <c r="F257" s="445"/>
      <c r="G257" s="457" t="s">
        <v>1678</v>
      </c>
      <c r="H257" s="457"/>
      <c r="I257" s="458"/>
      <c r="J257" s="458"/>
      <c r="K257" s="457"/>
      <c r="L257" s="459"/>
      <c r="M257" s="460"/>
      <c r="N257" s="449"/>
    </row>
    <row r="258" spans="1:14">
      <c r="A258" s="431">
        <f t="shared" si="4"/>
        <v>252</v>
      </c>
      <c r="B258" s="592" t="s">
        <v>1051</v>
      </c>
      <c r="C258" s="442" t="s">
        <v>2019</v>
      </c>
      <c r="D258" s="443" t="s">
        <v>2020</v>
      </c>
      <c r="E258" s="444" t="s">
        <v>303</v>
      </c>
      <c r="F258" s="450">
        <v>2888367</v>
      </c>
      <c r="G258" s="447" t="s">
        <v>1678</v>
      </c>
      <c r="H258" s="447"/>
      <c r="I258" s="447"/>
      <c r="J258" s="447"/>
      <c r="K258" s="447"/>
      <c r="L258" s="447"/>
      <c r="M258" s="447"/>
      <c r="N258" s="449"/>
    </row>
    <row r="259" spans="1:14">
      <c r="A259" s="431">
        <f t="shared" si="4"/>
        <v>253</v>
      </c>
      <c r="B259" s="592"/>
      <c r="D259" s="443" t="s">
        <v>2021</v>
      </c>
      <c r="E259" s="444" t="s">
        <v>303</v>
      </c>
      <c r="G259" s="447" t="s">
        <v>1678</v>
      </c>
      <c r="H259" s="447"/>
      <c r="I259" s="447"/>
      <c r="J259" s="447"/>
      <c r="K259" s="447"/>
      <c r="L259" s="447"/>
      <c r="M259" s="447"/>
      <c r="N259" s="449"/>
    </row>
    <row r="260" spans="1:14">
      <c r="A260" s="431">
        <f t="shared" si="4"/>
        <v>254</v>
      </c>
      <c r="B260" s="592"/>
      <c r="D260" s="443" t="s">
        <v>2022</v>
      </c>
      <c r="E260" s="444" t="s">
        <v>303</v>
      </c>
      <c r="G260" s="447" t="s">
        <v>1678</v>
      </c>
      <c r="H260" s="447"/>
      <c r="I260" s="447"/>
      <c r="J260" s="447"/>
      <c r="K260" s="448"/>
      <c r="L260" s="447"/>
      <c r="M260" s="447"/>
      <c r="N260" s="449"/>
    </row>
    <row r="261" spans="1:14">
      <c r="A261" s="431">
        <f t="shared" si="4"/>
        <v>255</v>
      </c>
      <c r="B261" s="592"/>
      <c r="D261" s="443" t="s">
        <v>2023</v>
      </c>
      <c r="E261" s="444" t="s">
        <v>303</v>
      </c>
      <c r="G261" s="447" t="s">
        <v>1678</v>
      </c>
      <c r="H261" s="447"/>
      <c r="I261" s="447"/>
      <c r="J261" s="447"/>
      <c r="K261" s="448"/>
      <c r="L261" s="447"/>
      <c r="M261" s="447"/>
      <c r="N261" s="449"/>
    </row>
    <row r="262" spans="1:14">
      <c r="A262" s="431">
        <f t="shared" si="4"/>
        <v>256</v>
      </c>
      <c r="B262" s="592"/>
      <c r="D262" s="443" t="s">
        <v>2024</v>
      </c>
      <c r="E262" s="444" t="s">
        <v>303</v>
      </c>
      <c r="G262" s="447" t="s">
        <v>1678</v>
      </c>
      <c r="H262" s="447"/>
      <c r="I262" s="447"/>
      <c r="J262" s="447"/>
      <c r="K262" s="448"/>
      <c r="L262" s="447"/>
      <c r="M262" s="447"/>
      <c r="N262" s="449"/>
    </row>
    <row r="263" spans="1:14">
      <c r="A263" s="431">
        <f t="shared" si="4"/>
        <v>257</v>
      </c>
      <c r="B263" s="592" t="s">
        <v>1053</v>
      </c>
      <c r="C263" s="442" t="s">
        <v>2025</v>
      </c>
      <c r="D263" s="443" t="s">
        <v>2026</v>
      </c>
      <c r="E263" s="444" t="s">
        <v>303</v>
      </c>
      <c r="F263" s="450">
        <v>7229447</v>
      </c>
      <c r="G263" s="447" t="s">
        <v>1678</v>
      </c>
      <c r="H263" s="447"/>
      <c r="I263" s="447"/>
      <c r="J263" s="447"/>
      <c r="K263" s="448"/>
      <c r="L263" s="447"/>
      <c r="M263" s="447"/>
      <c r="N263" s="449"/>
    </row>
    <row r="264" spans="1:14">
      <c r="A264" s="431">
        <f t="shared" si="4"/>
        <v>258</v>
      </c>
      <c r="B264" s="592"/>
      <c r="D264" s="443" t="s">
        <v>1768</v>
      </c>
      <c r="E264" s="444" t="s">
        <v>303</v>
      </c>
      <c r="G264" s="447" t="s">
        <v>1678</v>
      </c>
      <c r="H264" s="447"/>
      <c r="I264" s="447"/>
      <c r="J264" s="447"/>
      <c r="K264" s="448"/>
      <c r="L264" s="447"/>
      <c r="M264" s="447"/>
      <c r="N264" s="449"/>
    </row>
    <row r="265" spans="1:14">
      <c r="A265" s="431">
        <f t="shared" si="4"/>
        <v>259</v>
      </c>
      <c r="B265" s="592"/>
      <c r="D265" s="443" t="s">
        <v>2027</v>
      </c>
      <c r="E265" s="444" t="s">
        <v>303</v>
      </c>
      <c r="G265" s="447" t="s">
        <v>1678</v>
      </c>
      <c r="H265" s="447"/>
      <c r="I265" s="447"/>
      <c r="J265" s="447"/>
      <c r="K265" s="448"/>
      <c r="L265" s="447"/>
      <c r="M265" s="447"/>
      <c r="N265" s="449"/>
    </row>
    <row r="266" spans="1:14">
      <c r="A266" s="431">
        <f t="shared" si="4"/>
        <v>260</v>
      </c>
      <c r="B266" s="592"/>
      <c r="D266" s="443" t="s">
        <v>2028</v>
      </c>
      <c r="E266" s="444" t="s">
        <v>303</v>
      </c>
      <c r="G266" s="447" t="s">
        <v>1678</v>
      </c>
      <c r="H266" s="447"/>
      <c r="I266" s="447"/>
      <c r="J266" s="447"/>
      <c r="K266" s="461"/>
      <c r="L266" s="447"/>
      <c r="M266" s="447"/>
      <c r="N266" s="449"/>
    </row>
    <row r="267" spans="1:14">
      <c r="A267" s="431">
        <f t="shared" si="4"/>
        <v>261</v>
      </c>
      <c r="B267" s="592" t="s">
        <v>1055</v>
      </c>
      <c r="C267" s="442" t="s">
        <v>2029</v>
      </c>
      <c r="D267" s="443" t="s">
        <v>2030</v>
      </c>
      <c r="E267" s="444" t="s">
        <v>303</v>
      </c>
      <c r="F267" s="450">
        <v>1769604</v>
      </c>
      <c r="G267" s="447" t="s">
        <v>1678</v>
      </c>
      <c r="H267" s="447"/>
      <c r="I267" s="447"/>
      <c r="J267" s="447"/>
      <c r="K267" s="461"/>
      <c r="L267" s="447"/>
      <c r="M267" s="447"/>
      <c r="N267" s="449"/>
    </row>
    <row r="268" spans="1:14">
      <c r="A268" s="431">
        <f t="shared" si="4"/>
        <v>262</v>
      </c>
      <c r="B268" s="592"/>
      <c r="D268" s="443" t="s">
        <v>2031</v>
      </c>
      <c r="E268" s="444" t="s">
        <v>303</v>
      </c>
      <c r="G268" s="447" t="s">
        <v>1678</v>
      </c>
      <c r="H268" s="447"/>
      <c r="I268" s="447"/>
      <c r="J268" s="447"/>
      <c r="K268" s="448"/>
      <c r="L268" s="447"/>
      <c r="M268" s="447"/>
      <c r="N268" s="449"/>
    </row>
    <row r="269" spans="1:14" ht="29">
      <c r="A269" s="431">
        <f t="shared" si="4"/>
        <v>263</v>
      </c>
      <c r="B269" s="592"/>
      <c r="D269" s="443" t="s">
        <v>1685</v>
      </c>
      <c r="E269" s="444" t="s">
        <v>303</v>
      </c>
      <c r="G269" s="447"/>
      <c r="H269" s="447" t="s">
        <v>1678</v>
      </c>
      <c r="I269" s="447"/>
      <c r="J269" s="447"/>
      <c r="K269" s="448"/>
      <c r="L269" s="447"/>
      <c r="M269" s="447"/>
      <c r="N269" s="449" t="s">
        <v>2032</v>
      </c>
    </row>
    <row r="270" spans="1:14">
      <c r="A270" s="431">
        <f t="shared" si="4"/>
        <v>264</v>
      </c>
      <c r="B270" s="592" t="s">
        <v>1058</v>
      </c>
      <c r="C270" s="442" t="s">
        <v>2033</v>
      </c>
      <c r="D270" s="443" t="s">
        <v>1832</v>
      </c>
      <c r="E270" s="444" t="s">
        <v>303</v>
      </c>
      <c r="F270" s="450">
        <v>1910050</v>
      </c>
      <c r="G270" s="447" t="s">
        <v>1678</v>
      </c>
      <c r="H270" s="447"/>
      <c r="I270" s="447"/>
      <c r="J270" s="447"/>
      <c r="K270" s="448"/>
      <c r="L270" s="447"/>
      <c r="M270" s="447"/>
      <c r="N270" s="449"/>
    </row>
    <row r="271" spans="1:14" ht="29">
      <c r="A271" s="431">
        <f t="shared" si="4"/>
        <v>265</v>
      </c>
      <c r="B271" s="592" t="s">
        <v>1060</v>
      </c>
      <c r="C271" s="442" t="s">
        <v>2034</v>
      </c>
      <c r="D271" s="443" t="s">
        <v>2035</v>
      </c>
      <c r="E271" s="444" t="s">
        <v>303</v>
      </c>
      <c r="F271" s="450">
        <v>16311512</v>
      </c>
      <c r="G271" s="447" t="s">
        <v>1678</v>
      </c>
      <c r="H271" s="447"/>
      <c r="I271" s="447"/>
      <c r="J271" s="447"/>
      <c r="K271" s="448"/>
      <c r="L271" s="447"/>
      <c r="M271" s="447"/>
      <c r="N271" s="449"/>
    </row>
    <row r="272" spans="1:14">
      <c r="A272" s="431">
        <f t="shared" si="4"/>
        <v>266</v>
      </c>
      <c r="B272" s="592"/>
      <c r="D272" s="443" t="s">
        <v>2036</v>
      </c>
      <c r="E272" s="444" t="s">
        <v>303</v>
      </c>
      <c r="G272" s="447" t="s">
        <v>1678</v>
      </c>
      <c r="H272" s="447"/>
      <c r="I272" s="447"/>
      <c r="J272" s="447"/>
      <c r="K272" s="448"/>
      <c r="L272" s="447"/>
      <c r="M272" s="447"/>
      <c r="N272" s="449"/>
    </row>
    <row r="273" spans="1:14">
      <c r="A273" s="431">
        <f t="shared" si="4"/>
        <v>267</v>
      </c>
      <c r="B273" s="592"/>
      <c r="D273" s="443" t="s">
        <v>2037</v>
      </c>
      <c r="E273" s="444" t="s">
        <v>303</v>
      </c>
      <c r="G273" s="447" t="s">
        <v>1678</v>
      </c>
      <c r="H273" s="447"/>
      <c r="I273" s="447"/>
      <c r="J273" s="447"/>
      <c r="K273" s="448"/>
      <c r="L273" s="447"/>
      <c r="M273" s="447"/>
      <c r="N273" s="449"/>
    </row>
    <row r="274" spans="1:14" ht="29">
      <c r="A274" s="431">
        <f t="shared" si="4"/>
        <v>268</v>
      </c>
      <c r="B274" s="592"/>
      <c r="D274" s="443" t="s">
        <v>2038</v>
      </c>
      <c r="E274" s="444" t="s">
        <v>303</v>
      </c>
      <c r="G274" s="447" t="s">
        <v>1678</v>
      </c>
      <c r="H274" s="447"/>
      <c r="I274" s="447"/>
      <c r="J274" s="447"/>
      <c r="K274" s="448"/>
      <c r="L274" s="447"/>
      <c r="M274" s="447"/>
      <c r="N274" s="449"/>
    </row>
    <row r="275" spans="1:14">
      <c r="A275" s="431">
        <f t="shared" si="4"/>
        <v>269</v>
      </c>
      <c r="B275" s="592"/>
      <c r="D275" s="443" t="s">
        <v>2039</v>
      </c>
      <c r="E275" s="444" t="s">
        <v>303</v>
      </c>
      <c r="G275" s="447" t="s">
        <v>1678</v>
      </c>
      <c r="H275" s="447"/>
      <c r="I275" s="447"/>
      <c r="J275" s="447"/>
      <c r="K275" s="448"/>
      <c r="L275" s="447"/>
      <c r="M275" s="447"/>
      <c r="N275" s="449"/>
    </row>
    <row r="276" spans="1:14">
      <c r="A276" s="431">
        <f t="shared" ref="A276:A342" si="5">A275+1</f>
        <v>270</v>
      </c>
      <c r="B276" s="592"/>
      <c r="D276" s="443" t="s">
        <v>2040</v>
      </c>
      <c r="E276" s="444" t="s">
        <v>303</v>
      </c>
      <c r="G276" s="447" t="s">
        <v>1678</v>
      </c>
      <c r="H276" s="447"/>
      <c r="I276" s="447"/>
      <c r="J276" s="447"/>
      <c r="K276" s="448"/>
      <c r="L276" s="447"/>
      <c r="M276" s="447"/>
      <c r="N276" s="449"/>
    </row>
    <row r="277" spans="1:14">
      <c r="A277" s="431">
        <f t="shared" si="5"/>
        <v>271</v>
      </c>
      <c r="B277" s="592"/>
      <c r="D277" s="443" t="s">
        <v>1875</v>
      </c>
      <c r="E277" s="444" t="s">
        <v>303</v>
      </c>
      <c r="G277" s="447" t="s">
        <v>1678</v>
      </c>
      <c r="H277" s="447"/>
      <c r="I277" s="447"/>
      <c r="J277" s="447"/>
      <c r="K277" s="448"/>
      <c r="L277" s="447"/>
      <c r="M277" s="447"/>
      <c r="N277" s="449"/>
    </row>
    <row r="278" spans="1:14">
      <c r="A278" s="431">
        <f t="shared" si="5"/>
        <v>272</v>
      </c>
      <c r="B278" s="592" t="s">
        <v>1062</v>
      </c>
      <c r="C278" s="442" t="s">
        <v>2041</v>
      </c>
      <c r="D278" s="443" t="s">
        <v>2042</v>
      </c>
      <c r="E278" s="444" t="s">
        <v>303</v>
      </c>
      <c r="F278" s="450">
        <v>722677</v>
      </c>
      <c r="G278" s="447" t="s">
        <v>1678</v>
      </c>
      <c r="H278" s="447"/>
      <c r="I278" s="447"/>
      <c r="J278" s="447"/>
      <c r="K278" s="448"/>
      <c r="L278" s="447"/>
      <c r="M278" s="447"/>
      <c r="N278" s="449"/>
    </row>
    <row r="279" spans="1:14">
      <c r="A279" s="431">
        <f t="shared" si="5"/>
        <v>273</v>
      </c>
      <c r="B279" s="592"/>
      <c r="D279" s="443" t="s">
        <v>1859</v>
      </c>
      <c r="E279" s="444" t="s">
        <v>303</v>
      </c>
      <c r="G279" s="447"/>
      <c r="H279" s="447" t="s">
        <v>1678</v>
      </c>
      <c r="I279" s="447"/>
      <c r="J279" s="447"/>
      <c r="K279" s="448"/>
      <c r="L279" s="447"/>
      <c r="M279" s="447"/>
      <c r="N279" s="449" t="s">
        <v>2043</v>
      </c>
    </row>
    <row r="280" spans="1:14">
      <c r="A280" s="431">
        <f t="shared" si="5"/>
        <v>274</v>
      </c>
      <c r="B280" s="592"/>
      <c r="D280" s="443" t="s">
        <v>2044</v>
      </c>
      <c r="G280" s="447" t="s">
        <v>1678</v>
      </c>
      <c r="H280" s="447"/>
      <c r="I280" s="447"/>
      <c r="J280" s="447"/>
      <c r="K280" s="448"/>
      <c r="L280" s="447"/>
      <c r="M280" s="447"/>
      <c r="N280" s="449"/>
    </row>
    <row r="281" spans="1:14">
      <c r="A281" s="431">
        <f t="shared" si="5"/>
        <v>275</v>
      </c>
      <c r="B281" s="592" t="s">
        <v>1064</v>
      </c>
      <c r="C281" s="442" t="s">
        <v>2045</v>
      </c>
      <c r="D281" s="443" t="s">
        <v>2046</v>
      </c>
      <c r="E281" s="444" t="s">
        <v>303</v>
      </c>
      <c r="F281" s="450">
        <v>1673183</v>
      </c>
      <c r="G281" s="447" t="s">
        <v>1678</v>
      </c>
      <c r="H281" s="447"/>
      <c r="I281" s="447"/>
      <c r="J281" s="447"/>
      <c r="K281" s="448"/>
      <c r="L281" s="447"/>
      <c r="M281" s="447"/>
      <c r="N281" s="449"/>
    </row>
    <row r="282" spans="1:14">
      <c r="A282" s="431">
        <f t="shared" si="5"/>
        <v>276</v>
      </c>
      <c r="B282" s="592"/>
      <c r="D282" s="443" t="s">
        <v>1859</v>
      </c>
      <c r="E282" s="444" t="s">
        <v>303</v>
      </c>
      <c r="G282" s="447"/>
      <c r="H282" s="447" t="s">
        <v>1678</v>
      </c>
      <c r="I282" s="447"/>
      <c r="J282" s="447"/>
      <c r="K282" s="448"/>
      <c r="L282" s="447"/>
      <c r="M282" s="447"/>
      <c r="N282" s="449" t="s">
        <v>2047</v>
      </c>
    </row>
    <row r="283" spans="1:14">
      <c r="A283" s="431">
        <f t="shared" si="5"/>
        <v>277</v>
      </c>
      <c r="B283" s="592"/>
      <c r="D283" s="443" t="s">
        <v>2048</v>
      </c>
      <c r="E283" s="444" t="s">
        <v>303</v>
      </c>
      <c r="G283" s="447"/>
      <c r="H283" s="447" t="s">
        <v>1678</v>
      </c>
      <c r="I283" s="447"/>
      <c r="J283" s="447"/>
      <c r="K283" s="448"/>
      <c r="L283" s="447"/>
      <c r="M283" s="447"/>
      <c r="N283" s="449" t="s">
        <v>2047</v>
      </c>
    </row>
    <row r="284" spans="1:14">
      <c r="A284" s="431">
        <f t="shared" si="5"/>
        <v>278</v>
      </c>
      <c r="B284" s="592"/>
      <c r="D284" s="443" t="s">
        <v>2049</v>
      </c>
      <c r="G284" s="447" t="s">
        <v>1678</v>
      </c>
      <c r="H284" s="447"/>
      <c r="I284" s="447"/>
      <c r="J284" s="447"/>
      <c r="K284" s="448"/>
      <c r="L284" s="447"/>
      <c r="M284" s="447"/>
      <c r="N284" s="449"/>
    </row>
    <row r="285" spans="1:14">
      <c r="A285" s="431">
        <f t="shared" si="5"/>
        <v>279</v>
      </c>
      <c r="B285" s="592" t="s">
        <v>2050</v>
      </c>
      <c r="C285" s="442" t="s">
        <v>2051</v>
      </c>
      <c r="D285" s="443" t="s">
        <v>2052</v>
      </c>
      <c r="E285" s="444" t="s">
        <v>1723</v>
      </c>
      <c r="G285" s="447" t="s">
        <v>1678</v>
      </c>
      <c r="H285" s="447"/>
      <c r="I285" s="447"/>
      <c r="J285" s="447"/>
      <c r="K285" s="448"/>
      <c r="L285" s="447"/>
      <c r="M285" s="447"/>
      <c r="N285" s="449"/>
    </row>
    <row r="286" spans="1:14">
      <c r="A286" s="431">
        <f t="shared" si="5"/>
        <v>280</v>
      </c>
      <c r="B286" s="592" t="s">
        <v>1070</v>
      </c>
      <c r="C286" s="442" t="s">
        <v>2053</v>
      </c>
      <c r="D286" s="443" t="s">
        <v>2054</v>
      </c>
      <c r="E286" s="444" t="s">
        <v>303</v>
      </c>
      <c r="F286" s="450">
        <v>1663692</v>
      </c>
      <c r="G286" s="447" t="s">
        <v>1678</v>
      </c>
      <c r="H286" s="447"/>
      <c r="I286" s="447"/>
      <c r="J286" s="447"/>
      <c r="K286" s="448"/>
      <c r="L286" s="447"/>
      <c r="M286" s="447"/>
      <c r="N286" s="449"/>
    </row>
    <row r="287" spans="1:14">
      <c r="A287" s="431">
        <f t="shared" si="5"/>
        <v>281</v>
      </c>
      <c r="B287" s="592"/>
      <c r="D287" s="443" t="s">
        <v>2055</v>
      </c>
      <c r="E287" s="444" t="s">
        <v>303</v>
      </c>
      <c r="G287" s="447" t="s">
        <v>1678</v>
      </c>
      <c r="H287" s="447"/>
      <c r="I287" s="447"/>
      <c r="J287" s="447"/>
      <c r="K287" s="448"/>
      <c r="L287" s="447"/>
      <c r="M287" s="447"/>
      <c r="N287" s="449"/>
    </row>
    <row r="288" spans="1:14">
      <c r="A288" s="431">
        <f t="shared" si="5"/>
        <v>282</v>
      </c>
      <c r="B288" s="592" t="s">
        <v>1072</v>
      </c>
      <c r="C288" s="442" t="s">
        <v>2056</v>
      </c>
      <c r="D288" s="443" t="s">
        <v>2057</v>
      </c>
      <c r="E288" s="444" t="s">
        <v>303</v>
      </c>
      <c r="F288" s="450">
        <v>3881526</v>
      </c>
      <c r="G288" s="447" t="s">
        <v>1678</v>
      </c>
      <c r="H288" s="447"/>
      <c r="I288" s="447"/>
      <c r="J288" s="447"/>
      <c r="K288" s="448"/>
      <c r="L288" s="447"/>
      <c r="M288" s="447"/>
      <c r="N288" s="449"/>
    </row>
    <row r="289" spans="1:14">
      <c r="A289" s="431">
        <f t="shared" si="5"/>
        <v>283</v>
      </c>
      <c r="B289" s="592"/>
      <c r="D289" s="443" t="s">
        <v>2058</v>
      </c>
      <c r="E289" s="444" t="s">
        <v>303</v>
      </c>
      <c r="G289" s="447" t="s">
        <v>1678</v>
      </c>
      <c r="H289" s="447"/>
      <c r="I289" s="447"/>
      <c r="J289" s="447"/>
      <c r="K289" s="448"/>
      <c r="L289" s="447"/>
      <c r="M289" s="447"/>
      <c r="N289" s="449"/>
    </row>
    <row r="290" spans="1:14">
      <c r="A290" s="431">
        <f t="shared" si="5"/>
        <v>284</v>
      </c>
      <c r="B290" s="592"/>
      <c r="D290" s="443" t="s">
        <v>2059</v>
      </c>
      <c r="E290" s="444" t="s">
        <v>303</v>
      </c>
      <c r="G290" s="447" t="s">
        <v>1678</v>
      </c>
      <c r="H290" s="447"/>
      <c r="I290" s="447"/>
      <c r="J290" s="447"/>
      <c r="K290" s="448"/>
      <c r="L290" s="447"/>
      <c r="M290" s="447"/>
      <c r="N290" s="449"/>
    </row>
    <row r="291" spans="1:14" ht="29">
      <c r="A291" s="431">
        <f t="shared" si="5"/>
        <v>285</v>
      </c>
      <c r="B291" s="592"/>
      <c r="D291" s="443" t="s">
        <v>2060</v>
      </c>
      <c r="E291" s="444" t="s">
        <v>303</v>
      </c>
      <c r="G291" s="447"/>
      <c r="H291" s="447" t="s">
        <v>1678</v>
      </c>
      <c r="I291" s="447"/>
      <c r="J291" s="447"/>
      <c r="K291" s="448"/>
      <c r="L291" s="447"/>
      <c r="M291" s="447"/>
      <c r="N291" s="449" t="s">
        <v>2061</v>
      </c>
    </row>
    <row r="292" spans="1:14">
      <c r="A292" s="431">
        <f t="shared" si="5"/>
        <v>286</v>
      </c>
      <c r="B292" s="592"/>
      <c r="D292" s="443" t="s">
        <v>2062</v>
      </c>
      <c r="G292" s="447" t="s">
        <v>1678</v>
      </c>
      <c r="H292" s="447"/>
      <c r="I292" s="447"/>
      <c r="J292" s="447"/>
      <c r="K292" s="448"/>
      <c r="L292" s="447"/>
      <c r="M292" s="447"/>
      <c r="N292" s="449"/>
    </row>
    <row r="293" spans="1:14" ht="29">
      <c r="A293" s="431">
        <f t="shared" si="5"/>
        <v>287</v>
      </c>
      <c r="B293" s="592" t="s">
        <v>1078</v>
      </c>
      <c r="C293" s="442" t="s">
        <v>2063</v>
      </c>
      <c r="D293" s="443" t="s">
        <v>2064</v>
      </c>
      <c r="E293" s="444" t="s">
        <v>303</v>
      </c>
      <c r="F293" s="450">
        <v>4281555</v>
      </c>
      <c r="G293" s="447" t="s">
        <v>1678</v>
      </c>
      <c r="H293" s="447"/>
      <c r="I293" s="447"/>
      <c r="J293" s="447"/>
      <c r="K293" s="447"/>
      <c r="L293" s="447"/>
      <c r="M293" s="447"/>
      <c r="N293" s="449"/>
    </row>
    <row r="294" spans="1:14">
      <c r="A294" s="431">
        <f t="shared" si="5"/>
        <v>288</v>
      </c>
      <c r="B294" s="592"/>
      <c r="D294" s="443" t="s">
        <v>2065</v>
      </c>
      <c r="E294" s="444" t="s">
        <v>303</v>
      </c>
      <c r="G294" s="447" t="s">
        <v>1678</v>
      </c>
      <c r="H294" s="447"/>
      <c r="I294" s="447"/>
      <c r="J294" s="447"/>
      <c r="K294" s="447"/>
      <c r="L294" s="447"/>
      <c r="M294" s="447"/>
      <c r="N294" s="449"/>
    </row>
    <row r="295" spans="1:14">
      <c r="A295" s="431">
        <f t="shared" si="5"/>
        <v>289</v>
      </c>
      <c r="B295" s="592"/>
      <c r="D295" s="443" t="s">
        <v>2066</v>
      </c>
      <c r="E295" s="444" t="s">
        <v>303</v>
      </c>
      <c r="G295" s="447" t="s">
        <v>1678</v>
      </c>
      <c r="H295" s="447"/>
      <c r="I295" s="447"/>
      <c r="J295" s="447"/>
      <c r="K295" s="447"/>
      <c r="L295" s="447"/>
      <c r="M295" s="447"/>
      <c r="N295" s="449"/>
    </row>
    <row r="296" spans="1:14" ht="16.5" customHeight="1">
      <c r="A296" s="431">
        <f t="shared" si="5"/>
        <v>290</v>
      </c>
      <c r="B296" s="592"/>
      <c r="D296" s="443" t="s">
        <v>2067</v>
      </c>
      <c r="E296" s="444" t="s">
        <v>303</v>
      </c>
      <c r="G296" s="447" t="s">
        <v>1678</v>
      </c>
      <c r="H296" s="447"/>
      <c r="I296" s="447"/>
      <c r="J296" s="447"/>
      <c r="K296" s="447"/>
      <c r="L296" s="447"/>
      <c r="M296" s="447"/>
      <c r="N296" s="449"/>
    </row>
    <row r="297" spans="1:14" ht="16.5" customHeight="1">
      <c r="A297" s="431">
        <f>A296+1</f>
        <v>291</v>
      </c>
      <c r="B297" s="592" t="s">
        <v>621</v>
      </c>
      <c r="C297" s="442" t="s">
        <v>2068</v>
      </c>
      <c r="D297" s="443" t="s">
        <v>2069</v>
      </c>
      <c r="F297" s="445"/>
      <c r="G297" s="447" t="s">
        <v>1678</v>
      </c>
      <c r="H297" s="447"/>
      <c r="I297" s="469"/>
      <c r="J297" s="469"/>
      <c r="K297" s="447"/>
      <c r="L297" s="470"/>
      <c r="M297" s="460"/>
      <c r="N297" s="449"/>
    </row>
    <row r="298" spans="1:14" ht="16.5" customHeight="1">
      <c r="A298" s="431">
        <f>A297+1</f>
        <v>292</v>
      </c>
      <c r="B298" s="592"/>
      <c r="D298" s="443" t="s">
        <v>2070</v>
      </c>
      <c r="F298" s="445"/>
      <c r="G298" s="447" t="s">
        <v>1678</v>
      </c>
      <c r="H298" s="447"/>
      <c r="I298" s="469"/>
      <c r="J298" s="469"/>
      <c r="K298" s="447"/>
      <c r="L298" s="470"/>
      <c r="M298" s="460"/>
      <c r="N298" s="449"/>
    </row>
    <row r="299" spans="1:14" ht="16.5" customHeight="1">
      <c r="A299" s="431">
        <f>A298+1</f>
        <v>293</v>
      </c>
      <c r="B299" s="592"/>
      <c r="D299" s="443" t="s">
        <v>2071</v>
      </c>
      <c r="F299" s="445"/>
      <c r="G299" s="447" t="s">
        <v>1678</v>
      </c>
      <c r="H299" s="447"/>
      <c r="I299" s="469"/>
      <c r="J299" s="469"/>
      <c r="K299" s="447"/>
      <c r="L299" s="470"/>
      <c r="M299" s="460"/>
      <c r="N299" s="449"/>
    </row>
    <row r="300" spans="1:14">
      <c r="A300" s="431">
        <f>A299+1</f>
        <v>294</v>
      </c>
      <c r="B300" s="592" t="s">
        <v>1083</v>
      </c>
      <c r="C300" s="442" t="s">
        <v>2072</v>
      </c>
      <c r="D300" s="443" t="s">
        <v>2073</v>
      </c>
      <c r="E300" s="444" t="s">
        <v>303</v>
      </c>
      <c r="F300" s="450">
        <v>623513</v>
      </c>
      <c r="G300" s="447" t="s">
        <v>1678</v>
      </c>
      <c r="H300" s="447"/>
      <c r="I300" s="447"/>
      <c r="J300" s="447"/>
      <c r="K300" s="447"/>
      <c r="L300" s="447"/>
      <c r="M300" s="447"/>
      <c r="N300" s="449"/>
    </row>
    <row r="301" spans="1:14">
      <c r="A301" s="431">
        <f t="shared" si="5"/>
        <v>295</v>
      </c>
      <c r="B301" s="592" t="s">
        <v>1085</v>
      </c>
      <c r="C301" s="442" t="s">
        <v>2074</v>
      </c>
      <c r="D301" s="443" t="s">
        <v>2075</v>
      </c>
      <c r="E301" s="444" t="s">
        <v>1723</v>
      </c>
      <c r="F301" s="450">
        <v>1147874</v>
      </c>
      <c r="G301" s="447" t="s">
        <v>1678</v>
      </c>
      <c r="H301" s="447"/>
      <c r="I301" s="447"/>
      <c r="J301" s="447"/>
      <c r="K301" s="447"/>
      <c r="L301" s="447"/>
      <c r="M301" s="447"/>
      <c r="N301" s="449"/>
    </row>
    <row r="302" spans="1:14">
      <c r="A302" s="431">
        <f t="shared" si="5"/>
        <v>296</v>
      </c>
      <c r="B302" s="592"/>
      <c r="D302" s="443" t="s">
        <v>2076</v>
      </c>
      <c r="E302" s="444" t="s">
        <v>1723</v>
      </c>
      <c r="G302" s="447" t="s">
        <v>1678</v>
      </c>
      <c r="H302" s="447"/>
      <c r="I302" s="447"/>
      <c r="J302" s="447"/>
      <c r="K302" s="447"/>
      <c r="L302" s="447"/>
      <c r="M302" s="447"/>
      <c r="N302" s="449"/>
    </row>
    <row r="303" spans="1:14" ht="29">
      <c r="A303" s="431">
        <f t="shared" si="5"/>
        <v>297</v>
      </c>
      <c r="B303" s="592" t="s">
        <v>1087</v>
      </c>
      <c r="C303" s="442" t="s">
        <v>2077</v>
      </c>
      <c r="D303" s="443" t="s">
        <v>2078</v>
      </c>
      <c r="E303" s="444" t="s">
        <v>303</v>
      </c>
      <c r="F303" s="450">
        <v>5686832</v>
      </c>
      <c r="G303" s="447" t="s">
        <v>1678</v>
      </c>
      <c r="H303" s="447"/>
      <c r="I303" s="447"/>
      <c r="J303" s="447"/>
      <c r="K303" s="447"/>
      <c r="L303" s="447"/>
      <c r="M303" s="447"/>
      <c r="N303" s="449"/>
    </row>
    <row r="304" spans="1:14">
      <c r="A304" s="431">
        <f t="shared" si="5"/>
        <v>298</v>
      </c>
      <c r="B304" s="592"/>
      <c r="D304" s="443" t="s">
        <v>2079</v>
      </c>
      <c r="E304" s="444" t="s">
        <v>303</v>
      </c>
      <c r="G304" s="447" t="s">
        <v>1678</v>
      </c>
      <c r="H304" s="447"/>
      <c r="I304" s="447"/>
      <c r="J304" s="447"/>
      <c r="K304" s="447"/>
      <c r="L304" s="447"/>
      <c r="M304" s="447"/>
      <c r="N304" s="449"/>
    </row>
    <row r="305" spans="1:14">
      <c r="A305" s="431">
        <f t="shared" si="5"/>
        <v>299</v>
      </c>
      <c r="B305" s="592"/>
      <c r="D305" s="443" t="s">
        <v>2080</v>
      </c>
      <c r="E305" s="444" t="s">
        <v>303</v>
      </c>
      <c r="G305" s="447" t="s">
        <v>1678</v>
      </c>
      <c r="H305" s="447"/>
      <c r="I305" s="447"/>
      <c r="J305" s="447"/>
      <c r="K305" s="447"/>
      <c r="L305" s="447"/>
      <c r="M305" s="447"/>
      <c r="N305" s="449"/>
    </row>
    <row r="306" spans="1:14">
      <c r="A306" s="431">
        <f t="shared" si="5"/>
        <v>300</v>
      </c>
      <c r="B306" s="592"/>
      <c r="D306" s="443" t="s">
        <v>2081</v>
      </c>
      <c r="G306" s="447" t="s">
        <v>1678</v>
      </c>
      <c r="H306" s="447"/>
      <c r="I306" s="447"/>
      <c r="J306" s="447"/>
      <c r="K306" s="447"/>
      <c r="L306" s="447"/>
      <c r="M306" s="447"/>
      <c r="N306" s="449"/>
    </row>
    <row r="307" spans="1:14" ht="17.25" customHeight="1">
      <c r="A307" s="431">
        <f t="shared" si="5"/>
        <v>301</v>
      </c>
      <c r="B307" s="592" t="s">
        <v>1093</v>
      </c>
      <c r="C307" s="442" t="s">
        <v>2082</v>
      </c>
      <c r="D307" s="443" t="s">
        <v>2083</v>
      </c>
      <c r="E307" s="444" t="s">
        <v>1723</v>
      </c>
      <c r="F307" s="450">
        <v>5035255</v>
      </c>
      <c r="G307" s="447" t="s">
        <v>1678</v>
      </c>
      <c r="H307" s="447"/>
      <c r="I307" s="447"/>
      <c r="J307" s="447"/>
      <c r="K307" s="447"/>
      <c r="L307" s="447"/>
      <c r="M307" s="447"/>
      <c r="N307" s="449"/>
    </row>
    <row r="308" spans="1:14">
      <c r="A308" s="431">
        <f t="shared" si="5"/>
        <v>302</v>
      </c>
      <c r="B308" s="592"/>
      <c r="D308" s="443" t="s">
        <v>1989</v>
      </c>
      <c r="E308" s="444" t="s">
        <v>1723</v>
      </c>
      <c r="G308" s="447" t="s">
        <v>1678</v>
      </c>
      <c r="H308" s="447"/>
      <c r="I308" s="447"/>
      <c r="J308" s="447"/>
      <c r="K308" s="447"/>
      <c r="L308" s="447"/>
      <c r="M308" s="447"/>
      <c r="N308" s="449"/>
    </row>
    <row r="309" spans="1:14">
      <c r="A309" s="431">
        <f t="shared" si="5"/>
        <v>303</v>
      </c>
      <c r="B309" s="592"/>
      <c r="D309" s="443" t="s">
        <v>2084</v>
      </c>
      <c r="E309" s="444" t="s">
        <v>1723</v>
      </c>
      <c r="G309" s="447" t="s">
        <v>1678</v>
      </c>
      <c r="H309" s="447"/>
      <c r="I309" s="447"/>
      <c r="J309" s="447"/>
      <c r="K309" s="447"/>
      <c r="L309" s="447"/>
      <c r="M309" s="447"/>
      <c r="N309" s="449"/>
    </row>
    <row r="310" spans="1:14">
      <c r="A310" s="431">
        <f t="shared" si="5"/>
        <v>304</v>
      </c>
      <c r="B310" s="592"/>
      <c r="D310" s="443" t="s">
        <v>1787</v>
      </c>
      <c r="E310" s="444" t="s">
        <v>1723</v>
      </c>
      <c r="G310" s="447" t="s">
        <v>1678</v>
      </c>
      <c r="H310" s="447"/>
      <c r="I310" s="447"/>
      <c r="J310" s="447"/>
      <c r="K310" s="447"/>
      <c r="L310" s="447"/>
      <c r="M310" s="447"/>
      <c r="N310" s="449"/>
    </row>
    <row r="311" spans="1:14">
      <c r="A311" s="431">
        <f t="shared" si="5"/>
        <v>305</v>
      </c>
      <c r="B311" s="592"/>
      <c r="D311" s="443" t="s">
        <v>2085</v>
      </c>
      <c r="E311" s="444" t="s">
        <v>1723</v>
      </c>
      <c r="G311" s="447" t="s">
        <v>1678</v>
      </c>
      <c r="H311" s="447"/>
      <c r="I311" s="447"/>
      <c r="J311" s="447"/>
      <c r="K311" s="447"/>
      <c r="L311" s="447"/>
      <c r="M311" s="447"/>
      <c r="N311" s="449"/>
    </row>
    <row r="312" spans="1:14" ht="29">
      <c r="A312" s="431">
        <f t="shared" si="5"/>
        <v>306</v>
      </c>
      <c r="B312" s="592" t="s">
        <v>2086</v>
      </c>
      <c r="C312" s="442" t="s">
        <v>2087</v>
      </c>
      <c r="D312" s="443" t="s">
        <v>2088</v>
      </c>
      <c r="E312" s="444" t="s">
        <v>303</v>
      </c>
      <c r="F312" s="450">
        <v>16733099</v>
      </c>
      <c r="G312" s="447" t="s">
        <v>1678</v>
      </c>
      <c r="H312" s="447"/>
      <c r="I312" s="447"/>
      <c r="J312" s="447"/>
      <c r="K312" s="447"/>
      <c r="L312" s="447"/>
      <c r="M312" s="447"/>
      <c r="N312" s="449"/>
    </row>
    <row r="313" spans="1:14">
      <c r="A313" s="431">
        <f t="shared" si="5"/>
        <v>307</v>
      </c>
      <c r="B313" s="592"/>
      <c r="D313" s="443" t="s">
        <v>2089</v>
      </c>
      <c r="E313" s="444" t="s">
        <v>303</v>
      </c>
      <c r="G313" s="447" t="s">
        <v>1678</v>
      </c>
      <c r="H313" s="447"/>
      <c r="I313" s="447"/>
      <c r="J313" s="447"/>
      <c r="K313" s="447"/>
      <c r="L313" s="447"/>
      <c r="M313" s="447"/>
      <c r="N313" s="449"/>
    </row>
    <row r="314" spans="1:14">
      <c r="A314" s="431">
        <f t="shared" si="5"/>
        <v>308</v>
      </c>
      <c r="B314" s="592"/>
      <c r="D314" s="443" t="s">
        <v>2090</v>
      </c>
      <c r="E314" s="444" t="s">
        <v>303</v>
      </c>
      <c r="G314" s="447" t="s">
        <v>1678</v>
      </c>
      <c r="H314" s="447"/>
      <c r="I314" s="447"/>
      <c r="J314" s="447"/>
      <c r="K314" s="447"/>
      <c r="L314" s="447"/>
      <c r="M314" s="447"/>
      <c r="N314" s="449"/>
    </row>
    <row r="315" spans="1:14">
      <c r="A315" s="431">
        <f t="shared" si="5"/>
        <v>309</v>
      </c>
      <c r="B315" s="592"/>
      <c r="D315" s="443" t="s">
        <v>2091</v>
      </c>
      <c r="E315" s="444" t="s">
        <v>303</v>
      </c>
      <c r="G315" s="447" t="s">
        <v>1678</v>
      </c>
      <c r="H315" s="447"/>
      <c r="I315" s="447"/>
      <c r="J315" s="447"/>
      <c r="K315" s="447"/>
      <c r="L315" s="447"/>
      <c r="M315" s="447"/>
      <c r="N315" s="449"/>
    </row>
    <row r="316" spans="1:14">
      <c r="A316" s="431">
        <f t="shared" si="5"/>
        <v>310</v>
      </c>
      <c r="B316" s="592"/>
      <c r="D316" s="443" t="s">
        <v>2092</v>
      </c>
      <c r="E316" s="444" t="s">
        <v>303</v>
      </c>
      <c r="G316" s="447" t="s">
        <v>1678</v>
      </c>
      <c r="H316" s="447"/>
      <c r="I316" s="447"/>
      <c r="J316" s="447"/>
      <c r="K316" s="447"/>
      <c r="L316" s="447"/>
      <c r="M316" s="447"/>
      <c r="N316" s="449"/>
    </row>
    <row r="317" spans="1:14">
      <c r="A317" s="431">
        <f t="shared" si="5"/>
        <v>311</v>
      </c>
      <c r="B317" s="592"/>
      <c r="D317" s="443" t="s">
        <v>2093</v>
      </c>
      <c r="E317" s="444" t="s">
        <v>303</v>
      </c>
      <c r="G317" s="447" t="s">
        <v>1678</v>
      </c>
      <c r="H317" s="447" t="s">
        <v>1678</v>
      </c>
      <c r="I317" s="447"/>
      <c r="J317" s="447"/>
      <c r="K317" s="447"/>
      <c r="L317" s="447"/>
      <c r="M317" s="447"/>
      <c r="N317" s="449" t="s">
        <v>2094</v>
      </c>
    </row>
    <row r="318" spans="1:14">
      <c r="A318" s="431">
        <f t="shared" si="5"/>
        <v>312</v>
      </c>
      <c r="B318" s="592" t="s">
        <v>1097</v>
      </c>
      <c r="C318" s="442" t="s">
        <v>2095</v>
      </c>
      <c r="D318" s="443" t="s">
        <v>2096</v>
      </c>
      <c r="E318" s="444" t="s">
        <v>303</v>
      </c>
      <c r="F318" s="450">
        <v>11004091</v>
      </c>
      <c r="G318" s="447" t="s">
        <v>1678</v>
      </c>
      <c r="H318" s="447"/>
      <c r="I318" s="447"/>
      <c r="J318" s="447"/>
      <c r="K318" s="447"/>
      <c r="L318" s="447"/>
      <c r="M318" s="447"/>
      <c r="N318" s="449"/>
    </row>
    <row r="319" spans="1:14">
      <c r="A319" s="431">
        <f t="shared" si="5"/>
        <v>313</v>
      </c>
      <c r="B319" s="592"/>
      <c r="D319" s="443" t="s">
        <v>2097</v>
      </c>
      <c r="E319" s="444" t="s">
        <v>303</v>
      </c>
      <c r="G319" s="447" t="s">
        <v>1678</v>
      </c>
      <c r="H319" s="447"/>
      <c r="I319" s="447"/>
      <c r="J319" s="447"/>
      <c r="K319" s="447"/>
      <c r="L319" s="447"/>
      <c r="M319" s="447"/>
      <c r="N319" s="449"/>
    </row>
    <row r="320" spans="1:14">
      <c r="A320" s="431">
        <f t="shared" si="5"/>
        <v>314</v>
      </c>
      <c r="B320" s="592"/>
      <c r="D320" s="443" t="s">
        <v>2098</v>
      </c>
      <c r="E320" s="444" t="s">
        <v>303</v>
      </c>
      <c r="G320" s="447" t="s">
        <v>1678</v>
      </c>
      <c r="H320" s="447"/>
      <c r="I320" s="447"/>
      <c r="J320" s="447"/>
      <c r="K320" s="447"/>
      <c r="L320" s="447"/>
      <c r="M320" s="447"/>
      <c r="N320" s="449"/>
    </row>
    <row r="321" spans="1:14">
      <c r="A321" s="431">
        <f t="shared" si="5"/>
        <v>315</v>
      </c>
      <c r="B321" s="592"/>
      <c r="D321" s="443" t="s">
        <v>2099</v>
      </c>
      <c r="E321" s="444" t="s">
        <v>303</v>
      </c>
      <c r="G321" s="447" t="s">
        <v>1678</v>
      </c>
      <c r="H321" s="447"/>
      <c r="I321" s="447"/>
      <c r="J321" s="447"/>
      <c r="K321" s="447"/>
      <c r="L321" s="447"/>
      <c r="M321" s="447"/>
      <c r="N321" s="449"/>
    </row>
    <row r="322" spans="1:14">
      <c r="A322" s="431">
        <f t="shared" si="5"/>
        <v>316</v>
      </c>
      <c r="B322" s="592"/>
      <c r="D322" s="443" t="s">
        <v>2100</v>
      </c>
      <c r="E322" s="444" t="s">
        <v>303</v>
      </c>
      <c r="G322" s="447" t="s">
        <v>1678</v>
      </c>
      <c r="H322" s="447"/>
      <c r="I322" s="447"/>
      <c r="J322" s="447"/>
      <c r="K322" s="447"/>
      <c r="L322" s="447"/>
      <c r="M322" s="447"/>
      <c r="N322" s="449"/>
    </row>
    <row r="323" spans="1:14">
      <c r="A323" s="431">
        <f t="shared" si="5"/>
        <v>317</v>
      </c>
      <c r="B323" s="592"/>
      <c r="D323" s="443" t="s">
        <v>2101</v>
      </c>
      <c r="E323" s="444" t="s">
        <v>303</v>
      </c>
      <c r="G323" s="447" t="s">
        <v>1678</v>
      </c>
      <c r="H323" s="447"/>
      <c r="I323" s="447"/>
      <c r="J323" s="447"/>
      <c r="K323" s="447"/>
      <c r="L323" s="447"/>
      <c r="M323" s="447"/>
      <c r="N323" s="449"/>
    </row>
    <row r="324" spans="1:14" ht="29">
      <c r="A324" s="431">
        <f t="shared" si="5"/>
        <v>318</v>
      </c>
      <c r="B324" s="592" t="s">
        <v>1101</v>
      </c>
      <c r="C324" s="442" t="s">
        <v>2102</v>
      </c>
      <c r="D324" s="443" t="s">
        <v>2103</v>
      </c>
      <c r="E324" s="444" t="s">
        <v>303</v>
      </c>
      <c r="F324" s="450">
        <v>12916958</v>
      </c>
      <c r="G324" s="447" t="s">
        <v>1678</v>
      </c>
      <c r="H324" s="447"/>
      <c r="I324" s="447"/>
      <c r="J324" s="447"/>
      <c r="K324" s="447"/>
      <c r="L324" s="447"/>
      <c r="M324" s="447"/>
      <c r="N324" s="449"/>
    </row>
    <row r="325" spans="1:14">
      <c r="A325" s="431">
        <f t="shared" si="5"/>
        <v>319</v>
      </c>
      <c r="B325" s="592"/>
      <c r="D325" s="443" t="s">
        <v>2104</v>
      </c>
      <c r="E325" s="444" t="s">
        <v>303</v>
      </c>
      <c r="G325" s="447" t="s">
        <v>1678</v>
      </c>
      <c r="H325" s="447"/>
      <c r="I325" s="447"/>
      <c r="J325" s="447"/>
      <c r="K325" s="447"/>
      <c r="L325" s="447"/>
      <c r="M325" s="447"/>
      <c r="N325" s="449"/>
    </row>
    <row r="326" spans="1:14">
      <c r="A326" s="431">
        <f t="shared" si="5"/>
        <v>320</v>
      </c>
      <c r="B326" s="592"/>
      <c r="D326" s="443" t="s">
        <v>2105</v>
      </c>
      <c r="E326" s="444" t="s">
        <v>303</v>
      </c>
      <c r="G326" s="447" t="s">
        <v>1678</v>
      </c>
      <c r="H326" s="447"/>
      <c r="I326" s="447"/>
      <c r="J326" s="447"/>
      <c r="K326" s="447"/>
      <c r="L326" s="447"/>
      <c r="M326" s="447"/>
      <c r="N326" s="449"/>
    </row>
    <row r="327" spans="1:14">
      <c r="A327" s="431">
        <f t="shared" si="5"/>
        <v>321</v>
      </c>
      <c r="B327" s="592"/>
      <c r="D327" s="443" t="s">
        <v>2106</v>
      </c>
      <c r="E327" s="444" t="s">
        <v>303</v>
      </c>
      <c r="G327" s="447" t="s">
        <v>1678</v>
      </c>
      <c r="H327" s="447"/>
      <c r="I327" s="447"/>
      <c r="J327" s="447"/>
      <c r="K327" s="447"/>
      <c r="L327" s="447"/>
      <c r="M327" s="447"/>
      <c r="N327" s="449"/>
    </row>
    <row r="328" spans="1:14">
      <c r="A328" s="431">
        <f t="shared" si="5"/>
        <v>322</v>
      </c>
      <c r="B328" s="592"/>
      <c r="D328" s="443" t="s">
        <v>2107</v>
      </c>
      <c r="E328" s="444" t="s">
        <v>303</v>
      </c>
      <c r="G328" s="447" t="s">
        <v>1678</v>
      </c>
      <c r="H328" s="447"/>
      <c r="I328" s="447"/>
      <c r="J328" s="447"/>
      <c r="K328" s="447"/>
      <c r="L328" s="447"/>
      <c r="M328" s="447"/>
      <c r="N328" s="449"/>
    </row>
    <row r="329" spans="1:14" ht="29">
      <c r="A329" s="431">
        <f t="shared" si="5"/>
        <v>323</v>
      </c>
      <c r="B329" s="592"/>
      <c r="D329" s="443" t="s">
        <v>2108</v>
      </c>
      <c r="E329" s="444" t="s">
        <v>303</v>
      </c>
      <c r="G329" s="447" t="s">
        <v>1678</v>
      </c>
      <c r="H329" s="447"/>
      <c r="I329" s="447"/>
      <c r="J329" s="447"/>
      <c r="K329" s="447"/>
      <c r="L329" s="447"/>
      <c r="M329" s="447"/>
      <c r="N329" s="449"/>
    </row>
    <row r="330" spans="1:14">
      <c r="A330" s="431">
        <f t="shared" si="5"/>
        <v>324</v>
      </c>
      <c r="B330" s="592" t="s">
        <v>1103</v>
      </c>
      <c r="C330" s="442" t="s">
        <v>2109</v>
      </c>
      <c r="D330" s="443" t="s">
        <v>2110</v>
      </c>
      <c r="E330" s="444" t="s">
        <v>303</v>
      </c>
      <c r="F330" s="450">
        <v>2518646</v>
      </c>
      <c r="G330" s="447" t="s">
        <v>1678</v>
      </c>
      <c r="H330" s="447"/>
      <c r="I330" s="447"/>
      <c r="J330" s="447"/>
      <c r="K330" s="447"/>
      <c r="L330" s="447"/>
      <c r="M330" s="447"/>
      <c r="N330" s="449"/>
    </row>
    <row r="331" spans="1:14">
      <c r="A331" s="431">
        <f t="shared" si="5"/>
        <v>325</v>
      </c>
      <c r="B331" s="592"/>
      <c r="D331" s="443" t="s">
        <v>2111</v>
      </c>
      <c r="E331" s="444" t="s">
        <v>303</v>
      </c>
      <c r="G331" s="447" t="s">
        <v>1678</v>
      </c>
      <c r="H331" s="447"/>
      <c r="I331" s="447"/>
      <c r="J331" s="447"/>
      <c r="K331" s="447"/>
      <c r="L331" s="447"/>
      <c r="M331" s="447"/>
      <c r="N331" s="449"/>
    </row>
    <row r="332" spans="1:14">
      <c r="A332" s="431">
        <f t="shared" si="5"/>
        <v>326</v>
      </c>
      <c r="B332" s="592"/>
      <c r="D332" s="443" t="s">
        <v>2112</v>
      </c>
      <c r="E332" s="444" t="s">
        <v>303</v>
      </c>
      <c r="G332" s="447" t="s">
        <v>1678</v>
      </c>
      <c r="H332" s="447"/>
      <c r="I332" s="447"/>
      <c r="J332" s="447"/>
      <c r="K332" s="447"/>
      <c r="L332" s="447"/>
      <c r="M332" s="447"/>
      <c r="N332" s="449"/>
    </row>
    <row r="333" spans="1:14">
      <c r="A333" s="431">
        <f t="shared" si="5"/>
        <v>327</v>
      </c>
      <c r="B333" s="592"/>
      <c r="D333" s="443" t="s">
        <v>2113</v>
      </c>
      <c r="E333" s="444" t="s">
        <v>303</v>
      </c>
      <c r="G333" s="447" t="s">
        <v>1678</v>
      </c>
      <c r="H333" s="447" t="s">
        <v>1678</v>
      </c>
      <c r="I333" s="447"/>
      <c r="J333" s="447"/>
      <c r="K333" s="447"/>
      <c r="L333" s="447"/>
      <c r="M333" s="447"/>
      <c r="N333" s="449" t="s">
        <v>2114</v>
      </c>
    </row>
    <row r="334" spans="1:14">
      <c r="A334" s="431">
        <f t="shared" si="5"/>
        <v>328</v>
      </c>
      <c r="B334" s="592"/>
      <c r="D334" s="443" t="s">
        <v>2115</v>
      </c>
      <c r="E334" s="444" t="s">
        <v>303</v>
      </c>
      <c r="G334" s="447" t="s">
        <v>1678</v>
      </c>
      <c r="H334" s="447"/>
      <c r="I334" s="447"/>
      <c r="J334" s="447"/>
      <c r="K334" s="447"/>
      <c r="L334" s="447"/>
      <c r="M334" s="447"/>
      <c r="N334" s="449"/>
    </row>
    <row r="335" spans="1:14">
      <c r="A335" s="431">
        <f t="shared" si="5"/>
        <v>329</v>
      </c>
      <c r="B335" s="592" t="s">
        <v>1638</v>
      </c>
      <c r="C335" s="442" t="s">
        <v>2116</v>
      </c>
      <c r="D335" s="654" t="s">
        <v>2117</v>
      </c>
      <c r="G335" s="447" t="s">
        <v>1678</v>
      </c>
      <c r="H335" s="447"/>
      <c r="I335" s="447"/>
      <c r="J335" s="447"/>
      <c r="K335" s="447"/>
      <c r="L335" s="447"/>
      <c r="M335" s="447"/>
      <c r="N335" s="449"/>
    </row>
    <row r="336" spans="1:14">
      <c r="A336" s="431">
        <f t="shared" si="5"/>
        <v>330</v>
      </c>
      <c r="B336" s="592"/>
      <c r="D336" s="654" t="s">
        <v>2118</v>
      </c>
      <c r="G336" s="447" t="s">
        <v>1678</v>
      </c>
      <c r="H336" s="447"/>
      <c r="I336" s="447"/>
      <c r="J336" s="447"/>
      <c r="K336" s="447"/>
      <c r="L336" s="447"/>
      <c r="M336" s="447"/>
      <c r="N336" s="449"/>
    </row>
    <row r="337" spans="1:14" ht="17.25" customHeight="1">
      <c r="A337" s="431">
        <f t="shared" si="5"/>
        <v>331</v>
      </c>
      <c r="B337" s="592" t="s">
        <v>1109</v>
      </c>
      <c r="C337" s="442" t="s">
        <v>2119</v>
      </c>
      <c r="D337" s="443" t="s">
        <v>2120</v>
      </c>
      <c r="E337" s="444" t="s">
        <v>303</v>
      </c>
      <c r="F337" s="450">
        <v>2344448</v>
      </c>
      <c r="G337" s="447" t="s">
        <v>1678</v>
      </c>
      <c r="H337" s="447"/>
      <c r="I337" s="447"/>
      <c r="J337" s="447"/>
      <c r="K337" s="447"/>
      <c r="L337" s="447"/>
      <c r="M337" s="447"/>
      <c r="N337" s="449"/>
    </row>
    <row r="338" spans="1:14">
      <c r="A338" s="431">
        <f t="shared" si="5"/>
        <v>332</v>
      </c>
      <c r="B338" s="592"/>
      <c r="D338" s="443" t="s">
        <v>2121</v>
      </c>
      <c r="E338" s="444" t="s">
        <v>303</v>
      </c>
      <c r="G338" s="447" t="s">
        <v>1678</v>
      </c>
      <c r="H338" s="447"/>
      <c r="I338" s="447"/>
      <c r="J338" s="447"/>
      <c r="K338" s="447"/>
      <c r="L338" s="447"/>
      <c r="M338" s="447"/>
      <c r="N338" s="449"/>
    </row>
    <row r="339" spans="1:14" ht="29">
      <c r="A339" s="431">
        <f t="shared" si="5"/>
        <v>333</v>
      </c>
      <c r="B339" s="592"/>
      <c r="D339" s="443" t="s">
        <v>1685</v>
      </c>
      <c r="E339" s="444" t="s">
        <v>303</v>
      </c>
      <c r="G339" s="447"/>
      <c r="H339" s="447" t="s">
        <v>1678</v>
      </c>
      <c r="I339" s="447"/>
      <c r="J339" s="447"/>
      <c r="K339" s="447"/>
      <c r="L339" s="447"/>
      <c r="M339" s="447"/>
      <c r="N339" s="449" t="s">
        <v>2122</v>
      </c>
    </row>
    <row r="340" spans="1:14" ht="29">
      <c r="A340" s="431">
        <f t="shared" si="5"/>
        <v>334</v>
      </c>
      <c r="B340" s="592"/>
      <c r="D340" s="443" t="s">
        <v>2123</v>
      </c>
      <c r="E340" s="444" t="s">
        <v>303</v>
      </c>
      <c r="G340" s="447"/>
      <c r="H340" s="447" t="s">
        <v>1678</v>
      </c>
      <c r="I340" s="447"/>
      <c r="J340" s="447"/>
      <c r="K340" s="447"/>
      <c r="L340" s="447"/>
      <c r="M340" s="447"/>
      <c r="N340" s="449" t="s">
        <v>2124</v>
      </c>
    </row>
    <row r="341" spans="1:14">
      <c r="A341" s="431">
        <f t="shared" si="5"/>
        <v>335</v>
      </c>
      <c r="B341" s="592" t="s">
        <v>1629</v>
      </c>
      <c r="C341" s="442" t="s">
        <v>2125</v>
      </c>
      <c r="D341" s="443" t="s">
        <v>2126</v>
      </c>
      <c r="E341" s="444" t="s">
        <v>1723</v>
      </c>
      <c r="G341" s="447"/>
      <c r="H341" s="447" t="s">
        <v>1678</v>
      </c>
      <c r="I341" s="447"/>
      <c r="J341" s="447"/>
      <c r="K341" s="447"/>
      <c r="L341" s="447"/>
      <c r="M341" s="447"/>
      <c r="N341" s="449" t="s">
        <v>2127</v>
      </c>
    </row>
    <row r="342" spans="1:14">
      <c r="A342" s="431">
        <f t="shared" si="5"/>
        <v>336</v>
      </c>
      <c r="B342" s="592" t="s">
        <v>1115</v>
      </c>
      <c r="C342" s="442" t="s">
        <v>2128</v>
      </c>
      <c r="D342" s="443" t="s">
        <v>2129</v>
      </c>
      <c r="G342" s="447" t="s">
        <v>1678</v>
      </c>
      <c r="H342" s="447"/>
      <c r="I342" s="447"/>
      <c r="J342" s="447"/>
      <c r="K342" s="447"/>
      <c r="L342" s="447"/>
      <c r="M342" s="447"/>
      <c r="N342" s="449"/>
    </row>
    <row r="343" spans="1:14">
      <c r="A343" s="431">
        <f t="shared" ref="A343:A405" si="6">A342+1</f>
        <v>337</v>
      </c>
      <c r="B343" s="592"/>
      <c r="D343" s="443" t="s">
        <v>2130</v>
      </c>
      <c r="G343" s="447" t="s">
        <v>1678</v>
      </c>
      <c r="H343" s="447"/>
      <c r="I343" s="447"/>
      <c r="J343" s="447"/>
      <c r="K343" s="447"/>
      <c r="L343" s="447"/>
      <c r="M343" s="447"/>
      <c r="N343" s="449"/>
    </row>
    <row r="344" spans="1:14">
      <c r="A344" s="431">
        <f t="shared" si="6"/>
        <v>338</v>
      </c>
      <c r="B344" s="592" t="s">
        <v>1117</v>
      </c>
      <c r="C344" s="442" t="s">
        <v>2131</v>
      </c>
      <c r="D344" s="443" t="s">
        <v>2132</v>
      </c>
      <c r="E344" s="444" t="s">
        <v>303</v>
      </c>
      <c r="F344" s="450">
        <v>882074</v>
      </c>
      <c r="G344" s="447" t="s">
        <v>1678</v>
      </c>
      <c r="H344" s="447"/>
      <c r="I344" s="447"/>
      <c r="J344" s="447"/>
      <c r="K344" s="447"/>
      <c r="L344" s="447"/>
      <c r="M344" s="447"/>
      <c r="N344" s="449"/>
    </row>
    <row r="345" spans="1:14">
      <c r="A345" s="431">
        <f t="shared" si="6"/>
        <v>339</v>
      </c>
      <c r="B345" s="592"/>
      <c r="D345" s="443" t="s">
        <v>2133</v>
      </c>
      <c r="E345" s="444" t="s">
        <v>303</v>
      </c>
      <c r="G345" s="447" t="s">
        <v>1678</v>
      </c>
      <c r="H345" s="447"/>
      <c r="I345" s="447"/>
      <c r="J345" s="447"/>
      <c r="K345" s="447"/>
      <c r="L345" s="447"/>
      <c r="M345" s="447"/>
      <c r="N345" s="449"/>
    </row>
    <row r="346" spans="1:14">
      <c r="A346" s="431">
        <f t="shared" si="6"/>
        <v>340</v>
      </c>
      <c r="B346" s="592" t="s">
        <v>1119</v>
      </c>
      <c r="C346" s="442" t="s">
        <v>2134</v>
      </c>
      <c r="D346" s="443" t="s">
        <v>2135</v>
      </c>
      <c r="E346" s="444" t="s">
        <v>303</v>
      </c>
      <c r="F346" s="450">
        <v>12863876</v>
      </c>
      <c r="G346" s="447" t="s">
        <v>1678</v>
      </c>
      <c r="H346" s="447"/>
      <c r="I346" s="447"/>
      <c r="J346" s="447"/>
      <c r="K346" s="447"/>
      <c r="L346" s="447"/>
      <c r="M346" s="447"/>
      <c r="N346" s="449"/>
    </row>
    <row r="347" spans="1:14">
      <c r="A347" s="431">
        <f t="shared" si="6"/>
        <v>341</v>
      </c>
      <c r="B347" s="592"/>
      <c r="D347" s="443" t="s">
        <v>1989</v>
      </c>
      <c r="E347" s="444" t="s">
        <v>303</v>
      </c>
      <c r="G347" s="447" t="s">
        <v>1678</v>
      </c>
      <c r="H347" s="447"/>
      <c r="I347" s="447"/>
      <c r="J347" s="447"/>
      <c r="K347" s="447"/>
      <c r="L347" s="447"/>
      <c r="M347" s="447"/>
      <c r="N347" s="449"/>
    </row>
    <row r="348" spans="1:14">
      <c r="A348" s="431">
        <f t="shared" si="6"/>
        <v>342</v>
      </c>
      <c r="B348" s="592"/>
      <c r="D348" s="443" t="s">
        <v>2136</v>
      </c>
      <c r="E348" s="444" t="s">
        <v>303</v>
      </c>
      <c r="G348" s="447" t="s">
        <v>1678</v>
      </c>
      <c r="H348" s="447"/>
      <c r="I348" s="447"/>
      <c r="J348" s="447"/>
      <c r="K348" s="447"/>
      <c r="L348" s="447"/>
      <c r="M348" s="447"/>
      <c r="N348" s="449"/>
    </row>
    <row r="349" spans="1:14">
      <c r="A349" s="431">
        <f t="shared" si="6"/>
        <v>343</v>
      </c>
      <c r="B349" s="592"/>
      <c r="D349" s="443" t="s">
        <v>2137</v>
      </c>
      <c r="E349" s="444" t="s">
        <v>303</v>
      </c>
      <c r="G349" s="447" t="s">
        <v>1678</v>
      </c>
      <c r="H349" s="447"/>
      <c r="I349" s="447"/>
      <c r="J349" s="447"/>
      <c r="K349" s="447"/>
      <c r="L349" s="447"/>
      <c r="M349" s="447"/>
      <c r="N349" s="449"/>
    </row>
    <row r="350" spans="1:14">
      <c r="A350" s="431">
        <f t="shared" si="6"/>
        <v>344</v>
      </c>
      <c r="B350" s="592" t="s">
        <v>1123</v>
      </c>
      <c r="C350" s="442" t="s">
        <v>2138</v>
      </c>
      <c r="D350" s="443" t="s">
        <v>2139</v>
      </c>
      <c r="E350" s="444" t="s">
        <v>303</v>
      </c>
      <c r="F350" s="450">
        <v>3786849</v>
      </c>
      <c r="G350" s="447" t="s">
        <v>1678</v>
      </c>
      <c r="H350" s="447"/>
      <c r="I350" s="447"/>
      <c r="J350" s="447"/>
      <c r="K350" s="447"/>
      <c r="L350" s="447"/>
      <c r="M350" s="447"/>
      <c r="N350" s="449"/>
    </row>
    <row r="351" spans="1:14">
      <c r="A351" s="431">
        <f t="shared" si="6"/>
        <v>345</v>
      </c>
      <c r="B351" s="592"/>
      <c r="D351" s="443" t="s">
        <v>1859</v>
      </c>
      <c r="E351" s="444" t="s">
        <v>303</v>
      </c>
      <c r="G351" s="447"/>
      <c r="H351" s="447" t="s">
        <v>1678</v>
      </c>
      <c r="I351" s="447" t="s">
        <v>1678</v>
      </c>
      <c r="J351" s="447"/>
      <c r="K351" s="447"/>
      <c r="L351" s="447"/>
      <c r="M351" s="447"/>
      <c r="N351" s="449" t="s">
        <v>2140</v>
      </c>
    </row>
    <row r="352" spans="1:14">
      <c r="A352" s="431">
        <f t="shared" si="6"/>
        <v>346</v>
      </c>
      <c r="B352" s="592"/>
      <c r="D352" s="443" t="s">
        <v>2141</v>
      </c>
      <c r="E352" s="444" t="s">
        <v>303</v>
      </c>
      <c r="G352" s="447" t="s">
        <v>1678</v>
      </c>
      <c r="H352" s="447"/>
      <c r="I352" s="447"/>
      <c r="J352" s="447"/>
      <c r="K352" s="447"/>
      <c r="L352" s="447"/>
      <c r="M352" s="447"/>
      <c r="N352" s="449"/>
    </row>
    <row r="353" spans="1:14">
      <c r="A353" s="431">
        <f t="shared" si="6"/>
        <v>347</v>
      </c>
      <c r="B353" s="592" t="s">
        <v>1129</v>
      </c>
      <c r="C353" s="442" t="s">
        <v>2142</v>
      </c>
      <c r="D353" s="443" t="s">
        <v>2143</v>
      </c>
      <c r="E353" s="444" t="s">
        <v>303</v>
      </c>
      <c r="F353" s="450">
        <v>3206763</v>
      </c>
      <c r="G353" s="447" t="s">
        <v>1678</v>
      </c>
      <c r="H353" s="447"/>
      <c r="I353" s="447"/>
      <c r="J353" s="447"/>
      <c r="K353" s="447"/>
      <c r="L353" s="447"/>
      <c r="M353" s="447"/>
      <c r="N353" s="449"/>
    </row>
    <row r="354" spans="1:14">
      <c r="A354" s="431">
        <f t="shared" si="6"/>
        <v>348</v>
      </c>
      <c r="B354" s="592"/>
      <c r="D354" s="443" t="s">
        <v>2144</v>
      </c>
      <c r="G354" s="447" t="s">
        <v>1678</v>
      </c>
      <c r="H354" s="447"/>
      <c r="I354" s="447"/>
      <c r="J354" s="447"/>
      <c r="K354" s="447"/>
      <c r="L354" s="447"/>
      <c r="M354" s="447"/>
      <c r="N354" s="449"/>
    </row>
    <row r="355" spans="1:14">
      <c r="A355" s="431">
        <f t="shared" si="6"/>
        <v>349</v>
      </c>
      <c r="B355" s="592" t="s">
        <v>1121</v>
      </c>
      <c r="C355" s="442" t="s">
        <v>2145</v>
      </c>
      <c r="D355" s="443" t="s">
        <v>2146</v>
      </c>
      <c r="G355" s="447" t="s">
        <v>1678</v>
      </c>
      <c r="H355" s="447"/>
      <c r="I355" s="447"/>
      <c r="J355" s="447"/>
      <c r="K355" s="447"/>
      <c r="L355" s="447"/>
      <c r="M355" s="447"/>
      <c r="N355" s="449"/>
    </row>
    <row r="356" spans="1:14">
      <c r="A356" s="431">
        <f t="shared" si="6"/>
        <v>350</v>
      </c>
      <c r="B356" s="592"/>
      <c r="D356" s="443" t="s">
        <v>2147</v>
      </c>
      <c r="G356" s="447" t="s">
        <v>1678</v>
      </c>
      <c r="H356" s="447"/>
      <c r="I356" s="447"/>
      <c r="J356" s="447"/>
      <c r="K356" s="447"/>
      <c r="L356" s="447"/>
      <c r="M356" s="447"/>
      <c r="N356" s="449"/>
    </row>
    <row r="357" spans="1:14">
      <c r="A357" s="431">
        <f t="shared" si="6"/>
        <v>351</v>
      </c>
      <c r="B357" s="592"/>
      <c r="D357" s="443" t="s">
        <v>2148</v>
      </c>
      <c r="G357" s="447" t="s">
        <v>1678</v>
      </c>
      <c r="H357" s="447"/>
      <c r="I357" s="447"/>
      <c r="J357" s="447"/>
      <c r="K357" s="447"/>
      <c r="L357" s="447"/>
      <c r="M357" s="447"/>
      <c r="N357" s="449"/>
    </row>
    <row r="358" spans="1:14">
      <c r="A358" s="431">
        <f t="shared" si="6"/>
        <v>352</v>
      </c>
      <c r="B358" s="592"/>
      <c r="D358" s="443" t="s">
        <v>2149</v>
      </c>
      <c r="G358" s="447" t="s">
        <v>1678</v>
      </c>
      <c r="H358" s="447"/>
      <c r="I358" s="447"/>
      <c r="J358" s="447"/>
      <c r="K358" s="447"/>
      <c r="L358" s="447"/>
      <c r="M358" s="447"/>
      <c r="N358" s="449"/>
    </row>
    <row r="359" spans="1:14">
      <c r="A359" s="431">
        <f t="shared" si="6"/>
        <v>353</v>
      </c>
      <c r="B359" s="592" t="s">
        <v>1131</v>
      </c>
      <c r="C359" s="442" t="s">
        <v>2150</v>
      </c>
      <c r="D359" s="443" t="s">
        <v>2151</v>
      </c>
      <c r="E359" s="444" t="s">
        <v>303</v>
      </c>
      <c r="F359" s="450">
        <v>770265</v>
      </c>
      <c r="G359" s="447" t="s">
        <v>1678</v>
      </c>
      <c r="H359" s="447"/>
      <c r="I359" s="447"/>
      <c r="J359" s="447"/>
      <c r="K359" s="447"/>
      <c r="L359" s="447"/>
      <c r="M359" s="447"/>
      <c r="N359" s="449"/>
    </row>
    <row r="360" spans="1:14">
      <c r="A360" s="431">
        <f t="shared" si="6"/>
        <v>354</v>
      </c>
      <c r="B360" s="592"/>
      <c r="D360" s="443" t="s">
        <v>2152</v>
      </c>
      <c r="E360" s="444" t="s">
        <v>303</v>
      </c>
      <c r="G360" s="447" t="s">
        <v>1678</v>
      </c>
      <c r="H360" s="447"/>
      <c r="I360" s="447"/>
      <c r="J360" s="447"/>
      <c r="K360" s="447"/>
      <c r="L360" s="447"/>
      <c r="M360" s="447"/>
      <c r="N360" s="449"/>
    </row>
    <row r="361" spans="1:14">
      <c r="A361" s="431">
        <f t="shared" si="6"/>
        <v>355</v>
      </c>
      <c r="B361" s="592"/>
      <c r="C361" s="442" t="s">
        <v>2153</v>
      </c>
      <c r="D361" s="443" t="s">
        <v>2154</v>
      </c>
      <c r="F361" s="445"/>
      <c r="G361" s="457" t="s">
        <v>1678</v>
      </c>
      <c r="H361" s="457"/>
      <c r="I361" s="458"/>
      <c r="J361" s="458"/>
      <c r="K361" s="457"/>
      <c r="L361" s="459"/>
      <c r="M361" s="463"/>
      <c r="N361" s="464" t="s">
        <v>2155</v>
      </c>
    </row>
    <row r="362" spans="1:14">
      <c r="A362" s="431">
        <f t="shared" si="6"/>
        <v>356</v>
      </c>
      <c r="B362" s="592" t="s">
        <v>1135</v>
      </c>
      <c r="C362" s="442" t="s">
        <v>2156</v>
      </c>
      <c r="D362" s="443" t="s">
        <v>2157</v>
      </c>
      <c r="E362" s="444" t="s">
        <v>303</v>
      </c>
      <c r="F362" s="450">
        <v>3111719</v>
      </c>
      <c r="G362" s="457" t="s">
        <v>1678</v>
      </c>
      <c r="H362" s="457"/>
      <c r="I362" s="457"/>
      <c r="J362" s="457"/>
      <c r="K362" s="465"/>
      <c r="L362" s="457"/>
      <c r="M362" s="457"/>
      <c r="N362" s="466"/>
    </row>
    <row r="363" spans="1:14">
      <c r="A363" s="431">
        <f t="shared" si="6"/>
        <v>357</v>
      </c>
      <c r="B363" s="592"/>
      <c r="D363" s="443" t="s">
        <v>2158</v>
      </c>
      <c r="F363" s="445"/>
      <c r="G363" s="457" t="s">
        <v>1678</v>
      </c>
      <c r="H363" s="457"/>
      <c r="I363" s="458"/>
      <c r="J363" s="458"/>
      <c r="K363" s="465"/>
      <c r="L363" s="459"/>
      <c r="M363" s="463"/>
      <c r="N363" s="466" t="s">
        <v>2155</v>
      </c>
    </row>
    <row r="364" spans="1:14">
      <c r="A364" s="431">
        <f t="shared" si="6"/>
        <v>358</v>
      </c>
      <c r="B364" s="592" t="s">
        <v>1137</v>
      </c>
      <c r="C364" s="442" t="s">
        <v>2159</v>
      </c>
      <c r="D364" s="443" t="s">
        <v>2160</v>
      </c>
      <c r="E364" s="444" t="s">
        <v>303</v>
      </c>
      <c r="F364" s="450">
        <v>1115828</v>
      </c>
      <c r="G364" s="447" t="s">
        <v>1678</v>
      </c>
      <c r="H364" s="447"/>
      <c r="I364" s="447"/>
      <c r="J364" s="457"/>
      <c r="K364" s="448"/>
      <c r="L364" s="457"/>
      <c r="M364" s="447"/>
      <c r="N364" s="449"/>
    </row>
    <row r="365" spans="1:14">
      <c r="A365" s="431">
        <f t="shared" si="6"/>
        <v>359</v>
      </c>
      <c r="B365" s="592"/>
      <c r="D365" s="443" t="s">
        <v>2161</v>
      </c>
      <c r="E365" s="444" t="s">
        <v>303</v>
      </c>
      <c r="G365" s="447" t="s">
        <v>1678</v>
      </c>
      <c r="H365" s="447"/>
      <c r="I365" s="447"/>
      <c r="J365" s="447"/>
      <c r="K365" s="448"/>
      <c r="L365" s="447"/>
      <c r="M365" s="447"/>
      <c r="N365" s="449"/>
    </row>
    <row r="366" spans="1:14" ht="29">
      <c r="A366" s="431">
        <f t="shared" si="6"/>
        <v>360</v>
      </c>
      <c r="B366" s="592" t="s">
        <v>1143</v>
      </c>
      <c r="C366" s="442" t="s">
        <v>2162</v>
      </c>
      <c r="D366" s="443" t="s">
        <v>2163</v>
      </c>
      <c r="E366" s="444" t="s">
        <v>303</v>
      </c>
      <c r="F366" s="450">
        <v>14589532</v>
      </c>
      <c r="G366" s="447" t="s">
        <v>1678</v>
      </c>
      <c r="H366" s="447"/>
      <c r="I366" s="447"/>
      <c r="J366" s="447"/>
      <c r="K366" s="448"/>
      <c r="L366" s="447"/>
      <c r="M366" s="447"/>
      <c r="N366" s="449"/>
    </row>
    <row r="367" spans="1:14">
      <c r="A367" s="431">
        <f t="shared" si="6"/>
        <v>361</v>
      </c>
      <c r="B367" s="592"/>
      <c r="D367" s="443" t="s">
        <v>2164</v>
      </c>
      <c r="E367" s="444" t="s">
        <v>303</v>
      </c>
      <c r="G367" s="447" t="s">
        <v>1678</v>
      </c>
      <c r="H367" s="447"/>
      <c r="I367" s="447"/>
      <c r="J367" s="447"/>
      <c r="K367" s="448"/>
      <c r="L367" s="447"/>
      <c r="M367" s="447"/>
      <c r="N367" s="449"/>
    </row>
    <row r="368" spans="1:14">
      <c r="A368" s="431">
        <f t="shared" si="6"/>
        <v>362</v>
      </c>
      <c r="B368" s="592"/>
      <c r="D368" s="443" t="s">
        <v>2165</v>
      </c>
      <c r="E368" s="444" t="s">
        <v>303</v>
      </c>
      <c r="G368" s="447" t="s">
        <v>1678</v>
      </c>
      <c r="H368" s="447"/>
      <c r="I368" s="447"/>
      <c r="J368" s="447"/>
      <c r="K368" s="448"/>
      <c r="L368" s="447"/>
      <c r="M368" s="447"/>
      <c r="N368" s="449"/>
    </row>
    <row r="369" spans="1:14">
      <c r="A369" s="431">
        <f t="shared" si="6"/>
        <v>363</v>
      </c>
      <c r="B369" s="592"/>
      <c r="D369" s="443" t="s">
        <v>2166</v>
      </c>
      <c r="E369" s="444" t="s">
        <v>303</v>
      </c>
      <c r="G369" s="447" t="s">
        <v>1678</v>
      </c>
      <c r="H369" s="447"/>
      <c r="I369" s="447"/>
      <c r="J369" s="447"/>
      <c r="K369" s="448"/>
      <c r="L369" s="447"/>
      <c r="M369" s="447"/>
      <c r="N369" s="449"/>
    </row>
    <row r="370" spans="1:14" ht="29">
      <c r="A370" s="431">
        <f t="shared" si="6"/>
        <v>364</v>
      </c>
      <c r="B370" s="592"/>
      <c r="D370" s="443" t="s">
        <v>2167</v>
      </c>
      <c r="E370" s="444" t="s">
        <v>303</v>
      </c>
      <c r="G370" s="447" t="s">
        <v>1678</v>
      </c>
      <c r="H370" s="447" t="s">
        <v>1678</v>
      </c>
      <c r="I370" s="447"/>
      <c r="J370" s="447"/>
      <c r="K370" s="448"/>
      <c r="L370" s="447"/>
      <c r="M370" s="447"/>
      <c r="N370" s="449" t="s">
        <v>2168</v>
      </c>
    </row>
    <row r="371" spans="1:14">
      <c r="A371" s="431">
        <f t="shared" si="6"/>
        <v>365</v>
      </c>
      <c r="B371" s="592"/>
      <c r="D371" s="443" t="s">
        <v>2169</v>
      </c>
      <c r="E371" s="444" t="s">
        <v>303</v>
      </c>
      <c r="G371" s="447" t="s">
        <v>1678</v>
      </c>
      <c r="H371" s="447"/>
      <c r="I371" s="447"/>
      <c r="J371" s="447"/>
      <c r="K371" s="448"/>
      <c r="L371" s="447"/>
      <c r="M371" s="447"/>
      <c r="N371" s="449"/>
    </row>
    <row r="372" spans="1:14">
      <c r="A372" s="431">
        <f t="shared" si="6"/>
        <v>366</v>
      </c>
      <c r="B372" s="592"/>
      <c r="D372" s="443" t="s">
        <v>2170</v>
      </c>
      <c r="E372" s="444" t="s">
        <v>303</v>
      </c>
      <c r="G372" s="447" t="s">
        <v>1678</v>
      </c>
      <c r="H372" s="447"/>
      <c r="I372" s="447"/>
      <c r="J372" s="447"/>
      <c r="K372" s="448"/>
      <c r="L372" s="447"/>
      <c r="M372" s="447"/>
      <c r="N372" s="449"/>
    </row>
    <row r="373" spans="1:14">
      <c r="A373" s="431">
        <f t="shared" si="6"/>
        <v>367</v>
      </c>
      <c r="B373" s="592"/>
      <c r="D373" s="443" t="s">
        <v>2171</v>
      </c>
      <c r="E373" s="444" t="s">
        <v>303</v>
      </c>
      <c r="G373" s="447" t="s">
        <v>1678</v>
      </c>
      <c r="H373" s="447"/>
      <c r="I373" s="447"/>
      <c r="J373" s="447"/>
      <c r="K373" s="448"/>
      <c r="L373" s="447"/>
      <c r="M373" s="447"/>
      <c r="N373" s="449"/>
    </row>
    <row r="374" spans="1:14" ht="17.25" customHeight="1">
      <c r="A374" s="431">
        <f t="shared" si="6"/>
        <v>368</v>
      </c>
      <c r="B374" s="592"/>
      <c r="D374" s="443" t="s">
        <v>2172</v>
      </c>
      <c r="E374" s="444" t="s">
        <v>303</v>
      </c>
      <c r="G374" s="447"/>
      <c r="H374" s="447" t="s">
        <v>1678</v>
      </c>
      <c r="I374" s="447"/>
      <c r="J374" s="447"/>
      <c r="K374" s="448"/>
      <c r="L374" s="447"/>
      <c r="M374" s="447"/>
      <c r="N374" s="451" t="s">
        <v>2173</v>
      </c>
    </row>
    <row r="375" spans="1:14">
      <c r="A375" s="431">
        <f t="shared" si="6"/>
        <v>369</v>
      </c>
      <c r="B375" s="592"/>
      <c r="D375" s="443" t="s">
        <v>2174</v>
      </c>
      <c r="E375" s="444" t="s">
        <v>303</v>
      </c>
      <c r="G375" s="447"/>
      <c r="H375" s="447" t="s">
        <v>1678</v>
      </c>
      <c r="I375" s="447"/>
      <c r="J375" s="447"/>
      <c r="K375" s="448"/>
      <c r="L375" s="447"/>
      <c r="M375" s="447"/>
      <c r="N375" s="449" t="s">
        <v>2175</v>
      </c>
    </row>
    <row r="376" spans="1:14">
      <c r="A376" s="431">
        <f t="shared" si="6"/>
        <v>370</v>
      </c>
      <c r="B376" s="592" t="s">
        <v>1139</v>
      </c>
      <c r="C376" s="442" t="s">
        <v>2176</v>
      </c>
      <c r="D376" s="443" t="s">
        <v>2177</v>
      </c>
      <c r="E376" s="444" t="s">
        <v>303</v>
      </c>
      <c r="F376" s="450">
        <v>2900981</v>
      </c>
      <c r="G376" s="447" t="s">
        <v>1678</v>
      </c>
      <c r="H376" s="447"/>
      <c r="I376" s="447"/>
      <c r="J376" s="447"/>
      <c r="K376" s="448"/>
      <c r="L376" s="447"/>
      <c r="M376" s="447"/>
      <c r="N376" s="449"/>
    </row>
    <row r="377" spans="1:14">
      <c r="A377" s="431">
        <f t="shared" si="6"/>
        <v>371</v>
      </c>
      <c r="B377" s="592"/>
      <c r="D377" s="443" t="s">
        <v>2178</v>
      </c>
      <c r="E377" s="444" t="s">
        <v>303</v>
      </c>
      <c r="G377" s="447" t="s">
        <v>1678</v>
      </c>
      <c r="H377" s="447"/>
      <c r="I377" s="447"/>
      <c r="J377" s="447"/>
      <c r="K377" s="448"/>
      <c r="L377" s="447"/>
      <c r="M377" s="447"/>
      <c r="N377" s="449"/>
    </row>
    <row r="378" spans="1:14">
      <c r="A378" s="431">
        <f t="shared" si="6"/>
        <v>372</v>
      </c>
      <c r="B378" s="592" t="s">
        <v>1141</v>
      </c>
      <c r="C378" s="442" t="s">
        <v>2179</v>
      </c>
      <c r="D378" s="443" t="s">
        <v>2015</v>
      </c>
      <c r="E378" s="444" t="s">
        <v>303</v>
      </c>
      <c r="F378" s="450">
        <v>11751835</v>
      </c>
      <c r="G378" s="447" t="s">
        <v>1678</v>
      </c>
      <c r="H378" s="447"/>
      <c r="I378" s="447"/>
      <c r="J378" s="447"/>
      <c r="K378" s="448"/>
      <c r="L378" s="447"/>
      <c r="M378" s="447"/>
      <c r="N378" s="449"/>
    </row>
    <row r="379" spans="1:14">
      <c r="A379" s="431">
        <f t="shared" si="6"/>
        <v>373</v>
      </c>
      <c r="B379" s="592" t="s">
        <v>1145</v>
      </c>
      <c r="C379" s="442" t="s">
        <v>2180</v>
      </c>
      <c r="D379" s="443" t="s">
        <v>2181</v>
      </c>
      <c r="E379" s="444" t="s">
        <v>303</v>
      </c>
      <c r="F379" s="450">
        <v>7130269</v>
      </c>
      <c r="G379" s="447" t="s">
        <v>1678</v>
      </c>
      <c r="H379" s="447"/>
      <c r="I379" s="447"/>
      <c r="J379" s="447"/>
      <c r="K379" s="448"/>
      <c r="L379" s="447"/>
      <c r="M379" s="447"/>
      <c r="N379" s="449"/>
    </row>
    <row r="380" spans="1:14">
      <c r="A380" s="431">
        <f t="shared" si="6"/>
        <v>374</v>
      </c>
      <c r="B380" s="592"/>
      <c r="D380" s="443" t="s">
        <v>2182</v>
      </c>
      <c r="E380" s="444" t="s">
        <v>303</v>
      </c>
      <c r="G380" s="447" t="s">
        <v>1678</v>
      </c>
      <c r="H380" s="447"/>
      <c r="I380" s="447"/>
      <c r="J380" s="447"/>
      <c r="K380" s="448"/>
      <c r="L380" s="447"/>
      <c r="M380" s="447"/>
      <c r="N380" s="449"/>
    </row>
    <row r="381" spans="1:14">
      <c r="A381" s="431">
        <f t="shared" si="6"/>
        <v>375</v>
      </c>
      <c r="B381" s="592"/>
      <c r="D381" s="443" t="s">
        <v>2183</v>
      </c>
      <c r="E381" s="444" t="s">
        <v>303</v>
      </c>
      <c r="G381" s="447" t="s">
        <v>1678</v>
      </c>
      <c r="H381" s="447"/>
      <c r="I381" s="447"/>
      <c r="J381" s="447"/>
      <c r="K381" s="448"/>
      <c r="L381" s="447"/>
      <c r="M381" s="447"/>
      <c r="N381" s="449"/>
    </row>
    <row r="382" spans="1:14">
      <c r="A382" s="431">
        <f t="shared" si="6"/>
        <v>376</v>
      </c>
      <c r="B382" s="592"/>
      <c r="D382" s="443" t="s">
        <v>2184</v>
      </c>
      <c r="E382" s="444" t="s">
        <v>303</v>
      </c>
      <c r="G382" s="447" t="s">
        <v>1678</v>
      </c>
      <c r="H382" s="447"/>
      <c r="I382" s="447"/>
      <c r="J382" s="447"/>
      <c r="K382" s="448"/>
      <c r="L382" s="447"/>
      <c r="M382" s="447"/>
      <c r="N382" s="449"/>
    </row>
    <row r="383" spans="1:14">
      <c r="A383" s="431">
        <f t="shared" si="6"/>
        <v>377</v>
      </c>
      <c r="B383" s="592"/>
      <c r="D383" s="443" t="s">
        <v>2185</v>
      </c>
      <c r="E383" s="444" t="s">
        <v>303</v>
      </c>
      <c r="G383" s="447" t="s">
        <v>1678</v>
      </c>
      <c r="H383" s="447"/>
      <c r="I383" s="447"/>
      <c r="J383" s="447"/>
      <c r="K383" s="448"/>
      <c r="L383" s="447"/>
      <c r="M383" s="447"/>
      <c r="N383" s="449"/>
    </row>
    <row r="384" spans="1:14">
      <c r="A384" s="431">
        <f t="shared" si="6"/>
        <v>378</v>
      </c>
      <c r="B384" s="592"/>
      <c r="D384" s="443" t="s">
        <v>2186</v>
      </c>
      <c r="E384" s="444" t="s">
        <v>303</v>
      </c>
      <c r="G384" s="447" t="s">
        <v>1678</v>
      </c>
      <c r="H384" s="447"/>
      <c r="I384" s="447"/>
      <c r="J384" s="447"/>
      <c r="K384" s="448"/>
      <c r="L384" s="447"/>
      <c r="M384" s="447"/>
      <c r="N384" s="449"/>
    </row>
    <row r="385" spans="1:14">
      <c r="A385" s="431">
        <f t="shared" si="6"/>
        <v>379</v>
      </c>
      <c r="B385" s="592"/>
      <c r="D385" s="443" t="s">
        <v>2187</v>
      </c>
      <c r="E385" s="444" t="s">
        <v>303</v>
      </c>
      <c r="G385" s="447" t="s">
        <v>1678</v>
      </c>
      <c r="H385" s="447"/>
      <c r="I385" s="447"/>
      <c r="J385" s="447"/>
      <c r="K385" s="448"/>
      <c r="L385" s="447"/>
      <c r="M385" s="447"/>
      <c r="N385" s="449"/>
    </row>
    <row r="386" spans="1:14">
      <c r="A386" s="431">
        <f t="shared" si="6"/>
        <v>380</v>
      </c>
      <c r="B386" s="592"/>
      <c r="D386" s="443" t="s">
        <v>2188</v>
      </c>
      <c r="E386" s="444" t="s">
        <v>303</v>
      </c>
      <c r="G386" s="447" t="s">
        <v>1678</v>
      </c>
      <c r="H386" s="447"/>
      <c r="I386" s="447"/>
      <c r="J386" s="447"/>
      <c r="K386" s="448"/>
      <c r="L386" s="447"/>
      <c r="M386" s="447"/>
      <c r="N386" s="449"/>
    </row>
    <row r="387" spans="1:14">
      <c r="A387" s="431">
        <f>A386+1</f>
        <v>381</v>
      </c>
      <c r="B387" s="592" t="s">
        <v>1147</v>
      </c>
      <c r="C387" s="442" t="s">
        <v>2189</v>
      </c>
      <c r="D387" s="443" t="s">
        <v>2190</v>
      </c>
      <c r="E387" s="444" t="s">
        <v>303</v>
      </c>
      <c r="F387" s="450">
        <v>5041642</v>
      </c>
      <c r="G387" s="447" t="s">
        <v>1678</v>
      </c>
      <c r="H387" s="447"/>
      <c r="I387" s="447"/>
      <c r="J387" s="447"/>
      <c r="K387" s="447"/>
      <c r="L387" s="447"/>
      <c r="M387" s="447"/>
      <c r="N387" s="449"/>
    </row>
    <row r="388" spans="1:14">
      <c r="A388" s="431">
        <f t="shared" si="6"/>
        <v>382</v>
      </c>
      <c r="B388" s="592"/>
      <c r="D388" s="443" t="s">
        <v>2191</v>
      </c>
      <c r="G388" s="447" t="s">
        <v>1678</v>
      </c>
      <c r="H388" s="447"/>
      <c r="I388" s="447"/>
      <c r="J388" s="447"/>
      <c r="K388" s="447"/>
      <c r="L388" s="447"/>
      <c r="M388" s="447"/>
      <c r="N388" s="449"/>
    </row>
    <row r="389" spans="1:14">
      <c r="A389" s="431">
        <f t="shared" si="6"/>
        <v>383</v>
      </c>
      <c r="B389" s="592" t="s">
        <v>2192</v>
      </c>
      <c r="C389" s="442" t="s">
        <v>2193</v>
      </c>
      <c r="D389" s="430" t="s">
        <v>2194</v>
      </c>
      <c r="E389" s="444" t="s">
        <v>1723</v>
      </c>
      <c r="F389" s="450">
        <v>55663</v>
      </c>
      <c r="G389" s="447" t="s">
        <v>1678</v>
      </c>
      <c r="H389" s="447"/>
      <c r="I389" s="447"/>
      <c r="J389" s="447"/>
      <c r="K389" s="447"/>
      <c r="L389" s="447"/>
      <c r="M389" s="447"/>
      <c r="N389" s="449"/>
    </row>
    <row r="390" spans="1:14" ht="18" customHeight="1">
      <c r="A390" s="431">
        <f t="shared" si="6"/>
        <v>384</v>
      </c>
      <c r="B390" s="592" t="s">
        <v>1153</v>
      </c>
      <c r="C390" s="442" t="s">
        <v>2195</v>
      </c>
      <c r="D390" s="443" t="s">
        <v>2196</v>
      </c>
      <c r="E390" s="444" t="s">
        <v>303</v>
      </c>
      <c r="F390" s="450">
        <v>10936510</v>
      </c>
      <c r="G390" s="447" t="s">
        <v>1678</v>
      </c>
      <c r="H390" s="447"/>
      <c r="I390" s="447"/>
      <c r="J390" s="447"/>
      <c r="K390" s="447"/>
      <c r="L390" s="447"/>
      <c r="M390" s="447"/>
      <c r="N390" s="449"/>
    </row>
    <row r="391" spans="1:14">
      <c r="A391" s="431">
        <f t="shared" si="6"/>
        <v>385</v>
      </c>
      <c r="B391" s="592"/>
      <c r="D391" s="443" t="s">
        <v>2197</v>
      </c>
      <c r="E391" s="444" t="s">
        <v>303</v>
      </c>
      <c r="G391" s="447" t="s">
        <v>1678</v>
      </c>
      <c r="H391" s="447"/>
      <c r="I391" s="447"/>
      <c r="J391" s="447"/>
      <c r="K391" s="447"/>
      <c r="L391" s="447"/>
      <c r="M391" s="447"/>
      <c r="N391" s="449"/>
    </row>
    <row r="392" spans="1:14">
      <c r="A392" s="431">
        <f t="shared" si="6"/>
        <v>386</v>
      </c>
      <c r="B392" s="592"/>
      <c r="D392" s="443" t="s">
        <v>2198</v>
      </c>
      <c r="E392" s="444" t="s">
        <v>303</v>
      </c>
      <c r="G392" s="447" t="s">
        <v>1678</v>
      </c>
      <c r="H392" s="447"/>
      <c r="I392" s="447"/>
      <c r="J392" s="447"/>
      <c r="K392" s="447"/>
      <c r="L392" s="447"/>
      <c r="M392" s="447"/>
      <c r="N392" s="449"/>
    </row>
    <row r="393" spans="1:14">
      <c r="A393" s="431">
        <f t="shared" si="6"/>
        <v>387</v>
      </c>
      <c r="B393" s="592"/>
      <c r="D393" s="443" t="s">
        <v>2199</v>
      </c>
      <c r="E393" s="444" t="s">
        <v>303</v>
      </c>
      <c r="G393" s="447" t="s">
        <v>1678</v>
      </c>
      <c r="H393" s="447"/>
      <c r="I393" s="447"/>
      <c r="J393" s="447"/>
      <c r="K393" s="447"/>
      <c r="L393" s="447"/>
      <c r="M393" s="447"/>
      <c r="N393" s="449"/>
    </row>
    <row r="394" spans="1:14">
      <c r="A394" s="431">
        <f t="shared" si="6"/>
        <v>388</v>
      </c>
      <c r="B394" s="592"/>
      <c r="D394" s="443" t="s">
        <v>2000</v>
      </c>
      <c r="E394" s="444" t="s">
        <v>303</v>
      </c>
      <c r="G394" s="447" t="s">
        <v>1678</v>
      </c>
      <c r="H394" s="447"/>
      <c r="I394" s="447"/>
      <c r="J394" s="447"/>
      <c r="K394" s="447"/>
      <c r="L394" s="447"/>
      <c r="M394" s="447"/>
      <c r="N394" s="449"/>
    </row>
    <row r="395" spans="1:14">
      <c r="A395" s="431">
        <f t="shared" si="6"/>
        <v>389</v>
      </c>
      <c r="B395" s="592" t="s">
        <v>1155</v>
      </c>
      <c r="C395" s="442" t="s">
        <v>2200</v>
      </c>
      <c r="D395" s="443" t="s">
        <v>2201</v>
      </c>
      <c r="E395" s="444" t="s">
        <v>303</v>
      </c>
      <c r="F395" s="450">
        <v>613605</v>
      </c>
      <c r="G395" s="447" t="s">
        <v>1678</v>
      </c>
      <c r="H395" s="447"/>
      <c r="I395" s="447"/>
      <c r="J395" s="447"/>
      <c r="K395" s="447"/>
      <c r="L395" s="447"/>
      <c r="M395" s="447"/>
      <c r="N395" s="449"/>
    </row>
    <row r="396" spans="1:14" ht="29">
      <c r="A396" s="431">
        <f t="shared" si="6"/>
        <v>390</v>
      </c>
      <c r="B396" s="592" t="s">
        <v>625</v>
      </c>
      <c r="C396" s="442" t="s">
        <v>2202</v>
      </c>
      <c r="D396" s="443" t="s">
        <v>2203</v>
      </c>
      <c r="E396" s="444" t="s">
        <v>303</v>
      </c>
      <c r="F396" s="450">
        <v>7852641</v>
      </c>
      <c r="G396" s="447" t="s">
        <v>1678</v>
      </c>
      <c r="H396" s="447"/>
      <c r="I396" s="447"/>
      <c r="J396" s="447"/>
      <c r="K396" s="447"/>
      <c r="L396" s="447"/>
      <c r="M396" s="447"/>
      <c r="N396" s="449"/>
    </row>
    <row r="397" spans="1:14">
      <c r="A397" s="431">
        <f t="shared" si="6"/>
        <v>391</v>
      </c>
      <c r="B397" s="592"/>
      <c r="D397" s="443" t="s">
        <v>2204</v>
      </c>
      <c r="E397" s="444" t="s">
        <v>303</v>
      </c>
      <c r="G397" s="447"/>
      <c r="H397" s="447"/>
      <c r="I397" s="447" t="s">
        <v>1678</v>
      </c>
      <c r="J397" s="447"/>
      <c r="K397" s="447"/>
      <c r="L397" s="447"/>
      <c r="M397" s="447"/>
      <c r="N397" s="449" t="s">
        <v>2205</v>
      </c>
    </row>
    <row r="398" spans="1:14">
      <c r="A398" s="431">
        <f t="shared" si="6"/>
        <v>392</v>
      </c>
      <c r="B398" s="592"/>
      <c r="D398" s="443" t="s">
        <v>2206</v>
      </c>
      <c r="E398" s="444" t="s">
        <v>303</v>
      </c>
      <c r="G398" s="447"/>
      <c r="H398" s="447"/>
      <c r="I398" s="447" t="s">
        <v>1678</v>
      </c>
      <c r="J398" s="447"/>
      <c r="K398" s="447"/>
      <c r="L398" s="447"/>
      <c r="M398" s="447"/>
      <c r="N398" s="449" t="s">
        <v>2205</v>
      </c>
    </row>
    <row r="399" spans="1:14">
      <c r="A399" s="431">
        <f t="shared" si="6"/>
        <v>393</v>
      </c>
      <c r="B399" s="592" t="s">
        <v>1157</v>
      </c>
      <c r="C399" s="442" t="s">
        <v>2207</v>
      </c>
      <c r="D399" s="443" t="s">
        <v>2208</v>
      </c>
      <c r="E399" s="444" t="s">
        <v>303</v>
      </c>
      <c r="F399" s="450">
        <v>15292177</v>
      </c>
      <c r="G399" s="447" t="s">
        <v>1678</v>
      </c>
      <c r="H399" s="447"/>
      <c r="I399" s="447"/>
      <c r="J399" s="447"/>
      <c r="K399" s="447"/>
      <c r="L399" s="447"/>
      <c r="M399" s="447"/>
      <c r="N399" s="449"/>
    </row>
    <row r="400" spans="1:14" ht="29">
      <c r="A400" s="431">
        <f t="shared" si="6"/>
        <v>394</v>
      </c>
      <c r="B400" s="592"/>
      <c r="D400" s="443" t="s">
        <v>2209</v>
      </c>
      <c r="E400" s="444" t="s">
        <v>303</v>
      </c>
      <c r="G400" s="447" t="s">
        <v>1678</v>
      </c>
      <c r="H400" s="447"/>
      <c r="I400" s="447"/>
      <c r="J400" s="447"/>
      <c r="K400" s="447"/>
      <c r="L400" s="447"/>
      <c r="M400" s="447"/>
      <c r="N400" s="449"/>
    </row>
    <row r="401" spans="1:14" ht="29">
      <c r="A401" s="431">
        <f t="shared" si="6"/>
        <v>395</v>
      </c>
      <c r="B401" s="592"/>
      <c r="D401" s="443" t="s">
        <v>2210</v>
      </c>
      <c r="G401" s="447" t="s">
        <v>1678</v>
      </c>
      <c r="H401" s="447"/>
      <c r="I401" s="447"/>
      <c r="J401" s="447"/>
      <c r="K401" s="447"/>
      <c r="L401" s="447"/>
      <c r="M401" s="447"/>
      <c r="N401" s="449"/>
    </row>
    <row r="402" spans="1:14">
      <c r="A402" s="431">
        <f t="shared" si="6"/>
        <v>396</v>
      </c>
      <c r="B402" s="592"/>
      <c r="D402" s="443" t="s">
        <v>2211</v>
      </c>
      <c r="E402" s="444" t="s">
        <v>303</v>
      </c>
      <c r="G402" s="447" t="s">
        <v>1678</v>
      </c>
      <c r="H402" s="447"/>
      <c r="I402" s="447"/>
      <c r="J402" s="447"/>
      <c r="K402" s="447"/>
      <c r="L402" s="447"/>
      <c r="M402" s="447"/>
      <c r="N402" s="449"/>
    </row>
    <row r="403" spans="1:14" ht="17.25" customHeight="1">
      <c r="A403" s="431">
        <f t="shared" si="6"/>
        <v>397</v>
      </c>
      <c r="B403" s="592" t="s">
        <v>1160</v>
      </c>
      <c r="C403" s="442" t="s">
        <v>2212</v>
      </c>
      <c r="D403" s="443" t="s">
        <v>2213</v>
      </c>
      <c r="E403" s="444" t="s">
        <v>303</v>
      </c>
      <c r="F403" s="450">
        <v>3120406</v>
      </c>
      <c r="G403" s="447" t="s">
        <v>1678</v>
      </c>
      <c r="H403" s="447"/>
      <c r="I403" s="447"/>
      <c r="J403" s="447"/>
      <c r="K403" s="447"/>
      <c r="L403" s="447"/>
      <c r="M403" s="447"/>
      <c r="N403" s="449"/>
    </row>
    <row r="404" spans="1:14">
      <c r="A404" s="431">
        <f t="shared" si="6"/>
        <v>398</v>
      </c>
      <c r="B404" s="592"/>
      <c r="D404" s="443" t="s">
        <v>2214</v>
      </c>
      <c r="E404" s="444" t="s">
        <v>303</v>
      </c>
      <c r="G404" s="447" t="s">
        <v>1678</v>
      </c>
      <c r="H404" s="447"/>
      <c r="I404" s="447"/>
      <c r="J404" s="447"/>
      <c r="K404" s="447"/>
      <c r="L404" s="447"/>
      <c r="M404" s="447"/>
      <c r="N404" s="449"/>
    </row>
    <row r="405" spans="1:14">
      <c r="A405" s="431">
        <f t="shared" si="6"/>
        <v>399</v>
      </c>
      <c r="B405" s="592"/>
      <c r="D405" s="443" t="s">
        <v>2215</v>
      </c>
      <c r="E405" s="444" t="s">
        <v>303</v>
      </c>
      <c r="G405" s="447" t="s">
        <v>1678</v>
      </c>
      <c r="H405" s="447"/>
      <c r="I405" s="447"/>
      <c r="J405" s="447"/>
      <c r="K405" s="447"/>
      <c r="L405" s="447"/>
      <c r="M405" s="447"/>
      <c r="N405" s="449"/>
    </row>
    <row r="406" spans="1:14" ht="29">
      <c r="A406" s="431">
        <f t="shared" ref="A406:A469" si="7">A405+1</f>
        <v>400</v>
      </c>
      <c r="B406" s="592" t="s">
        <v>1164</v>
      </c>
      <c r="C406" s="442" t="s">
        <v>2216</v>
      </c>
      <c r="D406" s="443" t="s">
        <v>2217</v>
      </c>
      <c r="E406" s="444" t="s">
        <v>303</v>
      </c>
      <c r="F406" s="450">
        <v>6003327</v>
      </c>
      <c r="G406" s="447" t="s">
        <v>1678</v>
      </c>
      <c r="H406" s="447"/>
      <c r="I406" s="447"/>
      <c r="J406" s="447"/>
      <c r="K406" s="447"/>
      <c r="L406" s="447"/>
      <c r="M406" s="447"/>
      <c r="N406" s="449"/>
    </row>
    <row r="407" spans="1:14">
      <c r="A407" s="431">
        <f t="shared" si="7"/>
        <v>401</v>
      </c>
      <c r="B407" s="592"/>
      <c r="D407" s="443" t="s">
        <v>2218</v>
      </c>
      <c r="E407" s="444" t="s">
        <v>303</v>
      </c>
      <c r="G407" s="447" t="s">
        <v>1678</v>
      </c>
      <c r="H407" s="447"/>
      <c r="I407" s="447"/>
      <c r="J407" s="447"/>
      <c r="K407" s="447"/>
      <c r="L407" s="447"/>
      <c r="M407" s="447"/>
      <c r="N407" s="449"/>
    </row>
    <row r="408" spans="1:14">
      <c r="A408" s="431">
        <f t="shared" si="7"/>
        <v>402</v>
      </c>
      <c r="B408" s="592" t="s">
        <v>1166</v>
      </c>
      <c r="C408" s="442" t="s">
        <v>2219</v>
      </c>
      <c r="D408" s="443" t="s">
        <v>2220</v>
      </c>
      <c r="E408" s="444" t="s">
        <v>303</v>
      </c>
      <c r="F408" s="450">
        <v>1315661</v>
      </c>
      <c r="G408" s="447" t="s">
        <v>1678</v>
      </c>
      <c r="H408" s="447"/>
      <c r="I408" s="447"/>
      <c r="J408" s="447"/>
      <c r="K408" s="447"/>
      <c r="L408" s="447"/>
      <c r="M408" s="447"/>
      <c r="N408" s="449"/>
    </row>
    <row r="409" spans="1:14">
      <c r="A409" s="431">
        <f t="shared" si="7"/>
        <v>403</v>
      </c>
      <c r="B409" s="592"/>
      <c r="D409" s="443" t="s">
        <v>2221</v>
      </c>
      <c r="E409" s="444" t="s">
        <v>303</v>
      </c>
      <c r="G409" s="447" t="s">
        <v>1678</v>
      </c>
      <c r="H409" s="447"/>
      <c r="I409" s="447"/>
      <c r="J409" s="447"/>
      <c r="K409" s="447"/>
      <c r="L409" s="447"/>
      <c r="M409" s="447"/>
      <c r="N409" s="449"/>
    </row>
    <row r="410" spans="1:14">
      <c r="A410" s="431">
        <f t="shared" si="7"/>
        <v>404</v>
      </c>
      <c r="B410" s="592"/>
      <c r="D410" s="443"/>
      <c r="G410" s="447"/>
      <c r="H410" s="447"/>
      <c r="I410" s="447"/>
      <c r="J410" s="447"/>
      <c r="K410" s="447"/>
      <c r="L410" s="447"/>
      <c r="M410" s="447"/>
      <c r="N410" s="449"/>
    </row>
    <row r="411" spans="1:14">
      <c r="A411" s="431">
        <f t="shared" si="7"/>
        <v>405</v>
      </c>
      <c r="B411" s="592"/>
      <c r="C411" s="467" t="s">
        <v>2222</v>
      </c>
      <c r="D411" s="443"/>
      <c r="G411" s="447"/>
      <c r="H411" s="447"/>
      <c r="I411" s="447"/>
      <c r="J411" s="447"/>
      <c r="K411" s="447"/>
      <c r="L411" s="447"/>
      <c r="M411" s="447"/>
      <c r="N411" s="449"/>
    </row>
    <row r="412" spans="1:14" ht="29">
      <c r="A412" s="431">
        <f t="shared" si="7"/>
        <v>406</v>
      </c>
      <c r="B412" s="592"/>
      <c r="C412" s="468" t="s">
        <v>657</v>
      </c>
      <c r="D412" s="443"/>
      <c r="E412" s="444" t="s">
        <v>303</v>
      </c>
      <c r="F412" s="450">
        <v>133158</v>
      </c>
      <c r="G412" s="447" t="s">
        <v>1678</v>
      </c>
      <c r="H412" s="447"/>
      <c r="I412" s="447"/>
      <c r="J412" s="447"/>
      <c r="K412" s="447"/>
      <c r="L412" s="447"/>
      <c r="M412" s="447"/>
      <c r="N412" s="449"/>
    </row>
    <row r="413" spans="1:14" ht="29">
      <c r="A413" s="431">
        <f t="shared" si="7"/>
        <v>407</v>
      </c>
      <c r="B413" s="592"/>
      <c r="C413" s="468" t="s">
        <v>659</v>
      </c>
      <c r="D413" s="443"/>
      <c r="E413" s="444" t="s">
        <v>303</v>
      </c>
      <c r="F413" s="450">
        <v>96623</v>
      </c>
      <c r="G413" s="447" t="s">
        <v>1678</v>
      </c>
      <c r="H413" s="447"/>
      <c r="I413" s="447"/>
      <c r="J413" s="447"/>
      <c r="K413" s="447"/>
      <c r="L413" s="447"/>
      <c r="M413" s="447"/>
      <c r="N413" s="449"/>
    </row>
    <row r="414" spans="1:14">
      <c r="A414" s="431">
        <f t="shared" si="7"/>
        <v>408</v>
      </c>
      <c r="B414" s="592"/>
      <c r="C414" s="468" t="s">
        <v>661</v>
      </c>
      <c r="D414" s="443"/>
      <c r="E414" s="444" t="s">
        <v>303</v>
      </c>
      <c r="F414" s="450">
        <v>459778</v>
      </c>
      <c r="G414" s="447" t="s">
        <v>1678</v>
      </c>
      <c r="H414" s="447"/>
      <c r="I414" s="447"/>
      <c r="J414" s="447"/>
      <c r="K414" s="447"/>
      <c r="L414" s="447"/>
      <c r="M414" s="447"/>
      <c r="N414" s="449"/>
    </row>
    <row r="415" spans="1:14">
      <c r="A415" s="431">
        <f t="shared" si="7"/>
        <v>409</v>
      </c>
      <c r="B415" s="592"/>
      <c r="C415" s="468" t="s">
        <v>663</v>
      </c>
      <c r="D415" s="443"/>
      <c r="E415" s="444" t="s">
        <v>303</v>
      </c>
      <c r="F415" s="450">
        <v>351685</v>
      </c>
      <c r="G415" s="447" t="s">
        <v>1678</v>
      </c>
      <c r="H415" s="447"/>
      <c r="I415" s="447"/>
      <c r="J415" s="447"/>
      <c r="K415" s="447"/>
      <c r="L415" s="447"/>
      <c r="M415" s="447"/>
      <c r="N415" s="449"/>
    </row>
    <row r="416" spans="1:14">
      <c r="A416" s="431">
        <f t="shared" si="7"/>
        <v>410</v>
      </c>
      <c r="B416" s="592"/>
      <c r="C416" s="468" t="s">
        <v>665</v>
      </c>
      <c r="D416" s="443"/>
      <c r="E416" s="444" t="s">
        <v>303</v>
      </c>
      <c r="F416" s="450">
        <v>5000750</v>
      </c>
      <c r="G416" s="447" t="s">
        <v>1678</v>
      </c>
      <c r="H416" s="447"/>
      <c r="I416" s="447"/>
      <c r="J416" s="447"/>
      <c r="K416" s="447"/>
      <c r="L416" s="447"/>
      <c r="M416" s="447"/>
      <c r="N416" s="449"/>
    </row>
    <row r="417" spans="1:14" ht="17.25" customHeight="1">
      <c r="A417" s="431">
        <f t="shared" si="7"/>
        <v>411</v>
      </c>
      <c r="B417" s="592"/>
      <c r="C417" s="758" t="s">
        <v>667</v>
      </c>
      <c r="D417" s="443"/>
      <c r="E417" s="444" t="s">
        <v>303</v>
      </c>
      <c r="F417" s="450">
        <v>5697945</v>
      </c>
      <c r="G417" s="447" t="s">
        <v>1678</v>
      </c>
      <c r="H417" s="447"/>
      <c r="I417" s="447"/>
      <c r="J417" s="447"/>
      <c r="K417" s="447"/>
      <c r="L417" s="447"/>
      <c r="M417" s="447"/>
      <c r="N417" s="449"/>
    </row>
    <row r="418" spans="1:14" ht="15" customHeight="1">
      <c r="A418" s="431">
        <f t="shared" si="7"/>
        <v>412</v>
      </c>
      <c r="B418" s="592"/>
      <c r="C418" s="758" t="s">
        <v>669</v>
      </c>
      <c r="D418" s="443"/>
      <c r="E418" s="444" t="s">
        <v>303</v>
      </c>
      <c r="F418" s="450">
        <v>4229572</v>
      </c>
      <c r="G418" s="447" t="s">
        <v>1678</v>
      </c>
      <c r="H418" s="447"/>
      <c r="I418" s="447"/>
      <c r="J418" s="447"/>
      <c r="K418" s="447"/>
      <c r="L418" s="447"/>
      <c r="M418" s="447"/>
      <c r="N418" s="449"/>
    </row>
    <row r="419" spans="1:14">
      <c r="A419" s="431">
        <f t="shared" si="7"/>
        <v>413</v>
      </c>
      <c r="B419" s="592"/>
      <c r="C419" s="468" t="s">
        <v>671</v>
      </c>
      <c r="D419" s="452"/>
      <c r="E419" s="444" t="s">
        <v>303</v>
      </c>
      <c r="F419" s="453">
        <v>7763675</v>
      </c>
      <c r="G419" s="447" t="s">
        <v>1678</v>
      </c>
      <c r="H419" s="447"/>
      <c r="I419" s="447"/>
      <c r="J419" s="447"/>
      <c r="K419" s="447"/>
      <c r="L419" s="447"/>
      <c r="M419" s="447"/>
      <c r="N419" s="449"/>
    </row>
    <row r="420" spans="1:14">
      <c r="A420" s="431">
        <f t="shared" si="7"/>
        <v>414</v>
      </c>
      <c r="B420" s="592"/>
      <c r="C420" s="468" t="s">
        <v>673</v>
      </c>
      <c r="D420" s="452"/>
      <c r="E420" s="444" t="s">
        <v>303</v>
      </c>
      <c r="F420" s="453">
        <v>1954466</v>
      </c>
      <c r="G420" s="447" t="s">
        <v>1678</v>
      </c>
      <c r="H420" s="447"/>
      <c r="I420" s="447"/>
      <c r="J420" s="447"/>
      <c r="K420" s="447"/>
      <c r="L420" s="447"/>
      <c r="M420" s="447"/>
      <c r="N420" s="449"/>
    </row>
    <row r="421" spans="1:14" ht="29">
      <c r="A421" s="431">
        <f t="shared" si="7"/>
        <v>415</v>
      </c>
      <c r="B421" s="592"/>
      <c r="C421" s="468" t="s">
        <v>675</v>
      </c>
      <c r="D421" s="452"/>
      <c r="E421" s="444" t="s">
        <v>303</v>
      </c>
      <c r="F421" s="453">
        <v>1718240</v>
      </c>
      <c r="G421" s="447" t="s">
        <v>1678</v>
      </c>
      <c r="H421" s="447"/>
      <c r="I421" s="447"/>
      <c r="J421" s="447"/>
      <c r="K421" s="447"/>
      <c r="L421" s="447"/>
      <c r="M421" s="447"/>
      <c r="N421" s="449"/>
    </row>
    <row r="422" spans="1:14" ht="29">
      <c r="A422" s="431">
        <f t="shared" si="7"/>
        <v>416</v>
      </c>
      <c r="B422" s="592"/>
      <c r="C422" s="468" t="s">
        <v>677</v>
      </c>
      <c r="D422" s="452"/>
      <c r="E422" s="444" t="s">
        <v>303</v>
      </c>
      <c r="F422" s="453">
        <v>3318558</v>
      </c>
      <c r="G422" s="447" t="s">
        <v>1678</v>
      </c>
      <c r="H422" s="447"/>
      <c r="I422" s="447"/>
      <c r="J422" s="447"/>
      <c r="K422" s="447"/>
      <c r="L422" s="447"/>
      <c r="M422" s="447"/>
      <c r="N422" s="449"/>
    </row>
    <row r="423" spans="1:14" ht="29">
      <c r="A423" s="431">
        <f t="shared" si="7"/>
        <v>417</v>
      </c>
      <c r="B423" s="592"/>
      <c r="C423" s="468" t="s">
        <v>679</v>
      </c>
      <c r="D423" s="452"/>
      <c r="E423" s="444" t="s">
        <v>303</v>
      </c>
      <c r="F423" s="453">
        <v>2952237</v>
      </c>
      <c r="G423" s="447" t="s">
        <v>1678</v>
      </c>
      <c r="H423" s="447"/>
      <c r="I423" s="447"/>
      <c r="J423" s="447"/>
      <c r="K423" s="447"/>
      <c r="L423" s="447"/>
      <c r="M423" s="447"/>
      <c r="N423" s="449"/>
    </row>
    <row r="424" spans="1:14" ht="29">
      <c r="A424" s="431">
        <f t="shared" si="7"/>
        <v>418</v>
      </c>
      <c r="B424" s="592"/>
      <c r="C424" s="468" t="s">
        <v>2223</v>
      </c>
      <c r="D424" s="452"/>
      <c r="E424" s="444" t="s">
        <v>1723</v>
      </c>
      <c r="F424" s="453"/>
      <c r="G424" s="447" t="s">
        <v>1678</v>
      </c>
      <c r="H424" s="447"/>
      <c r="I424" s="447"/>
      <c r="J424" s="447"/>
      <c r="K424" s="447"/>
      <c r="L424" s="447"/>
      <c r="M424" s="447"/>
      <c r="N424" s="449"/>
    </row>
    <row r="425" spans="1:14">
      <c r="A425" s="431">
        <f t="shared" si="7"/>
        <v>419</v>
      </c>
      <c r="B425" s="592"/>
      <c r="C425" s="468" t="s">
        <v>683</v>
      </c>
      <c r="D425" s="452"/>
      <c r="E425" s="444" t="s">
        <v>303</v>
      </c>
      <c r="F425" s="453">
        <v>1259668</v>
      </c>
      <c r="G425" s="447" t="s">
        <v>1678</v>
      </c>
      <c r="H425" s="447"/>
      <c r="I425" s="447"/>
      <c r="J425" s="447"/>
      <c r="K425" s="447"/>
      <c r="L425" s="447"/>
      <c r="M425" s="447"/>
      <c r="N425" s="449"/>
    </row>
    <row r="426" spans="1:14" ht="29">
      <c r="A426" s="431">
        <f t="shared" si="7"/>
        <v>420</v>
      </c>
      <c r="B426" s="592"/>
      <c r="C426" s="468" t="s">
        <v>685</v>
      </c>
      <c r="D426" s="452"/>
      <c r="E426" s="444" t="s">
        <v>303</v>
      </c>
      <c r="F426" s="453">
        <v>7750195</v>
      </c>
      <c r="G426" s="447" t="s">
        <v>1678</v>
      </c>
      <c r="H426" s="447"/>
      <c r="I426" s="447"/>
      <c r="J426" s="447"/>
      <c r="K426" s="447"/>
      <c r="L426" s="447"/>
      <c r="M426" s="447"/>
      <c r="N426" s="449"/>
    </row>
    <row r="427" spans="1:14">
      <c r="A427" s="431">
        <f t="shared" si="7"/>
        <v>421</v>
      </c>
      <c r="B427" s="592"/>
      <c r="C427" s="468" t="s">
        <v>687</v>
      </c>
      <c r="D427" s="452"/>
      <c r="E427" s="444" t="s">
        <v>303</v>
      </c>
      <c r="F427" s="453">
        <v>14513308</v>
      </c>
      <c r="G427" s="447" t="s">
        <v>1678</v>
      </c>
      <c r="H427" s="447"/>
      <c r="I427" s="447"/>
      <c r="J427" s="447"/>
      <c r="K427" s="447"/>
      <c r="L427" s="447"/>
      <c r="M427" s="447"/>
      <c r="N427" s="449"/>
    </row>
    <row r="428" spans="1:14">
      <c r="A428" s="431">
        <f t="shared" si="7"/>
        <v>422</v>
      </c>
      <c r="B428" s="592"/>
      <c r="C428" s="468" t="s">
        <v>2224</v>
      </c>
      <c r="D428" s="452"/>
      <c r="E428" s="444" t="s">
        <v>303</v>
      </c>
      <c r="F428" s="453">
        <v>4705536</v>
      </c>
      <c r="G428" s="447" t="s">
        <v>1678</v>
      </c>
      <c r="H428" s="447"/>
      <c r="I428" s="447"/>
      <c r="J428" s="447"/>
      <c r="K428" s="447"/>
      <c r="L428" s="447"/>
      <c r="M428" s="447"/>
      <c r="N428" s="449"/>
    </row>
    <row r="429" spans="1:14">
      <c r="A429" s="431">
        <f t="shared" si="7"/>
        <v>423</v>
      </c>
      <c r="B429" s="592"/>
      <c r="C429" s="468" t="s">
        <v>691</v>
      </c>
      <c r="D429" s="443" t="s">
        <v>2225</v>
      </c>
      <c r="E429" s="444" t="s">
        <v>1723</v>
      </c>
      <c r="F429" s="450">
        <v>5804318</v>
      </c>
      <c r="G429" s="447" t="s">
        <v>1678</v>
      </c>
      <c r="H429" s="447"/>
      <c r="I429" s="447"/>
      <c r="J429" s="447"/>
      <c r="K429" s="447"/>
      <c r="L429" s="447"/>
      <c r="M429" s="447"/>
      <c r="N429" s="449"/>
    </row>
    <row r="430" spans="1:14">
      <c r="A430" s="431">
        <f t="shared" si="7"/>
        <v>424</v>
      </c>
      <c r="B430" s="592"/>
      <c r="C430" s="468" t="s">
        <v>693</v>
      </c>
      <c r="D430" s="443"/>
      <c r="E430" s="444" t="s">
        <v>303</v>
      </c>
      <c r="F430" s="450">
        <v>1366481</v>
      </c>
      <c r="G430" s="447" t="s">
        <v>1678</v>
      </c>
      <c r="H430" s="447"/>
      <c r="I430" s="447"/>
      <c r="J430" s="447"/>
      <c r="K430" s="447"/>
      <c r="L430" s="447"/>
      <c r="M430" s="447"/>
      <c r="N430" s="449"/>
    </row>
    <row r="431" spans="1:14" ht="29">
      <c r="A431" s="431">
        <f t="shared" si="7"/>
        <v>425</v>
      </c>
      <c r="B431" s="592"/>
      <c r="C431" s="468" t="s">
        <v>695</v>
      </c>
      <c r="D431" s="443"/>
      <c r="E431" s="444" t="s">
        <v>303</v>
      </c>
      <c r="F431" s="450">
        <v>2605678</v>
      </c>
      <c r="G431" s="447" t="s">
        <v>1678</v>
      </c>
      <c r="H431" s="447"/>
      <c r="I431" s="447"/>
      <c r="J431" s="447"/>
      <c r="K431" s="447"/>
      <c r="L431" s="447"/>
      <c r="M431" s="447"/>
      <c r="N431" s="449"/>
    </row>
    <row r="432" spans="1:14">
      <c r="A432" s="431">
        <f t="shared" si="7"/>
        <v>426</v>
      </c>
      <c r="B432" s="592"/>
      <c r="C432" s="468" t="s">
        <v>697</v>
      </c>
      <c r="D432" s="443"/>
      <c r="E432" s="444" t="s">
        <v>303</v>
      </c>
      <c r="F432" s="450">
        <v>553800</v>
      </c>
      <c r="G432" s="447" t="s">
        <v>1678</v>
      </c>
      <c r="H432" s="447"/>
      <c r="I432" s="447"/>
      <c r="J432" s="447"/>
      <c r="K432" s="447"/>
      <c r="L432" s="447"/>
      <c r="M432" s="447"/>
      <c r="N432" s="449"/>
    </row>
    <row r="433" spans="1:14">
      <c r="A433" s="431">
        <f t="shared" si="7"/>
        <v>427</v>
      </c>
      <c r="B433" s="592"/>
      <c r="C433" s="468" t="s">
        <v>699</v>
      </c>
      <c r="D433" s="443"/>
      <c r="E433" s="444" t="s">
        <v>303</v>
      </c>
      <c r="F433" s="450">
        <v>2867800</v>
      </c>
      <c r="G433" s="447" t="s">
        <v>1678</v>
      </c>
      <c r="H433" s="447"/>
      <c r="I433" s="447"/>
      <c r="J433" s="447"/>
      <c r="K433" s="447"/>
      <c r="L433" s="447"/>
      <c r="M433" s="447"/>
      <c r="N433" s="449"/>
    </row>
    <row r="434" spans="1:14">
      <c r="A434" s="431">
        <f t="shared" si="7"/>
        <v>428</v>
      </c>
      <c r="B434" s="592"/>
      <c r="C434" s="468" t="s">
        <v>701</v>
      </c>
      <c r="D434" s="443"/>
      <c r="E434" s="444" t="s">
        <v>303</v>
      </c>
      <c r="F434" s="450">
        <v>918676</v>
      </c>
      <c r="G434" s="447" t="s">
        <v>1678</v>
      </c>
      <c r="H434" s="447"/>
      <c r="I434" s="447"/>
      <c r="J434" s="447"/>
      <c r="K434" s="447"/>
      <c r="L434" s="447"/>
      <c r="M434" s="447"/>
      <c r="N434" s="449"/>
    </row>
    <row r="435" spans="1:14">
      <c r="A435" s="431">
        <f t="shared" si="7"/>
        <v>429</v>
      </c>
      <c r="B435" s="592"/>
      <c r="C435" s="468" t="s">
        <v>703</v>
      </c>
      <c r="D435" s="443"/>
      <c r="E435" s="444" t="s">
        <v>303</v>
      </c>
      <c r="F435" s="450">
        <v>1258900</v>
      </c>
      <c r="G435" s="447" t="s">
        <v>1678</v>
      </c>
      <c r="H435" s="447"/>
      <c r="I435" s="447"/>
      <c r="J435" s="447"/>
      <c r="K435" s="447"/>
      <c r="L435" s="447"/>
      <c r="M435" s="447"/>
      <c r="N435" s="449"/>
    </row>
    <row r="436" spans="1:14">
      <c r="A436" s="431">
        <f t="shared" si="7"/>
        <v>430</v>
      </c>
      <c r="B436" s="592"/>
      <c r="C436" s="468" t="s">
        <v>705</v>
      </c>
      <c r="D436" s="443"/>
      <c r="E436" s="444" t="s">
        <v>303</v>
      </c>
      <c r="F436" s="450">
        <v>21014624</v>
      </c>
      <c r="G436" s="447" t="s">
        <v>1678</v>
      </c>
      <c r="H436" s="447"/>
      <c r="I436" s="447"/>
      <c r="J436" s="447"/>
      <c r="K436" s="447"/>
      <c r="L436" s="447"/>
      <c r="M436" s="447"/>
      <c r="N436" s="449"/>
    </row>
    <row r="437" spans="1:14">
      <c r="A437" s="431">
        <f t="shared" si="7"/>
        <v>431</v>
      </c>
      <c r="B437" s="592"/>
      <c r="C437" s="468" t="s">
        <v>707</v>
      </c>
      <c r="D437" s="443"/>
      <c r="E437" s="444" t="s">
        <v>303</v>
      </c>
      <c r="F437" s="450">
        <v>8311002</v>
      </c>
      <c r="G437" s="447" t="s">
        <v>1678</v>
      </c>
      <c r="H437" s="447"/>
      <c r="I437" s="447"/>
      <c r="J437" s="447"/>
      <c r="K437" s="447"/>
      <c r="L437" s="447"/>
      <c r="M437" s="447"/>
      <c r="N437" s="449"/>
    </row>
    <row r="438" spans="1:14">
      <c r="A438" s="431">
        <f t="shared" si="7"/>
        <v>432</v>
      </c>
      <c r="B438" s="592"/>
      <c r="C438" s="468" t="s">
        <v>709</v>
      </c>
      <c r="D438" s="443"/>
      <c r="E438" s="444" t="s">
        <v>303</v>
      </c>
      <c r="F438" s="450">
        <v>1872142</v>
      </c>
      <c r="G438" s="447" t="s">
        <v>1678</v>
      </c>
      <c r="H438" s="447"/>
      <c r="I438" s="447"/>
      <c r="J438" s="447"/>
      <c r="K438" s="447"/>
      <c r="L438" s="447"/>
      <c r="M438" s="447"/>
      <c r="N438" s="449"/>
    </row>
    <row r="439" spans="1:14">
      <c r="A439" s="431">
        <f t="shared" si="7"/>
        <v>433</v>
      </c>
      <c r="B439" s="592"/>
      <c r="C439" s="468" t="s">
        <v>711</v>
      </c>
      <c r="D439" s="443"/>
      <c r="E439" s="444" t="s">
        <v>303</v>
      </c>
      <c r="F439" s="450">
        <v>375316</v>
      </c>
      <c r="G439" s="447" t="s">
        <v>1678</v>
      </c>
      <c r="H439" s="447"/>
      <c r="I439" s="447"/>
      <c r="J439" s="447"/>
      <c r="K439" s="447"/>
      <c r="L439" s="447"/>
      <c r="M439" s="447"/>
      <c r="N439" s="449"/>
    </row>
    <row r="440" spans="1:14">
      <c r="A440" s="431">
        <f t="shared" si="7"/>
        <v>434</v>
      </c>
      <c r="B440" s="592"/>
      <c r="C440" s="468" t="s">
        <v>713</v>
      </c>
      <c r="D440" s="443"/>
      <c r="E440" s="444" t="s">
        <v>303</v>
      </c>
      <c r="F440" s="450">
        <v>771572</v>
      </c>
      <c r="G440" s="447" t="s">
        <v>1678</v>
      </c>
      <c r="H440" s="447"/>
      <c r="I440" s="447"/>
      <c r="J440" s="447"/>
      <c r="K440" s="447"/>
      <c r="L440" s="447"/>
      <c r="M440" s="447"/>
      <c r="N440" s="449"/>
    </row>
    <row r="441" spans="1:14" ht="29">
      <c r="A441" s="431">
        <f t="shared" si="7"/>
        <v>435</v>
      </c>
      <c r="B441" s="592"/>
      <c r="C441" s="468" t="s">
        <v>715</v>
      </c>
      <c r="D441" s="443"/>
      <c r="E441" s="444" t="s">
        <v>303</v>
      </c>
      <c r="F441" s="450">
        <v>60704</v>
      </c>
      <c r="G441" s="447" t="s">
        <v>1678</v>
      </c>
      <c r="H441" s="447"/>
      <c r="I441" s="447"/>
      <c r="J441" s="447"/>
      <c r="K441" s="447"/>
      <c r="L441" s="447"/>
      <c r="M441" s="447"/>
      <c r="N441" s="449"/>
    </row>
    <row r="442" spans="1:14">
      <c r="A442" s="431">
        <f t="shared" si="7"/>
        <v>436</v>
      </c>
      <c r="B442" s="592"/>
      <c r="C442" s="468" t="s">
        <v>717</v>
      </c>
      <c r="D442" s="443"/>
      <c r="E442" s="444" t="s">
        <v>303</v>
      </c>
      <c r="F442" s="450">
        <v>2369098</v>
      </c>
      <c r="G442" s="447" t="s">
        <v>1678</v>
      </c>
      <c r="H442" s="447"/>
      <c r="I442" s="447"/>
      <c r="J442" s="447"/>
      <c r="K442" s="447"/>
      <c r="L442" s="447"/>
      <c r="M442" s="447"/>
      <c r="N442" s="449"/>
    </row>
    <row r="443" spans="1:14">
      <c r="A443" s="431">
        <f t="shared" si="7"/>
        <v>437</v>
      </c>
      <c r="B443" s="592"/>
      <c r="C443" s="468" t="s">
        <v>719</v>
      </c>
      <c r="D443" s="443"/>
      <c r="E443" s="444" t="s">
        <v>303</v>
      </c>
      <c r="F443" s="450">
        <v>7305877</v>
      </c>
      <c r="G443" s="447" t="s">
        <v>1678</v>
      </c>
      <c r="H443" s="447"/>
      <c r="I443" s="447"/>
      <c r="J443" s="447"/>
      <c r="K443" s="447"/>
      <c r="L443" s="447"/>
      <c r="M443" s="447"/>
      <c r="N443" s="449"/>
    </row>
    <row r="444" spans="1:14" ht="29">
      <c r="A444" s="431">
        <f t="shared" si="7"/>
        <v>438</v>
      </c>
      <c r="B444" s="592"/>
      <c r="C444" s="468" t="s">
        <v>723</v>
      </c>
      <c r="D444" s="443"/>
      <c r="E444" s="444" t="s">
        <v>303</v>
      </c>
      <c r="F444" s="450">
        <v>922098</v>
      </c>
      <c r="G444" s="447" t="s">
        <v>1678</v>
      </c>
      <c r="H444" s="447"/>
      <c r="I444" s="447"/>
      <c r="J444" s="447"/>
      <c r="K444" s="447"/>
      <c r="L444" s="447"/>
      <c r="M444" s="447"/>
      <c r="N444" s="449"/>
    </row>
    <row r="445" spans="1:14" ht="17.25" customHeight="1">
      <c r="A445" s="431">
        <f t="shared" si="7"/>
        <v>439</v>
      </c>
      <c r="B445" s="592"/>
      <c r="C445" s="468" t="s">
        <v>725</v>
      </c>
      <c r="D445" s="443"/>
      <c r="E445" s="444" t="s">
        <v>303</v>
      </c>
      <c r="F445" s="450">
        <v>3440115</v>
      </c>
      <c r="G445" s="447" t="s">
        <v>1678</v>
      </c>
      <c r="H445" s="447"/>
      <c r="I445" s="447"/>
      <c r="J445" s="447"/>
      <c r="K445" s="447"/>
      <c r="L445" s="447"/>
      <c r="M445" s="447"/>
      <c r="N445" s="449"/>
    </row>
    <row r="446" spans="1:14">
      <c r="A446" s="431">
        <f t="shared" si="7"/>
        <v>440</v>
      </c>
      <c r="B446" s="592"/>
      <c r="C446" s="468" t="s">
        <v>2226</v>
      </c>
      <c r="D446" s="443"/>
      <c r="E446" s="444" t="s">
        <v>303</v>
      </c>
      <c r="F446" s="450">
        <v>444780</v>
      </c>
      <c r="G446" s="447" t="s">
        <v>1678</v>
      </c>
      <c r="H446" s="447"/>
      <c r="I446" s="447"/>
      <c r="J446" s="447"/>
      <c r="K446" s="447"/>
      <c r="L446" s="447"/>
      <c r="M446" s="447"/>
      <c r="N446" s="449"/>
    </row>
    <row r="447" spans="1:14">
      <c r="A447" s="431">
        <f t="shared" si="7"/>
        <v>441</v>
      </c>
      <c r="B447" s="592"/>
      <c r="C447" s="468" t="s">
        <v>2227</v>
      </c>
      <c r="D447" s="443"/>
      <c r="E447" s="444" t="s">
        <v>303</v>
      </c>
      <c r="F447" s="450">
        <v>7919832</v>
      </c>
      <c r="G447" s="447" t="s">
        <v>1678</v>
      </c>
      <c r="H447" s="447"/>
      <c r="I447" s="447"/>
      <c r="J447" s="447"/>
      <c r="K447" s="447"/>
      <c r="L447" s="447"/>
      <c r="M447" s="447"/>
      <c r="N447" s="449"/>
    </row>
    <row r="448" spans="1:14">
      <c r="A448" s="431">
        <f t="shared" si="7"/>
        <v>442</v>
      </c>
      <c r="B448" s="592"/>
      <c r="C448" s="468" t="s">
        <v>731</v>
      </c>
      <c r="D448" s="443" t="s">
        <v>2228</v>
      </c>
      <c r="E448" s="444" t="s">
        <v>1723</v>
      </c>
      <c r="F448" s="450">
        <v>28806330</v>
      </c>
      <c r="G448" s="447" t="s">
        <v>1678</v>
      </c>
      <c r="H448" s="447"/>
      <c r="I448" s="447"/>
      <c r="J448" s="447"/>
      <c r="K448" s="447"/>
      <c r="L448" s="447"/>
      <c r="M448" s="447"/>
      <c r="N448" s="449"/>
    </row>
    <row r="449" spans="1:14">
      <c r="A449" s="431">
        <f t="shared" si="7"/>
        <v>443</v>
      </c>
      <c r="B449" s="592"/>
      <c r="C449" s="468" t="s">
        <v>733</v>
      </c>
      <c r="D449" s="443" t="s">
        <v>2229</v>
      </c>
      <c r="E449" s="444" t="s">
        <v>1723</v>
      </c>
      <c r="F449" s="450">
        <v>157876</v>
      </c>
      <c r="G449" s="447" t="s">
        <v>1678</v>
      </c>
      <c r="H449" s="447"/>
      <c r="I449" s="447"/>
      <c r="J449" s="447"/>
      <c r="K449" s="447"/>
      <c r="L449" s="447"/>
      <c r="M449" s="447"/>
      <c r="N449" s="449"/>
    </row>
    <row r="450" spans="1:14">
      <c r="A450" s="431">
        <f t="shared" si="7"/>
        <v>444</v>
      </c>
      <c r="B450" s="592"/>
      <c r="C450" s="468" t="s">
        <v>735</v>
      </c>
      <c r="D450" s="443"/>
      <c r="E450" s="444" t="s">
        <v>303</v>
      </c>
      <c r="F450" s="450">
        <v>10096097</v>
      </c>
      <c r="G450" s="447" t="s">
        <v>1678</v>
      </c>
      <c r="H450" s="447"/>
      <c r="I450" s="447"/>
      <c r="J450" s="447"/>
      <c r="K450" s="447"/>
      <c r="L450" s="447"/>
      <c r="M450" s="447"/>
      <c r="N450" s="449"/>
    </row>
    <row r="451" spans="1:14">
      <c r="A451" s="431">
        <f t="shared" si="7"/>
        <v>445</v>
      </c>
      <c r="B451" s="592"/>
      <c r="C451" s="468" t="s">
        <v>737</v>
      </c>
      <c r="D451" s="443"/>
      <c r="E451" s="444" t="s">
        <v>303</v>
      </c>
      <c r="F451" s="450">
        <v>7554492</v>
      </c>
      <c r="G451" s="447" t="s">
        <v>1678</v>
      </c>
      <c r="H451" s="447"/>
      <c r="I451" s="447"/>
      <c r="J451" s="447"/>
      <c r="K451" s="447"/>
      <c r="L451" s="447"/>
      <c r="M451" s="447"/>
      <c r="N451" s="449"/>
    </row>
    <row r="452" spans="1:14" ht="29">
      <c r="A452" s="431">
        <f t="shared" si="7"/>
        <v>446</v>
      </c>
      <c r="B452" s="592"/>
      <c r="C452" s="468" t="s">
        <v>739</v>
      </c>
      <c r="D452" s="443"/>
      <c r="E452" s="444" t="s">
        <v>303</v>
      </c>
      <c r="F452" s="450">
        <v>7326839</v>
      </c>
      <c r="G452" s="447" t="s">
        <v>1678</v>
      </c>
      <c r="H452" s="447"/>
      <c r="I452" s="447"/>
      <c r="J452" s="447"/>
      <c r="K452" s="447"/>
      <c r="L452" s="447"/>
      <c r="M452" s="447"/>
      <c r="N452" s="449"/>
    </row>
    <row r="453" spans="1:14" ht="17.25" customHeight="1">
      <c r="A453" s="431">
        <f t="shared" si="7"/>
        <v>447</v>
      </c>
      <c r="B453" s="592"/>
      <c r="C453" s="468" t="s">
        <v>741</v>
      </c>
      <c r="D453" s="443"/>
      <c r="E453" s="444" t="s">
        <v>303</v>
      </c>
      <c r="F453" s="450">
        <v>2262949</v>
      </c>
      <c r="G453" s="447" t="s">
        <v>1678</v>
      </c>
      <c r="H453" s="447"/>
      <c r="I453" s="447"/>
      <c r="J453" s="447"/>
      <c r="K453" s="447"/>
      <c r="L453" s="447"/>
      <c r="M453" s="447"/>
      <c r="N453" s="449"/>
    </row>
    <row r="454" spans="1:14">
      <c r="A454" s="431">
        <f t="shared" si="7"/>
        <v>448</v>
      </c>
      <c r="B454" s="592"/>
      <c r="C454" s="468" t="s">
        <v>743</v>
      </c>
      <c r="D454" s="443"/>
      <c r="E454" s="444" t="s">
        <v>303</v>
      </c>
      <c r="F454" s="450">
        <v>777327</v>
      </c>
      <c r="G454" s="447" t="s">
        <v>1678</v>
      </c>
      <c r="H454" s="447"/>
      <c r="I454" s="447"/>
      <c r="J454" s="447"/>
      <c r="K454" s="447"/>
      <c r="L454" s="447"/>
      <c r="M454" s="447"/>
      <c r="N454" s="449"/>
    </row>
    <row r="455" spans="1:14" ht="17.25" customHeight="1">
      <c r="A455" s="431">
        <f t="shared" si="7"/>
        <v>449</v>
      </c>
      <c r="B455" s="592"/>
      <c r="C455" s="468" t="s">
        <v>745</v>
      </c>
      <c r="D455" s="443"/>
      <c r="E455" s="444" t="s">
        <v>303</v>
      </c>
      <c r="F455" s="450">
        <v>967828</v>
      </c>
      <c r="G455" s="447" t="s">
        <v>1678</v>
      </c>
      <c r="H455" s="447"/>
      <c r="I455" s="447"/>
      <c r="J455" s="447"/>
      <c r="K455" s="447"/>
      <c r="L455" s="447"/>
      <c r="M455" s="447"/>
      <c r="N455" s="449"/>
    </row>
    <row r="456" spans="1:14">
      <c r="A456" s="431">
        <f t="shared" si="7"/>
        <v>450</v>
      </c>
      <c r="B456" s="592"/>
      <c r="C456" s="468" t="s">
        <v>747</v>
      </c>
      <c r="D456" s="443"/>
      <c r="E456" s="444" t="s">
        <v>303</v>
      </c>
      <c r="F456" s="450">
        <v>679540</v>
      </c>
      <c r="G456" s="447" t="s">
        <v>1678</v>
      </c>
      <c r="H456" s="447"/>
      <c r="I456" s="447"/>
      <c r="J456" s="447"/>
      <c r="K456" s="447"/>
      <c r="L456" s="447"/>
      <c r="M456" s="447"/>
      <c r="N456" s="449"/>
    </row>
    <row r="457" spans="1:14" ht="29">
      <c r="A457" s="431">
        <f t="shared" si="7"/>
        <v>451</v>
      </c>
      <c r="B457" s="592"/>
      <c r="C457" s="468" t="s">
        <v>749</v>
      </c>
      <c r="D457" s="443"/>
      <c r="E457" s="444" t="s">
        <v>303</v>
      </c>
      <c r="F457" s="450">
        <v>10230863</v>
      </c>
      <c r="G457" s="447" t="s">
        <v>1678</v>
      </c>
      <c r="H457" s="447"/>
      <c r="I457" s="447"/>
      <c r="J457" s="447"/>
      <c r="K457" s="447"/>
      <c r="L457" s="447"/>
      <c r="M457" s="447"/>
      <c r="N457" s="449"/>
    </row>
    <row r="458" spans="1:14" ht="29">
      <c r="A458" s="431">
        <f t="shared" si="7"/>
        <v>452</v>
      </c>
      <c r="B458" s="592"/>
      <c r="C458" s="468" t="s">
        <v>751</v>
      </c>
      <c r="D458" s="443"/>
      <c r="E458" s="444" t="s">
        <v>303</v>
      </c>
      <c r="F458" s="450">
        <v>16397505</v>
      </c>
      <c r="G458" s="447" t="s">
        <v>1678</v>
      </c>
      <c r="H458" s="447"/>
      <c r="I458" s="447"/>
      <c r="J458" s="447"/>
      <c r="K458" s="447"/>
      <c r="L458" s="447"/>
      <c r="M458" s="447"/>
      <c r="N458" s="449"/>
    </row>
    <row r="459" spans="1:14" ht="29">
      <c r="A459" s="431">
        <f t="shared" si="7"/>
        <v>453</v>
      </c>
      <c r="B459" s="592"/>
      <c r="C459" s="468" t="s">
        <v>753</v>
      </c>
      <c r="D459" s="443"/>
      <c r="E459" s="444" t="s">
        <v>303</v>
      </c>
      <c r="F459" s="450">
        <v>5033030</v>
      </c>
      <c r="G459" s="447" t="s">
        <v>1678</v>
      </c>
      <c r="H459" s="447"/>
      <c r="I459" s="447"/>
      <c r="J459" s="447"/>
      <c r="K459" s="447"/>
      <c r="L459" s="447"/>
      <c r="M459" s="447"/>
      <c r="N459" s="449"/>
    </row>
    <row r="460" spans="1:14" ht="29">
      <c r="A460" s="431">
        <f t="shared" si="7"/>
        <v>454</v>
      </c>
      <c r="B460" s="592"/>
      <c r="C460" s="468" t="s">
        <v>755</v>
      </c>
      <c r="D460" s="443"/>
      <c r="E460" s="444" t="s">
        <v>303</v>
      </c>
      <c r="F460" s="450">
        <v>10035507</v>
      </c>
      <c r="G460" s="447" t="s">
        <v>1678</v>
      </c>
      <c r="H460" s="447"/>
      <c r="I460" s="447"/>
      <c r="J460" s="447"/>
      <c r="K460" s="447"/>
      <c r="L460" s="447"/>
      <c r="M460" s="447"/>
      <c r="N460" s="449"/>
    </row>
    <row r="461" spans="1:14" ht="29">
      <c r="A461" s="431">
        <f t="shared" si="7"/>
        <v>455</v>
      </c>
      <c r="B461" s="592"/>
      <c r="C461" s="468" t="s">
        <v>757</v>
      </c>
      <c r="D461" s="443"/>
      <c r="E461" s="444" t="s">
        <v>303</v>
      </c>
      <c r="F461" s="450">
        <v>6133398</v>
      </c>
      <c r="G461" s="447" t="s">
        <v>1678</v>
      </c>
      <c r="H461" s="447"/>
      <c r="I461" s="447"/>
      <c r="J461" s="447"/>
      <c r="K461" s="447"/>
      <c r="L461" s="447"/>
      <c r="M461" s="447"/>
      <c r="N461" s="449"/>
    </row>
    <row r="462" spans="1:14">
      <c r="A462" s="431">
        <f t="shared" si="7"/>
        <v>456</v>
      </c>
      <c r="B462" s="592"/>
      <c r="C462" s="468" t="s">
        <v>759</v>
      </c>
      <c r="D462" s="443"/>
      <c r="E462" s="444" t="s">
        <v>303</v>
      </c>
      <c r="F462" s="450">
        <v>4306775</v>
      </c>
      <c r="G462" s="447" t="s">
        <v>1678</v>
      </c>
      <c r="H462" s="447"/>
      <c r="I462" s="447"/>
      <c r="J462" s="447"/>
      <c r="K462" s="447"/>
      <c r="L462" s="447"/>
      <c r="M462" s="447"/>
      <c r="N462" s="449"/>
    </row>
    <row r="463" spans="1:14">
      <c r="A463" s="431">
        <f t="shared" si="7"/>
        <v>457</v>
      </c>
      <c r="B463" s="592"/>
      <c r="C463" s="468" t="s">
        <v>761</v>
      </c>
      <c r="D463" s="443"/>
      <c r="E463" s="444" t="s">
        <v>303</v>
      </c>
      <c r="F463" s="450">
        <v>1993083</v>
      </c>
      <c r="G463" s="447" t="s">
        <v>1678</v>
      </c>
      <c r="H463" s="447"/>
      <c r="I463" s="447"/>
      <c r="J463" s="447"/>
      <c r="K463" s="447"/>
      <c r="L463" s="447"/>
      <c r="M463" s="447"/>
      <c r="N463" s="449"/>
    </row>
    <row r="464" spans="1:14">
      <c r="A464" s="431">
        <f t="shared" si="7"/>
        <v>458</v>
      </c>
      <c r="B464" s="592"/>
      <c r="C464" s="468" t="s">
        <v>763</v>
      </c>
      <c r="D464" s="443"/>
      <c r="E464" s="444" t="s">
        <v>303</v>
      </c>
      <c r="F464" s="450">
        <v>1540944</v>
      </c>
      <c r="G464" s="447" t="s">
        <v>1678</v>
      </c>
      <c r="H464" s="447"/>
      <c r="I464" s="447"/>
      <c r="J464" s="447"/>
      <c r="K464" s="447"/>
      <c r="L464" s="447"/>
      <c r="M464" s="447"/>
      <c r="N464" s="449"/>
    </row>
    <row r="465" spans="1:14">
      <c r="A465" s="431">
        <f t="shared" si="7"/>
        <v>459</v>
      </c>
      <c r="B465" s="592"/>
      <c r="C465" s="468" t="s">
        <v>765</v>
      </c>
      <c r="D465" s="443"/>
      <c r="E465" s="444" t="s">
        <v>303</v>
      </c>
      <c r="F465" s="450">
        <v>455727</v>
      </c>
      <c r="G465" s="447" t="s">
        <v>1678</v>
      </c>
      <c r="H465" s="447"/>
      <c r="I465" s="447"/>
      <c r="J465" s="447"/>
      <c r="K465" s="447"/>
      <c r="L465" s="447"/>
      <c r="M465" s="447"/>
      <c r="N465" s="449"/>
    </row>
    <row r="466" spans="1:14" ht="17.25" customHeight="1">
      <c r="A466" s="431">
        <f t="shared" si="7"/>
        <v>460</v>
      </c>
      <c r="B466" s="592"/>
      <c r="C466" s="468" t="s">
        <v>767</v>
      </c>
      <c r="D466" s="443"/>
      <c r="E466" s="444" t="s">
        <v>303</v>
      </c>
      <c r="F466" s="450">
        <v>2348919</v>
      </c>
      <c r="G466" s="447" t="s">
        <v>1678</v>
      </c>
      <c r="H466" s="447"/>
      <c r="I466" s="447"/>
      <c r="J466" s="447"/>
      <c r="K466" s="447"/>
      <c r="L466" s="447"/>
      <c r="M466" s="447"/>
      <c r="N466" s="449"/>
    </row>
    <row r="467" spans="1:14">
      <c r="A467" s="431">
        <f t="shared" si="7"/>
        <v>461</v>
      </c>
      <c r="B467" s="592"/>
      <c r="C467" s="468" t="s">
        <v>769</v>
      </c>
      <c r="D467" s="443"/>
      <c r="E467" s="444" t="s">
        <v>303</v>
      </c>
      <c r="F467" s="450">
        <v>3279089</v>
      </c>
      <c r="G467" s="447" t="s">
        <v>1678</v>
      </c>
      <c r="H467" s="447"/>
      <c r="I467" s="447"/>
      <c r="J467" s="447"/>
      <c r="K467" s="447"/>
      <c r="L467" s="447"/>
      <c r="M467" s="447"/>
      <c r="N467" s="449"/>
    </row>
    <row r="468" spans="1:14" ht="29">
      <c r="A468" s="431">
        <f t="shared" si="7"/>
        <v>462</v>
      </c>
      <c r="B468" s="592"/>
      <c r="C468" s="468" t="s">
        <v>771</v>
      </c>
      <c r="D468" s="443"/>
      <c r="E468" s="444" t="s">
        <v>303</v>
      </c>
      <c r="F468" s="450">
        <v>156778</v>
      </c>
      <c r="G468" s="447" t="s">
        <v>1678</v>
      </c>
      <c r="H468" s="447"/>
      <c r="I468" s="447"/>
      <c r="J468" s="447"/>
      <c r="K468" s="447"/>
      <c r="L468" s="447"/>
      <c r="M468" s="447"/>
      <c r="N468" s="449"/>
    </row>
    <row r="469" spans="1:14">
      <c r="A469" s="431">
        <f t="shared" si="7"/>
        <v>463</v>
      </c>
      <c r="B469" s="592"/>
      <c r="C469" s="468" t="s">
        <v>773</v>
      </c>
      <c r="D469" s="443" t="s">
        <v>2225</v>
      </c>
      <c r="E469" s="444" t="s">
        <v>1723</v>
      </c>
      <c r="F469" s="450">
        <v>12744945</v>
      </c>
      <c r="G469" s="447" t="s">
        <v>1678</v>
      </c>
      <c r="H469" s="447"/>
      <c r="I469" s="447"/>
      <c r="J469" s="447"/>
      <c r="K469" s="447"/>
      <c r="L469" s="447"/>
      <c r="M469" s="447"/>
      <c r="N469" s="449"/>
    </row>
    <row r="470" spans="1:14">
      <c r="A470" s="431">
        <f t="shared" ref="A470:A533" si="8">A469+1</f>
        <v>464</v>
      </c>
      <c r="B470" s="592"/>
      <c r="C470" s="468" t="s">
        <v>775</v>
      </c>
      <c r="D470" s="443"/>
      <c r="E470" s="444" t="s">
        <v>303</v>
      </c>
      <c r="F470" s="450">
        <v>2010227</v>
      </c>
      <c r="G470" s="447" t="s">
        <v>1678</v>
      </c>
      <c r="H470" s="447"/>
      <c r="I470" s="447"/>
      <c r="J470" s="447"/>
      <c r="K470" s="447"/>
      <c r="L470" s="447"/>
      <c r="M470" s="447"/>
      <c r="N470" s="449"/>
    </row>
    <row r="471" spans="1:14">
      <c r="A471" s="431">
        <f t="shared" si="8"/>
        <v>465</v>
      </c>
      <c r="B471" s="592"/>
      <c r="C471" s="468" t="s">
        <v>777</v>
      </c>
      <c r="D471" s="443"/>
      <c r="E471" s="444" t="s">
        <v>303</v>
      </c>
      <c r="F471" s="450">
        <v>1212199</v>
      </c>
      <c r="G471" s="447" t="s">
        <v>1678</v>
      </c>
      <c r="H471" s="447"/>
      <c r="I471" s="447"/>
      <c r="J471" s="447"/>
      <c r="K471" s="447"/>
      <c r="L471" s="447"/>
      <c r="M471" s="447"/>
      <c r="N471" s="449"/>
    </row>
    <row r="472" spans="1:14">
      <c r="A472" s="431">
        <f t="shared" si="8"/>
        <v>466</v>
      </c>
      <c r="B472" s="592"/>
      <c r="C472" s="468" t="s">
        <v>779</v>
      </c>
      <c r="D472" s="443"/>
      <c r="E472" s="444" t="s">
        <v>303</v>
      </c>
      <c r="F472" s="450">
        <v>3176751</v>
      </c>
      <c r="G472" s="447" t="s">
        <v>1678</v>
      </c>
      <c r="H472" s="447"/>
      <c r="I472" s="447"/>
      <c r="J472" s="447"/>
      <c r="K472" s="447"/>
      <c r="L472" s="447"/>
      <c r="M472" s="447"/>
      <c r="N472" s="449"/>
    </row>
    <row r="473" spans="1:14">
      <c r="A473" s="431">
        <f t="shared" si="8"/>
        <v>467</v>
      </c>
      <c r="B473" s="592"/>
      <c r="C473" s="468" t="s">
        <v>2230</v>
      </c>
      <c r="D473" s="443" t="s">
        <v>2228</v>
      </c>
      <c r="E473" s="444" t="s">
        <v>1723</v>
      </c>
      <c r="F473" s="450">
        <v>8685923</v>
      </c>
      <c r="G473" s="447" t="s">
        <v>1678</v>
      </c>
      <c r="H473" s="447"/>
      <c r="I473" s="447"/>
      <c r="J473" s="447"/>
      <c r="K473" s="447"/>
      <c r="L473" s="447"/>
      <c r="M473" s="447"/>
      <c r="N473" s="449"/>
    </row>
    <row r="474" spans="1:14">
      <c r="A474" s="431">
        <f t="shared" si="8"/>
        <v>468</v>
      </c>
      <c r="B474" s="592"/>
      <c r="C474" s="468" t="s">
        <v>783</v>
      </c>
      <c r="D474" s="443" t="s">
        <v>2231</v>
      </c>
      <c r="E474" s="444" t="s">
        <v>1723</v>
      </c>
      <c r="F474" s="450">
        <v>5561905</v>
      </c>
      <c r="G474" s="447" t="s">
        <v>1678</v>
      </c>
      <c r="H474" s="447"/>
      <c r="I474" s="447"/>
      <c r="J474" s="447"/>
      <c r="K474" s="447"/>
      <c r="L474" s="447"/>
      <c r="M474" s="447"/>
      <c r="N474" s="449"/>
    </row>
    <row r="475" spans="1:14">
      <c r="A475" s="431">
        <f t="shared" si="8"/>
        <v>469</v>
      </c>
      <c r="B475" s="592"/>
      <c r="C475" s="468" t="s">
        <v>785</v>
      </c>
      <c r="D475" s="443"/>
      <c r="E475" s="444" t="s">
        <v>303</v>
      </c>
      <c r="F475" s="450">
        <v>2270236</v>
      </c>
      <c r="G475" s="447" t="s">
        <v>1678</v>
      </c>
      <c r="H475" s="447"/>
      <c r="I475" s="447"/>
      <c r="J475" s="447"/>
      <c r="K475" s="447"/>
      <c r="L475" s="447"/>
      <c r="M475" s="447"/>
      <c r="N475" s="449"/>
    </row>
    <row r="476" spans="1:14" ht="29">
      <c r="A476" s="431">
        <f t="shared" si="8"/>
        <v>470</v>
      </c>
      <c r="B476" s="592"/>
      <c r="C476" s="468" t="s">
        <v>787</v>
      </c>
      <c r="D476" s="443"/>
      <c r="E476" s="444" t="s">
        <v>303</v>
      </c>
      <c r="F476" s="450">
        <v>11228663</v>
      </c>
      <c r="G476" s="447" t="s">
        <v>1678</v>
      </c>
      <c r="H476" s="447"/>
      <c r="I476" s="447"/>
      <c r="J476" s="447"/>
      <c r="K476" s="447"/>
      <c r="L476" s="447"/>
      <c r="M476" s="447"/>
      <c r="N476" s="449"/>
    </row>
    <row r="477" spans="1:14">
      <c r="A477" s="431">
        <f t="shared" si="8"/>
        <v>471</v>
      </c>
      <c r="B477" s="592"/>
      <c r="C477" s="468" t="s">
        <v>789</v>
      </c>
      <c r="D477" s="443"/>
      <c r="E477" s="444" t="s">
        <v>303</v>
      </c>
      <c r="F477" s="450">
        <v>617623</v>
      </c>
      <c r="G477" s="447" t="s">
        <v>1678</v>
      </c>
      <c r="H477" s="447"/>
      <c r="I477" s="447"/>
      <c r="J477" s="447"/>
      <c r="K477" s="447"/>
      <c r="L477" s="447"/>
      <c r="M477" s="447"/>
      <c r="N477" s="449"/>
    </row>
    <row r="478" spans="1:14" ht="29">
      <c r="A478" s="431">
        <f t="shared" si="8"/>
        <v>472</v>
      </c>
      <c r="B478" s="592"/>
      <c r="C478" s="468" t="s">
        <v>791</v>
      </c>
      <c r="D478" s="443"/>
      <c r="E478" s="444" t="s">
        <v>303</v>
      </c>
      <c r="F478" s="450">
        <v>6319622</v>
      </c>
      <c r="G478" s="447" t="s">
        <v>1678</v>
      </c>
      <c r="H478" s="447"/>
      <c r="I478" s="447"/>
      <c r="J478" s="447"/>
      <c r="K478" s="447"/>
      <c r="L478" s="447"/>
      <c r="M478" s="447"/>
      <c r="N478" s="449"/>
    </row>
    <row r="479" spans="1:14">
      <c r="A479" s="431">
        <f t="shared" si="8"/>
        <v>473</v>
      </c>
      <c r="B479" s="592"/>
      <c r="C479" s="468" t="s">
        <v>793</v>
      </c>
      <c r="D479" s="443"/>
      <c r="E479" s="444" t="s">
        <v>303</v>
      </c>
      <c r="F479" s="450">
        <v>324360</v>
      </c>
      <c r="G479" s="447" t="s">
        <v>1678</v>
      </c>
      <c r="H479" s="447"/>
      <c r="I479" s="447"/>
      <c r="J479" s="447"/>
      <c r="K479" s="447"/>
      <c r="L479" s="447"/>
      <c r="M479" s="447"/>
      <c r="N479" s="449"/>
    </row>
    <row r="480" spans="1:14">
      <c r="A480" s="431">
        <f t="shared" si="8"/>
        <v>474</v>
      </c>
      <c r="B480" s="592"/>
      <c r="C480" s="468" t="s">
        <v>795</v>
      </c>
      <c r="D480" s="443"/>
      <c r="E480" s="444" t="s">
        <v>303</v>
      </c>
      <c r="F480" s="450">
        <v>4941649</v>
      </c>
      <c r="G480" s="447" t="s">
        <v>1678</v>
      </c>
      <c r="H480" s="447"/>
      <c r="I480" s="447"/>
      <c r="J480" s="447"/>
      <c r="K480" s="447"/>
      <c r="L480" s="447"/>
      <c r="M480" s="447"/>
      <c r="N480" s="449"/>
    </row>
    <row r="481" spans="1:14">
      <c r="A481" s="431">
        <f t="shared" si="8"/>
        <v>475</v>
      </c>
      <c r="B481" s="592"/>
      <c r="C481" s="468" t="s">
        <v>797</v>
      </c>
      <c r="D481" s="443"/>
      <c r="E481" s="444" t="s">
        <v>303</v>
      </c>
      <c r="F481" s="450">
        <v>3155850</v>
      </c>
      <c r="G481" s="447" t="s">
        <v>1678</v>
      </c>
      <c r="H481" s="447"/>
      <c r="I481" s="447"/>
      <c r="J481" s="447"/>
      <c r="K481" s="447"/>
      <c r="L481" s="447"/>
      <c r="M481" s="447"/>
      <c r="N481" s="449"/>
    </row>
    <row r="482" spans="1:14" ht="16.5" customHeight="1">
      <c r="A482" s="431">
        <f t="shared" si="8"/>
        <v>476</v>
      </c>
      <c r="B482" s="592"/>
      <c r="C482" s="468" t="s">
        <v>799</v>
      </c>
      <c r="D482" s="443"/>
      <c r="E482" s="444" t="s">
        <v>303</v>
      </c>
      <c r="F482" s="450">
        <v>22285708</v>
      </c>
      <c r="G482" s="447" t="s">
        <v>1678</v>
      </c>
      <c r="H482" s="447"/>
      <c r="I482" s="447"/>
      <c r="J482" s="447"/>
      <c r="K482" s="447"/>
      <c r="L482" s="447"/>
      <c r="M482" s="447"/>
      <c r="N482" s="449"/>
    </row>
    <row r="483" spans="1:14">
      <c r="A483" s="431">
        <f t="shared" si="8"/>
        <v>477</v>
      </c>
      <c r="B483" s="592"/>
      <c r="C483" s="468" t="s">
        <v>801</v>
      </c>
      <c r="D483" s="443"/>
      <c r="E483" s="444" t="s">
        <v>303</v>
      </c>
      <c r="F483" s="450">
        <v>1055414</v>
      </c>
      <c r="G483" s="447" t="s">
        <v>1678</v>
      </c>
      <c r="H483" s="447"/>
      <c r="I483" s="447"/>
      <c r="J483" s="447"/>
      <c r="K483" s="447"/>
      <c r="L483" s="447"/>
      <c r="M483" s="447"/>
      <c r="N483" s="449"/>
    </row>
    <row r="484" spans="1:14">
      <c r="A484" s="431">
        <f t="shared" si="8"/>
        <v>478</v>
      </c>
      <c r="B484" s="592"/>
      <c r="C484" s="468" t="s">
        <v>805</v>
      </c>
      <c r="D484" s="443"/>
      <c r="E484" s="444" t="s">
        <v>303</v>
      </c>
      <c r="F484" s="450">
        <v>8982948</v>
      </c>
      <c r="G484" s="447" t="s">
        <v>1678</v>
      </c>
      <c r="H484" s="447"/>
      <c r="I484" s="447"/>
      <c r="J484" s="447"/>
      <c r="K484" s="447"/>
      <c r="L484" s="447"/>
      <c r="M484" s="447"/>
      <c r="N484" s="449"/>
    </row>
    <row r="485" spans="1:14">
      <c r="A485" s="431">
        <f t="shared" si="8"/>
        <v>479</v>
      </c>
      <c r="B485" s="592"/>
      <c r="C485" s="468" t="s">
        <v>807</v>
      </c>
      <c r="D485" s="443"/>
      <c r="E485" s="444" t="s">
        <v>303</v>
      </c>
      <c r="F485" s="450">
        <v>2038631</v>
      </c>
      <c r="G485" s="447" t="s">
        <v>1678</v>
      </c>
      <c r="H485" s="447"/>
      <c r="I485" s="447"/>
      <c r="J485" s="447"/>
      <c r="K485" s="447"/>
      <c r="L485" s="447"/>
      <c r="M485" s="447"/>
      <c r="N485" s="449"/>
    </row>
    <row r="486" spans="1:14">
      <c r="A486" s="431">
        <f t="shared" si="8"/>
        <v>480</v>
      </c>
      <c r="B486" s="592"/>
      <c r="C486" s="468" t="s">
        <v>809</v>
      </c>
      <c r="D486" s="443"/>
      <c r="E486" s="444" t="s">
        <v>303</v>
      </c>
      <c r="F486" s="450">
        <v>1089083</v>
      </c>
      <c r="G486" s="447" t="s">
        <v>1678</v>
      </c>
      <c r="H486" s="447"/>
      <c r="I486" s="447"/>
      <c r="J486" s="447"/>
      <c r="K486" s="447"/>
      <c r="L486" s="447"/>
      <c r="M486" s="447"/>
      <c r="N486" s="449"/>
    </row>
    <row r="487" spans="1:14">
      <c r="A487" s="431">
        <f t="shared" si="8"/>
        <v>481</v>
      </c>
      <c r="B487" s="592"/>
      <c r="C487" s="468" t="s">
        <v>811</v>
      </c>
      <c r="D487" s="443"/>
      <c r="E487" s="444" t="s">
        <v>303</v>
      </c>
      <c r="F487" s="450">
        <v>1816904</v>
      </c>
      <c r="G487" s="447" t="s">
        <v>1678</v>
      </c>
      <c r="H487" s="447"/>
      <c r="I487" s="447"/>
      <c r="J487" s="447"/>
      <c r="K487" s="447"/>
      <c r="L487" s="447"/>
      <c r="M487" s="447"/>
      <c r="N487" s="449"/>
    </row>
    <row r="488" spans="1:14">
      <c r="A488" s="431">
        <f t="shared" si="8"/>
        <v>482</v>
      </c>
      <c r="B488" s="592"/>
      <c r="C488" s="468" t="s">
        <v>813</v>
      </c>
      <c r="D488" s="443"/>
      <c r="E488" s="444" t="s">
        <v>303</v>
      </c>
      <c r="F488" s="450">
        <v>1790108</v>
      </c>
      <c r="G488" s="447" t="s">
        <v>1678</v>
      </c>
      <c r="H488" s="447"/>
      <c r="I488" s="447"/>
      <c r="J488" s="447"/>
      <c r="K488" s="447"/>
      <c r="L488" s="447"/>
      <c r="M488" s="447"/>
      <c r="N488" s="449"/>
    </row>
    <row r="489" spans="1:14">
      <c r="A489" s="431">
        <f t="shared" si="8"/>
        <v>483</v>
      </c>
      <c r="B489" s="592"/>
      <c r="C489" s="468" t="s">
        <v>815</v>
      </c>
      <c r="D489" s="443"/>
      <c r="E489" s="444" t="s">
        <v>303</v>
      </c>
      <c r="F489" s="450">
        <v>6346264</v>
      </c>
      <c r="G489" s="447" t="s">
        <v>1678</v>
      </c>
      <c r="H489" s="447"/>
      <c r="I489" s="447"/>
      <c r="J489" s="447"/>
      <c r="K489" s="447"/>
      <c r="L489" s="447"/>
      <c r="M489" s="447"/>
      <c r="N489" s="449"/>
    </row>
    <row r="490" spans="1:14">
      <c r="A490" s="431">
        <f t="shared" si="8"/>
        <v>484</v>
      </c>
      <c r="B490" s="592"/>
      <c r="C490" s="468" t="s">
        <v>817</v>
      </c>
      <c r="D490" s="443"/>
      <c r="E490" s="444" t="s">
        <v>303</v>
      </c>
      <c r="F490" s="450">
        <v>10569338</v>
      </c>
      <c r="G490" s="447" t="s">
        <v>1678</v>
      </c>
      <c r="H490" s="447"/>
      <c r="I490" s="447"/>
      <c r="J490" s="447"/>
      <c r="K490" s="447"/>
      <c r="L490" s="447"/>
      <c r="M490" s="447"/>
      <c r="N490" s="449"/>
    </row>
    <row r="491" spans="1:14">
      <c r="A491" s="431">
        <f t="shared" si="8"/>
        <v>485</v>
      </c>
      <c r="B491" s="592"/>
      <c r="C491" s="468" t="s">
        <v>819</v>
      </c>
      <c r="D491" s="443" t="s">
        <v>2225</v>
      </c>
      <c r="E491" s="444" t="s">
        <v>1723</v>
      </c>
      <c r="F491" s="450">
        <v>3750704</v>
      </c>
      <c r="G491" s="447" t="s">
        <v>1678</v>
      </c>
      <c r="H491" s="447"/>
      <c r="I491" s="447"/>
      <c r="J491" s="447"/>
      <c r="K491" s="447"/>
      <c r="L491" s="447"/>
      <c r="M491" s="447"/>
      <c r="N491" s="449"/>
    </row>
    <row r="492" spans="1:14">
      <c r="A492" s="431">
        <f t="shared" si="8"/>
        <v>486</v>
      </c>
      <c r="B492" s="592"/>
      <c r="C492" s="468" t="s">
        <v>821</v>
      </c>
      <c r="D492" s="443"/>
      <c r="E492" s="444" t="s">
        <v>303</v>
      </c>
      <c r="F492" s="450">
        <v>2720853</v>
      </c>
      <c r="G492" s="447" t="s">
        <v>1678</v>
      </c>
      <c r="H492" s="447"/>
      <c r="I492" s="447"/>
      <c r="J492" s="447"/>
      <c r="K492" s="447"/>
      <c r="L492" s="447"/>
      <c r="M492" s="447"/>
      <c r="N492" s="449"/>
    </row>
    <row r="493" spans="1:14" ht="29">
      <c r="A493" s="431">
        <f t="shared" si="8"/>
        <v>487</v>
      </c>
      <c r="B493" s="592"/>
      <c r="C493" s="468" t="s">
        <v>823</v>
      </c>
      <c r="D493" s="443"/>
      <c r="E493" s="444" t="s">
        <v>303</v>
      </c>
      <c r="F493" s="450">
        <v>1132486</v>
      </c>
      <c r="G493" s="447" t="s">
        <v>1678</v>
      </c>
      <c r="H493" s="447"/>
      <c r="I493" s="447"/>
      <c r="J493" s="447"/>
      <c r="K493" s="447"/>
      <c r="L493" s="447"/>
      <c r="M493" s="447"/>
      <c r="N493" s="449"/>
    </row>
    <row r="494" spans="1:14" ht="29">
      <c r="A494" s="431">
        <f t="shared" si="8"/>
        <v>488</v>
      </c>
      <c r="B494" s="592"/>
      <c r="C494" s="468" t="s">
        <v>825</v>
      </c>
      <c r="D494" s="443"/>
      <c r="E494" s="444" t="s">
        <v>303</v>
      </c>
      <c r="F494" s="450">
        <v>309991</v>
      </c>
      <c r="G494" s="447" t="s">
        <v>1678</v>
      </c>
      <c r="H494" s="447"/>
      <c r="I494" s="447"/>
      <c r="J494" s="447"/>
      <c r="K494" s="447"/>
      <c r="L494" s="447"/>
      <c r="M494" s="447"/>
      <c r="N494" s="449"/>
    </row>
    <row r="495" spans="1:14" ht="29">
      <c r="A495" s="431">
        <f t="shared" si="8"/>
        <v>489</v>
      </c>
      <c r="B495" s="592"/>
      <c r="C495" s="468" t="s">
        <v>827</v>
      </c>
      <c r="D495" s="443"/>
      <c r="E495" s="444" t="s">
        <v>303</v>
      </c>
      <c r="F495" s="450">
        <v>2651860</v>
      </c>
      <c r="G495" s="447" t="s">
        <v>1678</v>
      </c>
      <c r="H495" s="447"/>
      <c r="I495" s="447"/>
      <c r="J495" s="447"/>
      <c r="K495" s="447"/>
      <c r="L495" s="447"/>
      <c r="M495" s="447"/>
      <c r="N495" s="449"/>
    </row>
    <row r="496" spans="1:14" ht="29">
      <c r="A496" s="431">
        <f t="shared" si="8"/>
        <v>490</v>
      </c>
      <c r="B496" s="592"/>
      <c r="C496" s="468" t="s">
        <v>829</v>
      </c>
      <c r="D496" s="443"/>
      <c r="E496" s="444" t="s">
        <v>303</v>
      </c>
      <c r="F496" s="450">
        <v>3850393</v>
      </c>
      <c r="G496" s="447" t="s">
        <v>1678</v>
      </c>
      <c r="H496" s="447"/>
      <c r="I496" s="447"/>
      <c r="J496" s="447"/>
      <c r="K496" s="447"/>
      <c r="L496" s="447"/>
      <c r="M496" s="447"/>
      <c r="N496" s="449"/>
    </row>
    <row r="497" spans="1:14" ht="29">
      <c r="A497" s="431">
        <f t="shared" si="8"/>
        <v>491</v>
      </c>
      <c r="B497" s="592"/>
      <c r="C497" s="468" t="s">
        <v>831</v>
      </c>
      <c r="D497" s="443"/>
      <c r="E497" s="444" t="s">
        <v>303</v>
      </c>
      <c r="F497" s="450">
        <v>5119119</v>
      </c>
      <c r="G497" s="447" t="s">
        <v>1678</v>
      </c>
      <c r="H497" s="447"/>
      <c r="I497" s="447"/>
      <c r="J497" s="447"/>
      <c r="K497" s="447"/>
      <c r="L497" s="447"/>
      <c r="M497" s="447"/>
      <c r="N497" s="449"/>
    </row>
    <row r="498" spans="1:14">
      <c r="A498" s="431">
        <f t="shared" si="8"/>
        <v>492</v>
      </c>
      <c r="B498" s="592"/>
      <c r="C498" s="468" t="s">
        <v>833</v>
      </c>
      <c r="D498" s="443"/>
      <c r="E498" s="444" t="s">
        <v>303</v>
      </c>
      <c r="F498" s="450">
        <v>5768280</v>
      </c>
      <c r="G498" s="447" t="s">
        <v>1678</v>
      </c>
      <c r="H498" s="447"/>
      <c r="I498" s="447"/>
      <c r="J498" s="447"/>
      <c r="K498" s="447"/>
      <c r="L498" s="447"/>
      <c r="M498" s="447"/>
      <c r="N498" s="449"/>
    </row>
    <row r="499" spans="1:14">
      <c r="A499" s="431">
        <f t="shared" si="8"/>
        <v>493</v>
      </c>
      <c r="B499" s="592"/>
      <c r="C499" s="468" t="s">
        <v>835</v>
      </c>
      <c r="D499" s="443"/>
      <c r="E499" s="444" t="s">
        <v>303</v>
      </c>
      <c r="F499" s="450">
        <v>1967901</v>
      </c>
      <c r="G499" s="447" t="s">
        <v>1678</v>
      </c>
      <c r="H499" s="447"/>
      <c r="I499" s="447"/>
      <c r="J499" s="447"/>
      <c r="K499" s="447"/>
      <c r="L499" s="447"/>
      <c r="M499" s="447"/>
      <c r="N499" s="449"/>
    </row>
    <row r="500" spans="1:14">
      <c r="A500" s="431">
        <f t="shared" si="8"/>
        <v>494</v>
      </c>
      <c r="B500" s="592"/>
      <c r="C500" s="468" t="s">
        <v>837</v>
      </c>
      <c r="D500" s="443"/>
      <c r="E500" s="444" t="s">
        <v>303</v>
      </c>
      <c r="F500" s="450">
        <v>6683770</v>
      </c>
      <c r="G500" s="447" t="s">
        <v>1678</v>
      </c>
      <c r="H500" s="447"/>
      <c r="I500" s="447"/>
      <c r="J500" s="447"/>
      <c r="K500" s="447"/>
      <c r="L500" s="447"/>
      <c r="M500" s="447"/>
      <c r="N500" s="449"/>
    </row>
    <row r="501" spans="1:14">
      <c r="A501" s="431">
        <f t="shared" si="8"/>
        <v>495</v>
      </c>
      <c r="B501" s="592"/>
      <c r="C501" s="468" t="s">
        <v>839</v>
      </c>
      <c r="D501" s="443"/>
      <c r="E501" s="444" t="s">
        <v>303</v>
      </c>
      <c r="F501" s="450">
        <v>388816</v>
      </c>
      <c r="G501" s="447" t="s">
        <v>1678</v>
      </c>
      <c r="H501" s="447"/>
      <c r="I501" s="447"/>
      <c r="J501" s="447"/>
      <c r="K501" s="447"/>
      <c r="L501" s="447"/>
      <c r="M501" s="447"/>
      <c r="N501" s="449"/>
    </row>
    <row r="502" spans="1:14" ht="15" customHeight="1">
      <c r="A502" s="431">
        <f t="shared" si="8"/>
        <v>496</v>
      </c>
      <c r="B502" s="592"/>
      <c r="C502" s="468" t="s">
        <v>841</v>
      </c>
      <c r="D502" s="443"/>
      <c r="E502" s="444" t="s">
        <v>303</v>
      </c>
      <c r="F502" s="450">
        <v>2488318</v>
      </c>
      <c r="G502" s="447" t="s">
        <v>1678</v>
      </c>
      <c r="H502" s="447"/>
      <c r="I502" s="447"/>
      <c r="J502" s="447"/>
      <c r="K502" s="447"/>
      <c r="L502" s="447"/>
      <c r="M502" s="447"/>
      <c r="N502" s="449"/>
    </row>
    <row r="503" spans="1:14">
      <c r="A503" s="431">
        <f t="shared" si="8"/>
        <v>497</v>
      </c>
      <c r="B503" s="592"/>
      <c r="C503" s="468" t="s">
        <v>843</v>
      </c>
      <c r="D503" s="443"/>
      <c r="E503" s="444" t="s">
        <v>303</v>
      </c>
      <c r="F503" s="450">
        <v>1187034</v>
      </c>
      <c r="G503" s="447" t="s">
        <v>1678</v>
      </c>
      <c r="H503" s="447"/>
      <c r="I503" s="447"/>
      <c r="J503" s="447"/>
      <c r="K503" s="447"/>
      <c r="L503" s="447"/>
      <c r="M503" s="447"/>
      <c r="N503" s="449"/>
    </row>
    <row r="504" spans="1:14">
      <c r="A504" s="431">
        <f t="shared" si="8"/>
        <v>498</v>
      </c>
      <c r="B504" s="592"/>
      <c r="C504" s="468" t="s">
        <v>845</v>
      </c>
      <c r="D504" s="443"/>
      <c r="G504" s="447" t="s">
        <v>1678</v>
      </c>
      <c r="H504" s="447"/>
      <c r="I504" s="447"/>
      <c r="J504" s="447"/>
      <c r="K504" s="447"/>
      <c r="L504" s="447"/>
      <c r="M504" s="447"/>
      <c r="N504" s="449"/>
    </row>
    <row r="505" spans="1:14" ht="29">
      <c r="A505" s="431">
        <f t="shared" si="8"/>
        <v>499</v>
      </c>
      <c r="B505" s="592"/>
      <c r="C505" s="468" t="s">
        <v>847</v>
      </c>
      <c r="D505" s="443"/>
      <c r="E505" s="444" t="s">
        <v>303</v>
      </c>
      <c r="F505" s="450">
        <v>52064</v>
      </c>
      <c r="G505" s="447" t="s">
        <v>1678</v>
      </c>
      <c r="H505" s="447"/>
      <c r="I505" s="447"/>
      <c r="J505" s="447"/>
      <c r="K505" s="447"/>
      <c r="L505" s="447"/>
      <c r="M505" s="447"/>
      <c r="N505" s="449"/>
    </row>
    <row r="506" spans="1:14">
      <c r="A506" s="431">
        <f t="shared" si="8"/>
        <v>500</v>
      </c>
      <c r="B506" s="592"/>
      <c r="C506" s="468" t="s">
        <v>851</v>
      </c>
      <c r="D506" s="443"/>
      <c r="E506" s="444" t="s">
        <v>303</v>
      </c>
      <c r="F506" s="450">
        <v>2235655</v>
      </c>
      <c r="G506" s="447" t="s">
        <v>1678</v>
      </c>
      <c r="H506" s="447"/>
      <c r="I506" s="447"/>
      <c r="J506" s="447"/>
      <c r="K506" s="447"/>
      <c r="L506" s="447"/>
      <c r="M506" s="447"/>
      <c r="N506" s="449"/>
    </row>
    <row r="507" spans="1:14">
      <c r="A507" s="431">
        <f t="shared" si="8"/>
        <v>501</v>
      </c>
      <c r="B507" s="592"/>
      <c r="C507" s="468" t="s">
        <v>855</v>
      </c>
      <c r="D507" s="443"/>
      <c r="E507" s="444" t="s">
        <v>303</v>
      </c>
      <c r="F507" s="450">
        <v>1825369</v>
      </c>
      <c r="G507" s="447" t="s">
        <v>1678</v>
      </c>
      <c r="H507" s="447"/>
      <c r="I507" s="447"/>
      <c r="J507" s="447"/>
      <c r="K507" s="447"/>
      <c r="L507" s="447"/>
      <c r="M507" s="447"/>
      <c r="N507" s="449"/>
    </row>
    <row r="508" spans="1:14">
      <c r="A508" s="431">
        <f t="shared" si="8"/>
        <v>502</v>
      </c>
      <c r="B508" s="592"/>
      <c r="C508" s="468" t="s">
        <v>857</v>
      </c>
      <c r="D508" s="443"/>
      <c r="E508" s="444" t="s">
        <v>303</v>
      </c>
      <c r="F508" s="450">
        <v>1938353</v>
      </c>
      <c r="G508" s="447" t="s">
        <v>1678</v>
      </c>
      <c r="H508" s="447"/>
      <c r="I508" s="447"/>
      <c r="J508" s="447"/>
      <c r="K508" s="447"/>
      <c r="L508" s="447"/>
      <c r="M508" s="447"/>
      <c r="N508" s="449"/>
    </row>
    <row r="509" spans="1:14">
      <c r="A509" s="431">
        <f t="shared" si="8"/>
        <v>503</v>
      </c>
      <c r="B509" s="592"/>
      <c r="C509" s="468" t="s">
        <v>859</v>
      </c>
      <c r="D509" s="443"/>
      <c r="E509" s="444" t="s">
        <v>303</v>
      </c>
      <c r="F509" s="450">
        <v>3217192</v>
      </c>
      <c r="G509" s="447" t="s">
        <v>1678</v>
      </c>
      <c r="H509" s="447"/>
      <c r="I509" s="447"/>
      <c r="J509" s="447"/>
      <c r="K509" s="447"/>
      <c r="L509" s="447"/>
      <c r="M509" s="447"/>
      <c r="N509" s="449"/>
    </row>
    <row r="510" spans="1:14" ht="29">
      <c r="A510" s="431">
        <f t="shared" si="8"/>
        <v>504</v>
      </c>
      <c r="B510" s="592"/>
      <c r="C510" s="468" t="s">
        <v>861</v>
      </c>
      <c r="D510" s="443"/>
      <c r="E510" s="444" t="s">
        <v>303</v>
      </c>
      <c r="F510" s="450">
        <v>277897</v>
      </c>
      <c r="G510" s="447" t="s">
        <v>1678</v>
      </c>
      <c r="H510" s="447"/>
      <c r="I510" s="447"/>
      <c r="J510" s="447"/>
      <c r="K510" s="447"/>
      <c r="L510" s="447"/>
      <c r="M510" s="447"/>
      <c r="N510" s="449"/>
    </row>
    <row r="511" spans="1:14">
      <c r="A511" s="431">
        <f t="shared" si="8"/>
        <v>505</v>
      </c>
      <c r="B511" s="592"/>
      <c r="C511" s="468" t="s">
        <v>863</v>
      </c>
      <c r="D511" s="443"/>
      <c r="E511" s="444" t="s">
        <v>303</v>
      </c>
      <c r="F511" s="450">
        <v>6743203</v>
      </c>
      <c r="G511" s="447" t="s">
        <v>1678</v>
      </c>
      <c r="H511" s="447"/>
      <c r="I511" s="447"/>
      <c r="J511" s="447"/>
      <c r="K511" s="447"/>
      <c r="L511" s="447"/>
      <c r="M511" s="447"/>
      <c r="N511" s="449"/>
    </row>
    <row r="512" spans="1:14">
      <c r="A512" s="431">
        <f t="shared" si="8"/>
        <v>506</v>
      </c>
      <c r="B512" s="592"/>
      <c r="C512" s="468" t="s">
        <v>865</v>
      </c>
      <c r="D512" s="443" t="s">
        <v>2231</v>
      </c>
      <c r="E512" s="444" t="s">
        <v>1723</v>
      </c>
      <c r="F512" s="450">
        <v>1084858</v>
      </c>
      <c r="G512" s="447" t="s">
        <v>1678</v>
      </c>
      <c r="H512" s="447" t="s">
        <v>1678</v>
      </c>
      <c r="I512" s="447"/>
      <c r="J512" s="447"/>
      <c r="K512" s="447"/>
      <c r="L512" s="447"/>
      <c r="M512" s="447"/>
      <c r="N512" s="449"/>
    </row>
    <row r="513" spans="1:14">
      <c r="A513" s="431">
        <f t="shared" si="8"/>
        <v>507</v>
      </c>
      <c r="B513" s="592"/>
      <c r="C513" s="468" t="s">
        <v>867</v>
      </c>
      <c r="D513" s="443"/>
      <c r="E513" s="444" t="s">
        <v>303</v>
      </c>
      <c r="F513" s="450">
        <v>3485236</v>
      </c>
      <c r="G513" s="447" t="s">
        <v>1678</v>
      </c>
      <c r="H513" s="447"/>
      <c r="I513" s="447"/>
      <c r="J513" s="447"/>
      <c r="K513" s="447"/>
      <c r="L513" s="447"/>
      <c r="M513" s="447"/>
      <c r="N513" s="449"/>
    </row>
    <row r="514" spans="1:14">
      <c r="A514" s="431">
        <f t="shared" si="8"/>
        <v>508</v>
      </c>
      <c r="B514" s="592"/>
      <c r="C514" s="468" t="s">
        <v>869</v>
      </c>
      <c r="D514" s="443"/>
      <c r="E514" s="444" t="s">
        <v>303</v>
      </c>
      <c r="F514" s="450">
        <v>1527895</v>
      </c>
      <c r="G514" s="447" t="s">
        <v>1678</v>
      </c>
      <c r="H514" s="447"/>
      <c r="I514" s="447"/>
      <c r="J514" s="447"/>
      <c r="K514" s="447"/>
      <c r="L514" s="447"/>
      <c r="M514" s="447"/>
      <c r="N514" s="449"/>
    </row>
    <row r="515" spans="1:14">
      <c r="A515" s="431">
        <f t="shared" si="8"/>
        <v>509</v>
      </c>
      <c r="B515" s="592"/>
      <c r="C515" s="468" t="s">
        <v>2232</v>
      </c>
      <c r="D515" s="443" t="s">
        <v>2228</v>
      </c>
      <c r="E515" s="444" t="s">
        <v>1723</v>
      </c>
      <c r="F515" s="450">
        <v>4497482</v>
      </c>
      <c r="G515" s="447" t="s">
        <v>1678</v>
      </c>
      <c r="H515" s="447"/>
      <c r="I515" s="447"/>
      <c r="J515" s="447"/>
      <c r="K515" s="447"/>
      <c r="L515" s="447"/>
      <c r="M515" s="447"/>
      <c r="N515" s="449"/>
    </row>
    <row r="516" spans="1:14" ht="43.5">
      <c r="A516" s="431">
        <f t="shared" si="8"/>
        <v>510</v>
      </c>
      <c r="B516" s="592"/>
      <c r="C516" s="468" t="s">
        <v>873</v>
      </c>
      <c r="D516" s="443"/>
      <c r="E516" s="444" t="s">
        <v>303</v>
      </c>
      <c r="F516" s="450">
        <v>312931</v>
      </c>
      <c r="G516" s="447" t="s">
        <v>1678</v>
      </c>
      <c r="H516" s="447"/>
      <c r="I516" s="447"/>
      <c r="J516" s="447"/>
      <c r="K516" s="447"/>
      <c r="L516" s="447"/>
      <c r="M516" s="447"/>
      <c r="N516" s="449"/>
    </row>
    <row r="517" spans="1:14" ht="29">
      <c r="A517" s="431">
        <f t="shared" si="8"/>
        <v>511</v>
      </c>
      <c r="B517" s="592"/>
      <c r="C517" s="468" t="s">
        <v>875</v>
      </c>
      <c r="D517" s="443"/>
      <c r="E517" s="444" t="s">
        <v>303</v>
      </c>
      <c r="F517" s="450">
        <v>7381220</v>
      </c>
      <c r="G517" s="447" t="s">
        <v>1678</v>
      </c>
      <c r="H517" s="447"/>
      <c r="I517" s="447"/>
      <c r="J517" s="447"/>
      <c r="K517" s="447"/>
      <c r="L517" s="447"/>
      <c r="M517" s="447"/>
      <c r="N517" s="449"/>
    </row>
    <row r="518" spans="1:14">
      <c r="A518" s="431">
        <f t="shared" si="8"/>
        <v>512</v>
      </c>
      <c r="B518" s="592"/>
      <c r="C518" s="468" t="s">
        <v>877</v>
      </c>
      <c r="D518" s="443"/>
      <c r="E518" s="444" t="s">
        <v>303</v>
      </c>
      <c r="F518" s="450">
        <v>26679769</v>
      </c>
      <c r="G518" s="447" t="s">
        <v>1678</v>
      </c>
      <c r="H518" s="447"/>
      <c r="I518" s="447"/>
      <c r="J518" s="447"/>
      <c r="K518" s="447"/>
      <c r="L518" s="447"/>
      <c r="M518" s="447"/>
      <c r="N518" s="449"/>
    </row>
    <row r="519" spans="1:14">
      <c r="A519" s="431">
        <f t="shared" si="8"/>
        <v>513</v>
      </c>
      <c r="B519" s="592"/>
      <c r="C519" s="468" t="s">
        <v>878</v>
      </c>
      <c r="D519" s="443"/>
      <c r="E519" s="444" t="s">
        <v>303</v>
      </c>
      <c r="F519" s="450">
        <v>992709</v>
      </c>
      <c r="G519" s="447" t="s">
        <v>1678</v>
      </c>
      <c r="H519" s="447"/>
      <c r="I519" s="447"/>
      <c r="J519" s="447"/>
      <c r="K519" s="447"/>
      <c r="L519" s="447"/>
      <c r="M519" s="447"/>
      <c r="N519" s="449"/>
    </row>
    <row r="520" spans="1:14">
      <c r="A520" s="431">
        <f t="shared" si="8"/>
        <v>514</v>
      </c>
      <c r="B520" s="592"/>
      <c r="C520" s="468" t="s">
        <v>880</v>
      </c>
      <c r="D520" s="443"/>
      <c r="E520" s="444" t="s">
        <v>303</v>
      </c>
      <c r="F520" s="450">
        <v>17608556</v>
      </c>
      <c r="G520" s="447" t="s">
        <v>1678</v>
      </c>
      <c r="H520" s="447"/>
      <c r="I520" s="447"/>
      <c r="J520" s="447"/>
      <c r="K520" s="447"/>
      <c r="L520" s="447"/>
      <c r="M520" s="447"/>
      <c r="N520" s="449"/>
    </row>
    <row r="521" spans="1:14">
      <c r="A521" s="431">
        <f t="shared" si="8"/>
        <v>515</v>
      </c>
      <c r="B521" s="592"/>
      <c r="C521" s="468" t="s">
        <v>882</v>
      </c>
      <c r="D521" s="443"/>
      <c r="E521" s="444" t="s">
        <v>303</v>
      </c>
      <c r="F521" s="450">
        <v>2783582</v>
      </c>
      <c r="G521" s="447" t="s">
        <v>1678</v>
      </c>
      <c r="H521" s="447"/>
      <c r="I521" s="447"/>
      <c r="J521" s="447"/>
      <c r="K521" s="447"/>
      <c r="L521" s="447"/>
      <c r="M521" s="447"/>
      <c r="N521" s="449"/>
    </row>
    <row r="522" spans="1:14">
      <c r="A522" s="431">
        <f t="shared" si="8"/>
        <v>516</v>
      </c>
      <c r="B522" s="592"/>
      <c r="C522" s="468" t="s">
        <v>884</v>
      </c>
      <c r="D522" s="443"/>
      <c r="E522" s="444" t="s">
        <v>303</v>
      </c>
      <c r="F522" s="450">
        <v>4629316</v>
      </c>
      <c r="G522" s="447" t="s">
        <v>1678</v>
      </c>
      <c r="H522" s="447"/>
      <c r="I522" s="447"/>
      <c r="J522" s="447"/>
      <c r="K522" s="447"/>
      <c r="L522" s="447"/>
      <c r="M522" s="447"/>
      <c r="N522" s="449"/>
    </row>
    <row r="523" spans="1:14">
      <c r="A523" s="431">
        <f t="shared" si="8"/>
        <v>517</v>
      </c>
      <c r="B523" s="592"/>
      <c r="C523" s="468" t="s">
        <v>886</v>
      </c>
      <c r="D523" s="443" t="s">
        <v>2225</v>
      </c>
      <c r="E523" s="444" t="s">
        <v>1723</v>
      </c>
      <c r="F523" s="450">
        <v>2265163</v>
      </c>
      <c r="G523" s="447" t="s">
        <v>1678</v>
      </c>
      <c r="H523" s="447"/>
      <c r="I523" s="447"/>
      <c r="J523" s="447"/>
      <c r="K523" s="447"/>
      <c r="L523" s="447"/>
      <c r="M523" s="447"/>
      <c r="N523" s="449"/>
    </row>
    <row r="524" spans="1:14" ht="29">
      <c r="A524" s="431">
        <f t="shared" si="8"/>
        <v>518</v>
      </c>
      <c r="B524" s="592"/>
      <c r="C524" s="468" t="s">
        <v>2233</v>
      </c>
      <c r="D524" s="443" t="s">
        <v>2234</v>
      </c>
      <c r="E524" s="444" t="s">
        <v>1723</v>
      </c>
      <c r="F524" s="450">
        <v>0</v>
      </c>
      <c r="G524" s="447" t="s">
        <v>1678</v>
      </c>
      <c r="H524" s="447"/>
      <c r="I524" s="447"/>
      <c r="J524" s="447"/>
      <c r="K524" s="447"/>
      <c r="L524" s="447"/>
      <c r="M524" s="447"/>
      <c r="N524" s="449"/>
    </row>
    <row r="525" spans="1:14">
      <c r="A525" s="431">
        <f t="shared" si="8"/>
        <v>519</v>
      </c>
      <c r="B525" s="592"/>
      <c r="C525" s="468"/>
      <c r="D525" s="443"/>
      <c r="G525" s="447"/>
      <c r="H525" s="447"/>
      <c r="I525" s="447"/>
      <c r="J525" s="447"/>
      <c r="K525" s="447"/>
      <c r="L525" s="447"/>
      <c r="M525" s="447"/>
      <c r="N525" s="449"/>
    </row>
    <row r="526" spans="1:14">
      <c r="A526" s="431">
        <f t="shared" si="8"/>
        <v>520</v>
      </c>
      <c r="B526" s="592"/>
      <c r="C526" s="467" t="s">
        <v>2235</v>
      </c>
      <c r="D526" s="443"/>
      <c r="G526" s="447"/>
      <c r="H526" s="447"/>
      <c r="I526" s="447"/>
      <c r="J526" s="447"/>
      <c r="K526" s="447"/>
      <c r="L526" s="447"/>
      <c r="M526" s="447"/>
      <c r="N526" s="449"/>
    </row>
    <row r="527" spans="1:14">
      <c r="A527" s="431">
        <f t="shared" si="8"/>
        <v>521</v>
      </c>
      <c r="B527" s="592" t="s">
        <v>929</v>
      </c>
      <c r="C527" s="442" t="s">
        <v>1758</v>
      </c>
      <c r="D527" s="443" t="s">
        <v>1759</v>
      </c>
      <c r="E527" s="444" t="s">
        <v>303</v>
      </c>
      <c r="F527" s="450">
        <v>1286118</v>
      </c>
      <c r="G527" s="447" t="s">
        <v>1678</v>
      </c>
      <c r="H527" s="447"/>
      <c r="I527" s="447"/>
      <c r="J527" s="447"/>
      <c r="K527" s="447"/>
      <c r="L527" s="447"/>
      <c r="M527" s="447"/>
      <c r="N527" s="449"/>
    </row>
    <row r="528" spans="1:14">
      <c r="A528" s="431">
        <f t="shared" si="8"/>
        <v>522</v>
      </c>
      <c r="B528" s="592" t="s">
        <v>947</v>
      </c>
      <c r="C528" s="442" t="s">
        <v>2236</v>
      </c>
      <c r="D528" s="443" t="s">
        <v>2237</v>
      </c>
      <c r="E528" s="444" t="s">
        <v>303</v>
      </c>
      <c r="F528" s="450">
        <v>810134</v>
      </c>
      <c r="G528" s="447" t="s">
        <v>1678</v>
      </c>
      <c r="H528" s="447"/>
      <c r="I528" s="447"/>
      <c r="J528" s="447"/>
      <c r="K528" s="447"/>
      <c r="L528" s="447"/>
      <c r="M528" s="447"/>
      <c r="N528" s="449"/>
    </row>
    <row r="529" spans="1:14">
      <c r="A529" s="431">
        <f t="shared" si="8"/>
        <v>523</v>
      </c>
      <c r="B529" s="592" t="s">
        <v>1066</v>
      </c>
      <c r="C529" s="442" t="s">
        <v>2238</v>
      </c>
      <c r="D529" s="443" t="s">
        <v>2239</v>
      </c>
      <c r="E529" s="444" t="s">
        <v>303</v>
      </c>
      <c r="F529" s="450">
        <v>180660</v>
      </c>
      <c r="G529" s="447" t="s">
        <v>1678</v>
      </c>
      <c r="H529" s="447"/>
      <c r="I529" s="447"/>
      <c r="J529" s="447"/>
      <c r="K529" s="447"/>
      <c r="L529" s="447"/>
      <c r="M529" s="447"/>
      <c r="N529" s="449"/>
    </row>
    <row r="530" spans="1:14">
      <c r="A530" s="431">
        <f t="shared" si="8"/>
        <v>524</v>
      </c>
      <c r="B530" s="592" t="s">
        <v>1068</v>
      </c>
      <c r="C530" s="442" t="s">
        <v>2240</v>
      </c>
      <c r="D530" s="443" t="s">
        <v>1832</v>
      </c>
      <c r="E530" s="444" t="s">
        <v>303</v>
      </c>
      <c r="F530" s="450">
        <v>851881</v>
      </c>
      <c r="G530" s="447" t="s">
        <v>1678</v>
      </c>
      <c r="H530" s="447"/>
      <c r="I530" s="447"/>
      <c r="J530" s="447"/>
      <c r="K530" s="447"/>
      <c r="L530" s="447"/>
      <c r="M530" s="447"/>
      <c r="N530" s="449"/>
    </row>
    <row r="531" spans="1:14">
      <c r="A531" s="431">
        <f t="shared" si="8"/>
        <v>525</v>
      </c>
      <c r="B531" s="592" t="s">
        <v>1074</v>
      </c>
      <c r="C531" s="442" t="s">
        <v>2241</v>
      </c>
      <c r="D531" s="443" t="s">
        <v>2242</v>
      </c>
      <c r="E531" s="444" t="s">
        <v>303</v>
      </c>
      <c r="F531" s="450">
        <v>951783</v>
      </c>
      <c r="G531" s="447" t="s">
        <v>1678</v>
      </c>
      <c r="H531" s="447"/>
      <c r="I531" s="447"/>
      <c r="J531" s="447"/>
      <c r="K531" s="447"/>
      <c r="L531" s="447"/>
      <c r="M531" s="447"/>
      <c r="N531" s="449"/>
    </row>
    <row r="532" spans="1:14">
      <c r="A532" s="431">
        <f t="shared" si="8"/>
        <v>526</v>
      </c>
      <c r="B532" s="592" t="s">
        <v>1095</v>
      </c>
      <c r="C532" s="442" t="s">
        <v>2243</v>
      </c>
      <c r="D532" s="443" t="s">
        <v>2244</v>
      </c>
      <c r="E532" s="444" t="s">
        <v>303</v>
      </c>
      <c r="F532" s="450">
        <v>22102</v>
      </c>
      <c r="G532" s="447" t="s">
        <v>1678</v>
      </c>
      <c r="H532" s="447"/>
      <c r="I532" s="447"/>
      <c r="J532" s="447"/>
      <c r="K532" s="447"/>
      <c r="L532" s="447"/>
      <c r="M532" s="447"/>
      <c r="N532" s="449"/>
    </row>
    <row r="533" spans="1:14">
      <c r="A533" s="431">
        <f t="shared" si="8"/>
        <v>527</v>
      </c>
      <c r="B533" s="592" t="s">
        <v>1111</v>
      </c>
      <c r="C533" s="442" t="s">
        <v>2245</v>
      </c>
      <c r="D533" s="443" t="s">
        <v>2246</v>
      </c>
      <c r="E533" s="444" t="s">
        <v>303</v>
      </c>
      <c r="F533" s="450">
        <v>336089</v>
      </c>
      <c r="G533" s="447" t="s">
        <v>1678</v>
      </c>
      <c r="H533" s="447"/>
      <c r="I533" s="447"/>
      <c r="J533" s="447"/>
      <c r="K533" s="447"/>
      <c r="L533" s="447"/>
      <c r="M533" s="447"/>
      <c r="N533" s="449"/>
    </row>
    <row r="534" spans="1:14">
      <c r="A534" s="431">
        <f t="shared" ref="A534:A596" si="9">A533+1</f>
        <v>528</v>
      </c>
      <c r="B534" s="592" t="s">
        <v>1113</v>
      </c>
      <c r="C534" s="442" t="s">
        <v>2247</v>
      </c>
      <c r="D534" s="443" t="s">
        <v>2248</v>
      </c>
      <c r="E534" s="444" t="s">
        <v>1723</v>
      </c>
      <c r="F534" s="450">
        <v>166306</v>
      </c>
      <c r="G534" s="447" t="s">
        <v>1678</v>
      </c>
      <c r="H534" s="447" t="s">
        <v>1678</v>
      </c>
      <c r="I534" s="447"/>
      <c r="J534" s="447"/>
      <c r="K534" s="447"/>
      <c r="L534" s="447"/>
      <c r="M534" s="447"/>
      <c r="N534" s="449" t="s">
        <v>2249</v>
      </c>
    </row>
    <row r="535" spans="1:14">
      <c r="A535" s="431">
        <f t="shared" si="9"/>
        <v>529</v>
      </c>
      <c r="B535" s="592" t="s">
        <v>1127</v>
      </c>
      <c r="C535" s="442" t="s">
        <v>2250</v>
      </c>
      <c r="D535" s="443" t="s">
        <v>1784</v>
      </c>
      <c r="E535" s="444" t="s">
        <v>303</v>
      </c>
      <c r="F535" s="450">
        <v>232375</v>
      </c>
      <c r="G535" s="447" t="s">
        <v>1678</v>
      </c>
      <c r="H535" s="447"/>
      <c r="I535" s="447"/>
      <c r="J535" s="447"/>
      <c r="K535" s="447"/>
      <c r="L535" s="447"/>
      <c r="M535" s="447"/>
      <c r="N535" s="449"/>
    </row>
    <row r="536" spans="1:14">
      <c r="A536" s="431">
        <f t="shared" si="9"/>
        <v>530</v>
      </c>
      <c r="B536" s="592"/>
      <c r="D536" s="443"/>
      <c r="G536" s="447"/>
      <c r="H536" s="447"/>
      <c r="I536" s="447"/>
      <c r="J536" s="447"/>
      <c r="K536" s="447"/>
      <c r="L536" s="447"/>
      <c r="M536" s="447"/>
      <c r="N536" s="449"/>
    </row>
    <row r="537" spans="1:14" ht="29">
      <c r="A537" s="431">
        <f t="shared" si="9"/>
        <v>531</v>
      </c>
      <c r="B537" s="592"/>
      <c r="C537" s="433" t="s">
        <v>2251</v>
      </c>
      <c r="D537" s="443"/>
      <c r="G537" s="447"/>
      <c r="H537" s="447"/>
      <c r="I537" s="447"/>
      <c r="J537" s="447"/>
      <c r="K537" s="447"/>
      <c r="L537" s="447"/>
      <c r="M537" s="447"/>
      <c r="N537" s="449"/>
    </row>
    <row r="538" spans="1:14">
      <c r="A538" s="431">
        <f t="shared" si="9"/>
        <v>532</v>
      </c>
      <c r="B538" s="592"/>
      <c r="C538" s="442" t="s">
        <v>1175</v>
      </c>
      <c r="D538" s="443"/>
      <c r="E538" s="444" t="s">
        <v>303</v>
      </c>
      <c r="F538" s="450">
        <v>3488667</v>
      </c>
      <c r="G538" s="447"/>
      <c r="H538" s="447"/>
      <c r="I538" s="447"/>
      <c r="J538" s="447" t="s">
        <v>1678</v>
      </c>
      <c r="K538" s="447"/>
      <c r="L538" s="447"/>
      <c r="M538" s="447"/>
      <c r="N538" s="449"/>
    </row>
    <row r="539" spans="1:14">
      <c r="A539" s="431">
        <f t="shared" si="9"/>
        <v>533</v>
      </c>
      <c r="B539" s="592"/>
      <c r="C539" s="442" t="s">
        <v>1177</v>
      </c>
      <c r="D539" s="443"/>
      <c r="E539" s="444" t="s">
        <v>303</v>
      </c>
      <c r="F539" s="450">
        <v>9536492</v>
      </c>
      <c r="G539" s="447"/>
      <c r="H539" s="447"/>
      <c r="I539" s="447"/>
      <c r="J539" s="447" t="s">
        <v>1678</v>
      </c>
      <c r="K539" s="447"/>
      <c r="L539" s="447"/>
      <c r="M539" s="447"/>
      <c r="N539" s="449"/>
    </row>
    <row r="540" spans="1:14">
      <c r="A540" s="431">
        <f t="shared" si="9"/>
        <v>534</v>
      </c>
      <c r="B540" s="592"/>
      <c r="C540" s="442" t="s">
        <v>1179</v>
      </c>
      <c r="D540" s="443"/>
      <c r="E540" s="444" t="s">
        <v>303</v>
      </c>
      <c r="F540" s="450">
        <v>3934438</v>
      </c>
      <c r="G540" s="447"/>
      <c r="H540" s="447"/>
      <c r="I540" s="447"/>
      <c r="J540" s="447" t="s">
        <v>1678</v>
      </c>
      <c r="K540" s="447"/>
      <c r="L540" s="447"/>
      <c r="M540" s="447"/>
      <c r="N540" s="449"/>
    </row>
    <row r="541" spans="1:14" ht="14.25" customHeight="1">
      <c r="A541" s="431">
        <f t="shared" si="9"/>
        <v>535</v>
      </c>
      <c r="B541" s="592"/>
      <c r="C541" s="442" t="s">
        <v>1181</v>
      </c>
      <c r="D541" s="443"/>
      <c r="E541" s="444" t="s">
        <v>303</v>
      </c>
      <c r="F541" s="450">
        <v>3852064</v>
      </c>
      <c r="G541" s="447"/>
      <c r="H541" s="447"/>
      <c r="I541" s="447"/>
      <c r="J541" s="447" t="s">
        <v>1678</v>
      </c>
      <c r="K541" s="447"/>
      <c r="L541" s="447"/>
      <c r="M541" s="447"/>
      <c r="N541" s="449"/>
    </row>
    <row r="542" spans="1:14" ht="29">
      <c r="A542" s="431">
        <f t="shared" si="9"/>
        <v>536</v>
      </c>
      <c r="B542" s="592"/>
      <c r="C542" s="442" t="s">
        <v>1183</v>
      </c>
      <c r="D542" s="443"/>
      <c r="E542" s="444" t="s">
        <v>303</v>
      </c>
      <c r="F542" s="450">
        <v>2040287</v>
      </c>
      <c r="G542" s="447"/>
      <c r="H542" s="447"/>
      <c r="I542" s="447"/>
      <c r="J542" s="447" t="s">
        <v>1678</v>
      </c>
      <c r="K542" s="447"/>
      <c r="L542" s="447"/>
      <c r="M542" s="447"/>
      <c r="N542" s="449"/>
    </row>
    <row r="543" spans="1:14">
      <c r="A543" s="431">
        <f t="shared" si="9"/>
        <v>537</v>
      </c>
      <c r="B543" s="592"/>
      <c r="C543" s="442" t="s">
        <v>1185</v>
      </c>
      <c r="D543" s="443"/>
      <c r="E543" s="444" t="s">
        <v>303</v>
      </c>
      <c r="F543" s="450">
        <v>794673</v>
      </c>
      <c r="G543" s="447"/>
      <c r="H543" s="447"/>
      <c r="I543" s="447"/>
      <c r="J543" s="447" t="s">
        <v>1678</v>
      </c>
      <c r="K543" s="447"/>
      <c r="L543" s="447"/>
      <c r="M543" s="447"/>
      <c r="N543" s="449"/>
    </row>
    <row r="544" spans="1:14">
      <c r="A544" s="431">
        <f t="shared" si="9"/>
        <v>538</v>
      </c>
      <c r="B544" s="592"/>
      <c r="C544" s="442" t="s">
        <v>1187</v>
      </c>
      <c r="D544" s="443"/>
      <c r="E544" s="444" t="s">
        <v>303</v>
      </c>
      <c r="F544" s="450">
        <v>5626463</v>
      </c>
      <c r="G544" s="447"/>
      <c r="H544" s="447"/>
      <c r="I544" s="447"/>
      <c r="J544" s="447" t="s">
        <v>1678</v>
      </c>
      <c r="K544" s="447"/>
      <c r="L544" s="447"/>
      <c r="M544" s="447"/>
      <c r="N544" s="449"/>
    </row>
    <row r="545" spans="1:14" ht="15.75" customHeight="1">
      <c r="A545" s="431">
        <f t="shared" si="9"/>
        <v>539</v>
      </c>
      <c r="B545" s="592"/>
      <c r="C545" s="442" t="s">
        <v>1189</v>
      </c>
      <c r="D545" s="443"/>
      <c r="E545" s="444" t="s">
        <v>303</v>
      </c>
      <c r="F545" s="450">
        <v>315000</v>
      </c>
      <c r="G545" s="447"/>
      <c r="H545" s="447"/>
      <c r="I545" s="447"/>
      <c r="J545" s="447" t="s">
        <v>1678</v>
      </c>
      <c r="K545" s="447"/>
      <c r="L545" s="447"/>
      <c r="M545" s="447"/>
      <c r="N545" s="449"/>
    </row>
    <row r="546" spans="1:14">
      <c r="A546" s="431">
        <f t="shared" si="9"/>
        <v>540</v>
      </c>
      <c r="B546" s="592"/>
      <c r="C546" s="442" t="s">
        <v>1191</v>
      </c>
      <c r="D546" s="443"/>
      <c r="E546" s="444" t="s">
        <v>1723</v>
      </c>
      <c r="F546" s="450">
        <v>249377</v>
      </c>
      <c r="G546" s="447"/>
      <c r="H546" s="447"/>
      <c r="I546" s="447"/>
      <c r="J546" s="447" t="s">
        <v>1678</v>
      </c>
      <c r="K546" s="447"/>
      <c r="L546" s="447"/>
      <c r="M546" s="447"/>
      <c r="N546" s="449"/>
    </row>
    <row r="547" spans="1:14">
      <c r="A547" s="431">
        <f t="shared" si="9"/>
        <v>541</v>
      </c>
      <c r="B547" s="592"/>
      <c r="C547" s="442" t="s">
        <v>1193</v>
      </c>
      <c r="D547" s="443"/>
      <c r="E547" s="444" t="s">
        <v>303</v>
      </c>
      <c r="F547" s="450">
        <v>2512836</v>
      </c>
      <c r="G547" s="447"/>
      <c r="H547" s="447"/>
      <c r="I547" s="447"/>
      <c r="J547" s="447" t="s">
        <v>1678</v>
      </c>
      <c r="K547" s="447"/>
      <c r="L547" s="447"/>
      <c r="M547" s="447"/>
      <c r="N547" s="449"/>
    </row>
    <row r="548" spans="1:14" ht="16.5" customHeight="1">
      <c r="A548" s="431">
        <f t="shared" si="9"/>
        <v>542</v>
      </c>
      <c r="B548" s="592"/>
      <c r="C548" s="442" t="s">
        <v>1195</v>
      </c>
      <c r="D548" s="443"/>
      <c r="E548" s="444" t="s">
        <v>303</v>
      </c>
      <c r="F548" s="450">
        <v>3841398</v>
      </c>
      <c r="G548" s="447"/>
      <c r="H548" s="447"/>
      <c r="I548" s="447"/>
      <c r="J548" s="447" t="s">
        <v>1678</v>
      </c>
      <c r="K548" s="447"/>
      <c r="L548" s="447"/>
      <c r="M548" s="447"/>
      <c r="N548" s="449"/>
    </row>
    <row r="549" spans="1:14">
      <c r="A549" s="431">
        <f t="shared" si="9"/>
        <v>543</v>
      </c>
      <c r="B549" s="592"/>
      <c r="C549" s="442" t="s">
        <v>1197</v>
      </c>
      <c r="D549" s="443"/>
      <c r="E549" s="444" t="s">
        <v>1723</v>
      </c>
      <c r="F549" s="450">
        <v>21817</v>
      </c>
      <c r="G549" s="447"/>
      <c r="H549" s="447"/>
      <c r="I549" s="447"/>
      <c r="J549" s="447" t="s">
        <v>1678</v>
      </c>
      <c r="K549" s="447"/>
      <c r="L549" s="447"/>
      <c r="M549" s="447"/>
      <c r="N549" s="449"/>
    </row>
    <row r="550" spans="1:14">
      <c r="A550" s="431">
        <f t="shared" si="9"/>
        <v>544</v>
      </c>
      <c r="B550" s="592"/>
      <c r="C550" s="442" t="s">
        <v>1197</v>
      </c>
      <c r="D550" s="443"/>
      <c r="E550" s="444" t="s">
        <v>1723</v>
      </c>
      <c r="F550" s="450">
        <v>1003437</v>
      </c>
      <c r="G550" s="447"/>
      <c r="H550" s="447"/>
      <c r="I550" s="447"/>
      <c r="J550" s="447" t="s">
        <v>1678</v>
      </c>
      <c r="K550" s="447"/>
      <c r="L550" s="447"/>
      <c r="M550" s="447"/>
      <c r="N550" s="449"/>
    </row>
    <row r="551" spans="1:14" ht="15" customHeight="1">
      <c r="A551" s="431">
        <f t="shared" si="9"/>
        <v>545</v>
      </c>
      <c r="B551" s="592"/>
      <c r="C551" s="442" t="s">
        <v>1199</v>
      </c>
      <c r="D551" s="443"/>
      <c r="E551" s="444" t="s">
        <v>303</v>
      </c>
      <c r="F551" s="450">
        <v>96884</v>
      </c>
      <c r="G551" s="447"/>
      <c r="H551" s="447"/>
      <c r="I551" s="447"/>
      <c r="J551" s="447" t="s">
        <v>1678</v>
      </c>
      <c r="K551" s="447"/>
      <c r="L551" s="447"/>
      <c r="M551" s="447"/>
      <c r="N551" s="449"/>
    </row>
    <row r="552" spans="1:14">
      <c r="A552" s="431">
        <f t="shared" si="9"/>
        <v>546</v>
      </c>
      <c r="B552" s="592"/>
      <c r="C552" s="442" t="s">
        <v>1201</v>
      </c>
      <c r="D552" s="443"/>
      <c r="E552" s="444" t="s">
        <v>303</v>
      </c>
      <c r="F552" s="450">
        <v>1701681</v>
      </c>
      <c r="G552" s="447"/>
      <c r="H552" s="447"/>
      <c r="I552" s="447"/>
      <c r="J552" s="447" t="s">
        <v>1678</v>
      </c>
      <c r="K552" s="447"/>
      <c r="L552" s="447"/>
      <c r="M552" s="447"/>
      <c r="N552" s="449"/>
    </row>
    <row r="553" spans="1:14">
      <c r="A553" s="431">
        <f t="shared" si="9"/>
        <v>547</v>
      </c>
      <c r="B553" s="592"/>
      <c r="C553" s="442" t="s">
        <v>1203</v>
      </c>
      <c r="D553" s="443"/>
      <c r="E553" s="444" t="s">
        <v>303</v>
      </c>
      <c r="F553" s="450">
        <v>1051383</v>
      </c>
      <c r="G553" s="447"/>
      <c r="H553" s="447"/>
      <c r="I553" s="447"/>
      <c r="J553" s="447" t="s">
        <v>1678</v>
      </c>
      <c r="K553" s="447"/>
      <c r="L553" s="447"/>
      <c r="M553" s="447"/>
      <c r="N553" s="449"/>
    </row>
    <row r="554" spans="1:14" ht="15.75" customHeight="1">
      <c r="A554" s="431">
        <f t="shared" si="9"/>
        <v>548</v>
      </c>
      <c r="B554" s="592"/>
      <c r="C554" s="442" t="s">
        <v>1205</v>
      </c>
      <c r="D554" s="443"/>
      <c r="E554" s="444" t="s">
        <v>303</v>
      </c>
      <c r="F554" s="450">
        <v>2064165</v>
      </c>
      <c r="G554" s="447"/>
      <c r="H554" s="447"/>
      <c r="I554" s="447"/>
      <c r="J554" s="447" t="s">
        <v>1678</v>
      </c>
      <c r="K554" s="447"/>
      <c r="L554" s="447"/>
      <c r="M554" s="447"/>
      <c r="N554" s="449"/>
    </row>
    <row r="555" spans="1:14">
      <c r="A555" s="431">
        <f t="shared" si="9"/>
        <v>549</v>
      </c>
      <c r="B555" s="592"/>
      <c r="C555" s="442" t="s">
        <v>1207</v>
      </c>
      <c r="D555" s="443"/>
      <c r="E555" s="444" t="s">
        <v>303</v>
      </c>
      <c r="F555" s="450">
        <v>3007882</v>
      </c>
      <c r="G555" s="447"/>
      <c r="H555" s="447"/>
      <c r="I555" s="447"/>
      <c r="J555" s="447" t="s">
        <v>1678</v>
      </c>
      <c r="K555" s="447"/>
      <c r="L555" s="447"/>
      <c r="M555" s="447"/>
      <c r="N555" s="449"/>
    </row>
    <row r="556" spans="1:14" ht="16.5" customHeight="1">
      <c r="A556" s="431">
        <f t="shared" si="9"/>
        <v>550</v>
      </c>
      <c r="B556" s="592"/>
      <c r="C556" s="442" t="s">
        <v>1209</v>
      </c>
      <c r="D556" s="443"/>
      <c r="E556" s="444" t="s">
        <v>303</v>
      </c>
      <c r="F556" s="450">
        <v>239920</v>
      </c>
      <c r="G556" s="447"/>
      <c r="H556" s="447"/>
      <c r="I556" s="447"/>
      <c r="J556" s="447" t="s">
        <v>1678</v>
      </c>
      <c r="K556" s="447"/>
      <c r="L556" s="447"/>
      <c r="M556" s="447"/>
      <c r="N556" s="449"/>
    </row>
    <row r="557" spans="1:14">
      <c r="A557" s="431">
        <f t="shared" si="9"/>
        <v>551</v>
      </c>
      <c r="B557" s="592"/>
      <c r="C557" s="442" t="s">
        <v>1211</v>
      </c>
      <c r="D557" s="443"/>
      <c r="E557" s="444" t="s">
        <v>303</v>
      </c>
      <c r="F557" s="450">
        <v>2496402</v>
      </c>
      <c r="G557" s="447"/>
      <c r="H557" s="447"/>
      <c r="I557" s="447"/>
      <c r="J557" s="447" t="s">
        <v>1678</v>
      </c>
      <c r="K557" s="447"/>
      <c r="L557" s="447"/>
      <c r="M557" s="447"/>
      <c r="N557" s="449"/>
    </row>
    <row r="558" spans="1:14">
      <c r="A558" s="431">
        <f t="shared" si="9"/>
        <v>552</v>
      </c>
      <c r="B558" s="592"/>
      <c r="D558" s="443"/>
      <c r="G558" s="447"/>
      <c r="H558" s="447"/>
      <c r="I558" s="447"/>
      <c r="J558" s="447"/>
      <c r="K558" s="447"/>
      <c r="L558" s="447"/>
      <c r="M558" s="447"/>
      <c r="N558" s="449"/>
    </row>
    <row r="559" spans="1:14">
      <c r="A559" s="431">
        <f t="shared" si="9"/>
        <v>553</v>
      </c>
      <c r="B559" s="592"/>
      <c r="C559" s="433" t="s">
        <v>2252</v>
      </c>
      <c r="D559" s="443"/>
      <c r="G559" s="447"/>
      <c r="H559" s="447"/>
      <c r="I559" s="447"/>
      <c r="J559" s="447"/>
      <c r="K559" s="447"/>
      <c r="L559" s="447"/>
      <c r="M559" s="447"/>
      <c r="N559" s="449"/>
    </row>
    <row r="560" spans="1:14" ht="29">
      <c r="A560" s="431">
        <f t="shared" si="9"/>
        <v>554</v>
      </c>
      <c r="B560" s="592"/>
      <c r="C560" s="442" t="s">
        <v>1216</v>
      </c>
      <c r="D560" s="443"/>
      <c r="E560" s="444" t="s">
        <v>303</v>
      </c>
      <c r="F560" s="450">
        <v>4564134</v>
      </c>
      <c r="G560" s="447"/>
      <c r="H560" s="447"/>
      <c r="I560" s="447"/>
      <c r="J560" s="447" t="s">
        <v>1678</v>
      </c>
      <c r="K560" s="447"/>
      <c r="L560" s="447"/>
      <c r="M560" s="447"/>
      <c r="N560" s="449"/>
    </row>
    <row r="561" spans="1:14" ht="29">
      <c r="A561" s="431">
        <f t="shared" si="9"/>
        <v>555</v>
      </c>
      <c r="B561" s="592"/>
      <c r="C561" s="442" t="s">
        <v>1219</v>
      </c>
      <c r="D561" s="443"/>
      <c r="E561" s="444" t="s">
        <v>303</v>
      </c>
      <c r="F561" s="450">
        <v>664798</v>
      </c>
      <c r="G561" s="447"/>
      <c r="H561" s="447"/>
      <c r="I561" s="447"/>
      <c r="J561" s="447" t="s">
        <v>1678</v>
      </c>
      <c r="K561" s="447"/>
      <c r="L561" s="447"/>
      <c r="M561" s="447"/>
      <c r="N561" s="449"/>
    </row>
    <row r="562" spans="1:14" ht="29">
      <c r="A562" s="431">
        <f t="shared" si="9"/>
        <v>556</v>
      </c>
      <c r="B562" s="592"/>
      <c r="C562" s="442" t="s">
        <v>1221</v>
      </c>
      <c r="D562" s="443"/>
      <c r="E562" s="444" t="s">
        <v>303</v>
      </c>
      <c r="F562" s="450">
        <v>8524893</v>
      </c>
      <c r="G562" s="447"/>
      <c r="H562" s="447"/>
      <c r="I562" s="447"/>
      <c r="J562" s="447" t="s">
        <v>1678</v>
      </c>
      <c r="K562" s="447"/>
      <c r="L562" s="447"/>
      <c r="M562" s="447"/>
      <c r="N562" s="449"/>
    </row>
    <row r="563" spans="1:14">
      <c r="A563" s="431">
        <f t="shared" si="9"/>
        <v>557</v>
      </c>
      <c r="B563" s="592"/>
      <c r="D563" s="443"/>
      <c r="G563" s="447"/>
      <c r="H563" s="447"/>
      <c r="I563" s="447"/>
      <c r="J563" s="447"/>
      <c r="K563" s="447"/>
      <c r="L563" s="447"/>
      <c r="M563" s="447"/>
      <c r="N563" s="449"/>
    </row>
    <row r="564" spans="1:14">
      <c r="A564" s="431">
        <f t="shared" si="9"/>
        <v>558</v>
      </c>
      <c r="B564" s="592"/>
      <c r="C564" s="433" t="s">
        <v>2253</v>
      </c>
      <c r="D564" s="443"/>
      <c r="G564" s="447"/>
      <c r="H564" s="447"/>
      <c r="I564" s="447"/>
      <c r="J564" s="447"/>
      <c r="K564" s="447"/>
      <c r="L564" s="447"/>
      <c r="M564" s="447"/>
      <c r="N564" s="449"/>
    </row>
    <row r="565" spans="1:14" ht="16.5" customHeight="1">
      <c r="A565" s="431">
        <f t="shared" si="9"/>
        <v>559</v>
      </c>
      <c r="B565" s="592"/>
      <c r="C565" s="442" t="s">
        <v>1226</v>
      </c>
      <c r="D565" s="443"/>
      <c r="E565" s="444" t="s">
        <v>303</v>
      </c>
      <c r="F565" s="450">
        <v>12328</v>
      </c>
      <c r="G565" s="447" t="s">
        <v>1678</v>
      </c>
      <c r="H565" s="447"/>
      <c r="I565" s="447"/>
      <c r="J565" s="447"/>
      <c r="K565" s="447"/>
      <c r="L565" s="447"/>
      <c r="M565" s="447"/>
      <c r="N565" s="449"/>
    </row>
    <row r="566" spans="1:14" ht="17.25" customHeight="1">
      <c r="A566" s="431">
        <f t="shared" si="9"/>
        <v>560</v>
      </c>
      <c r="B566" s="592"/>
      <c r="C566" s="442" t="s">
        <v>1226</v>
      </c>
      <c r="D566" s="443"/>
      <c r="E566" s="444" t="s">
        <v>303</v>
      </c>
      <c r="F566" s="450">
        <v>57413</v>
      </c>
      <c r="G566" s="447" t="s">
        <v>1678</v>
      </c>
      <c r="H566" s="447"/>
      <c r="I566" s="447"/>
      <c r="J566" s="447"/>
      <c r="K566" s="447"/>
      <c r="L566" s="447"/>
      <c r="M566" s="447"/>
      <c r="N566" s="449"/>
    </row>
    <row r="567" spans="1:14">
      <c r="A567" s="431">
        <f t="shared" si="9"/>
        <v>561</v>
      </c>
      <c r="B567" s="592"/>
      <c r="C567" s="442" t="s">
        <v>1228</v>
      </c>
      <c r="D567" s="443"/>
      <c r="E567" s="444" t="s">
        <v>303</v>
      </c>
      <c r="F567" s="450">
        <v>213000</v>
      </c>
      <c r="G567" s="447" t="s">
        <v>1678</v>
      </c>
      <c r="H567" s="447"/>
      <c r="I567" s="447"/>
      <c r="J567" s="447"/>
      <c r="K567" s="447"/>
      <c r="L567" s="447"/>
      <c r="M567" s="447"/>
      <c r="N567" s="449"/>
    </row>
    <row r="568" spans="1:14">
      <c r="A568" s="431">
        <f t="shared" si="9"/>
        <v>562</v>
      </c>
      <c r="B568" s="592"/>
      <c r="C568" s="442" t="s">
        <v>1230</v>
      </c>
      <c r="D568" s="443"/>
      <c r="E568" s="444" t="s">
        <v>303</v>
      </c>
      <c r="F568" s="450">
        <v>76258</v>
      </c>
      <c r="G568" s="447" t="s">
        <v>1678</v>
      </c>
      <c r="H568" s="447"/>
      <c r="I568" s="447"/>
      <c r="J568" s="447"/>
      <c r="K568" s="447"/>
      <c r="L568" s="447"/>
      <c r="M568" s="447"/>
      <c r="N568" s="449"/>
    </row>
    <row r="569" spans="1:14">
      <c r="A569" s="431">
        <f t="shared" si="9"/>
        <v>563</v>
      </c>
      <c r="B569" s="592"/>
      <c r="C569" s="442" t="s">
        <v>1230</v>
      </c>
      <c r="D569" s="443"/>
      <c r="E569" s="444" t="s">
        <v>303</v>
      </c>
      <c r="F569" s="450">
        <v>142235</v>
      </c>
      <c r="G569" s="447" t="s">
        <v>1678</v>
      </c>
      <c r="H569" s="447"/>
      <c r="I569" s="447"/>
      <c r="J569" s="447"/>
      <c r="K569" s="447"/>
      <c r="L569" s="447"/>
      <c r="M569" s="447"/>
      <c r="N569" s="449"/>
    </row>
    <row r="570" spans="1:14">
      <c r="A570" s="431">
        <f t="shared" si="9"/>
        <v>564</v>
      </c>
      <c r="B570" s="592"/>
      <c r="C570" s="442" t="s">
        <v>1232</v>
      </c>
      <c r="D570" s="443"/>
      <c r="E570" s="444" t="s">
        <v>1723</v>
      </c>
      <c r="F570" s="450">
        <v>556464</v>
      </c>
      <c r="G570" s="447" t="s">
        <v>1678</v>
      </c>
      <c r="H570" s="447"/>
      <c r="I570" s="447"/>
      <c r="J570" s="447"/>
      <c r="K570" s="447"/>
      <c r="L570" s="447"/>
      <c r="M570" s="447"/>
      <c r="N570" s="449"/>
    </row>
    <row r="571" spans="1:14">
      <c r="A571" s="431">
        <f t="shared" si="9"/>
        <v>565</v>
      </c>
      <c r="B571" s="592"/>
      <c r="C571" s="442" t="s">
        <v>1234</v>
      </c>
      <c r="D571" s="443"/>
      <c r="E571" s="444" t="s">
        <v>303</v>
      </c>
      <c r="F571" s="450">
        <v>499220</v>
      </c>
      <c r="G571" s="447" t="s">
        <v>1678</v>
      </c>
      <c r="H571" s="447"/>
      <c r="I571" s="447"/>
      <c r="J571" s="447"/>
      <c r="K571" s="447"/>
      <c r="L571" s="447"/>
      <c r="M571" s="447"/>
      <c r="N571" s="449"/>
    </row>
    <row r="572" spans="1:14" ht="16.5" customHeight="1">
      <c r="A572" s="431">
        <f t="shared" si="9"/>
        <v>566</v>
      </c>
      <c r="B572" s="592"/>
      <c r="C572" s="442" t="s">
        <v>1236</v>
      </c>
      <c r="D572" s="443"/>
      <c r="E572" s="444" t="s">
        <v>303</v>
      </c>
      <c r="F572" s="450">
        <v>170278</v>
      </c>
      <c r="G572" s="447" t="s">
        <v>1678</v>
      </c>
      <c r="H572" s="447"/>
      <c r="I572" s="447"/>
      <c r="J572" s="447"/>
      <c r="K572" s="447"/>
      <c r="L572" s="447"/>
      <c r="M572" s="447"/>
      <c r="N572" s="449"/>
    </row>
    <row r="573" spans="1:14" ht="29">
      <c r="A573" s="431">
        <f t="shared" si="9"/>
        <v>567</v>
      </c>
      <c r="B573" s="592"/>
      <c r="C573" s="442" t="s">
        <v>1238</v>
      </c>
      <c r="D573" s="443"/>
      <c r="E573" s="444" t="s">
        <v>303</v>
      </c>
      <c r="F573" s="450">
        <v>35071</v>
      </c>
      <c r="G573" s="447" t="s">
        <v>1678</v>
      </c>
      <c r="H573" s="447"/>
      <c r="I573" s="447"/>
      <c r="J573" s="447"/>
      <c r="K573" s="447"/>
      <c r="L573" s="447"/>
      <c r="M573" s="447"/>
      <c r="N573" s="449"/>
    </row>
    <row r="574" spans="1:14" ht="16.5" customHeight="1">
      <c r="A574" s="431">
        <f t="shared" si="9"/>
        <v>568</v>
      </c>
      <c r="B574" s="592"/>
      <c r="C574" s="442" t="s">
        <v>1240</v>
      </c>
      <c r="D574" s="443"/>
      <c r="E574" s="444" t="s">
        <v>303</v>
      </c>
      <c r="F574" s="450">
        <v>163695</v>
      </c>
      <c r="G574" s="447" t="s">
        <v>1678</v>
      </c>
      <c r="H574" s="447"/>
      <c r="I574" s="447"/>
      <c r="J574" s="447"/>
      <c r="K574" s="447"/>
      <c r="L574" s="447"/>
      <c r="M574" s="447"/>
      <c r="N574" s="449"/>
    </row>
    <row r="575" spans="1:14">
      <c r="A575" s="431">
        <f t="shared" si="9"/>
        <v>569</v>
      </c>
      <c r="B575" s="592"/>
      <c r="C575" s="442" t="s">
        <v>1242</v>
      </c>
      <c r="D575" s="443"/>
      <c r="E575" s="444" t="s">
        <v>303</v>
      </c>
      <c r="F575" s="450">
        <v>19075</v>
      </c>
      <c r="G575" s="447" t="s">
        <v>1678</v>
      </c>
      <c r="H575" s="447"/>
      <c r="I575" s="447"/>
      <c r="J575" s="447"/>
      <c r="K575" s="447"/>
      <c r="L575" s="447"/>
      <c r="M575" s="447"/>
      <c r="N575" s="449"/>
    </row>
    <row r="576" spans="1:14">
      <c r="A576" s="431">
        <f t="shared" si="9"/>
        <v>570</v>
      </c>
      <c r="B576" s="592"/>
      <c r="C576" s="442" t="s">
        <v>1244</v>
      </c>
      <c r="D576" s="443"/>
      <c r="E576" s="444" t="s">
        <v>303</v>
      </c>
      <c r="F576" s="450">
        <v>127144</v>
      </c>
      <c r="G576" s="447" t="s">
        <v>1678</v>
      </c>
      <c r="H576" s="447"/>
      <c r="I576" s="447"/>
      <c r="J576" s="447"/>
      <c r="K576" s="447"/>
      <c r="L576" s="447"/>
      <c r="M576" s="447"/>
      <c r="N576" s="449"/>
    </row>
    <row r="577" spans="1:14">
      <c r="A577" s="431">
        <f t="shared" si="9"/>
        <v>571</v>
      </c>
      <c r="B577" s="592"/>
      <c r="C577" s="442" t="s">
        <v>1246</v>
      </c>
      <c r="D577" s="443"/>
      <c r="E577" s="444" t="s">
        <v>303</v>
      </c>
      <c r="F577" s="450">
        <v>404166</v>
      </c>
      <c r="G577" s="447" t="s">
        <v>1678</v>
      </c>
      <c r="H577" s="447"/>
      <c r="I577" s="447"/>
      <c r="J577" s="447"/>
      <c r="K577" s="447"/>
      <c r="L577" s="447"/>
      <c r="M577" s="447"/>
      <c r="N577" s="449"/>
    </row>
    <row r="578" spans="1:14">
      <c r="A578" s="431">
        <f>A577+1</f>
        <v>572</v>
      </c>
      <c r="B578" s="592"/>
      <c r="C578" s="442" t="s">
        <v>1252</v>
      </c>
      <c r="D578" s="443"/>
      <c r="E578" s="444" t="s">
        <v>303</v>
      </c>
      <c r="F578" s="450">
        <v>71118</v>
      </c>
      <c r="G578" s="447" t="s">
        <v>1678</v>
      </c>
      <c r="H578" s="447"/>
      <c r="I578" s="447"/>
      <c r="J578" s="447"/>
      <c r="K578" s="447"/>
      <c r="L578" s="447"/>
      <c r="M578" s="447"/>
      <c r="N578" s="449"/>
    </row>
    <row r="579" spans="1:14">
      <c r="A579" s="431">
        <f>A578+1</f>
        <v>573</v>
      </c>
      <c r="B579" s="592"/>
      <c r="C579" s="442" t="s">
        <v>1254</v>
      </c>
      <c r="D579" s="443"/>
      <c r="E579" s="444" t="s">
        <v>303</v>
      </c>
      <c r="F579" s="450">
        <v>179328</v>
      </c>
      <c r="G579" s="447" t="s">
        <v>1678</v>
      </c>
      <c r="H579" s="447"/>
      <c r="I579" s="447"/>
      <c r="J579" s="447"/>
      <c r="K579" s="447"/>
      <c r="L579" s="447"/>
      <c r="M579" s="447"/>
      <c r="N579" s="449"/>
    </row>
    <row r="580" spans="1:14">
      <c r="A580" s="431">
        <f t="shared" si="9"/>
        <v>574</v>
      </c>
      <c r="B580" s="592"/>
      <c r="D580" s="443"/>
      <c r="G580" s="447"/>
      <c r="H580" s="447"/>
      <c r="I580" s="447"/>
      <c r="J580" s="447"/>
      <c r="K580" s="447"/>
      <c r="L580" s="447"/>
      <c r="M580" s="447"/>
      <c r="N580" s="449"/>
    </row>
    <row r="581" spans="1:14" ht="29">
      <c r="A581" s="431">
        <f t="shared" si="9"/>
        <v>575</v>
      </c>
      <c r="B581" s="592"/>
      <c r="C581" s="433" t="s">
        <v>2254</v>
      </c>
      <c r="D581" s="443"/>
      <c r="G581" s="447"/>
      <c r="H581" s="447"/>
      <c r="I581" s="447"/>
      <c r="J581" s="447"/>
      <c r="K581" s="447"/>
      <c r="L581" s="447"/>
      <c r="M581" s="447"/>
      <c r="N581" s="449"/>
    </row>
    <row r="582" spans="1:14" ht="29">
      <c r="A582" s="431">
        <f t="shared" si="9"/>
        <v>576</v>
      </c>
      <c r="B582" s="592"/>
      <c r="C582" s="442" t="s">
        <v>1263</v>
      </c>
      <c r="D582" s="443"/>
      <c r="E582" s="444" t="s">
        <v>303</v>
      </c>
      <c r="F582" s="450">
        <v>922164</v>
      </c>
      <c r="G582" s="447" t="s">
        <v>1678</v>
      </c>
      <c r="H582" s="447"/>
      <c r="I582" s="447"/>
      <c r="J582" s="447"/>
      <c r="K582" s="447"/>
      <c r="L582" s="447"/>
      <c r="M582" s="447"/>
      <c r="N582" s="449"/>
    </row>
    <row r="583" spans="1:14" ht="29">
      <c r="A583" s="431">
        <f t="shared" si="9"/>
        <v>577</v>
      </c>
      <c r="B583" s="592"/>
      <c r="C583" s="442" t="s">
        <v>1265</v>
      </c>
      <c r="D583" s="443"/>
      <c r="E583" s="444" t="s">
        <v>303</v>
      </c>
      <c r="F583" s="450">
        <v>690735</v>
      </c>
      <c r="G583" s="447" t="s">
        <v>1678</v>
      </c>
      <c r="H583" s="447"/>
      <c r="I583" s="447"/>
      <c r="J583" s="447"/>
      <c r="K583" s="447"/>
      <c r="L583" s="447"/>
      <c r="M583" s="447"/>
      <c r="N583" s="449"/>
    </row>
    <row r="584" spans="1:14">
      <c r="A584" s="431">
        <f t="shared" si="9"/>
        <v>578</v>
      </c>
      <c r="B584" s="592"/>
      <c r="D584" s="443"/>
      <c r="G584" s="447"/>
      <c r="H584" s="447"/>
      <c r="I584" s="447"/>
      <c r="J584" s="447"/>
      <c r="K584" s="447"/>
      <c r="L584" s="447"/>
      <c r="M584" s="447"/>
      <c r="N584" s="449"/>
    </row>
    <row r="585" spans="1:14">
      <c r="A585" s="431">
        <f t="shared" si="9"/>
        <v>579</v>
      </c>
      <c r="B585" s="592"/>
      <c r="C585" s="433" t="s">
        <v>2255</v>
      </c>
      <c r="D585" s="443"/>
      <c r="G585" s="447"/>
      <c r="H585" s="447"/>
      <c r="I585" s="447"/>
      <c r="J585" s="447"/>
      <c r="K585" s="447"/>
      <c r="L585" s="447"/>
      <c r="M585" s="447"/>
      <c r="N585" s="449"/>
    </row>
    <row r="586" spans="1:14">
      <c r="A586" s="431">
        <f t="shared" si="9"/>
        <v>580</v>
      </c>
      <c r="B586" s="592"/>
      <c r="C586" s="468" t="s">
        <v>890</v>
      </c>
      <c r="D586" s="443" t="s">
        <v>2256</v>
      </c>
      <c r="E586" s="444" t="s">
        <v>303</v>
      </c>
      <c r="F586" s="450">
        <v>6259</v>
      </c>
      <c r="G586" s="447"/>
      <c r="H586" s="447"/>
      <c r="I586" s="447"/>
      <c r="J586" s="447" t="s">
        <v>1678</v>
      </c>
      <c r="K586" s="447"/>
      <c r="L586" s="447"/>
      <c r="M586" s="447"/>
      <c r="N586" s="449"/>
    </row>
    <row r="587" spans="1:14">
      <c r="A587" s="431">
        <f t="shared" si="9"/>
        <v>581</v>
      </c>
      <c r="B587" s="592" t="s">
        <v>897</v>
      </c>
      <c r="C587" s="468" t="s">
        <v>898</v>
      </c>
      <c r="D587" s="443" t="s">
        <v>2257</v>
      </c>
      <c r="E587" s="444" t="s">
        <v>1723</v>
      </c>
      <c r="F587" s="450">
        <v>35005</v>
      </c>
      <c r="G587" s="447"/>
      <c r="H587" s="447"/>
      <c r="I587" s="447"/>
      <c r="J587" s="447" t="s">
        <v>1678</v>
      </c>
      <c r="K587" s="447"/>
      <c r="L587" s="447"/>
      <c r="M587" s="447"/>
      <c r="N587" s="449"/>
    </row>
    <row r="588" spans="1:14">
      <c r="A588" s="431">
        <f t="shared" si="9"/>
        <v>582</v>
      </c>
      <c r="B588" s="592"/>
      <c r="C588" s="468" t="s">
        <v>902</v>
      </c>
      <c r="D588" s="443" t="s">
        <v>2258</v>
      </c>
      <c r="E588" s="444" t="s">
        <v>303</v>
      </c>
      <c r="F588" s="450">
        <v>280629</v>
      </c>
      <c r="G588" s="447"/>
      <c r="H588" s="447"/>
      <c r="I588" s="447"/>
      <c r="J588" s="447" t="s">
        <v>1678</v>
      </c>
      <c r="K588" s="447"/>
      <c r="L588" s="447"/>
      <c r="M588" s="447"/>
      <c r="N588" s="449"/>
    </row>
    <row r="589" spans="1:14" ht="29">
      <c r="A589" s="431">
        <f t="shared" si="9"/>
        <v>583</v>
      </c>
      <c r="B589" s="592"/>
      <c r="C589" s="442" t="s">
        <v>1270</v>
      </c>
      <c r="D589" s="443"/>
      <c r="E589" s="444" t="s">
        <v>303</v>
      </c>
      <c r="F589" s="450">
        <v>11571</v>
      </c>
      <c r="G589" s="447"/>
      <c r="H589" s="447"/>
      <c r="I589" s="447"/>
      <c r="J589" s="447" t="s">
        <v>1678</v>
      </c>
      <c r="K589" s="447"/>
      <c r="L589" s="447"/>
      <c r="M589" s="447"/>
      <c r="N589" s="449"/>
    </row>
    <row r="590" spans="1:14">
      <c r="A590" s="431">
        <f t="shared" si="9"/>
        <v>584</v>
      </c>
      <c r="B590" s="592"/>
      <c r="C590" s="442" t="s">
        <v>1272</v>
      </c>
      <c r="D590" s="443"/>
      <c r="E590" s="444" t="s">
        <v>303</v>
      </c>
      <c r="F590" s="450">
        <v>45730</v>
      </c>
      <c r="G590" s="447"/>
      <c r="H590" s="447"/>
      <c r="I590" s="447"/>
      <c r="J590" s="447" t="s">
        <v>1678</v>
      </c>
      <c r="K590" s="447"/>
      <c r="L590" s="447"/>
      <c r="M590" s="447"/>
      <c r="N590" s="449"/>
    </row>
    <row r="591" spans="1:14">
      <c r="A591" s="431">
        <f t="shared" si="9"/>
        <v>585</v>
      </c>
      <c r="B591" s="592"/>
      <c r="C591" s="442" t="s">
        <v>1274</v>
      </c>
      <c r="D591" s="443"/>
      <c r="E591" s="444" t="s">
        <v>303</v>
      </c>
      <c r="F591" s="450">
        <v>230859</v>
      </c>
      <c r="G591" s="447"/>
      <c r="H591" s="447"/>
      <c r="I591" s="447"/>
      <c r="J591" s="447" t="s">
        <v>1678</v>
      </c>
      <c r="K591" s="447"/>
      <c r="L591" s="447"/>
      <c r="M591" s="447"/>
      <c r="N591" s="449"/>
    </row>
    <row r="592" spans="1:14">
      <c r="A592" s="431">
        <f t="shared" si="9"/>
        <v>586</v>
      </c>
      <c r="B592" s="592"/>
      <c r="C592" s="442" t="s">
        <v>1276</v>
      </c>
      <c r="D592" s="443"/>
      <c r="E592" s="444" t="s">
        <v>303</v>
      </c>
      <c r="F592" s="450">
        <v>164631</v>
      </c>
      <c r="G592" s="447"/>
      <c r="H592" s="447"/>
      <c r="I592" s="447"/>
      <c r="J592" s="447" t="s">
        <v>1678</v>
      </c>
      <c r="K592" s="447"/>
      <c r="L592" s="447"/>
      <c r="M592" s="447"/>
      <c r="N592" s="449"/>
    </row>
    <row r="593" spans="1:14">
      <c r="A593" s="431">
        <f t="shared" si="9"/>
        <v>587</v>
      </c>
      <c r="B593" s="592"/>
      <c r="C593" s="442" t="s">
        <v>1278</v>
      </c>
      <c r="D593" s="443"/>
      <c r="E593" s="444" t="s">
        <v>303</v>
      </c>
      <c r="F593" s="450">
        <v>218089</v>
      </c>
      <c r="G593" s="447"/>
      <c r="H593" s="447"/>
      <c r="I593" s="447"/>
      <c r="J593" s="447" t="s">
        <v>1678</v>
      </c>
      <c r="K593" s="447"/>
      <c r="L593" s="447"/>
      <c r="M593" s="447"/>
      <c r="N593" s="449"/>
    </row>
    <row r="594" spans="1:14">
      <c r="A594" s="431">
        <f t="shared" si="9"/>
        <v>588</v>
      </c>
      <c r="B594" s="592"/>
      <c r="C594" s="442" t="s">
        <v>1280</v>
      </c>
      <c r="D594" s="443"/>
      <c r="E594" s="444" t="s">
        <v>303</v>
      </c>
      <c r="F594" s="450">
        <v>102658</v>
      </c>
      <c r="G594" s="447"/>
      <c r="H594" s="447"/>
      <c r="I594" s="447"/>
      <c r="J594" s="447" t="s">
        <v>1678</v>
      </c>
      <c r="K594" s="447"/>
      <c r="L594" s="447"/>
      <c r="M594" s="447"/>
      <c r="N594" s="449"/>
    </row>
    <row r="595" spans="1:14">
      <c r="A595" s="431">
        <f t="shared" si="9"/>
        <v>589</v>
      </c>
      <c r="B595" s="592"/>
      <c r="C595" s="442" t="s">
        <v>1282</v>
      </c>
      <c r="D595" s="443"/>
      <c r="E595" s="444" t="s">
        <v>303</v>
      </c>
      <c r="F595" s="450">
        <v>24740</v>
      </c>
      <c r="G595" s="447"/>
      <c r="H595" s="447"/>
      <c r="I595" s="447"/>
      <c r="J595" s="447" t="s">
        <v>1678</v>
      </c>
      <c r="K595" s="447"/>
      <c r="L595" s="447"/>
      <c r="M595" s="447"/>
      <c r="N595" s="449"/>
    </row>
    <row r="596" spans="1:14">
      <c r="A596" s="431">
        <f t="shared" si="9"/>
        <v>590</v>
      </c>
      <c r="B596" s="592"/>
      <c r="C596" s="442" t="s">
        <v>1284</v>
      </c>
      <c r="D596" s="443"/>
      <c r="E596" s="444" t="s">
        <v>303</v>
      </c>
      <c r="F596" s="450">
        <v>7185</v>
      </c>
      <c r="G596" s="447"/>
      <c r="H596" s="447"/>
      <c r="I596" s="447"/>
      <c r="J596" s="447" t="s">
        <v>1678</v>
      </c>
      <c r="K596" s="447"/>
      <c r="L596" s="447"/>
      <c r="M596" s="447"/>
      <c r="N596" s="449"/>
    </row>
    <row r="597" spans="1:14">
      <c r="A597" s="431">
        <f t="shared" ref="A597:A660" si="10">A596+1</f>
        <v>591</v>
      </c>
      <c r="B597" s="592"/>
      <c r="C597" s="442" t="s">
        <v>1286</v>
      </c>
      <c r="D597" s="443"/>
      <c r="E597" s="444" t="s">
        <v>303</v>
      </c>
      <c r="F597" s="450">
        <v>76270</v>
      </c>
      <c r="G597" s="447"/>
      <c r="H597" s="447"/>
      <c r="I597" s="447"/>
      <c r="J597" s="447" t="s">
        <v>1678</v>
      </c>
      <c r="K597" s="447"/>
      <c r="L597" s="447"/>
      <c r="M597" s="447"/>
      <c r="N597" s="449"/>
    </row>
    <row r="598" spans="1:14">
      <c r="A598" s="431">
        <f t="shared" si="10"/>
        <v>592</v>
      </c>
      <c r="B598" s="592"/>
      <c r="C598" s="442" t="s">
        <v>1288</v>
      </c>
      <c r="D598" s="443"/>
      <c r="E598" s="444" t="s">
        <v>303</v>
      </c>
      <c r="F598" s="450">
        <v>394136</v>
      </c>
      <c r="G598" s="447"/>
      <c r="H598" s="447"/>
      <c r="I598" s="447"/>
      <c r="J598" s="447" t="s">
        <v>1678</v>
      </c>
      <c r="K598" s="447"/>
      <c r="L598" s="447"/>
      <c r="M598" s="447"/>
      <c r="N598" s="449"/>
    </row>
    <row r="599" spans="1:14">
      <c r="A599" s="431">
        <f t="shared" si="10"/>
        <v>593</v>
      </c>
      <c r="B599" s="592"/>
      <c r="C599" s="442" t="s">
        <v>1292</v>
      </c>
      <c r="D599" s="443"/>
      <c r="E599" s="444" t="s">
        <v>303</v>
      </c>
      <c r="F599" s="450">
        <v>167147</v>
      </c>
      <c r="G599" s="447"/>
      <c r="H599" s="447"/>
      <c r="I599" s="447"/>
      <c r="J599" s="447" t="s">
        <v>1678</v>
      </c>
      <c r="K599" s="447"/>
      <c r="L599" s="447"/>
      <c r="M599" s="447"/>
      <c r="N599" s="449"/>
    </row>
    <row r="600" spans="1:14">
      <c r="A600" s="431">
        <f t="shared" si="10"/>
        <v>594</v>
      </c>
      <c r="B600" s="592" t="s">
        <v>913</v>
      </c>
      <c r="C600" s="442" t="s">
        <v>2259</v>
      </c>
      <c r="D600" s="443" t="s">
        <v>2260</v>
      </c>
      <c r="E600" s="444" t="s">
        <v>303</v>
      </c>
      <c r="F600" s="450">
        <v>12472</v>
      </c>
      <c r="G600" s="447"/>
      <c r="H600" s="447"/>
      <c r="I600" s="447"/>
      <c r="J600" s="447" t="s">
        <v>1678</v>
      </c>
      <c r="K600" s="447"/>
      <c r="L600" s="447"/>
      <c r="M600" s="447"/>
      <c r="N600" s="449"/>
    </row>
    <row r="601" spans="1:14">
      <c r="A601" s="431">
        <f t="shared" si="10"/>
        <v>595</v>
      </c>
      <c r="B601" s="592"/>
      <c r="C601" s="442" t="s">
        <v>1294</v>
      </c>
      <c r="D601" s="443"/>
      <c r="E601" s="444" t="s">
        <v>303</v>
      </c>
      <c r="F601" s="450">
        <v>153368</v>
      </c>
      <c r="G601" s="447"/>
      <c r="H601" s="447"/>
      <c r="I601" s="447"/>
      <c r="J601" s="447" t="s">
        <v>1678</v>
      </c>
      <c r="K601" s="447"/>
      <c r="L601" s="447"/>
      <c r="M601" s="447"/>
      <c r="N601" s="449"/>
    </row>
    <row r="602" spans="1:14">
      <c r="A602" s="431">
        <f t="shared" si="10"/>
        <v>596</v>
      </c>
      <c r="B602" s="592"/>
      <c r="C602" s="442" t="s">
        <v>1296</v>
      </c>
      <c r="D602" s="443"/>
      <c r="E602" s="444" t="s">
        <v>1723</v>
      </c>
      <c r="F602" s="450">
        <v>100401</v>
      </c>
      <c r="G602" s="447"/>
      <c r="H602" s="447"/>
      <c r="I602" s="447"/>
      <c r="J602" s="447" t="s">
        <v>1678</v>
      </c>
      <c r="K602" s="447"/>
      <c r="L602" s="447"/>
      <c r="M602" s="447"/>
      <c r="N602" s="449"/>
    </row>
    <row r="603" spans="1:14">
      <c r="A603" s="431">
        <f t="shared" si="10"/>
        <v>597</v>
      </c>
      <c r="B603" s="592"/>
      <c r="C603" s="442" t="s">
        <v>1298</v>
      </c>
      <c r="D603" s="443"/>
      <c r="E603" s="444" t="s">
        <v>303</v>
      </c>
      <c r="F603" s="450">
        <v>189361</v>
      </c>
      <c r="G603" s="447"/>
      <c r="H603" s="447"/>
      <c r="I603" s="447"/>
      <c r="J603" s="447" t="s">
        <v>1678</v>
      </c>
      <c r="K603" s="447"/>
      <c r="L603" s="447"/>
      <c r="M603" s="447"/>
      <c r="N603" s="449"/>
    </row>
    <row r="604" spans="1:14">
      <c r="A604" s="431">
        <f t="shared" si="10"/>
        <v>598</v>
      </c>
      <c r="B604" s="592"/>
      <c r="C604" s="442" t="s">
        <v>1300</v>
      </c>
      <c r="D604" s="443"/>
      <c r="E604" s="444" t="s">
        <v>303</v>
      </c>
      <c r="F604" s="450">
        <v>7698</v>
      </c>
      <c r="G604" s="447"/>
      <c r="H604" s="447"/>
      <c r="I604" s="447"/>
      <c r="J604" s="447" t="s">
        <v>1678</v>
      </c>
      <c r="K604" s="447"/>
      <c r="L604" s="447"/>
      <c r="M604" s="447"/>
      <c r="N604" s="449"/>
    </row>
    <row r="605" spans="1:14">
      <c r="A605" s="431">
        <f t="shared" si="10"/>
        <v>599</v>
      </c>
      <c r="B605" s="592"/>
      <c r="C605" s="442" t="s">
        <v>1302</v>
      </c>
      <c r="D605" s="443"/>
      <c r="E605" s="444" t="s">
        <v>303</v>
      </c>
      <c r="F605" s="450">
        <v>62298</v>
      </c>
      <c r="G605" s="447"/>
      <c r="H605" s="447"/>
      <c r="I605" s="447"/>
      <c r="J605" s="447" t="s">
        <v>1678</v>
      </c>
      <c r="K605" s="447"/>
      <c r="L605" s="447"/>
      <c r="M605" s="447"/>
      <c r="N605" s="449"/>
    </row>
    <row r="606" spans="1:14">
      <c r="A606" s="431">
        <f t="shared" si="10"/>
        <v>600</v>
      </c>
      <c r="B606" s="592"/>
      <c r="C606" s="442" t="s">
        <v>1304</v>
      </c>
      <c r="D606" s="443"/>
      <c r="E606" s="444" t="s">
        <v>303</v>
      </c>
      <c r="F606" s="450">
        <v>171598</v>
      </c>
      <c r="G606" s="447"/>
      <c r="H606" s="447"/>
      <c r="I606" s="447"/>
      <c r="J606" s="447" t="s">
        <v>1678</v>
      </c>
      <c r="K606" s="447"/>
      <c r="L606" s="447"/>
      <c r="M606" s="447"/>
      <c r="N606" s="449"/>
    </row>
    <row r="607" spans="1:14">
      <c r="A607" s="431">
        <f t="shared" si="10"/>
        <v>601</v>
      </c>
      <c r="B607" s="592"/>
      <c r="C607" s="442" t="s">
        <v>1306</v>
      </c>
      <c r="D607" s="443"/>
      <c r="E607" s="444" t="s">
        <v>303</v>
      </c>
      <c r="F607" s="450">
        <v>131000</v>
      </c>
      <c r="G607" s="447"/>
      <c r="H607" s="447"/>
      <c r="I607" s="447"/>
      <c r="J607" s="447" t="s">
        <v>1678</v>
      </c>
      <c r="K607" s="447"/>
      <c r="L607" s="447"/>
      <c r="M607" s="447"/>
      <c r="N607" s="449"/>
    </row>
    <row r="608" spans="1:14">
      <c r="A608" s="431">
        <f t="shared" si="10"/>
        <v>602</v>
      </c>
      <c r="B608" s="592"/>
      <c r="C608" s="442" t="s">
        <v>1308</v>
      </c>
      <c r="D608" s="443"/>
      <c r="E608" s="444" t="s">
        <v>303</v>
      </c>
      <c r="F608" s="450">
        <v>466409</v>
      </c>
      <c r="G608" s="447"/>
      <c r="H608" s="447"/>
      <c r="I608" s="447"/>
      <c r="J608" s="447" t="s">
        <v>1678</v>
      </c>
      <c r="K608" s="447"/>
      <c r="L608" s="447"/>
      <c r="M608" s="447"/>
      <c r="N608" s="449"/>
    </row>
    <row r="609" spans="1:14">
      <c r="A609" s="431">
        <f t="shared" si="10"/>
        <v>603</v>
      </c>
      <c r="B609" s="592"/>
      <c r="C609" s="442" t="s">
        <v>1310</v>
      </c>
      <c r="D609" s="443"/>
      <c r="E609" s="444" t="s">
        <v>303</v>
      </c>
      <c r="F609" s="450">
        <v>10541</v>
      </c>
      <c r="G609" s="447"/>
      <c r="H609" s="447"/>
      <c r="I609" s="447"/>
      <c r="J609" s="447" t="s">
        <v>1678</v>
      </c>
      <c r="K609" s="447"/>
      <c r="L609" s="447"/>
      <c r="M609" s="447"/>
      <c r="N609" s="449"/>
    </row>
    <row r="610" spans="1:14">
      <c r="A610" s="431">
        <f t="shared" si="10"/>
        <v>604</v>
      </c>
      <c r="B610" s="592"/>
      <c r="C610" s="442" t="s">
        <v>1312</v>
      </c>
      <c r="D610" s="443"/>
      <c r="E610" s="444" t="s">
        <v>1723</v>
      </c>
      <c r="F610" s="450">
        <v>191107</v>
      </c>
      <c r="G610" s="447"/>
      <c r="H610" s="447"/>
      <c r="I610" s="447"/>
      <c r="J610" s="447" t="s">
        <v>1678</v>
      </c>
      <c r="K610" s="447"/>
      <c r="L610" s="447"/>
      <c r="M610" s="447"/>
      <c r="N610" s="449"/>
    </row>
    <row r="611" spans="1:14">
      <c r="A611" s="431">
        <f t="shared" si="10"/>
        <v>605</v>
      </c>
      <c r="B611" s="592"/>
      <c r="C611" s="442" t="s">
        <v>1314</v>
      </c>
      <c r="D611" s="443"/>
      <c r="E611" s="444" t="s">
        <v>1723</v>
      </c>
      <c r="F611" s="450">
        <v>10289</v>
      </c>
      <c r="G611" s="447"/>
      <c r="H611" s="447"/>
      <c r="I611" s="447"/>
      <c r="J611" s="447" t="s">
        <v>1678</v>
      </c>
      <c r="K611" s="447"/>
      <c r="L611" s="447"/>
      <c r="M611" s="447"/>
      <c r="N611" s="449"/>
    </row>
    <row r="612" spans="1:14">
      <c r="A612" s="431">
        <f t="shared" si="10"/>
        <v>606</v>
      </c>
      <c r="B612" s="592"/>
      <c r="C612" s="442" t="s">
        <v>1316</v>
      </c>
      <c r="D612" s="443"/>
      <c r="E612" s="444" t="s">
        <v>303</v>
      </c>
      <c r="F612" s="450">
        <v>425677</v>
      </c>
      <c r="G612" s="447"/>
      <c r="H612" s="447"/>
      <c r="I612" s="447"/>
      <c r="J612" s="447" t="s">
        <v>1678</v>
      </c>
      <c r="K612" s="447"/>
      <c r="L612" s="447"/>
      <c r="M612" s="447"/>
      <c r="N612" s="449"/>
    </row>
    <row r="613" spans="1:14">
      <c r="A613" s="431">
        <f t="shared" si="10"/>
        <v>607</v>
      </c>
      <c r="B613" s="592"/>
      <c r="C613" s="442" t="s">
        <v>1318</v>
      </c>
      <c r="D613" s="443"/>
      <c r="E613" s="444" t="s">
        <v>303</v>
      </c>
      <c r="F613" s="450">
        <v>177362</v>
      </c>
      <c r="G613" s="447"/>
      <c r="H613" s="447"/>
      <c r="I613" s="447"/>
      <c r="J613" s="447" t="s">
        <v>1678</v>
      </c>
      <c r="K613" s="447"/>
      <c r="L613" s="447"/>
      <c r="M613" s="447"/>
      <c r="N613" s="449"/>
    </row>
    <row r="614" spans="1:14">
      <c r="A614" s="431">
        <f t="shared" si="10"/>
        <v>608</v>
      </c>
      <c r="B614" s="592"/>
      <c r="C614" s="442" t="s">
        <v>1320</v>
      </c>
      <c r="D614" s="443"/>
      <c r="E614" s="444" t="s">
        <v>303</v>
      </c>
      <c r="F614" s="450">
        <v>70833</v>
      </c>
      <c r="G614" s="447"/>
      <c r="H614" s="447"/>
      <c r="I614" s="447"/>
      <c r="J614" s="447" t="s">
        <v>1678</v>
      </c>
      <c r="K614" s="447"/>
      <c r="L614" s="447"/>
      <c r="M614" s="447"/>
      <c r="N614" s="449"/>
    </row>
    <row r="615" spans="1:14">
      <c r="A615" s="431">
        <f t="shared" si="10"/>
        <v>609</v>
      </c>
      <c r="B615" s="592"/>
      <c r="C615" s="442" t="s">
        <v>1322</v>
      </c>
      <c r="D615" s="443"/>
      <c r="E615" s="444" t="s">
        <v>303</v>
      </c>
      <c r="F615" s="450">
        <v>197198</v>
      </c>
      <c r="G615" s="447"/>
      <c r="H615" s="447"/>
      <c r="I615" s="447"/>
      <c r="J615" s="447" t="s">
        <v>1678</v>
      </c>
      <c r="K615" s="447"/>
      <c r="L615" s="447"/>
      <c r="M615" s="447"/>
      <c r="N615" s="449"/>
    </row>
    <row r="616" spans="1:14">
      <c r="A616" s="431">
        <f t="shared" si="10"/>
        <v>610</v>
      </c>
      <c r="B616" s="592"/>
      <c r="C616" s="442" t="s">
        <v>1324</v>
      </c>
      <c r="D616" s="443"/>
      <c r="E616" s="444" t="s">
        <v>1723</v>
      </c>
      <c r="F616" s="450">
        <v>306573</v>
      </c>
      <c r="G616" s="447"/>
      <c r="H616" s="447"/>
      <c r="I616" s="447"/>
      <c r="J616" s="447" t="s">
        <v>1678</v>
      </c>
      <c r="K616" s="447"/>
      <c r="L616" s="447"/>
      <c r="M616" s="447"/>
      <c r="N616" s="449"/>
    </row>
    <row r="617" spans="1:14">
      <c r="A617" s="431">
        <f t="shared" si="10"/>
        <v>611</v>
      </c>
      <c r="B617" s="592"/>
      <c r="C617" s="442" t="s">
        <v>1326</v>
      </c>
      <c r="D617" s="443" t="s">
        <v>2261</v>
      </c>
      <c r="E617" s="444" t="s">
        <v>1723</v>
      </c>
      <c r="F617" s="450">
        <v>1399</v>
      </c>
      <c r="G617" s="447"/>
      <c r="H617" s="447"/>
      <c r="I617" s="447"/>
      <c r="J617" s="447" t="s">
        <v>1678</v>
      </c>
      <c r="K617" s="447"/>
      <c r="L617" s="447"/>
      <c r="M617" s="447"/>
      <c r="N617" s="449"/>
    </row>
    <row r="618" spans="1:14">
      <c r="A618" s="431">
        <f t="shared" si="10"/>
        <v>612</v>
      </c>
      <c r="B618" s="592"/>
      <c r="C618" s="442" t="s">
        <v>1328</v>
      </c>
      <c r="D618" s="443"/>
      <c r="E618" s="444" t="s">
        <v>303</v>
      </c>
      <c r="F618" s="450">
        <v>7473</v>
      </c>
      <c r="G618" s="447"/>
      <c r="H618" s="447"/>
      <c r="I618" s="447"/>
      <c r="J618" s="447" t="s">
        <v>1678</v>
      </c>
      <c r="K618" s="447"/>
      <c r="L618" s="447"/>
      <c r="M618" s="447"/>
      <c r="N618" s="449"/>
    </row>
    <row r="619" spans="1:14">
      <c r="A619" s="431">
        <f t="shared" si="10"/>
        <v>613</v>
      </c>
      <c r="B619" s="592"/>
      <c r="C619" s="442" t="s">
        <v>1330</v>
      </c>
      <c r="D619" s="443"/>
      <c r="E619" s="444" t="s">
        <v>303</v>
      </c>
      <c r="F619" s="450">
        <v>209781</v>
      </c>
      <c r="G619" s="447"/>
      <c r="H619" s="447"/>
      <c r="I619" s="447"/>
      <c r="J619" s="447" t="s">
        <v>1678</v>
      </c>
      <c r="K619" s="447"/>
      <c r="L619" s="447"/>
      <c r="M619" s="447"/>
      <c r="N619" s="449"/>
    </row>
    <row r="620" spans="1:14">
      <c r="A620" s="431">
        <f t="shared" si="10"/>
        <v>614</v>
      </c>
      <c r="B620" s="592"/>
      <c r="C620" s="442" t="s">
        <v>1332</v>
      </c>
      <c r="D620" s="443"/>
      <c r="E620" s="444" t="s">
        <v>303</v>
      </c>
      <c r="F620" s="450">
        <v>35366</v>
      </c>
      <c r="G620" s="447"/>
      <c r="H620" s="447"/>
      <c r="I620" s="447"/>
      <c r="J620" s="447" t="s">
        <v>1678</v>
      </c>
      <c r="K620" s="447"/>
      <c r="L620" s="447"/>
      <c r="M620" s="447"/>
      <c r="N620" s="449"/>
    </row>
    <row r="621" spans="1:14" ht="29">
      <c r="A621" s="431">
        <f t="shared" si="10"/>
        <v>615</v>
      </c>
      <c r="B621" s="592"/>
      <c r="C621" s="442" t="s">
        <v>1334</v>
      </c>
      <c r="D621" s="443"/>
      <c r="E621" s="444" t="s">
        <v>303</v>
      </c>
      <c r="F621" s="450">
        <v>1296</v>
      </c>
      <c r="G621" s="447"/>
      <c r="H621" s="447"/>
      <c r="I621" s="447"/>
      <c r="J621" s="447" t="s">
        <v>1678</v>
      </c>
      <c r="K621" s="447"/>
      <c r="L621" s="447"/>
      <c r="M621" s="447"/>
      <c r="N621" s="449"/>
    </row>
    <row r="622" spans="1:14">
      <c r="A622" s="431">
        <f t="shared" si="10"/>
        <v>616</v>
      </c>
      <c r="B622" s="592"/>
      <c r="C622" s="442" t="s">
        <v>1338</v>
      </c>
      <c r="D622" s="443"/>
      <c r="E622" s="444" t="s">
        <v>303</v>
      </c>
      <c r="F622" s="450">
        <v>54241</v>
      </c>
      <c r="G622" s="447"/>
      <c r="H622" s="447"/>
      <c r="I622" s="447"/>
      <c r="J622" s="447" t="s">
        <v>1678</v>
      </c>
      <c r="K622" s="447"/>
      <c r="L622" s="447"/>
      <c r="M622" s="447"/>
      <c r="N622" s="449"/>
    </row>
    <row r="623" spans="1:14">
      <c r="A623" s="431">
        <f t="shared" si="10"/>
        <v>617</v>
      </c>
      <c r="B623" s="592"/>
      <c r="C623" s="442" t="s">
        <v>1340</v>
      </c>
      <c r="D623" s="443"/>
      <c r="E623" s="444" t="s">
        <v>303</v>
      </c>
      <c r="F623" s="450">
        <v>133229</v>
      </c>
      <c r="G623" s="447"/>
      <c r="H623" s="447"/>
      <c r="I623" s="447"/>
      <c r="J623" s="447" t="s">
        <v>1678</v>
      </c>
      <c r="K623" s="447"/>
      <c r="L623" s="447"/>
      <c r="M623" s="447"/>
      <c r="N623" s="449"/>
    </row>
    <row r="624" spans="1:14">
      <c r="A624" s="431">
        <f t="shared" si="10"/>
        <v>618</v>
      </c>
      <c r="B624" s="592"/>
      <c r="C624" s="442" t="s">
        <v>1342</v>
      </c>
      <c r="D624" s="443"/>
      <c r="E624" s="444" t="s">
        <v>303</v>
      </c>
      <c r="F624" s="450">
        <v>183706</v>
      </c>
      <c r="G624" s="447"/>
      <c r="H624" s="447"/>
      <c r="I624" s="447"/>
      <c r="J624" s="447" t="s">
        <v>1678</v>
      </c>
      <c r="K624" s="447"/>
      <c r="L624" s="447"/>
      <c r="M624" s="447"/>
      <c r="N624" s="449"/>
    </row>
    <row r="625" spans="1:14">
      <c r="A625" s="431">
        <f t="shared" si="10"/>
        <v>619</v>
      </c>
      <c r="B625" s="592"/>
      <c r="C625" s="442" t="s">
        <v>1344</v>
      </c>
      <c r="D625" s="443"/>
      <c r="E625" s="444" t="s">
        <v>303</v>
      </c>
      <c r="F625" s="450">
        <v>337805</v>
      </c>
      <c r="G625" s="447"/>
      <c r="H625" s="447"/>
      <c r="I625" s="447"/>
      <c r="J625" s="447" t="s">
        <v>1678</v>
      </c>
      <c r="K625" s="447"/>
      <c r="L625" s="447"/>
      <c r="M625" s="447"/>
      <c r="N625" s="449"/>
    </row>
    <row r="626" spans="1:14">
      <c r="A626" s="431">
        <f t="shared" si="10"/>
        <v>620</v>
      </c>
      <c r="B626" s="592"/>
      <c r="C626" s="442" t="s">
        <v>956</v>
      </c>
      <c r="D626" s="443" t="s">
        <v>2262</v>
      </c>
      <c r="E626" s="444" t="s">
        <v>303</v>
      </c>
      <c r="F626" s="450">
        <v>23704</v>
      </c>
      <c r="G626" s="447"/>
      <c r="H626" s="447"/>
      <c r="I626" s="447"/>
      <c r="J626" s="447" t="s">
        <v>1678</v>
      </c>
      <c r="K626" s="447"/>
      <c r="L626" s="447"/>
      <c r="M626" s="447"/>
      <c r="N626" s="449"/>
    </row>
    <row r="627" spans="1:14">
      <c r="A627" s="431">
        <f t="shared" si="10"/>
        <v>621</v>
      </c>
      <c r="B627" s="592"/>
      <c r="C627" s="442" t="s">
        <v>1346</v>
      </c>
      <c r="D627" s="443"/>
      <c r="E627" s="444" t="s">
        <v>1723</v>
      </c>
      <c r="F627" s="450">
        <v>593944</v>
      </c>
      <c r="G627" s="447"/>
      <c r="H627" s="447"/>
      <c r="I627" s="447"/>
      <c r="J627" s="447" t="s">
        <v>1678</v>
      </c>
      <c r="K627" s="447"/>
      <c r="L627" s="447"/>
      <c r="M627" s="447"/>
      <c r="N627" s="449"/>
    </row>
    <row r="628" spans="1:14">
      <c r="A628" s="431">
        <f t="shared" si="10"/>
        <v>622</v>
      </c>
      <c r="B628" s="592"/>
      <c r="C628" s="442" t="s">
        <v>1348</v>
      </c>
      <c r="D628" s="443"/>
      <c r="E628" s="444" t="s">
        <v>303</v>
      </c>
      <c r="F628" s="450">
        <v>189249</v>
      </c>
      <c r="G628" s="447"/>
      <c r="H628" s="447"/>
      <c r="I628" s="447"/>
      <c r="J628" s="447" t="s">
        <v>1678</v>
      </c>
      <c r="K628" s="447"/>
      <c r="L628" s="447"/>
      <c r="M628" s="447"/>
      <c r="N628" s="449"/>
    </row>
    <row r="629" spans="1:14">
      <c r="A629" s="431">
        <f t="shared" si="10"/>
        <v>623</v>
      </c>
      <c r="B629" s="592"/>
      <c r="C629" s="442" t="s">
        <v>1350</v>
      </c>
      <c r="D629" s="443"/>
      <c r="E629" s="444" t="s">
        <v>303</v>
      </c>
      <c r="F629" s="450">
        <v>53227</v>
      </c>
      <c r="G629" s="447"/>
      <c r="H629" s="447"/>
      <c r="I629" s="447"/>
      <c r="J629" s="447" t="s">
        <v>1678</v>
      </c>
      <c r="K629" s="447"/>
      <c r="L629" s="447"/>
      <c r="M629" s="447"/>
      <c r="N629" s="449"/>
    </row>
    <row r="630" spans="1:14">
      <c r="A630" s="431">
        <f t="shared" si="10"/>
        <v>624</v>
      </c>
      <c r="B630" s="592"/>
      <c r="C630" s="442" t="s">
        <v>1352</v>
      </c>
      <c r="D630" s="443"/>
      <c r="E630" s="444" t="s">
        <v>303</v>
      </c>
      <c r="F630" s="450">
        <v>1225</v>
      </c>
      <c r="G630" s="447"/>
      <c r="H630" s="447"/>
      <c r="I630" s="447"/>
      <c r="J630" s="447" t="s">
        <v>1678</v>
      </c>
      <c r="K630" s="447"/>
      <c r="L630" s="447"/>
      <c r="M630" s="447"/>
      <c r="N630" s="449"/>
    </row>
    <row r="631" spans="1:14">
      <c r="A631" s="431">
        <f t="shared" si="10"/>
        <v>625</v>
      </c>
      <c r="B631" s="592"/>
      <c r="C631" s="442" t="s">
        <v>1354</v>
      </c>
      <c r="D631" s="443"/>
      <c r="E631" s="444" t="s">
        <v>1723</v>
      </c>
      <c r="F631" s="450">
        <v>50588</v>
      </c>
      <c r="G631" s="447"/>
      <c r="H631" s="447"/>
      <c r="I631" s="447"/>
      <c r="J631" s="447" t="s">
        <v>1678</v>
      </c>
      <c r="K631" s="447"/>
      <c r="L631" s="447"/>
      <c r="M631" s="447"/>
      <c r="N631" s="449"/>
    </row>
    <row r="632" spans="1:14">
      <c r="A632" s="431">
        <f t="shared" si="10"/>
        <v>626</v>
      </c>
      <c r="B632" s="592"/>
      <c r="C632" s="442" t="s">
        <v>960</v>
      </c>
      <c r="D632" s="443" t="s">
        <v>2263</v>
      </c>
      <c r="E632" s="444" t="s">
        <v>303</v>
      </c>
      <c r="F632" s="450">
        <v>91230</v>
      </c>
      <c r="G632" s="447"/>
      <c r="H632" s="447"/>
      <c r="I632" s="447"/>
      <c r="J632" s="447" t="s">
        <v>1678</v>
      </c>
      <c r="K632" s="447"/>
      <c r="L632" s="447"/>
      <c r="M632" s="447"/>
      <c r="N632" s="449"/>
    </row>
    <row r="633" spans="1:14">
      <c r="A633" s="431">
        <f t="shared" si="10"/>
        <v>627</v>
      </c>
      <c r="B633" s="592"/>
      <c r="C633" s="442" t="s">
        <v>1356</v>
      </c>
      <c r="D633" s="443"/>
      <c r="E633" s="444" t="s">
        <v>303</v>
      </c>
      <c r="F633" s="450">
        <v>98929</v>
      </c>
      <c r="G633" s="447"/>
      <c r="H633" s="447"/>
      <c r="I633" s="447"/>
      <c r="J633" s="447" t="s">
        <v>1678</v>
      </c>
      <c r="K633" s="447"/>
      <c r="L633" s="447"/>
      <c r="M633" s="447"/>
      <c r="N633" s="449"/>
    </row>
    <row r="634" spans="1:14">
      <c r="A634" s="431">
        <f t="shared" si="10"/>
        <v>628</v>
      </c>
      <c r="B634" s="592"/>
      <c r="C634" s="442" t="s">
        <v>1358</v>
      </c>
      <c r="D634" s="443"/>
      <c r="E634" s="444" t="s">
        <v>303</v>
      </c>
      <c r="F634" s="450">
        <v>156018</v>
      </c>
      <c r="G634" s="447"/>
      <c r="H634" s="447"/>
      <c r="I634" s="447"/>
      <c r="J634" s="447" t="s">
        <v>1678</v>
      </c>
      <c r="K634" s="447"/>
      <c r="L634" s="447"/>
      <c r="M634" s="447"/>
      <c r="N634" s="449"/>
    </row>
    <row r="635" spans="1:14">
      <c r="A635" s="431">
        <f t="shared" si="10"/>
        <v>629</v>
      </c>
      <c r="B635" s="592"/>
      <c r="C635" s="442" t="s">
        <v>958</v>
      </c>
      <c r="D635" s="443" t="s">
        <v>2264</v>
      </c>
      <c r="E635" s="444" t="s">
        <v>303</v>
      </c>
      <c r="F635" s="450">
        <v>49112</v>
      </c>
      <c r="G635" s="447"/>
      <c r="H635" s="447"/>
      <c r="I635" s="447"/>
      <c r="J635" s="447" t="s">
        <v>1678</v>
      </c>
      <c r="K635" s="447"/>
      <c r="L635" s="447"/>
      <c r="M635" s="447"/>
      <c r="N635" s="449"/>
    </row>
    <row r="636" spans="1:14">
      <c r="A636" s="431">
        <f t="shared" si="10"/>
        <v>630</v>
      </c>
      <c r="B636" s="592"/>
      <c r="C636" s="442" t="s">
        <v>1360</v>
      </c>
      <c r="D636" s="443"/>
      <c r="E636" s="444" t="s">
        <v>303</v>
      </c>
      <c r="F636" s="450">
        <v>111336</v>
      </c>
      <c r="G636" s="447"/>
      <c r="H636" s="447"/>
      <c r="I636" s="447"/>
      <c r="J636" s="447" t="s">
        <v>1678</v>
      </c>
      <c r="K636" s="447"/>
      <c r="L636" s="447"/>
      <c r="M636" s="447"/>
      <c r="N636" s="449"/>
    </row>
    <row r="637" spans="1:14">
      <c r="A637" s="431">
        <f t="shared" si="10"/>
        <v>631</v>
      </c>
      <c r="B637" s="592"/>
      <c r="C637" s="442" t="s">
        <v>1362</v>
      </c>
      <c r="D637" s="443"/>
      <c r="E637" s="444" t="s">
        <v>303</v>
      </c>
      <c r="F637" s="450">
        <v>433673</v>
      </c>
      <c r="G637" s="447"/>
      <c r="H637" s="447"/>
      <c r="I637" s="447"/>
      <c r="J637" s="447" t="s">
        <v>1678</v>
      </c>
      <c r="K637" s="447"/>
      <c r="L637" s="447"/>
      <c r="M637" s="447"/>
      <c r="N637" s="449"/>
    </row>
    <row r="638" spans="1:14">
      <c r="A638" s="431">
        <f t="shared" si="10"/>
        <v>632</v>
      </c>
      <c r="B638" s="592"/>
      <c r="C638" s="442" t="s">
        <v>1364</v>
      </c>
      <c r="D638" s="443"/>
      <c r="E638" s="444" t="s">
        <v>303</v>
      </c>
      <c r="F638" s="450">
        <v>137620</v>
      </c>
      <c r="G638" s="447"/>
      <c r="H638" s="447"/>
      <c r="I638" s="447"/>
      <c r="J638" s="447" t="s">
        <v>1678</v>
      </c>
      <c r="K638" s="447"/>
      <c r="L638" s="447"/>
      <c r="M638" s="447"/>
      <c r="N638" s="449"/>
    </row>
    <row r="639" spans="1:14">
      <c r="A639" s="431">
        <f t="shared" si="10"/>
        <v>633</v>
      </c>
      <c r="B639" s="592"/>
      <c r="C639" s="442" t="s">
        <v>1366</v>
      </c>
      <c r="D639" s="443"/>
      <c r="E639" s="444" t="s">
        <v>303</v>
      </c>
      <c r="F639" s="450">
        <v>203034</v>
      </c>
      <c r="G639" s="447"/>
      <c r="H639" s="447"/>
      <c r="I639" s="447"/>
      <c r="J639" s="447" t="s">
        <v>1678</v>
      </c>
      <c r="K639" s="447"/>
      <c r="L639" s="447"/>
      <c r="M639" s="447"/>
      <c r="N639" s="449"/>
    </row>
    <row r="640" spans="1:14">
      <c r="A640" s="431">
        <f t="shared" si="10"/>
        <v>634</v>
      </c>
      <c r="B640" s="592"/>
      <c r="C640" s="442" t="s">
        <v>1368</v>
      </c>
      <c r="D640" s="443"/>
      <c r="E640" s="444" t="s">
        <v>303</v>
      </c>
      <c r="F640" s="450">
        <v>1700</v>
      </c>
      <c r="G640" s="447"/>
      <c r="H640" s="447"/>
      <c r="I640" s="447"/>
      <c r="J640" s="447" t="s">
        <v>1678</v>
      </c>
      <c r="K640" s="447"/>
      <c r="L640" s="447"/>
      <c r="M640" s="447"/>
      <c r="N640" s="449"/>
    </row>
    <row r="641" spans="1:14">
      <c r="A641" s="431">
        <f t="shared" si="10"/>
        <v>635</v>
      </c>
      <c r="B641" s="592"/>
      <c r="C641" s="442" t="s">
        <v>1370</v>
      </c>
      <c r="D641" s="443"/>
      <c r="E641" s="444" t="s">
        <v>303</v>
      </c>
      <c r="F641" s="450">
        <v>51407</v>
      </c>
      <c r="G641" s="447"/>
      <c r="H641" s="447"/>
      <c r="I641" s="447"/>
      <c r="J641" s="447" t="s">
        <v>1678</v>
      </c>
      <c r="K641" s="447"/>
      <c r="L641" s="447"/>
      <c r="M641" s="447"/>
      <c r="N641" s="449"/>
    </row>
    <row r="642" spans="1:14">
      <c r="A642" s="431">
        <f t="shared" si="10"/>
        <v>636</v>
      </c>
      <c r="B642" s="592"/>
      <c r="C642" s="442" t="s">
        <v>1372</v>
      </c>
      <c r="D642" s="443"/>
      <c r="E642" s="444" t="s">
        <v>303</v>
      </c>
      <c r="F642" s="450">
        <v>228099</v>
      </c>
      <c r="G642" s="447"/>
      <c r="H642" s="447"/>
      <c r="I642" s="447"/>
      <c r="J642" s="447" t="s">
        <v>1678</v>
      </c>
      <c r="K642" s="447"/>
      <c r="L642" s="447"/>
      <c r="M642" s="447"/>
      <c r="N642" s="449"/>
    </row>
    <row r="643" spans="1:14">
      <c r="A643" s="431">
        <f t="shared" si="10"/>
        <v>637</v>
      </c>
      <c r="B643" s="592"/>
      <c r="C643" s="442" t="s">
        <v>1374</v>
      </c>
      <c r="D643" s="443"/>
      <c r="E643" s="444" t="s">
        <v>303</v>
      </c>
      <c r="F643" s="450">
        <v>143269</v>
      </c>
      <c r="G643" s="447"/>
      <c r="H643" s="447"/>
      <c r="I643" s="447"/>
      <c r="J643" s="447" t="s">
        <v>1678</v>
      </c>
      <c r="K643" s="447"/>
      <c r="L643" s="447"/>
      <c r="M643" s="447"/>
      <c r="N643" s="449"/>
    </row>
    <row r="644" spans="1:14" ht="29">
      <c r="A644" s="431">
        <f t="shared" si="10"/>
        <v>638</v>
      </c>
      <c r="B644" s="592"/>
      <c r="C644" s="442" t="s">
        <v>1378</v>
      </c>
      <c r="D644" s="443"/>
      <c r="E644" s="444" t="s">
        <v>303</v>
      </c>
      <c r="F644" s="450">
        <v>326689</v>
      </c>
      <c r="G644" s="447"/>
      <c r="H644" s="447"/>
      <c r="I644" s="447"/>
      <c r="J644" s="447" t="s">
        <v>1678</v>
      </c>
      <c r="K644" s="447"/>
      <c r="L644" s="447"/>
      <c r="M644" s="447"/>
      <c r="N644" s="449"/>
    </row>
    <row r="645" spans="1:14">
      <c r="A645" s="431">
        <f t="shared" si="10"/>
        <v>639</v>
      </c>
      <c r="B645" s="592"/>
      <c r="C645" s="442" t="s">
        <v>1380</v>
      </c>
      <c r="D645" s="443"/>
      <c r="E645" s="444" t="s">
        <v>303</v>
      </c>
      <c r="F645" s="450">
        <v>46264</v>
      </c>
      <c r="G645" s="447"/>
      <c r="H645" s="447"/>
      <c r="I645" s="447"/>
      <c r="J645" s="447" t="s">
        <v>1678</v>
      </c>
      <c r="K645" s="447"/>
      <c r="L645" s="447"/>
      <c r="M645" s="447"/>
      <c r="N645" s="449"/>
    </row>
    <row r="646" spans="1:14" ht="29">
      <c r="A646" s="431">
        <f t="shared" si="10"/>
        <v>640</v>
      </c>
      <c r="B646" s="592"/>
      <c r="C646" s="442" t="s">
        <v>1382</v>
      </c>
      <c r="D646" s="443"/>
      <c r="E646" s="444" t="s">
        <v>303</v>
      </c>
      <c r="F646" s="450">
        <v>30489</v>
      </c>
      <c r="G646" s="447"/>
      <c r="H646" s="447"/>
      <c r="I646" s="447"/>
      <c r="J646" s="447" t="s">
        <v>1678</v>
      </c>
      <c r="K646" s="447"/>
      <c r="L646" s="447"/>
      <c r="M646" s="447"/>
      <c r="N646" s="449"/>
    </row>
    <row r="647" spans="1:14">
      <c r="A647" s="431">
        <f t="shared" si="10"/>
        <v>641</v>
      </c>
      <c r="B647" s="592"/>
      <c r="C647" s="442" t="s">
        <v>1384</v>
      </c>
      <c r="D647" s="443" t="s">
        <v>2265</v>
      </c>
      <c r="E647" s="444" t="s">
        <v>1723</v>
      </c>
      <c r="F647" s="450">
        <v>130348</v>
      </c>
      <c r="G647" s="447"/>
      <c r="H647" s="447"/>
      <c r="I647" s="447"/>
      <c r="J647" s="447" t="s">
        <v>1678</v>
      </c>
      <c r="K647" s="469"/>
      <c r="L647" s="447"/>
      <c r="M647" s="470"/>
      <c r="N647" s="471"/>
    </row>
    <row r="648" spans="1:14">
      <c r="A648" s="431">
        <f t="shared" si="10"/>
        <v>642</v>
      </c>
      <c r="B648" s="592"/>
      <c r="C648" s="442" t="s">
        <v>1386</v>
      </c>
      <c r="D648" s="443"/>
      <c r="E648" s="444" t="s">
        <v>2266</v>
      </c>
      <c r="F648" s="450">
        <v>168846</v>
      </c>
      <c r="G648" s="447"/>
      <c r="H648" s="447"/>
      <c r="I648" s="447"/>
      <c r="J648" s="447" t="s">
        <v>1678</v>
      </c>
      <c r="K648" s="447"/>
      <c r="L648" s="447"/>
      <c r="M648" s="447"/>
      <c r="N648" s="449"/>
    </row>
    <row r="649" spans="1:14" ht="28.5" customHeight="1">
      <c r="A649" s="431">
        <f t="shared" si="10"/>
        <v>643</v>
      </c>
      <c r="B649" s="592"/>
      <c r="C649" s="442" t="s">
        <v>1388</v>
      </c>
      <c r="D649" s="443"/>
      <c r="E649" s="444" t="s">
        <v>2266</v>
      </c>
      <c r="F649" s="450">
        <v>255807</v>
      </c>
      <c r="G649" s="447"/>
      <c r="H649" s="447"/>
      <c r="I649" s="447"/>
      <c r="J649" s="447" t="s">
        <v>1678</v>
      </c>
      <c r="K649" s="447"/>
      <c r="L649" s="447"/>
      <c r="M649" s="447"/>
      <c r="N649" s="449"/>
    </row>
    <row r="650" spans="1:14">
      <c r="A650" s="431">
        <f t="shared" si="10"/>
        <v>644</v>
      </c>
      <c r="B650" s="592"/>
      <c r="C650" s="442" t="s">
        <v>1390</v>
      </c>
      <c r="D650" s="443"/>
      <c r="E650" s="444" t="s">
        <v>2266</v>
      </c>
      <c r="F650" s="450">
        <v>73382</v>
      </c>
      <c r="G650" s="447"/>
      <c r="H650" s="447"/>
      <c r="I650" s="447"/>
      <c r="J650" s="447" t="s">
        <v>1678</v>
      </c>
      <c r="K650" s="447"/>
      <c r="L650" s="447"/>
      <c r="M650" s="447"/>
      <c r="N650" s="449"/>
    </row>
    <row r="651" spans="1:14">
      <c r="A651" s="431">
        <f t="shared" si="10"/>
        <v>645</v>
      </c>
      <c r="B651" s="592" t="s">
        <v>985</v>
      </c>
      <c r="C651" s="442" t="s">
        <v>2267</v>
      </c>
      <c r="D651" s="443" t="s">
        <v>2268</v>
      </c>
      <c r="E651" s="444" t="s">
        <v>303</v>
      </c>
      <c r="F651" s="450">
        <v>253710.27</v>
      </c>
      <c r="G651" s="447"/>
      <c r="H651" s="447"/>
      <c r="I651" s="447"/>
      <c r="J651" s="447" t="s">
        <v>1678</v>
      </c>
      <c r="K651" s="447"/>
      <c r="L651" s="447"/>
      <c r="M651" s="447"/>
      <c r="N651" s="449"/>
    </row>
    <row r="652" spans="1:14" ht="18" customHeight="1">
      <c r="A652" s="431">
        <f t="shared" si="10"/>
        <v>646</v>
      </c>
      <c r="B652" s="592"/>
      <c r="C652" s="442" t="s">
        <v>1394</v>
      </c>
      <c r="D652" s="443"/>
      <c r="E652" s="444" t="s">
        <v>303</v>
      </c>
      <c r="F652" s="450">
        <v>66757</v>
      </c>
      <c r="G652" s="447"/>
      <c r="H652" s="447"/>
      <c r="I652" s="447"/>
      <c r="J652" s="447" t="s">
        <v>1678</v>
      </c>
      <c r="K652" s="447"/>
      <c r="L652" s="447"/>
      <c r="M652" s="447"/>
      <c r="N652" s="449"/>
    </row>
    <row r="653" spans="1:14" ht="29">
      <c r="A653" s="431">
        <f t="shared" si="10"/>
        <v>647</v>
      </c>
      <c r="B653" s="592"/>
      <c r="C653" s="442" t="s">
        <v>1396</v>
      </c>
      <c r="D653" s="443"/>
      <c r="E653" s="444" t="s">
        <v>303</v>
      </c>
      <c r="F653" s="450">
        <v>202926</v>
      </c>
      <c r="G653" s="447"/>
      <c r="H653" s="447"/>
      <c r="I653" s="447"/>
      <c r="J653" s="447" t="s">
        <v>1678</v>
      </c>
      <c r="K653" s="447"/>
      <c r="L653" s="447"/>
      <c r="M653" s="447"/>
      <c r="N653" s="449"/>
    </row>
    <row r="654" spans="1:14">
      <c r="A654" s="431">
        <f t="shared" si="10"/>
        <v>648</v>
      </c>
      <c r="B654" s="592"/>
      <c r="C654" s="442" t="s">
        <v>1398</v>
      </c>
      <c r="D654" s="443"/>
      <c r="E654" s="444" t="s">
        <v>1723</v>
      </c>
      <c r="F654" s="450">
        <v>284658</v>
      </c>
      <c r="G654" s="447"/>
      <c r="H654" s="447"/>
      <c r="I654" s="447"/>
      <c r="J654" s="447" t="s">
        <v>1678</v>
      </c>
      <c r="K654" s="447"/>
      <c r="L654" s="447"/>
      <c r="M654" s="447"/>
      <c r="N654" s="449"/>
    </row>
    <row r="655" spans="1:14" ht="18" customHeight="1">
      <c r="A655" s="431">
        <f t="shared" si="10"/>
        <v>649</v>
      </c>
      <c r="B655" s="592"/>
      <c r="C655" s="442" t="s">
        <v>1400</v>
      </c>
      <c r="D655" s="443"/>
      <c r="E655" s="444" t="s">
        <v>303</v>
      </c>
      <c r="F655" s="450">
        <v>41178</v>
      </c>
      <c r="G655" s="447"/>
      <c r="H655" s="447"/>
      <c r="I655" s="447"/>
      <c r="J655" s="447" t="s">
        <v>1678</v>
      </c>
      <c r="K655" s="447"/>
      <c r="L655" s="447"/>
      <c r="M655" s="447"/>
      <c r="N655" s="449"/>
    </row>
    <row r="656" spans="1:14">
      <c r="A656" s="431">
        <f t="shared" si="10"/>
        <v>650</v>
      </c>
      <c r="B656" s="592"/>
      <c r="C656" s="442" t="s">
        <v>1402</v>
      </c>
      <c r="D656" s="443"/>
      <c r="E656" s="444" t="s">
        <v>303</v>
      </c>
      <c r="F656" s="450">
        <v>180146</v>
      </c>
      <c r="G656" s="447"/>
      <c r="H656" s="447"/>
      <c r="I656" s="447"/>
      <c r="J656" s="447" t="s">
        <v>1678</v>
      </c>
      <c r="K656" s="447"/>
      <c r="L656" s="447"/>
      <c r="M656" s="447"/>
      <c r="N656" s="449"/>
    </row>
    <row r="657" spans="1:14">
      <c r="A657" s="431">
        <f t="shared" si="10"/>
        <v>651</v>
      </c>
      <c r="B657" s="592"/>
      <c r="C657" s="442" t="s">
        <v>1404</v>
      </c>
      <c r="D657" s="443"/>
      <c r="E657" s="444" t="s">
        <v>303</v>
      </c>
      <c r="F657" s="450">
        <v>54362</v>
      </c>
      <c r="G657" s="447"/>
      <c r="H657" s="447"/>
      <c r="I657" s="447"/>
      <c r="J657" s="447" t="s">
        <v>1678</v>
      </c>
      <c r="K657" s="447"/>
      <c r="L657" s="447"/>
      <c r="M657" s="447"/>
      <c r="N657" s="449"/>
    </row>
    <row r="658" spans="1:14">
      <c r="A658" s="431">
        <f t="shared" si="10"/>
        <v>652</v>
      </c>
      <c r="B658" s="592"/>
      <c r="C658" s="442" t="s">
        <v>1405</v>
      </c>
      <c r="D658" s="443"/>
      <c r="E658" s="444" t="s">
        <v>303</v>
      </c>
      <c r="F658" s="450">
        <v>100080</v>
      </c>
      <c r="G658" s="447"/>
      <c r="H658" s="447"/>
      <c r="I658" s="447"/>
      <c r="J658" s="447" t="s">
        <v>1678</v>
      </c>
      <c r="K658" s="447"/>
      <c r="L658" s="447"/>
      <c r="M658" s="447"/>
      <c r="N658" s="449"/>
    </row>
    <row r="659" spans="1:14">
      <c r="A659" s="431">
        <f t="shared" si="10"/>
        <v>653</v>
      </c>
      <c r="B659" s="592"/>
      <c r="C659" s="442" t="s">
        <v>1407</v>
      </c>
      <c r="D659" s="443"/>
      <c r="E659" s="444" t="s">
        <v>303</v>
      </c>
      <c r="F659" s="450">
        <v>286574</v>
      </c>
      <c r="G659" s="447"/>
      <c r="H659" s="447"/>
      <c r="I659" s="447"/>
      <c r="J659" s="447" t="s">
        <v>1678</v>
      </c>
      <c r="K659" s="447"/>
      <c r="L659" s="447"/>
      <c r="M659" s="447"/>
      <c r="N659" s="449"/>
    </row>
    <row r="660" spans="1:14">
      <c r="A660" s="431">
        <f t="shared" si="10"/>
        <v>654</v>
      </c>
      <c r="B660" s="592"/>
      <c r="C660" s="442" t="s">
        <v>1409</v>
      </c>
      <c r="D660" s="443"/>
      <c r="E660" s="444" t="s">
        <v>303</v>
      </c>
      <c r="F660" s="450">
        <v>248109</v>
      </c>
      <c r="G660" s="447"/>
      <c r="H660" s="447"/>
      <c r="I660" s="447"/>
      <c r="J660" s="447" t="s">
        <v>1678</v>
      </c>
      <c r="K660" s="447"/>
      <c r="L660" s="447"/>
      <c r="M660" s="447"/>
      <c r="N660" s="449"/>
    </row>
    <row r="661" spans="1:14">
      <c r="A661" s="431">
        <f t="shared" ref="A661:A724" si="11">A660+1</f>
        <v>655</v>
      </c>
      <c r="B661" s="592"/>
      <c r="C661" s="442" t="s">
        <v>1411</v>
      </c>
      <c r="D661" s="443"/>
      <c r="E661" s="444" t="s">
        <v>303</v>
      </c>
      <c r="F661" s="450">
        <v>197602</v>
      </c>
      <c r="G661" s="447"/>
      <c r="H661" s="447"/>
      <c r="I661" s="447"/>
      <c r="J661" s="447" t="s">
        <v>1678</v>
      </c>
      <c r="K661" s="447"/>
      <c r="L661" s="447"/>
      <c r="M661" s="447"/>
      <c r="N661" s="449"/>
    </row>
    <row r="662" spans="1:14" ht="29">
      <c r="A662" s="431">
        <f t="shared" si="11"/>
        <v>656</v>
      </c>
      <c r="B662" s="592"/>
      <c r="C662" s="442" t="s">
        <v>1413</v>
      </c>
      <c r="D662" s="443"/>
      <c r="E662" s="444" t="s">
        <v>303</v>
      </c>
      <c r="F662" s="450">
        <v>16044</v>
      </c>
      <c r="G662" s="447"/>
      <c r="H662" s="447"/>
      <c r="I662" s="447"/>
      <c r="J662" s="447" t="s">
        <v>1678</v>
      </c>
      <c r="K662" s="447"/>
      <c r="L662" s="447"/>
      <c r="M662" s="447"/>
      <c r="N662" s="449"/>
    </row>
    <row r="663" spans="1:14">
      <c r="A663" s="431">
        <f t="shared" si="11"/>
        <v>657</v>
      </c>
      <c r="B663" s="592"/>
      <c r="C663" s="442" t="s">
        <v>1417</v>
      </c>
      <c r="D663" s="443"/>
      <c r="E663" s="444" t="s">
        <v>303</v>
      </c>
      <c r="F663" s="450">
        <v>50349</v>
      </c>
      <c r="G663" s="447"/>
      <c r="H663" s="447"/>
      <c r="I663" s="447"/>
      <c r="J663" s="447" t="s">
        <v>1678</v>
      </c>
      <c r="K663" s="447"/>
      <c r="L663" s="447"/>
      <c r="M663" s="447"/>
      <c r="N663" s="449"/>
    </row>
    <row r="664" spans="1:14">
      <c r="A664" s="431">
        <f t="shared" si="11"/>
        <v>658</v>
      </c>
      <c r="B664" s="592"/>
      <c r="C664" s="442" t="s">
        <v>1419</v>
      </c>
      <c r="D664" s="443"/>
      <c r="E664" s="444" t="s">
        <v>303</v>
      </c>
      <c r="F664" s="450">
        <v>73810</v>
      </c>
      <c r="G664" s="447"/>
      <c r="H664" s="447"/>
      <c r="I664" s="447"/>
      <c r="J664" s="447" t="s">
        <v>1678</v>
      </c>
      <c r="K664" s="447"/>
      <c r="L664" s="447"/>
      <c r="M664" s="447"/>
      <c r="N664" s="449"/>
    </row>
    <row r="665" spans="1:14">
      <c r="A665" s="431">
        <f t="shared" si="11"/>
        <v>659</v>
      </c>
      <c r="B665" s="592"/>
      <c r="C665" s="442" t="s">
        <v>1010</v>
      </c>
      <c r="D665" s="443" t="s">
        <v>2258</v>
      </c>
      <c r="E665" s="444" t="s">
        <v>1723</v>
      </c>
      <c r="F665" s="450">
        <v>98534</v>
      </c>
      <c r="G665" s="447"/>
      <c r="H665" s="447"/>
      <c r="I665" s="447"/>
      <c r="J665" s="447" t="s">
        <v>1678</v>
      </c>
      <c r="K665" s="447"/>
      <c r="L665" s="447"/>
      <c r="M665" s="447"/>
      <c r="N665" s="449"/>
    </row>
    <row r="666" spans="1:14">
      <c r="A666" s="431">
        <f t="shared" si="11"/>
        <v>660</v>
      </c>
      <c r="B666" s="592"/>
      <c r="C666" s="442" t="s">
        <v>1421</v>
      </c>
      <c r="D666" s="443"/>
      <c r="E666" s="444" t="s">
        <v>1723</v>
      </c>
      <c r="F666" s="450">
        <v>593805</v>
      </c>
      <c r="G666" s="447"/>
      <c r="H666" s="447"/>
      <c r="I666" s="447"/>
      <c r="J666" s="447" t="s">
        <v>1678</v>
      </c>
      <c r="K666" s="447"/>
      <c r="L666" s="447"/>
      <c r="M666" s="447"/>
      <c r="N666" s="449"/>
    </row>
    <row r="667" spans="1:14">
      <c r="A667" s="431">
        <f t="shared" si="11"/>
        <v>661</v>
      </c>
      <c r="B667" s="592"/>
      <c r="C667" s="442" t="s">
        <v>1423</v>
      </c>
      <c r="D667" s="443"/>
      <c r="E667" s="444" t="s">
        <v>1723</v>
      </c>
      <c r="F667" s="450">
        <v>46350</v>
      </c>
      <c r="G667" s="447"/>
      <c r="H667" s="447"/>
      <c r="I667" s="447"/>
      <c r="J667" s="447" t="s">
        <v>1678</v>
      </c>
      <c r="K667" s="447"/>
      <c r="L667" s="447"/>
      <c r="M667" s="447"/>
      <c r="N667" s="449"/>
    </row>
    <row r="668" spans="1:14">
      <c r="A668" s="431">
        <f t="shared" si="11"/>
        <v>662</v>
      </c>
      <c r="B668" s="592"/>
      <c r="C668" s="442" t="s">
        <v>1425</v>
      </c>
      <c r="D668" s="443"/>
      <c r="E668" s="444" t="s">
        <v>303</v>
      </c>
      <c r="F668" s="450">
        <v>203657</v>
      </c>
      <c r="G668" s="447"/>
      <c r="H668" s="447"/>
      <c r="I668" s="447"/>
      <c r="J668" s="447" t="s">
        <v>1678</v>
      </c>
      <c r="K668" s="447"/>
      <c r="L668" s="447"/>
      <c r="M668" s="447"/>
      <c r="N668" s="449"/>
    </row>
    <row r="669" spans="1:14">
      <c r="A669" s="431">
        <f t="shared" si="11"/>
        <v>663</v>
      </c>
      <c r="B669" s="592"/>
      <c r="C669" s="442" t="s">
        <v>1016</v>
      </c>
      <c r="D669" s="443" t="s">
        <v>2269</v>
      </c>
      <c r="E669" s="444" t="s">
        <v>303</v>
      </c>
      <c r="F669" s="450">
        <v>10832</v>
      </c>
      <c r="G669" s="447"/>
      <c r="H669" s="447"/>
      <c r="I669" s="447"/>
      <c r="J669" s="447" t="s">
        <v>1678</v>
      </c>
      <c r="K669" s="447"/>
      <c r="L669" s="447"/>
      <c r="M669" s="447"/>
      <c r="N669" s="449"/>
    </row>
    <row r="670" spans="1:14">
      <c r="A670" s="431">
        <f t="shared" si="11"/>
        <v>664</v>
      </c>
      <c r="B670" s="592"/>
      <c r="C670" s="442" t="s">
        <v>1427</v>
      </c>
      <c r="D670" s="443"/>
      <c r="E670" s="444" t="s">
        <v>303</v>
      </c>
      <c r="F670" s="450">
        <v>119734</v>
      </c>
      <c r="G670" s="447"/>
      <c r="H670" s="447"/>
      <c r="I670" s="447"/>
      <c r="J670" s="447" t="s">
        <v>1678</v>
      </c>
      <c r="K670" s="447"/>
      <c r="L670" s="447"/>
      <c r="M670" s="447"/>
      <c r="N670" s="449"/>
    </row>
    <row r="671" spans="1:14">
      <c r="A671" s="431">
        <f t="shared" si="11"/>
        <v>665</v>
      </c>
      <c r="B671" s="592"/>
      <c r="C671" s="442" t="s">
        <v>1429</v>
      </c>
      <c r="D671" s="443"/>
      <c r="E671" s="444" t="s">
        <v>303</v>
      </c>
      <c r="F671" s="450">
        <v>98042</v>
      </c>
      <c r="G671" s="447"/>
      <c r="H671" s="447"/>
      <c r="I671" s="447"/>
      <c r="J671" s="447" t="s">
        <v>1678</v>
      </c>
      <c r="K671" s="447"/>
      <c r="L671" s="447"/>
      <c r="M671" s="447"/>
      <c r="N671" s="449"/>
    </row>
    <row r="672" spans="1:14">
      <c r="A672" s="431">
        <f t="shared" si="11"/>
        <v>666</v>
      </c>
      <c r="B672" s="592"/>
      <c r="C672" s="442" t="s">
        <v>1431</v>
      </c>
      <c r="D672" s="443" t="s">
        <v>2270</v>
      </c>
      <c r="E672" s="444" t="s">
        <v>1723</v>
      </c>
      <c r="F672" s="450">
        <v>22896</v>
      </c>
      <c r="G672" s="447"/>
      <c r="H672" s="447"/>
      <c r="I672" s="447"/>
      <c r="J672" s="447" t="s">
        <v>1678</v>
      </c>
      <c r="K672" s="447"/>
      <c r="L672" s="447"/>
      <c r="M672" s="447"/>
      <c r="N672" s="449"/>
    </row>
    <row r="673" spans="1:14">
      <c r="A673" s="431">
        <f t="shared" si="11"/>
        <v>667</v>
      </c>
      <c r="B673" s="592"/>
      <c r="C673" s="442" t="s">
        <v>1433</v>
      </c>
      <c r="D673" s="443"/>
      <c r="E673" s="444" t="s">
        <v>1723</v>
      </c>
      <c r="F673" s="450">
        <v>135796</v>
      </c>
      <c r="G673" s="447"/>
      <c r="H673" s="447"/>
      <c r="I673" s="447"/>
      <c r="J673" s="447" t="s">
        <v>1678</v>
      </c>
      <c r="K673" s="447"/>
      <c r="L673" s="447"/>
      <c r="M673" s="447"/>
      <c r="N673" s="449"/>
    </row>
    <row r="674" spans="1:14">
      <c r="A674" s="431">
        <f t="shared" si="11"/>
        <v>668</v>
      </c>
      <c r="B674" s="592"/>
      <c r="C674" s="442" t="s">
        <v>1435</v>
      </c>
      <c r="D674" s="443"/>
      <c r="E674" s="444" t="s">
        <v>1723</v>
      </c>
      <c r="F674" s="450">
        <v>44738</v>
      </c>
      <c r="G674" s="447"/>
      <c r="H674" s="447"/>
      <c r="I674" s="447"/>
      <c r="J674" s="447" t="s">
        <v>1678</v>
      </c>
      <c r="K674" s="447"/>
      <c r="L674" s="447"/>
      <c r="M674" s="447"/>
      <c r="N674" s="449"/>
    </row>
    <row r="675" spans="1:14">
      <c r="A675" s="431">
        <f t="shared" si="11"/>
        <v>669</v>
      </c>
      <c r="B675" s="592"/>
      <c r="C675" s="442" t="s">
        <v>1437</v>
      </c>
      <c r="D675" s="443"/>
      <c r="E675" s="444" t="s">
        <v>303</v>
      </c>
      <c r="F675" s="450">
        <v>155533</v>
      </c>
      <c r="G675" s="447"/>
      <c r="H675" s="447"/>
      <c r="I675" s="447"/>
      <c r="J675" s="447" t="s">
        <v>1678</v>
      </c>
      <c r="K675" s="447"/>
      <c r="L675" s="447"/>
      <c r="M675" s="447"/>
      <c r="N675" s="449"/>
    </row>
    <row r="676" spans="1:14">
      <c r="A676" s="431">
        <f t="shared" si="11"/>
        <v>670</v>
      </c>
      <c r="B676" s="592"/>
      <c r="C676" s="442" t="s">
        <v>1439</v>
      </c>
      <c r="D676" s="443"/>
      <c r="E676" s="444" t="s">
        <v>303</v>
      </c>
      <c r="F676" s="450">
        <v>141441</v>
      </c>
      <c r="G676" s="447"/>
      <c r="H676" s="447"/>
      <c r="I676" s="447"/>
      <c r="J676" s="447" t="s">
        <v>1678</v>
      </c>
      <c r="K676" s="447"/>
      <c r="L676" s="447"/>
      <c r="M676" s="447"/>
      <c r="N676" s="449"/>
    </row>
    <row r="677" spans="1:14">
      <c r="A677" s="431">
        <f t="shared" si="11"/>
        <v>671</v>
      </c>
      <c r="B677" s="592"/>
      <c r="C677" s="442" t="s">
        <v>1441</v>
      </c>
      <c r="D677" s="443"/>
      <c r="E677" s="444" t="s">
        <v>303</v>
      </c>
      <c r="F677" s="450">
        <v>502619</v>
      </c>
      <c r="G677" s="447"/>
      <c r="H677" s="447"/>
      <c r="I677" s="447"/>
      <c r="J677" s="447" t="s">
        <v>1678</v>
      </c>
      <c r="K677" s="447"/>
      <c r="L677" s="447"/>
      <c r="M677" s="447"/>
      <c r="N677" s="449"/>
    </row>
    <row r="678" spans="1:14">
      <c r="A678" s="431">
        <f t="shared" si="11"/>
        <v>672</v>
      </c>
      <c r="B678" s="592"/>
      <c r="C678" s="442" t="s">
        <v>1443</v>
      </c>
      <c r="D678" s="443"/>
      <c r="E678" s="444" t="s">
        <v>1723</v>
      </c>
      <c r="F678" s="450">
        <v>60705</v>
      </c>
      <c r="G678" s="447"/>
      <c r="H678" s="447"/>
      <c r="I678" s="447"/>
      <c r="J678" s="447" t="s">
        <v>1678</v>
      </c>
      <c r="K678" s="447"/>
      <c r="L678" s="447"/>
      <c r="M678" s="447"/>
      <c r="N678" s="449"/>
    </row>
    <row r="679" spans="1:14">
      <c r="A679" s="431">
        <f t="shared" si="11"/>
        <v>673</v>
      </c>
      <c r="B679" s="592"/>
      <c r="C679" s="442" t="s">
        <v>1445</v>
      </c>
      <c r="D679" s="443"/>
      <c r="E679" s="444" t="s">
        <v>303</v>
      </c>
      <c r="F679" s="450">
        <v>31609</v>
      </c>
      <c r="G679" s="447"/>
      <c r="H679" s="447"/>
      <c r="I679" s="447"/>
      <c r="J679" s="447" t="s">
        <v>1678</v>
      </c>
      <c r="K679" s="447"/>
      <c r="L679" s="447"/>
      <c r="M679" s="447"/>
      <c r="N679" s="449"/>
    </row>
    <row r="680" spans="1:14">
      <c r="A680" s="431">
        <f t="shared" si="11"/>
        <v>674</v>
      </c>
      <c r="B680" s="592"/>
      <c r="C680" s="442" t="s">
        <v>1447</v>
      </c>
      <c r="D680" s="443"/>
      <c r="E680" s="444" t="s">
        <v>303</v>
      </c>
      <c r="F680" s="450">
        <v>168896</v>
      </c>
      <c r="G680" s="447"/>
      <c r="H680" s="447"/>
      <c r="I680" s="447"/>
      <c r="J680" s="447" t="s">
        <v>1678</v>
      </c>
      <c r="K680" s="447"/>
      <c r="L680" s="447"/>
      <c r="M680" s="447"/>
      <c r="N680" s="449"/>
    </row>
    <row r="681" spans="1:14">
      <c r="A681" s="431">
        <f t="shared" si="11"/>
        <v>675</v>
      </c>
      <c r="B681" s="592"/>
      <c r="C681" s="442" t="s">
        <v>1449</v>
      </c>
      <c r="D681" s="443"/>
      <c r="E681" s="444" t="s">
        <v>303</v>
      </c>
      <c r="F681" s="450">
        <v>136058</v>
      </c>
      <c r="G681" s="447"/>
      <c r="H681" s="447"/>
      <c r="I681" s="447"/>
      <c r="J681" s="447" t="s">
        <v>1678</v>
      </c>
      <c r="K681" s="447"/>
      <c r="L681" s="447"/>
      <c r="M681" s="447"/>
      <c r="N681" s="449"/>
    </row>
    <row r="682" spans="1:14">
      <c r="A682" s="431">
        <f t="shared" si="11"/>
        <v>676</v>
      </c>
      <c r="B682" s="592"/>
      <c r="C682" s="442" t="s">
        <v>1451</v>
      </c>
      <c r="D682" s="443"/>
      <c r="E682" s="444" t="s">
        <v>303</v>
      </c>
      <c r="F682" s="450">
        <v>255683</v>
      </c>
      <c r="G682" s="447"/>
      <c r="H682" s="447"/>
      <c r="I682" s="447"/>
      <c r="J682" s="447" t="s">
        <v>1678</v>
      </c>
      <c r="K682" s="447"/>
      <c r="L682" s="447"/>
      <c r="M682" s="447"/>
      <c r="N682" s="449"/>
    </row>
    <row r="683" spans="1:14">
      <c r="A683" s="431">
        <f t="shared" si="11"/>
        <v>677</v>
      </c>
      <c r="B683" s="592"/>
      <c r="C683" s="442" t="s">
        <v>1453</v>
      </c>
      <c r="D683" s="443"/>
      <c r="E683" s="444" t="s">
        <v>1723</v>
      </c>
      <c r="F683" s="450">
        <v>317560</v>
      </c>
      <c r="G683" s="447"/>
      <c r="H683" s="447"/>
      <c r="I683" s="447"/>
      <c r="J683" s="447" t="s">
        <v>1678</v>
      </c>
      <c r="K683" s="447"/>
      <c r="L683" s="447"/>
      <c r="M683" s="447"/>
      <c r="N683" s="449"/>
    </row>
    <row r="684" spans="1:14">
      <c r="A684" s="431">
        <f t="shared" si="11"/>
        <v>678</v>
      </c>
      <c r="B684" s="592"/>
      <c r="C684" s="442" t="s">
        <v>1455</v>
      </c>
      <c r="D684" s="443"/>
      <c r="E684" s="444" t="s">
        <v>303</v>
      </c>
      <c r="F684" s="450">
        <v>515637</v>
      </c>
      <c r="G684" s="447"/>
      <c r="H684" s="447"/>
      <c r="I684" s="447"/>
      <c r="J684" s="447" t="s">
        <v>1678</v>
      </c>
      <c r="K684" s="447"/>
      <c r="L684" s="447"/>
      <c r="M684" s="447"/>
      <c r="N684" s="449"/>
    </row>
    <row r="685" spans="1:14">
      <c r="A685" s="431">
        <f t="shared" si="11"/>
        <v>679</v>
      </c>
      <c r="B685" s="592"/>
      <c r="C685" s="442" t="s">
        <v>1457</v>
      </c>
      <c r="D685" s="443"/>
      <c r="E685" s="444" t="s">
        <v>303</v>
      </c>
      <c r="F685" s="450">
        <v>431481</v>
      </c>
      <c r="G685" s="447"/>
      <c r="H685" s="447"/>
      <c r="I685" s="447"/>
      <c r="J685" s="447" t="s">
        <v>1678</v>
      </c>
      <c r="K685" s="447"/>
      <c r="L685" s="447"/>
      <c r="M685" s="447"/>
      <c r="N685" s="449"/>
    </row>
    <row r="686" spans="1:14">
      <c r="A686" s="431">
        <f t="shared" si="11"/>
        <v>680</v>
      </c>
      <c r="B686" s="592"/>
      <c r="C686" s="442" t="s">
        <v>1459</v>
      </c>
      <c r="D686" s="443"/>
      <c r="E686" s="444" t="s">
        <v>303</v>
      </c>
      <c r="F686" s="450">
        <v>32611</v>
      </c>
      <c r="G686" s="447"/>
      <c r="H686" s="447"/>
      <c r="I686" s="447"/>
      <c r="J686" s="447" t="s">
        <v>1678</v>
      </c>
      <c r="K686" s="447"/>
      <c r="L686" s="447"/>
      <c r="M686" s="447"/>
      <c r="N686" s="449"/>
    </row>
    <row r="687" spans="1:14">
      <c r="A687" s="431">
        <f t="shared" si="11"/>
        <v>681</v>
      </c>
      <c r="B687" s="592"/>
      <c r="C687" s="442" t="s">
        <v>1461</v>
      </c>
      <c r="D687" s="443"/>
      <c r="E687" s="444" t="s">
        <v>303</v>
      </c>
      <c r="F687" s="450">
        <v>53232</v>
      </c>
      <c r="G687" s="447"/>
      <c r="H687" s="447"/>
      <c r="I687" s="447"/>
      <c r="J687" s="447" t="s">
        <v>1678</v>
      </c>
      <c r="K687" s="447"/>
      <c r="L687" s="447"/>
      <c r="M687" s="447"/>
      <c r="N687" s="449"/>
    </row>
    <row r="688" spans="1:14" ht="29">
      <c r="A688" s="431">
        <f t="shared" si="11"/>
        <v>682</v>
      </c>
      <c r="B688" s="592"/>
      <c r="C688" s="442" t="s">
        <v>1463</v>
      </c>
      <c r="D688" s="443"/>
      <c r="E688" s="444" t="s">
        <v>303</v>
      </c>
      <c r="F688" s="450">
        <v>228663</v>
      </c>
      <c r="G688" s="447"/>
      <c r="H688" s="447"/>
      <c r="I688" s="447"/>
      <c r="J688" s="447" t="s">
        <v>1678</v>
      </c>
      <c r="K688" s="447"/>
      <c r="L688" s="447"/>
      <c r="M688" s="447"/>
      <c r="N688" s="449"/>
    </row>
    <row r="689" spans="1:14" ht="16.5" customHeight="1">
      <c r="A689" s="431">
        <f t="shared" si="11"/>
        <v>683</v>
      </c>
      <c r="B689" s="592"/>
      <c r="C689" s="442" t="s">
        <v>1465</v>
      </c>
      <c r="D689" s="443"/>
      <c r="E689" s="444" t="s">
        <v>303</v>
      </c>
      <c r="F689" s="450">
        <v>36678</v>
      </c>
      <c r="G689" s="447"/>
      <c r="H689" s="447"/>
      <c r="I689" s="447"/>
      <c r="J689" s="447" t="s">
        <v>1678</v>
      </c>
      <c r="K689" s="447"/>
      <c r="L689" s="447"/>
      <c r="M689" s="447"/>
      <c r="N689" s="449"/>
    </row>
    <row r="690" spans="1:14">
      <c r="A690" s="431">
        <f t="shared" si="11"/>
        <v>684</v>
      </c>
      <c r="B690" s="592"/>
      <c r="C690" s="442" t="s">
        <v>1467</v>
      </c>
      <c r="D690" s="443"/>
      <c r="E690" s="444" t="s">
        <v>303</v>
      </c>
      <c r="F690" s="450">
        <v>125517</v>
      </c>
      <c r="G690" s="447"/>
      <c r="H690" s="447"/>
      <c r="I690" s="447"/>
      <c r="J690" s="447" t="s">
        <v>1678</v>
      </c>
      <c r="K690" s="447"/>
      <c r="L690" s="447"/>
      <c r="M690" s="447"/>
      <c r="N690" s="449"/>
    </row>
    <row r="691" spans="1:14">
      <c r="A691" s="431">
        <f t="shared" si="11"/>
        <v>685</v>
      </c>
      <c r="B691" s="592"/>
      <c r="C691" s="442" t="s">
        <v>1032</v>
      </c>
      <c r="D691" s="443" t="s">
        <v>2271</v>
      </c>
      <c r="E691" s="444" t="s">
        <v>303</v>
      </c>
      <c r="F691" s="450">
        <v>29969</v>
      </c>
      <c r="G691" s="447"/>
      <c r="H691" s="447"/>
      <c r="I691" s="447"/>
      <c r="J691" s="447" t="s">
        <v>1678</v>
      </c>
      <c r="K691" s="447"/>
      <c r="L691" s="447"/>
      <c r="M691" s="447"/>
      <c r="N691" s="449"/>
    </row>
    <row r="692" spans="1:14">
      <c r="A692" s="431">
        <f t="shared" si="11"/>
        <v>686</v>
      </c>
      <c r="B692" s="592"/>
      <c r="C692" s="442" t="s">
        <v>1034</v>
      </c>
      <c r="D692" s="443" t="s">
        <v>2258</v>
      </c>
      <c r="E692" s="444" t="s">
        <v>1723</v>
      </c>
      <c r="F692" s="450">
        <v>340848</v>
      </c>
      <c r="G692" s="447"/>
      <c r="H692" s="447"/>
      <c r="I692" s="447"/>
      <c r="J692" s="447" t="s">
        <v>1678</v>
      </c>
      <c r="K692" s="447"/>
      <c r="L692" s="447"/>
      <c r="M692" s="447"/>
      <c r="N692" s="449"/>
    </row>
    <row r="693" spans="1:14">
      <c r="A693" s="431">
        <f t="shared" si="11"/>
        <v>687</v>
      </c>
      <c r="B693" s="592"/>
      <c r="C693" s="442" t="s">
        <v>1469</v>
      </c>
      <c r="D693" s="443"/>
      <c r="E693" s="444" t="s">
        <v>1723</v>
      </c>
      <c r="F693" s="450">
        <v>534098</v>
      </c>
      <c r="G693" s="447"/>
      <c r="H693" s="447"/>
      <c r="I693" s="447"/>
      <c r="J693" s="447" t="s">
        <v>1678</v>
      </c>
      <c r="K693" s="447"/>
      <c r="L693" s="447"/>
      <c r="M693" s="447"/>
      <c r="N693" s="449"/>
    </row>
    <row r="694" spans="1:14">
      <c r="A694" s="431">
        <f t="shared" si="11"/>
        <v>688</v>
      </c>
      <c r="B694" s="592" t="s">
        <v>1035</v>
      </c>
      <c r="C694" s="442" t="s">
        <v>2272</v>
      </c>
      <c r="D694" s="443" t="s">
        <v>2273</v>
      </c>
      <c r="E694" s="444" t="s">
        <v>303</v>
      </c>
      <c r="F694" s="450">
        <v>19476</v>
      </c>
      <c r="G694" s="447"/>
      <c r="H694" s="447"/>
      <c r="I694" s="447"/>
      <c r="J694" s="447" t="s">
        <v>1678</v>
      </c>
      <c r="K694" s="447"/>
      <c r="L694" s="447"/>
      <c r="M694" s="447"/>
      <c r="N694" s="449"/>
    </row>
    <row r="695" spans="1:14">
      <c r="A695" s="431">
        <f t="shared" si="11"/>
        <v>689</v>
      </c>
      <c r="B695" s="592"/>
      <c r="C695" s="442" t="s">
        <v>1471</v>
      </c>
      <c r="D695" s="443"/>
      <c r="E695" s="444" t="s">
        <v>303</v>
      </c>
      <c r="F695" s="450">
        <v>47088</v>
      </c>
      <c r="G695" s="447"/>
      <c r="H695" s="447"/>
      <c r="I695" s="447"/>
      <c r="J695" s="447" t="s">
        <v>1678</v>
      </c>
      <c r="K695" s="447"/>
      <c r="L695" s="447"/>
      <c r="M695" s="447"/>
      <c r="N695" s="449"/>
    </row>
    <row r="696" spans="1:14">
      <c r="A696" s="431">
        <f t="shared" si="11"/>
        <v>690</v>
      </c>
      <c r="B696" s="592"/>
      <c r="C696" s="442" t="s">
        <v>1473</v>
      </c>
      <c r="D696" s="443"/>
      <c r="E696" s="444" t="s">
        <v>303</v>
      </c>
      <c r="F696" s="450">
        <v>116254</v>
      </c>
      <c r="G696" s="447"/>
      <c r="H696" s="447"/>
      <c r="I696" s="447"/>
      <c r="J696" s="447" t="s">
        <v>1678</v>
      </c>
      <c r="K696" s="447"/>
      <c r="L696" s="447"/>
      <c r="M696" s="447"/>
      <c r="N696" s="449"/>
    </row>
    <row r="697" spans="1:14">
      <c r="A697" s="431">
        <f t="shared" si="11"/>
        <v>691</v>
      </c>
      <c r="B697" s="592"/>
      <c r="C697" s="442" t="s">
        <v>1475</v>
      </c>
      <c r="D697" s="443"/>
      <c r="E697" s="444" t="s">
        <v>303</v>
      </c>
      <c r="F697" s="450">
        <v>202330</v>
      </c>
      <c r="G697" s="447"/>
      <c r="H697" s="447"/>
      <c r="I697" s="447"/>
      <c r="J697" s="447" t="s">
        <v>1678</v>
      </c>
      <c r="K697" s="447"/>
      <c r="L697" s="447"/>
      <c r="M697" s="447"/>
      <c r="N697" s="449"/>
    </row>
    <row r="698" spans="1:14">
      <c r="A698" s="431">
        <f t="shared" si="11"/>
        <v>692</v>
      </c>
      <c r="B698" s="592"/>
      <c r="C698" s="442" t="s">
        <v>1477</v>
      </c>
      <c r="D698" s="443"/>
      <c r="E698" s="444" t="s">
        <v>303</v>
      </c>
      <c r="F698" s="450">
        <v>132289</v>
      </c>
      <c r="G698" s="447"/>
      <c r="H698" s="447"/>
      <c r="I698" s="447"/>
      <c r="J698" s="447" t="s">
        <v>1678</v>
      </c>
      <c r="K698" s="447"/>
      <c r="L698" s="447"/>
      <c r="M698" s="447"/>
      <c r="N698" s="449"/>
    </row>
    <row r="699" spans="1:14">
      <c r="A699" s="431">
        <f t="shared" si="11"/>
        <v>693</v>
      </c>
      <c r="B699" s="592"/>
      <c r="C699" s="442" t="s">
        <v>1479</v>
      </c>
      <c r="D699" s="443"/>
      <c r="E699" s="444" t="s">
        <v>303</v>
      </c>
      <c r="F699" s="450">
        <v>347511</v>
      </c>
      <c r="G699" s="447"/>
      <c r="H699" s="447"/>
      <c r="I699" s="447"/>
      <c r="J699" s="447" t="s">
        <v>1678</v>
      </c>
      <c r="K699" s="447"/>
      <c r="L699" s="447"/>
      <c r="M699" s="447"/>
      <c r="N699" s="449"/>
    </row>
    <row r="700" spans="1:14">
      <c r="A700" s="431">
        <f t="shared" si="11"/>
        <v>694</v>
      </c>
      <c r="B700" s="592"/>
      <c r="C700" s="442" t="s">
        <v>2274</v>
      </c>
      <c r="D700" s="443"/>
      <c r="E700" s="444" t="s">
        <v>303</v>
      </c>
      <c r="F700" s="450">
        <v>205485</v>
      </c>
      <c r="G700" s="447"/>
      <c r="H700" s="447"/>
      <c r="I700" s="447"/>
      <c r="J700" s="447" t="s">
        <v>1678</v>
      </c>
      <c r="K700" s="447"/>
      <c r="L700" s="447"/>
      <c r="M700" s="447"/>
      <c r="N700" s="449"/>
    </row>
    <row r="701" spans="1:14">
      <c r="A701" s="431">
        <f t="shared" si="11"/>
        <v>695</v>
      </c>
      <c r="B701" s="592"/>
      <c r="C701" s="442" t="s">
        <v>1481</v>
      </c>
      <c r="D701" s="443"/>
      <c r="E701" s="444" t="s">
        <v>303</v>
      </c>
      <c r="F701" s="450">
        <v>86970</v>
      </c>
      <c r="G701" s="447"/>
      <c r="H701" s="447"/>
      <c r="I701" s="447"/>
      <c r="J701" s="447" t="s">
        <v>1678</v>
      </c>
      <c r="K701" s="447"/>
      <c r="L701" s="447"/>
      <c r="M701" s="447"/>
      <c r="N701" s="449"/>
    </row>
    <row r="702" spans="1:14">
      <c r="A702" s="431">
        <f t="shared" si="11"/>
        <v>696</v>
      </c>
      <c r="B702" s="592"/>
      <c r="C702" s="442" t="s">
        <v>1483</v>
      </c>
      <c r="D702" s="443"/>
      <c r="E702" s="444" t="s">
        <v>303</v>
      </c>
      <c r="F702" s="450">
        <v>169157</v>
      </c>
      <c r="G702" s="447"/>
      <c r="H702" s="447"/>
      <c r="I702" s="447"/>
      <c r="J702" s="447" t="s">
        <v>1678</v>
      </c>
      <c r="K702" s="447"/>
      <c r="L702" s="447"/>
      <c r="M702" s="447"/>
      <c r="N702" s="449"/>
    </row>
    <row r="703" spans="1:14" ht="29">
      <c r="A703" s="431">
        <f t="shared" si="11"/>
        <v>697</v>
      </c>
      <c r="B703" s="592"/>
      <c r="C703" s="442" t="s">
        <v>1485</v>
      </c>
      <c r="D703" s="443"/>
      <c r="E703" s="444" t="s">
        <v>303</v>
      </c>
      <c r="F703" s="450">
        <v>86281</v>
      </c>
      <c r="G703" s="447"/>
      <c r="H703" s="447"/>
      <c r="I703" s="447"/>
      <c r="J703" s="447" t="s">
        <v>1678</v>
      </c>
      <c r="K703" s="447"/>
      <c r="L703" s="447"/>
      <c r="M703" s="447"/>
      <c r="N703" s="449"/>
    </row>
    <row r="704" spans="1:14">
      <c r="A704" s="431">
        <f t="shared" si="11"/>
        <v>698</v>
      </c>
      <c r="B704" s="592"/>
      <c r="C704" s="442" t="s">
        <v>1487</v>
      </c>
      <c r="D704" s="443"/>
      <c r="E704" s="444" t="s">
        <v>303</v>
      </c>
      <c r="F704" s="450">
        <v>145547</v>
      </c>
      <c r="G704" s="447"/>
      <c r="H704" s="447"/>
      <c r="I704" s="447"/>
      <c r="J704" s="447" t="s">
        <v>1678</v>
      </c>
      <c r="K704" s="447"/>
      <c r="L704" s="447"/>
      <c r="M704" s="447"/>
      <c r="N704" s="449"/>
    </row>
    <row r="705" spans="1:14">
      <c r="A705" s="431">
        <f t="shared" si="11"/>
        <v>699</v>
      </c>
      <c r="B705" s="592"/>
      <c r="C705" s="442" t="s">
        <v>1489</v>
      </c>
      <c r="D705" s="443"/>
      <c r="E705" s="444" t="s">
        <v>303</v>
      </c>
      <c r="F705" s="450">
        <v>388794</v>
      </c>
      <c r="G705" s="447"/>
      <c r="H705" s="447"/>
      <c r="I705" s="447"/>
      <c r="J705" s="447" t="s">
        <v>1678</v>
      </c>
      <c r="K705" s="447"/>
      <c r="L705" s="447"/>
      <c r="M705" s="447"/>
      <c r="N705" s="449"/>
    </row>
    <row r="706" spans="1:14">
      <c r="A706" s="431">
        <f t="shared" si="11"/>
        <v>700</v>
      </c>
      <c r="B706" s="592"/>
      <c r="C706" s="442" t="s">
        <v>1491</v>
      </c>
      <c r="D706" s="443"/>
      <c r="E706" s="444" t="s">
        <v>303</v>
      </c>
      <c r="F706" s="450">
        <v>247341</v>
      </c>
      <c r="G706" s="447"/>
      <c r="H706" s="447"/>
      <c r="I706" s="447"/>
      <c r="J706" s="447" t="s">
        <v>1678</v>
      </c>
      <c r="K706" s="447"/>
      <c r="L706" s="447"/>
      <c r="M706" s="447"/>
      <c r="N706" s="449"/>
    </row>
    <row r="707" spans="1:14">
      <c r="A707" s="431">
        <f t="shared" si="11"/>
        <v>701</v>
      </c>
      <c r="B707" s="592"/>
      <c r="C707" s="442" t="s">
        <v>1493</v>
      </c>
      <c r="D707" s="443"/>
      <c r="E707" s="444" t="s">
        <v>303</v>
      </c>
      <c r="F707" s="450">
        <v>29362</v>
      </c>
      <c r="G707" s="447"/>
      <c r="H707" s="447"/>
      <c r="I707" s="447"/>
      <c r="J707" s="447" t="s">
        <v>1678</v>
      </c>
      <c r="K707" s="447"/>
      <c r="L707" s="447"/>
      <c r="M707" s="447"/>
      <c r="N707" s="449"/>
    </row>
    <row r="708" spans="1:14">
      <c r="A708" s="431">
        <f t="shared" si="11"/>
        <v>702</v>
      </c>
      <c r="B708" s="592"/>
      <c r="C708" s="442" t="s">
        <v>1495</v>
      </c>
      <c r="D708" s="443"/>
      <c r="E708" s="444" t="s">
        <v>303</v>
      </c>
      <c r="F708" s="450">
        <v>11064</v>
      </c>
      <c r="G708" s="447"/>
      <c r="H708" s="447"/>
      <c r="I708" s="447"/>
      <c r="J708" s="447" t="s">
        <v>1678</v>
      </c>
      <c r="K708" s="447"/>
      <c r="L708" s="447"/>
      <c r="M708" s="447"/>
      <c r="N708" s="449"/>
    </row>
    <row r="709" spans="1:14" ht="29">
      <c r="A709" s="431">
        <f t="shared" si="11"/>
        <v>703</v>
      </c>
      <c r="B709" s="592"/>
      <c r="C709" s="442" t="s">
        <v>1497</v>
      </c>
      <c r="D709" s="443"/>
      <c r="E709" s="444" t="s">
        <v>303</v>
      </c>
      <c r="F709" s="450">
        <v>5170</v>
      </c>
      <c r="G709" s="447"/>
      <c r="H709" s="447"/>
      <c r="I709" s="447"/>
      <c r="J709" s="447" t="s">
        <v>1678</v>
      </c>
      <c r="K709" s="447"/>
      <c r="L709" s="447"/>
      <c r="M709" s="447"/>
      <c r="N709" s="449"/>
    </row>
    <row r="710" spans="1:14">
      <c r="A710" s="431">
        <f t="shared" si="11"/>
        <v>704</v>
      </c>
      <c r="B710" s="592"/>
      <c r="C710" s="442" t="s">
        <v>1499</v>
      </c>
      <c r="D710" s="443"/>
      <c r="E710" s="444" t="s">
        <v>303</v>
      </c>
      <c r="F710" s="450">
        <v>1107</v>
      </c>
      <c r="G710" s="447"/>
      <c r="H710" s="447"/>
      <c r="I710" s="447"/>
      <c r="J710" s="447" t="s">
        <v>1678</v>
      </c>
      <c r="K710" s="447"/>
      <c r="L710" s="447"/>
      <c r="M710" s="447"/>
      <c r="N710" s="449"/>
    </row>
    <row r="711" spans="1:14">
      <c r="A711" s="431">
        <f t="shared" si="11"/>
        <v>705</v>
      </c>
      <c r="B711" s="592"/>
      <c r="C711" s="442" t="s">
        <v>1501</v>
      </c>
      <c r="D711" s="443"/>
      <c r="E711" s="444" t="s">
        <v>303</v>
      </c>
      <c r="F711" s="450">
        <v>71992</v>
      </c>
      <c r="G711" s="447"/>
      <c r="H711" s="447"/>
      <c r="I711" s="447"/>
      <c r="J711" s="447" t="s">
        <v>1678</v>
      </c>
      <c r="K711" s="447"/>
      <c r="L711" s="447"/>
      <c r="M711" s="447"/>
      <c r="N711" s="449"/>
    </row>
    <row r="712" spans="1:14">
      <c r="A712" s="431">
        <f t="shared" si="11"/>
        <v>706</v>
      </c>
      <c r="B712" s="592"/>
      <c r="C712" s="442" t="s">
        <v>1503</v>
      </c>
      <c r="D712" s="443"/>
      <c r="E712" s="444" t="s">
        <v>303</v>
      </c>
      <c r="F712" s="450">
        <v>56410</v>
      </c>
      <c r="G712" s="447"/>
      <c r="H712" s="447"/>
      <c r="I712" s="447"/>
      <c r="J712" s="447" t="s">
        <v>1678</v>
      </c>
      <c r="K712" s="447"/>
      <c r="L712" s="447"/>
      <c r="M712" s="447"/>
      <c r="N712" s="449"/>
    </row>
    <row r="713" spans="1:14">
      <c r="A713" s="431">
        <f t="shared" si="11"/>
        <v>707</v>
      </c>
      <c r="B713" s="592"/>
      <c r="C713" s="442" t="s">
        <v>1505</v>
      </c>
      <c r="D713" s="443"/>
      <c r="E713" s="444" t="s">
        <v>303</v>
      </c>
      <c r="F713" s="450">
        <v>356893</v>
      </c>
      <c r="G713" s="447"/>
      <c r="H713" s="447"/>
      <c r="I713" s="447"/>
      <c r="J713" s="447" t="s">
        <v>1678</v>
      </c>
      <c r="K713" s="447"/>
      <c r="L713" s="447"/>
      <c r="M713" s="447"/>
      <c r="N713" s="449"/>
    </row>
    <row r="714" spans="1:14">
      <c r="A714" s="431">
        <f t="shared" si="11"/>
        <v>708</v>
      </c>
      <c r="B714" s="592"/>
      <c r="C714" s="442" t="s">
        <v>1509</v>
      </c>
      <c r="D714" s="443"/>
      <c r="E714" s="444" t="s">
        <v>1723</v>
      </c>
      <c r="F714" s="450">
        <v>126322</v>
      </c>
      <c r="G714" s="447"/>
      <c r="H714" s="447"/>
      <c r="I714" s="447"/>
      <c r="J714" s="447" t="s">
        <v>1678</v>
      </c>
      <c r="K714" s="447"/>
      <c r="L714" s="447"/>
      <c r="M714" s="447"/>
      <c r="N714" s="449"/>
    </row>
    <row r="715" spans="1:14">
      <c r="A715" s="431">
        <f t="shared" si="11"/>
        <v>709</v>
      </c>
      <c r="B715" s="592"/>
      <c r="C715" s="442" t="s">
        <v>1511</v>
      </c>
      <c r="D715" s="443" t="s">
        <v>2275</v>
      </c>
      <c r="E715" s="444" t="s">
        <v>303</v>
      </c>
      <c r="F715" s="450">
        <v>3758</v>
      </c>
      <c r="G715" s="447"/>
      <c r="H715" s="447"/>
      <c r="I715" s="447"/>
      <c r="J715" s="447" t="s">
        <v>1678</v>
      </c>
      <c r="K715" s="447"/>
      <c r="L715" s="447"/>
      <c r="M715" s="447"/>
      <c r="N715" s="449"/>
    </row>
    <row r="716" spans="1:14">
      <c r="A716" s="431">
        <f t="shared" si="11"/>
        <v>710</v>
      </c>
      <c r="B716" s="592"/>
      <c r="C716" s="442" t="s">
        <v>1513</v>
      </c>
      <c r="D716" s="443"/>
      <c r="E716" s="444" t="s">
        <v>303</v>
      </c>
      <c r="F716" s="450">
        <v>18343</v>
      </c>
      <c r="G716" s="447"/>
      <c r="H716" s="447"/>
      <c r="I716" s="447"/>
      <c r="J716" s="447" t="s">
        <v>1678</v>
      </c>
      <c r="K716" s="447"/>
      <c r="L716" s="447"/>
      <c r="M716" s="447"/>
      <c r="N716" s="449"/>
    </row>
    <row r="717" spans="1:14">
      <c r="A717" s="431">
        <f t="shared" si="11"/>
        <v>711</v>
      </c>
      <c r="B717" s="592"/>
      <c r="C717" s="442" t="s">
        <v>1515</v>
      </c>
      <c r="D717" s="443"/>
      <c r="E717" s="444" t="s">
        <v>303</v>
      </c>
      <c r="F717" s="450">
        <v>173825</v>
      </c>
      <c r="G717" s="447"/>
      <c r="H717" s="447"/>
      <c r="I717" s="447"/>
      <c r="J717" s="447" t="s">
        <v>1678</v>
      </c>
      <c r="K717" s="447"/>
      <c r="L717" s="447"/>
      <c r="M717" s="447"/>
      <c r="N717" s="449"/>
    </row>
    <row r="718" spans="1:14">
      <c r="A718" s="431">
        <f t="shared" si="11"/>
        <v>712</v>
      </c>
      <c r="B718" s="592"/>
      <c r="C718" s="442" t="s">
        <v>1517</v>
      </c>
      <c r="D718" s="443"/>
      <c r="E718" s="444" t="s">
        <v>303</v>
      </c>
      <c r="F718" s="450">
        <v>229379</v>
      </c>
      <c r="G718" s="447"/>
      <c r="H718" s="447"/>
      <c r="I718" s="447"/>
      <c r="J718" s="447" t="s">
        <v>1678</v>
      </c>
      <c r="K718" s="447"/>
      <c r="L718" s="447"/>
      <c r="M718" s="447"/>
      <c r="N718" s="449"/>
    </row>
    <row r="719" spans="1:14">
      <c r="A719" s="431">
        <f t="shared" si="11"/>
        <v>713</v>
      </c>
      <c r="B719" s="592"/>
      <c r="C719" s="442" t="s">
        <v>1519</v>
      </c>
      <c r="D719" s="443"/>
      <c r="E719" s="444" t="s">
        <v>1723</v>
      </c>
      <c r="F719" s="450">
        <v>108824</v>
      </c>
      <c r="G719" s="447"/>
      <c r="H719" s="447"/>
      <c r="I719" s="447"/>
      <c r="J719" s="447" t="s">
        <v>1678</v>
      </c>
      <c r="K719" s="447"/>
      <c r="L719" s="447"/>
      <c r="M719" s="447"/>
      <c r="N719" s="449"/>
    </row>
    <row r="720" spans="1:14" ht="29">
      <c r="A720" s="431">
        <f t="shared" si="11"/>
        <v>714</v>
      </c>
      <c r="B720" s="592"/>
      <c r="C720" s="442" t="s">
        <v>1521</v>
      </c>
      <c r="D720" s="443"/>
      <c r="E720" s="444" t="s">
        <v>1723</v>
      </c>
      <c r="F720" s="450">
        <v>111897</v>
      </c>
      <c r="G720" s="447"/>
      <c r="H720" s="447"/>
      <c r="I720" s="447"/>
      <c r="J720" s="447" t="s">
        <v>1678</v>
      </c>
      <c r="K720" s="447"/>
      <c r="L720" s="447"/>
      <c r="M720" s="447"/>
      <c r="N720" s="449"/>
    </row>
    <row r="721" spans="1:14" ht="29">
      <c r="A721" s="431">
        <f t="shared" si="11"/>
        <v>715</v>
      </c>
      <c r="B721" s="592"/>
      <c r="C721" s="442" t="s">
        <v>1523</v>
      </c>
      <c r="D721" s="443"/>
      <c r="E721" s="444" t="s">
        <v>1723</v>
      </c>
      <c r="F721" s="450">
        <v>280406</v>
      </c>
      <c r="G721" s="447"/>
      <c r="H721" s="447"/>
      <c r="I721" s="447"/>
      <c r="J721" s="447" t="s">
        <v>1678</v>
      </c>
      <c r="K721" s="447"/>
      <c r="L721" s="447"/>
      <c r="M721" s="447"/>
      <c r="N721" s="449"/>
    </row>
    <row r="722" spans="1:14">
      <c r="A722" s="431">
        <f t="shared" si="11"/>
        <v>716</v>
      </c>
      <c r="B722" s="592"/>
      <c r="C722" s="442" t="s">
        <v>1525</v>
      </c>
      <c r="D722" s="443"/>
      <c r="E722" s="444" t="s">
        <v>303</v>
      </c>
      <c r="F722" s="450">
        <v>152681</v>
      </c>
      <c r="G722" s="447"/>
      <c r="H722" s="447"/>
      <c r="I722" s="447"/>
      <c r="J722" s="447" t="s">
        <v>1678</v>
      </c>
      <c r="K722" s="447"/>
      <c r="L722" s="447"/>
      <c r="M722" s="447"/>
      <c r="N722" s="449"/>
    </row>
    <row r="723" spans="1:14">
      <c r="A723" s="431">
        <f t="shared" si="11"/>
        <v>717</v>
      </c>
      <c r="B723" s="592"/>
      <c r="C723" s="442" t="s">
        <v>1527</v>
      </c>
      <c r="D723" s="443"/>
      <c r="E723" s="444" t="s">
        <v>303</v>
      </c>
      <c r="F723" s="450">
        <v>116342</v>
      </c>
      <c r="G723" s="447"/>
      <c r="H723" s="447"/>
      <c r="I723" s="447"/>
      <c r="J723" s="447" t="s">
        <v>1678</v>
      </c>
      <c r="K723" s="447"/>
      <c r="L723" s="447"/>
      <c r="M723" s="447"/>
      <c r="N723" s="449"/>
    </row>
    <row r="724" spans="1:14">
      <c r="A724" s="431">
        <f t="shared" si="11"/>
        <v>718</v>
      </c>
      <c r="B724" s="592"/>
      <c r="C724" s="442" t="s">
        <v>1529</v>
      </c>
      <c r="D724" s="443"/>
      <c r="E724" s="444" t="s">
        <v>303</v>
      </c>
      <c r="F724" s="450">
        <v>186136</v>
      </c>
      <c r="G724" s="447"/>
      <c r="H724" s="447"/>
      <c r="I724" s="447"/>
      <c r="J724" s="447" t="s">
        <v>1678</v>
      </c>
      <c r="K724" s="447"/>
      <c r="L724" s="447"/>
      <c r="M724" s="447"/>
      <c r="N724" s="449"/>
    </row>
    <row r="725" spans="1:14">
      <c r="A725" s="431">
        <f t="shared" ref="A725:A788" si="12">A724+1</f>
        <v>719</v>
      </c>
      <c r="B725" s="592"/>
      <c r="C725" s="442" t="s">
        <v>1531</v>
      </c>
      <c r="D725" s="443"/>
      <c r="E725" s="444" t="s">
        <v>303</v>
      </c>
      <c r="F725" s="450">
        <v>261631</v>
      </c>
      <c r="G725" s="447"/>
      <c r="H725" s="447"/>
      <c r="I725" s="447"/>
      <c r="J725" s="447" t="s">
        <v>1678</v>
      </c>
      <c r="K725" s="447"/>
      <c r="L725" s="447"/>
      <c r="M725" s="447"/>
      <c r="N725" s="449"/>
    </row>
    <row r="726" spans="1:14">
      <c r="A726" s="431">
        <f t="shared" si="12"/>
        <v>720</v>
      </c>
      <c r="B726" s="592"/>
      <c r="C726" s="442" t="s">
        <v>1533</v>
      </c>
      <c r="D726" s="443"/>
      <c r="E726" s="444" t="s">
        <v>1723</v>
      </c>
      <c r="F726" s="450">
        <v>832</v>
      </c>
      <c r="G726" s="447"/>
      <c r="H726" s="447"/>
      <c r="I726" s="447"/>
      <c r="J726" s="447" t="s">
        <v>1678</v>
      </c>
      <c r="K726" s="447"/>
      <c r="L726" s="447"/>
      <c r="M726" s="447"/>
      <c r="N726" s="449"/>
    </row>
    <row r="727" spans="1:14">
      <c r="A727" s="431">
        <f t="shared" si="12"/>
        <v>721</v>
      </c>
      <c r="B727" s="592" t="s">
        <v>1089</v>
      </c>
      <c r="C727" s="442" t="s">
        <v>2276</v>
      </c>
      <c r="D727" s="443" t="s">
        <v>2277</v>
      </c>
      <c r="E727" s="444" t="s">
        <v>303</v>
      </c>
      <c r="F727" s="450">
        <v>74403</v>
      </c>
      <c r="G727" s="447"/>
      <c r="H727" s="447"/>
      <c r="I727" s="447"/>
      <c r="J727" s="447" t="s">
        <v>1678</v>
      </c>
      <c r="K727" s="447"/>
      <c r="L727" s="447"/>
      <c r="M727" s="447"/>
      <c r="N727" s="449"/>
    </row>
    <row r="728" spans="1:14">
      <c r="A728" s="431">
        <f t="shared" si="12"/>
        <v>722</v>
      </c>
      <c r="B728" s="592"/>
      <c r="C728" s="442" t="s">
        <v>1535</v>
      </c>
      <c r="D728" s="443"/>
      <c r="E728" s="444" t="s">
        <v>303</v>
      </c>
      <c r="F728" s="450">
        <v>58982</v>
      </c>
      <c r="G728" s="447"/>
      <c r="H728" s="447"/>
      <c r="I728" s="447"/>
      <c r="J728" s="447" t="s">
        <v>1678</v>
      </c>
      <c r="K728" s="447"/>
      <c r="L728" s="447"/>
      <c r="M728" s="447"/>
      <c r="N728" s="449"/>
    </row>
    <row r="729" spans="1:14">
      <c r="A729" s="431">
        <f t="shared" si="12"/>
        <v>723</v>
      </c>
      <c r="B729" s="592"/>
      <c r="C729" s="442" t="s">
        <v>1537</v>
      </c>
      <c r="D729" s="443"/>
      <c r="E729" s="444" t="s">
        <v>1723</v>
      </c>
      <c r="F729" s="450">
        <v>320081</v>
      </c>
      <c r="G729" s="447"/>
      <c r="H729" s="447"/>
      <c r="I729" s="447"/>
      <c r="J729" s="447" t="s">
        <v>1678</v>
      </c>
      <c r="K729" s="447"/>
      <c r="L729" s="447"/>
      <c r="M729" s="447"/>
      <c r="N729" s="449"/>
    </row>
    <row r="730" spans="1:14">
      <c r="A730" s="431">
        <f t="shared" si="12"/>
        <v>724</v>
      </c>
      <c r="B730" s="592"/>
      <c r="C730" s="442" t="s">
        <v>1539</v>
      </c>
      <c r="D730" s="443"/>
      <c r="E730" s="444" t="s">
        <v>303</v>
      </c>
      <c r="F730" s="450">
        <v>367518</v>
      </c>
      <c r="G730" s="447"/>
      <c r="H730" s="447"/>
      <c r="I730" s="447"/>
      <c r="J730" s="447" t="s">
        <v>1678</v>
      </c>
      <c r="K730" s="447"/>
      <c r="L730" s="447"/>
      <c r="M730" s="447"/>
      <c r="N730" s="449"/>
    </row>
    <row r="731" spans="1:14">
      <c r="A731" s="431">
        <f t="shared" si="12"/>
        <v>725</v>
      </c>
      <c r="B731" s="592"/>
      <c r="C731" s="442" t="s">
        <v>1541</v>
      </c>
      <c r="D731" s="443"/>
      <c r="E731" s="444" t="s">
        <v>303</v>
      </c>
      <c r="F731" s="450">
        <v>222507</v>
      </c>
      <c r="G731" s="447"/>
      <c r="H731" s="447"/>
      <c r="I731" s="447"/>
      <c r="J731" s="447" t="s">
        <v>1678</v>
      </c>
      <c r="K731" s="447"/>
      <c r="L731" s="447"/>
      <c r="M731" s="447"/>
      <c r="N731" s="449"/>
    </row>
    <row r="732" spans="1:14">
      <c r="A732" s="431">
        <f t="shared" si="12"/>
        <v>726</v>
      </c>
      <c r="B732" s="592"/>
      <c r="C732" s="442" t="s">
        <v>1543</v>
      </c>
      <c r="D732" s="443"/>
      <c r="E732" s="444" t="s">
        <v>303</v>
      </c>
      <c r="F732" s="450">
        <v>919</v>
      </c>
      <c r="G732" s="447"/>
      <c r="H732" s="447"/>
      <c r="I732" s="447"/>
      <c r="J732" s="447" t="s">
        <v>1678</v>
      </c>
      <c r="K732" s="447"/>
      <c r="L732" s="447"/>
      <c r="M732" s="447"/>
      <c r="N732" s="449"/>
    </row>
    <row r="733" spans="1:14">
      <c r="A733" s="431">
        <f t="shared" si="12"/>
        <v>727</v>
      </c>
      <c r="B733" s="592"/>
      <c r="C733" s="442" t="s">
        <v>1545</v>
      </c>
      <c r="D733" s="443"/>
      <c r="E733" s="444" t="s">
        <v>303</v>
      </c>
      <c r="F733" s="450">
        <v>451389</v>
      </c>
      <c r="G733" s="447"/>
      <c r="H733" s="447"/>
      <c r="I733" s="447"/>
      <c r="J733" s="447" t="s">
        <v>1678</v>
      </c>
      <c r="K733" s="447"/>
      <c r="L733" s="447"/>
      <c r="M733" s="447"/>
      <c r="N733" s="449"/>
    </row>
    <row r="734" spans="1:14">
      <c r="A734" s="431">
        <f t="shared" si="12"/>
        <v>728</v>
      </c>
      <c r="B734" s="592"/>
      <c r="C734" s="442" t="s">
        <v>1547</v>
      </c>
      <c r="D734" s="443"/>
      <c r="E734" s="444" t="s">
        <v>303</v>
      </c>
      <c r="F734" s="450">
        <v>241993</v>
      </c>
      <c r="G734" s="447"/>
      <c r="H734" s="447"/>
      <c r="I734" s="447"/>
      <c r="J734" s="447" t="s">
        <v>1678</v>
      </c>
      <c r="K734" s="447"/>
      <c r="L734" s="447"/>
      <c r="M734" s="447"/>
      <c r="N734" s="449"/>
    </row>
    <row r="735" spans="1:14">
      <c r="A735" s="431">
        <f t="shared" si="12"/>
        <v>729</v>
      </c>
      <c r="B735" s="592"/>
      <c r="C735" s="442" t="s">
        <v>1549</v>
      </c>
      <c r="D735" s="443"/>
      <c r="E735" s="444" t="s">
        <v>303</v>
      </c>
      <c r="F735" s="450">
        <v>199137</v>
      </c>
      <c r="G735" s="447"/>
      <c r="H735" s="447"/>
      <c r="I735" s="447"/>
      <c r="J735" s="447" t="s">
        <v>1678</v>
      </c>
      <c r="K735" s="447"/>
      <c r="L735" s="447"/>
      <c r="M735" s="447"/>
      <c r="N735" s="449"/>
    </row>
    <row r="736" spans="1:14">
      <c r="A736" s="431">
        <f t="shared" si="12"/>
        <v>730</v>
      </c>
      <c r="B736" s="592"/>
      <c r="C736" s="442" t="s">
        <v>1106</v>
      </c>
      <c r="D736" s="443" t="s">
        <v>2278</v>
      </c>
      <c r="E736" s="444" t="s">
        <v>303</v>
      </c>
      <c r="F736" s="450">
        <v>49735</v>
      </c>
      <c r="G736" s="447"/>
      <c r="H736" s="447"/>
      <c r="I736" s="447"/>
      <c r="J736" s="447" t="s">
        <v>1678</v>
      </c>
      <c r="K736" s="447"/>
      <c r="L736" s="447"/>
      <c r="M736" s="447"/>
      <c r="N736" s="449"/>
    </row>
    <row r="737" spans="1:14">
      <c r="A737" s="431">
        <f t="shared" si="12"/>
        <v>731</v>
      </c>
      <c r="B737" s="592"/>
      <c r="C737" s="442" t="s">
        <v>1551</v>
      </c>
      <c r="D737" s="443"/>
      <c r="E737" s="444" t="s">
        <v>303</v>
      </c>
      <c r="F737" s="450">
        <v>1247</v>
      </c>
      <c r="G737" s="447"/>
      <c r="H737" s="447"/>
      <c r="I737" s="447"/>
      <c r="J737" s="447" t="s">
        <v>1678</v>
      </c>
      <c r="K737" s="447"/>
      <c r="L737" s="447"/>
      <c r="M737" s="447"/>
      <c r="N737" s="449"/>
    </row>
    <row r="738" spans="1:14">
      <c r="A738" s="431">
        <f t="shared" si="12"/>
        <v>732</v>
      </c>
      <c r="B738" s="592" t="s">
        <v>1107</v>
      </c>
      <c r="C738" s="442" t="s">
        <v>1108</v>
      </c>
      <c r="D738" s="443" t="s">
        <v>2279</v>
      </c>
      <c r="E738" s="444" t="s">
        <v>303</v>
      </c>
      <c r="F738" s="450">
        <v>74428</v>
      </c>
      <c r="G738" s="447"/>
      <c r="H738" s="447"/>
      <c r="I738" s="447"/>
      <c r="J738" s="447" t="s">
        <v>1678</v>
      </c>
      <c r="K738" s="447"/>
      <c r="L738" s="447"/>
      <c r="M738" s="447"/>
      <c r="N738" s="449"/>
    </row>
    <row r="739" spans="1:14">
      <c r="A739" s="431">
        <f t="shared" si="12"/>
        <v>733</v>
      </c>
      <c r="B739" s="592"/>
      <c r="C739" s="442" t="s">
        <v>1553</v>
      </c>
      <c r="D739" s="443"/>
      <c r="E739" s="444" t="s">
        <v>303</v>
      </c>
      <c r="F739" s="450">
        <v>33676</v>
      </c>
      <c r="G739" s="447"/>
      <c r="H739" s="447"/>
      <c r="I739" s="447"/>
      <c r="J739" s="447" t="s">
        <v>1678</v>
      </c>
      <c r="K739" s="447"/>
      <c r="L739" s="447"/>
      <c r="M739" s="447"/>
      <c r="N739" s="449"/>
    </row>
    <row r="740" spans="1:14" ht="29">
      <c r="A740" s="431">
        <f t="shared" si="12"/>
        <v>734</v>
      </c>
      <c r="B740" s="592"/>
      <c r="C740" s="442" t="s">
        <v>1555</v>
      </c>
      <c r="D740" s="443"/>
      <c r="E740" s="444" t="s">
        <v>303</v>
      </c>
      <c r="F740" s="450">
        <v>196301</v>
      </c>
      <c r="G740" s="447"/>
      <c r="H740" s="447"/>
      <c r="I740" s="447"/>
      <c r="J740" s="447" t="s">
        <v>1678</v>
      </c>
      <c r="K740" s="447"/>
      <c r="L740" s="447"/>
      <c r="M740" s="447"/>
      <c r="N740" s="449"/>
    </row>
    <row r="741" spans="1:14">
      <c r="A741" s="431">
        <f t="shared" si="12"/>
        <v>735</v>
      </c>
      <c r="B741" s="592"/>
      <c r="C741" s="442" t="s">
        <v>1557</v>
      </c>
      <c r="D741" s="443"/>
      <c r="E741" s="444" t="s">
        <v>303</v>
      </c>
      <c r="F741" s="450">
        <v>183266</v>
      </c>
      <c r="G741" s="447"/>
      <c r="H741" s="447"/>
      <c r="I741" s="447"/>
      <c r="J741" s="447" t="s">
        <v>1678</v>
      </c>
      <c r="K741" s="447"/>
      <c r="L741" s="447"/>
      <c r="M741" s="447"/>
      <c r="N741" s="449"/>
    </row>
    <row r="742" spans="1:14" ht="29">
      <c r="A742" s="431">
        <f t="shared" si="12"/>
        <v>736</v>
      </c>
      <c r="B742" s="592"/>
      <c r="C742" s="442" t="s">
        <v>1559</v>
      </c>
      <c r="D742" s="443"/>
      <c r="E742" s="444" t="s">
        <v>303</v>
      </c>
      <c r="F742" s="450">
        <v>5909</v>
      </c>
      <c r="G742" s="447"/>
      <c r="H742" s="447"/>
      <c r="I742" s="447"/>
      <c r="J742" s="447" t="s">
        <v>1678</v>
      </c>
      <c r="K742" s="447"/>
      <c r="L742" s="447"/>
      <c r="M742" s="447"/>
      <c r="N742" s="449"/>
    </row>
    <row r="743" spans="1:14">
      <c r="A743" s="431">
        <f t="shared" si="12"/>
        <v>737</v>
      </c>
      <c r="B743" s="592"/>
      <c r="C743" s="442" t="s">
        <v>1561</v>
      </c>
      <c r="D743" s="443"/>
      <c r="E743" s="444" t="s">
        <v>303</v>
      </c>
      <c r="F743" s="450">
        <v>71381</v>
      </c>
      <c r="G743" s="447"/>
      <c r="H743" s="447"/>
      <c r="I743" s="447"/>
      <c r="J743" s="447" t="s">
        <v>1678</v>
      </c>
      <c r="K743" s="447"/>
      <c r="L743" s="447"/>
      <c r="M743" s="447"/>
      <c r="N743" s="449"/>
    </row>
    <row r="744" spans="1:14">
      <c r="A744" s="431">
        <f t="shared" si="12"/>
        <v>738</v>
      </c>
      <c r="B744" s="592"/>
      <c r="C744" s="442" t="s">
        <v>1563</v>
      </c>
      <c r="D744" s="443"/>
      <c r="E744" s="444" t="s">
        <v>303</v>
      </c>
      <c r="F744" s="450">
        <v>77249</v>
      </c>
      <c r="G744" s="447"/>
      <c r="H744" s="447"/>
      <c r="I744" s="447"/>
      <c r="J744" s="447" t="s">
        <v>1678</v>
      </c>
      <c r="K744" s="447"/>
      <c r="L744" s="447"/>
      <c r="M744" s="447"/>
      <c r="N744" s="449"/>
    </row>
    <row r="745" spans="1:14">
      <c r="A745" s="431">
        <f t="shared" si="12"/>
        <v>739</v>
      </c>
      <c r="B745" s="592"/>
      <c r="C745" s="442" t="s">
        <v>1565</v>
      </c>
      <c r="D745" s="443"/>
      <c r="E745" s="444" t="s">
        <v>303</v>
      </c>
      <c r="F745" s="450">
        <v>430246</v>
      </c>
      <c r="G745" s="447"/>
      <c r="H745" s="447"/>
      <c r="I745" s="447"/>
      <c r="J745" s="447" t="s">
        <v>1678</v>
      </c>
      <c r="K745" s="447"/>
      <c r="L745" s="447"/>
      <c r="M745" s="447"/>
      <c r="N745" s="449"/>
    </row>
    <row r="746" spans="1:14">
      <c r="A746" s="431">
        <f t="shared" si="12"/>
        <v>740</v>
      </c>
      <c r="B746" s="592"/>
      <c r="C746" s="442" t="s">
        <v>1567</v>
      </c>
      <c r="D746" s="443"/>
      <c r="E746" s="444" t="s">
        <v>303</v>
      </c>
      <c r="F746" s="450">
        <v>311632</v>
      </c>
      <c r="G746" s="447"/>
      <c r="H746" s="447"/>
      <c r="I746" s="447"/>
      <c r="J746" s="447" t="s">
        <v>1678</v>
      </c>
      <c r="K746" s="447"/>
      <c r="L746" s="447"/>
      <c r="M746" s="447"/>
      <c r="N746" s="449"/>
    </row>
    <row r="747" spans="1:14">
      <c r="A747" s="431">
        <f t="shared" si="12"/>
        <v>741</v>
      </c>
      <c r="B747" s="592" t="s">
        <v>1125</v>
      </c>
      <c r="C747" s="442" t="s">
        <v>2280</v>
      </c>
      <c r="D747" s="443" t="s">
        <v>2281</v>
      </c>
      <c r="E747" s="444" t="s">
        <v>1723</v>
      </c>
      <c r="F747" s="450">
        <v>25210</v>
      </c>
      <c r="G747" s="447"/>
      <c r="H747" s="447"/>
      <c r="I747" s="447"/>
      <c r="J747" s="447" t="s">
        <v>1678</v>
      </c>
      <c r="K747" s="447"/>
      <c r="L747" s="447"/>
      <c r="M747" s="447"/>
      <c r="N747" s="449"/>
    </row>
    <row r="748" spans="1:14">
      <c r="A748" s="431">
        <f t="shared" si="12"/>
        <v>742</v>
      </c>
      <c r="B748" s="592"/>
      <c r="C748" s="442" t="s">
        <v>1569</v>
      </c>
      <c r="D748" s="443"/>
      <c r="E748" s="444" t="s">
        <v>303</v>
      </c>
      <c r="F748" s="450">
        <v>23905</v>
      </c>
      <c r="G748" s="447"/>
      <c r="H748" s="447"/>
      <c r="I748" s="447"/>
      <c r="J748" s="447" t="s">
        <v>1678</v>
      </c>
      <c r="K748" s="447"/>
      <c r="L748" s="447"/>
      <c r="M748" s="447"/>
      <c r="N748" s="449"/>
    </row>
    <row r="749" spans="1:14">
      <c r="A749" s="431">
        <f t="shared" si="12"/>
        <v>743</v>
      </c>
      <c r="B749" s="592"/>
      <c r="C749" s="442" t="s">
        <v>1571</v>
      </c>
      <c r="D749" s="443"/>
      <c r="E749" s="444" t="s">
        <v>303</v>
      </c>
      <c r="F749" s="450">
        <v>66336</v>
      </c>
      <c r="G749" s="447"/>
      <c r="H749" s="447"/>
      <c r="I749" s="447"/>
      <c r="J749" s="447" t="s">
        <v>1678</v>
      </c>
      <c r="K749" s="447"/>
      <c r="L749" s="447"/>
      <c r="M749" s="447"/>
      <c r="N749" s="449"/>
    </row>
    <row r="750" spans="1:14">
      <c r="A750" s="431">
        <f t="shared" si="12"/>
        <v>744</v>
      </c>
      <c r="B750" s="592"/>
      <c r="C750" s="442" t="s">
        <v>1122</v>
      </c>
      <c r="D750" s="443" t="s">
        <v>2256</v>
      </c>
      <c r="E750" s="444" t="s">
        <v>303</v>
      </c>
      <c r="F750" s="450">
        <v>5553</v>
      </c>
      <c r="G750" s="447"/>
      <c r="H750" s="447"/>
      <c r="I750" s="447"/>
      <c r="J750" s="447" t="s">
        <v>1678</v>
      </c>
      <c r="K750" s="447"/>
      <c r="L750" s="447"/>
      <c r="M750" s="447"/>
      <c r="N750" s="449"/>
    </row>
    <row r="751" spans="1:14">
      <c r="A751" s="431">
        <f t="shared" si="12"/>
        <v>745</v>
      </c>
      <c r="B751" s="592"/>
      <c r="C751" s="442" t="s">
        <v>1573</v>
      </c>
      <c r="D751" s="443"/>
      <c r="E751" s="444" t="s">
        <v>303</v>
      </c>
      <c r="F751" s="450">
        <v>322502</v>
      </c>
      <c r="G751" s="447"/>
      <c r="H751" s="447"/>
      <c r="I751" s="447"/>
      <c r="J751" s="447" t="s">
        <v>1678</v>
      </c>
      <c r="K751" s="447"/>
      <c r="L751" s="447"/>
      <c r="M751" s="447"/>
      <c r="N751" s="449"/>
    </row>
    <row r="752" spans="1:14">
      <c r="A752" s="431">
        <f t="shared" si="12"/>
        <v>746</v>
      </c>
      <c r="B752" s="592"/>
      <c r="C752" s="442" t="s">
        <v>1575</v>
      </c>
      <c r="D752" s="443"/>
      <c r="E752" s="444" t="s">
        <v>303</v>
      </c>
      <c r="F752" s="450">
        <v>479806</v>
      </c>
      <c r="G752" s="447"/>
      <c r="H752" s="447"/>
      <c r="I752" s="447"/>
      <c r="J752" s="447" t="s">
        <v>1678</v>
      </c>
      <c r="K752" s="447"/>
      <c r="L752" s="447"/>
      <c r="M752" s="447"/>
      <c r="N752" s="449"/>
    </row>
    <row r="753" spans="1:14">
      <c r="A753" s="431">
        <f t="shared" si="12"/>
        <v>747</v>
      </c>
      <c r="B753" s="592"/>
      <c r="C753" s="442" t="s">
        <v>1577</v>
      </c>
      <c r="D753" s="443"/>
      <c r="E753" s="444" t="s">
        <v>303</v>
      </c>
      <c r="F753" s="450">
        <v>11963</v>
      </c>
      <c r="G753" s="447"/>
      <c r="H753" s="447"/>
      <c r="I753" s="447"/>
      <c r="J753" s="447" t="s">
        <v>1678</v>
      </c>
      <c r="K753" s="447"/>
      <c r="L753" s="447"/>
      <c r="M753" s="447"/>
      <c r="N753" s="449"/>
    </row>
    <row r="754" spans="1:14" ht="15.75" customHeight="1">
      <c r="A754" s="431">
        <f t="shared" si="12"/>
        <v>748</v>
      </c>
      <c r="B754" s="592"/>
      <c r="C754" s="442" t="s">
        <v>1579</v>
      </c>
      <c r="D754" s="443"/>
      <c r="E754" s="444" t="s">
        <v>303</v>
      </c>
      <c r="F754" s="450">
        <v>420329</v>
      </c>
      <c r="G754" s="447"/>
      <c r="H754" s="447"/>
      <c r="I754" s="447"/>
      <c r="J754" s="447" t="s">
        <v>1678</v>
      </c>
      <c r="K754" s="447"/>
      <c r="L754" s="447"/>
      <c r="M754" s="447"/>
      <c r="N754" s="449"/>
    </row>
    <row r="755" spans="1:14">
      <c r="A755" s="431">
        <f t="shared" si="12"/>
        <v>749</v>
      </c>
      <c r="B755" s="592"/>
      <c r="C755" s="442" t="s">
        <v>1581</v>
      </c>
      <c r="D755" s="443"/>
      <c r="E755" s="444" t="s">
        <v>303</v>
      </c>
      <c r="F755" s="450">
        <v>12785</v>
      </c>
      <c r="G755" s="447"/>
      <c r="H755" s="447"/>
      <c r="I755" s="447"/>
      <c r="J755" s="447" t="s">
        <v>1678</v>
      </c>
      <c r="K755" s="447"/>
      <c r="L755" s="447"/>
      <c r="M755" s="447"/>
      <c r="N755" s="449"/>
    </row>
    <row r="756" spans="1:14">
      <c r="A756" s="431">
        <f t="shared" si="12"/>
        <v>750</v>
      </c>
      <c r="B756" s="592" t="s">
        <v>1149</v>
      </c>
      <c r="C756" s="442" t="s">
        <v>2282</v>
      </c>
      <c r="D756" s="443" t="s">
        <v>2283</v>
      </c>
      <c r="E756" s="444" t="s">
        <v>1723</v>
      </c>
      <c r="F756" s="450">
        <v>40860</v>
      </c>
      <c r="G756" s="447"/>
      <c r="H756" s="447"/>
      <c r="I756" s="447"/>
      <c r="J756" s="447" t="s">
        <v>1678</v>
      </c>
      <c r="K756" s="447"/>
      <c r="L756" s="447"/>
      <c r="M756" s="447"/>
      <c r="N756" s="449"/>
    </row>
    <row r="757" spans="1:14">
      <c r="A757" s="431">
        <f t="shared" si="12"/>
        <v>751</v>
      </c>
      <c r="B757" s="592"/>
      <c r="C757" s="442" t="s">
        <v>1583</v>
      </c>
      <c r="D757" s="443"/>
      <c r="E757" s="444" t="s">
        <v>303</v>
      </c>
      <c r="F757" s="450">
        <v>78401</v>
      </c>
      <c r="G757" s="447"/>
      <c r="H757" s="447"/>
      <c r="I757" s="447"/>
      <c r="J757" s="447" t="s">
        <v>1678</v>
      </c>
      <c r="K757" s="447"/>
      <c r="L757" s="447"/>
      <c r="M757" s="447"/>
      <c r="N757" s="449"/>
    </row>
    <row r="758" spans="1:14">
      <c r="A758" s="431">
        <f t="shared" si="12"/>
        <v>752</v>
      </c>
      <c r="B758" s="592"/>
      <c r="C758" s="442" t="s">
        <v>1585</v>
      </c>
      <c r="D758" s="443"/>
      <c r="E758" s="444" t="s">
        <v>303</v>
      </c>
      <c r="F758" s="450">
        <v>111412</v>
      </c>
      <c r="G758" s="447"/>
      <c r="H758" s="447"/>
      <c r="I758" s="447"/>
      <c r="J758" s="447" t="s">
        <v>1678</v>
      </c>
      <c r="K758" s="447"/>
      <c r="L758" s="447"/>
      <c r="M758" s="447"/>
      <c r="N758" s="449"/>
    </row>
    <row r="759" spans="1:14">
      <c r="A759" s="431">
        <f t="shared" si="12"/>
        <v>753</v>
      </c>
      <c r="B759" s="592"/>
      <c r="C759" s="442" t="s">
        <v>1163</v>
      </c>
      <c r="D759" s="443" t="s">
        <v>2273</v>
      </c>
      <c r="E759" s="444" t="s">
        <v>303</v>
      </c>
      <c r="F759" s="450">
        <v>156417</v>
      </c>
      <c r="G759" s="447"/>
      <c r="H759" s="447"/>
      <c r="I759" s="447"/>
      <c r="J759" s="447" t="s">
        <v>1678</v>
      </c>
      <c r="K759" s="447"/>
      <c r="L759" s="447"/>
      <c r="M759" s="447"/>
      <c r="N759" s="449"/>
    </row>
    <row r="760" spans="1:14">
      <c r="A760" s="431">
        <f t="shared" si="12"/>
        <v>754</v>
      </c>
      <c r="B760" s="592"/>
      <c r="C760" s="442" t="s">
        <v>1589</v>
      </c>
      <c r="D760" s="443"/>
      <c r="E760" s="444" t="s">
        <v>303</v>
      </c>
      <c r="F760" s="450">
        <v>19027</v>
      </c>
      <c r="G760" s="447"/>
      <c r="H760" s="447"/>
      <c r="I760" s="447"/>
      <c r="J760" s="447" t="s">
        <v>1678</v>
      </c>
      <c r="K760" s="447"/>
      <c r="L760" s="447"/>
      <c r="M760" s="447"/>
      <c r="N760" s="449"/>
    </row>
    <row r="761" spans="1:14">
      <c r="A761" s="431">
        <f t="shared" si="12"/>
        <v>755</v>
      </c>
      <c r="B761" s="592"/>
      <c r="C761" s="442" t="s">
        <v>1169</v>
      </c>
      <c r="D761" s="443" t="s">
        <v>2284</v>
      </c>
      <c r="E761" s="444" t="s">
        <v>303</v>
      </c>
      <c r="F761" s="450">
        <v>76396</v>
      </c>
      <c r="G761" s="447"/>
      <c r="H761" s="447"/>
      <c r="I761" s="447"/>
      <c r="J761" s="447" t="s">
        <v>1678</v>
      </c>
      <c r="K761" s="447"/>
      <c r="L761" s="447"/>
      <c r="M761" s="447"/>
      <c r="N761" s="449"/>
    </row>
    <row r="762" spans="1:14" ht="29">
      <c r="A762" s="431">
        <f t="shared" si="12"/>
        <v>756</v>
      </c>
      <c r="B762" s="592"/>
      <c r="C762" s="442" t="s">
        <v>1591</v>
      </c>
      <c r="D762" s="443"/>
      <c r="E762" s="444" t="s">
        <v>1723</v>
      </c>
      <c r="F762" s="450">
        <v>150281</v>
      </c>
      <c r="G762" s="447"/>
      <c r="H762" s="447"/>
      <c r="I762" s="447"/>
      <c r="J762" s="447" t="s">
        <v>1678</v>
      </c>
      <c r="K762" s="447"/>
      <c r="L762" s="447"/>
      <c r="M762" s="447"/>
      <c r="N762" s="449"/>
    </row>
    <row r="763" spans="1:14" ht="17.25" customHeight="1">
      <c r="A763" s="431">
        <f t="shared" si="12"/>
        <v>757</v>
      </c>
      <c r="B763" s="592"/>
      <c r="C763" s="433" t="s">
        <v>2285</v>
      </c>
      <c r="D763" s="443"/>
      <c r="G763" s="447"/>
      <c r="H763" s="447"/>
      <c r="I763" s="447"/>
      <c r="J763" s="447"/>
      <c r="K763" s="447"/>
      <c r="L763" s="447"/>
      <c r="M763" s="447"/>
      <c r="N763" s="449"/>
    </row>
    <row r="764" spans="1:14" ht="29">
      <c r="A764" s="431">
        <f t="shared" si="12"/>
        <v>758</v>
      </c>
      <c r="B764" s="592"/>
      <c r="C764" s="442" t="s">
        <v>1596</v>
      </c>
      <c r="D764" s="443"/>
      <c r="E764" s="444" t="s">
        <v>2266</v>
      </c>
      <c r="F764" s="450">
        <v>20992954</v>
      </c>
      <c r="G764" s="447" t="s">
        <v>1678</v>
      </c>
      <c r="H764" s="447"/>
      <c r="I764" s="447"/>
      <c r="J764" s="447"/>
      <c r="K764" s="447"/>
      <c r="L764" s="447"/>
      <c r="M764" s="447"/>
      <c r="N764" s="449"/>
    </row>
    <row r="765" spans="1:14" ht="29">
      <c r="A765" s="431">
        <f t="shared" si="12"/>
        <v>759</v>
      </c>
      <c r="B765" s="592"/>
      <c r="C765" s="442" t="s">
        <v>1597</v>
      </c>
      <c r="D765" s="443"/>
      <c r="E765" s="444" t="s">
        <v>2266</v>
      </c>
      <c r="F765" s="450">
        <v>2754262</v>
      </c>
      <c r="G765" s="447" t="s">
        <v>1678</v>
      </c>
      <c r="H765" s="447"/>
      <c r="I765" s="447"/>
      <c r="J765" s="447"/>
      <c r="K765" s="447"/>
      <c r="L765" s="447"/>
      <c r="M765" s="447"/>
      <c r="N765" s="449"/>
    </row>
    <row r="766" spans="1:14" ht="29">
      <c r="A766" s="431">
        <f t="shared" si="12"/>
        <v>760</v>
      </c>
      <c r="B766" s="592"/>
      <c r="C766" s="433" t="s">
        <v>2286</v>
      </c>
      <c r="D766" s="443"/>
      <c r="G766" s="447"/>
      <c r="H766" s="447"/>
      <c r="I766" s="447"/>
      <c r="J766" s="447"/>
      <c r="K766" s="447"/>
      <c r="L766" s="447"/>
      <c r="M766" s="447"/>
      <c r="N766" s="449"/>
    </row>
    <row r="767" spans="1:14" ht="15" customHeight="1">
      <c r="A767" s="431">
        <f t="shared" si="12"/>
        <v>761</v>
      </c>
      <c r="B767" s="592"/>
      <c r="C767" s="442" t="s">
        <v>1637</v>
      </c>
      <c r="D767" s="443"/>
      <c r="E767" s="444" t="s">
        <v>303</v>
      </c>
      <c r="F767" s="450">
        <v>287835</v>
      </c>
      <c r="G767" s="447" t="s">
        <v>1678</v>
      </c>
      <c r="H767" s="447"/>
      <c r="I767" s="447"/>
      <c r="J767" s="447"/>
      <c r="K767" s="447"/>
      <c r="L767" s="447"/>
      <c r="M767" s="447"/>
      <c r="N767" s="449"/>
    </row>
    <row r="768" spans="1:14">
      <c r="A768" s="431">
        <f t="shared" si="12"/>
        <v>762</v>
      </c>
      <c r="B768" s="592"/>
      <c r="C768" s="442" t="s">
        <v>1639</v>
      </c>
      <c r="D768" s="443"/>
      <c r="E768" s="444" t="s">
        <v>303</v>
      </c>
      <c r="F768" s="450">
        <v>302609</v>
      </c>
      <c r="G768" s="447" t="s">
        <v>1678</v>
      </c>
      <c r="H768" s="447"/>
      <c r="I768" s="447"/>
      <c r="J768" s="447"/>
      <c r="K768" s="447"/>
      <c r="L768" s="447"/>
      <c r="M768" s="447"/>
      <c r="N768" s="449"/>
    </row>
    <row r="769" spans="1:14">
      <c r="A769" s="431">
        <f t="shared" si="12"/>
        <v>763</v>
      </c>
      <c r="B769" s="592"/>
      <c r="C769" s="442" t="s">
        <v>1641</v>
      </c>
      <c r="D769" s="443"/>
      <c r="E769" s="444" t="s">
        <v>303</v>
      </c>
      <c r="F769" s="450">
        <v>2978205</v>
      </c>
      <c r="G769" s="447" t="s">
        <v>1678</v>
      </c>
      <c r="H769" s="447"/>
      <c r="I769" s="447"/>
      <c r="J769" s="447"/>
      <c r="K769" s="447"/>
      <c r="L769" s="447"/>
      <c r="M769" s="447"/>
      <c r="N769" s="449"/>
    </row>
    <row r="770" spans="1:14">
      <c r="A770" s="431">
        <f t="shared" si="12"/>
        <v>764</v>
      </c>
      <c r="B770" s="592" t="s">
        <v>1648</v>
      </c>
      <c r="C770" s="442" t="s">
        <v>1647</v>
      </c>
      <c r="D770" s="443" t="s">
        <v>2287</v>
      </c>
      <c r="E770" s="444" t="s">
        <v>1723</v>
      </c>
      <c r="F770" s="450">
        <v>3115052</v>
      </c>
      <c r="G770" s="447" t="s">
        <v>1678</v>
      </c>
      <c r="H770" s="447"/>
      <c r="I770" s="447"/>
      <c r="J770" s="447"/>
      <c r="K770" s="447"/>
      <c r="L770" s="447"/>
      <c r="M770" s="447"/>
      <c r="N770" s="449"/>
    </row>
    <row r="771" spans="1:14">
      <c r="A771" s="431">
        <f t="shared" si="12"/>
        <v>765</v>
      </c>
      <c r="B771" s="592"/>
      <c r="D771" s="443"/>
      <c r="F771" s="445"/>
      <c r="G771" s="447"/>
      <c r="H771" s="447"/>
      <c r="I771" s="447"/>
      <c r="J771" s="447"/>
      <c r="K771" s="447"/>
      <c r="L771" s="447"/>
      <c r="M771" s="447"/>
      <c r="N771" s="449"/>
    </row>
    <row r="772" spans="1:14">
      <c r="A772" s="431">
        <f t="shared" si="12"/>
        <v>766</v>
      </c>
      <c r="B772" s="592"/>
      <c r="C772" s="433" t="s">
        <v>2288</v>
      </c>
      <c r="D772" s="443"/>
      <c r="F772" s="450">
        <v>82985149</v>
      </c>
      <c r="G772" s="447"/>
      <c r="H772" s="447"/>
      <c r="I772" s="447"/>
      <c r="J772" s="447"/>
      <c r="K772" s="447"/>
      <c r="L772" s="447"/>
      <c r="M772" s="447"/>
      <c r="N772" s="449"/>
    </row>
    <row r="773" spans="1:14">
      <c r="A773" s="431">
        <f t="shared" si="12"/>
        <v>767</v>
      </c>
      <c r="B773" s="592" t="s">
        <v>1285</v>
      </c>
      <c r="C773" s="442" t="s">
        <v>2289</v>
      </c>
      <c r="D773" s="443" t="s">
        <v>2290</v>
      </c>
      <c r="E773" s="444" t="s">
        <v>303</v>
      </c>
      <c r="F773" s="445"/>
      <c r="G773" s="447" t="s">
        <v>1678</v>
      </c>
      <c r="H773" s="447"/>
      <c r="I773" s="469"/>
      <c r="J773" s="469"/>
      <c r="K773" s="447"/>
      <c r="L773" s="470"/>
      <c r="M773" s="460"/>
      <c r="N773" s="449"/>
    </row>
    <row r="774" spans="1:14">
      <c r="A774" s="431">
        <f t="shared" si="12"/>
        <v>768</v>
      </c>
      <c r="B774" s="592" t="s">
        <v>1260</v>
      </c>
      <c r="C774" s="442" t="s">
        <v>2291</v>
      </c>
      <c r="D774" s="443" t="s">
        <v>2292</v>
      </c>
      <c r="E774" s="444" t="s">
        <v>1723</v>
      </c>
      <c r="F774" s="445"/>
      <c r="G774" s="447" t="s">
        <v>1678</v>
      </c>
      <c r="H774" s="447"/>
      <c r="I774" s="469"/>
      <c r="J774" s="469"/>
      <c r="K774" s="447"/>
      <c r="L774" s="470"/>
      <c r="M774" s="460"/>
      <c r="N774" s="449"/>
    </row>
    <row r="775" spans="1:14">
      <c r="A775" s="431">
        <f t="shared" si="12"/>
        <v>769</v>
      </c>
      <c r="B775" s="592"/>
      <c r="D775" s="443" t="s">
        <v>2293</v>
      </c>
      <c r="E775" s="444" t="s">
        <v>1723</v>
      </c>
      <c r="F775" s="445"/>
      <c r="G775" s="447" t="s">
        <v>1678</v>
      </c>
      <c r="H775" s="447"/>
      <c r="I775" s="469"/>
      <c r="J775" s="469"/>
      <c r="K775" s="447"/>
      <c r="L775" s="470"/>
      <c r="M775" s="460"/>
      <c r="N775" s="449"/>
    </row>
    <row r="776" spans="1:14">
      <c r="A776" s="431">
        <f t="shared" si="12"/>
        <v>770</v>
      </c>
      <c r="B776" s="592"/>
      <c r="D776" s="443" t="s">
        <v>2294</v>
      </c>
      <c r="E776" s="444" t="s">
        <v>303</v>
      </c>
      <c r="F776" s="445"/>
      <c r="G776" s="447" t="s">
        <v>1678</v>
      </c>
      <c r="H776" s="447"/>
      <c r="I776" s="469"/>
      <c r="J776" s="469"/>
      <c r="K776" s="447"/>
      <c r="L776" s="470"/>
      <c r="M776" s="460"/>
      <c r="N776" s="449"/>
    </row>
    <row r="777" spans="1:14">
      <c r="A777" s="431">
        <f t="shared" si="12"/>
        <v>771</v>
      </c>
      <c r="B777" s="592"/>
      <c r="D777" s="443" t="s">
        <v>2295</v>
      </c>
      <c r="E777" s="444" t="s">
        <v>303</v>
      </c>
      <c r="F777" s="445"/>
      <c r="G777" s="447" t="s">
        <v>1678</v>
      </c>
      <c r="H777" s="447"/>
      <c r="I777" s="469"/>
      <c r="J777" s="469"/>
      <c r="K777" s="447"/>
      <c r="L777" s="470"/>
      <c r="M777" s="460"/>
      <c r="N777" s="449"/>
    </row>
    <row r="778" spans="1:14">
      <c r="A778" s="431">
        <f t="shared" si="12"/>
        <v>772</v>
      </c>
      <c r="B778" s="592"/>
      <c r="D778" s="443" t="s">
        <v>2296</v>
      </c>
      <c r="E778" s="444" t="s">
        <v>303</v>
      </c>
      <c r="F778" s="445"/>
      <c r="G778" s="447" t="s">
        <v>1678</v>
      </c>
      <c r="H778" s="447"/>
      <c r="I778" s="469"/>
      <c r="J778" s="469"/>
      <c r="K778" s="447"/>
      <c r="L778" s="470"/>
      <c r="M778" s="460"/>
      <c r="N778" s="449"/>
    </row>
    <row r="779" spans="1:14">
      <c r="A779" s="431">
        <f t="shared" si="12"/>
        <v>773</v>
      </c>
      <c r="B779" s="592"/>
      <c r="D779" s="443" t="s">
        <v>2297</v>
      </c>
      <c r="E779" s="444" t="s">
        <v>303</v>
      </c>
      <c r="F779" s="445"/>
      <c r="G779" s="447" t="s">
        <v>1678</v>
      </c>
      <c r="H779" s="447"/>
      <c r="I779" s="469"/>
      <c r="J779" s="469"/>
      <c r="K779" s="447"/>
      <c r="L779" s="470"/>
      <c r="M779" s="460"/>
      <c r="N779" s="449"/>
    </row>
    <row r="780" spans="1:14" ht="29.25" customHeight="1">
      <c r="A780" s="431">
        <f t="shared" si="12"/>
        <v>774</v>
      </c>
      <c r="B780" s="592" t="s">
        <v>985</v>
      </c>
      <c r="C780" s="442" t="s">
        <v>2267</v>
      </c>
      <c r="D780" s="443" t="s">
        <v>2298</v>
      </c>
      <c r="E780" s="444" t="s">
        <v>303</v>
      </c>
      <c r="F780" s="445"/>
      <c r="G780" s="447" t="s">
        <v>1678</v>
      </c>
      <c r="H780" s="447"/>
      <c r="I780" s="469"/>
      <c r="J780" s="469"/>
      <c r="K780" s="447"/>
      <c r="L780" s="470"/>
      <c r="M780" s="460"/>
      <c r="N780" s="449"/>
    </row>
    <row r="781" spans="1:14" ht="29">
      <c r="A781" s="431">
        <f t="shared" si="12"/>
        <v>775</v>
      </c>
      <c r="B781" s="592"/>
      <c r="D781" s="443" t="s">
        <v>2299</v>
      </c>
      <c r="E781" s="444" t="s">
        <v>303</v>
      </c>
      <c r="F781" s="445"/>
      <c r="G781" s="447" t="s">
        <v>1678</v>
      </c>
      <c r="H781" s="447"/>
      <c r="I781" s="469"/>
      <c r="J781" s="469"/>
      <c r="K781" s="447"/>
      <c r="L781" s="470"/>
      <c r="M781" s="460"/>
      <c r="N781" s="449"/>
    </row>
    <row r="782" spans="1:14">
      <c r="A782" s="431">
        <f t="shared" si="12"/>
        <v>776</v>
      </c>
      <c r="B782" s="592"/>
      <c r="D782" s="443" t="s">
        <v>2300</v>
      </c>
      <c r="E782" s="444" t="s">
        <v>303</v>
      </c>
      <c r="F782" s="445"/>
      <c r="G782" s="447" t="s">
        <v>1678</v>
      </c>
      <c r="H782" s="447"/>
      <c r="I782" s="469"/>
      <c r="J782" s="469"/>
      <c r="K782" s="447"/>
      <c r="L782" s="470"/>
      <c r="M782" s="460"/>
      <c r="N782" s="449"/>
    </row>
    <row r="783" spans="1:14" ht="29">
      <c r="A783" s="431">
        <f t="shared" si="12"/>
        <v>777</v>
      </c>
      <c r="B783" s="592" t="s">
        <v>1401</v>
      </c>
      <c r="C783" s="442" t="s">
        <v>2301</v>
      </c>
      <c r="D783" s="443" t="s">
        <v>2302</v>
      </c>
      <c r="E783" s="444" t="s">
        <v>303</v>
      </c>
      <c r="F783" s="445"/>
      <c r="G783" s="447" t="s">
        <v>1678</v>
      </c>
      <c r="H783" s="447"/>
      <c r="I783" s="469"/>
      <c r="J783" s="469"/>
      <c r="K783" s="447"/>
      <c r="L783" s="470"/>
      <c r="M783" s="460"/>
      <c r="N783" s="449"/>
    </row>
    <row r="784" spans="1:14" ht="29">
      <c r="A784" s="431">
        <f t="shared" si="12"/>
        <v>778</v>
      </c>
      <c r="B784" s="592"/>
      <c r="D784" s="443" t="s">
        <v>2303</v>
      </c>
      <c r="E784" s="444" t="s">
        <v>303</v>
      </c>
      <c r="F784" s="445"/>
      <c r="G784" s="447" t="s">
        <v>1678</v>
      </c>
      <c r="H784" s="447"/>
      <c r="I784" s="469"/>
      <c r="J784" s="469"/>
      <c r="K784" s="447"/>
      <c r="L784" s="470"/>
      <c r="M784" s="460"/>
      <c r="N784" s="449"/>
    </row>
    <row r="785" spans="1:14">
      <c r="A785" s="431">
        <f t="shared" si="12"/>
        <v>779</v>
      </c>
      <c r="B785" s="592"/>
      <c r="D785" s="443" t="s">
        <v>2296</v>
      </c>
      <c r="E785" s="444" t="s">
        <v>303</v>
      </c>
      <c r="F785" s="445"/>
      <c r="G785" s="447" t="s">
        <v>1678</v>
      </c>
      <c r="H785" s="447"/>
      <c r="I785" s="469"/>
      <c r="J785" s="469"/>
      <c r="K785" s="447"/>
      <c r="L785" s="470"/>
      <c r="M785" s="460"/>
      <c r="N785" s="449"/>
    </row>
    <row r="786" spans="1:14">
      <c r="A786" s="431">
        <f t="shared" si="12"/>
        <v>780</v>
      </c>
      <c r="B786" s="592" t="s">
        <v>167</v>
      </c>
      <c r="C786" s="442" t="s">
        <v>2304</v>
      </c>
      <c r="D786" s="443" t="s">
        <v>2305</v>
      </c>
      <c r="E786" s="444" t="s">
        <v>303</v>
      </c>
      <c r="F786" s="445"/>
      <c r="G786" s="447" t="s">
        <v>1678</v>
      </c>
      <c r="H786" s="447"/>
      <c r="I786" s="469"/>
      <c r="J786" s="469"/>
      <c r="K786" s="447"/>
      <c r="L786" s="470"/>
      <c r="M786" s="460"/>
      <c r="N786" s="449"/>
    </row>
    <row r="787" spans="1:14" ht="29">
      <c r="A787" s="431">
        <f t="shared" si="12"/>
        <v>781</v>
      </c>
      <c r="B787" s="592" t="s">
        <v>1488</v>
      </c>
      <c r="C787" s="442" t="s">
        <v>2306</v>
      </c>
      <c r="D787" s="443" t="s">
        <v>2307</v>
      </c>
      <c r="E787" s="444" t="s">
        <v>303</v>
      </c>
      <c r="F787" s="445"/>
      <c r="G787" s="447" t="s">
        <v>1678</v>
      </c>
      <c r="H787" s="447"/>
      <c r="I787" s="469"/>
      <c r="J787" s="469"/>
      <c r="K787" s="447"/>
      <c r="L787" s="470"/>
      <c r="M787" s="460"/>
      <c r="N787" s="449"/>
    </row>
    <row r="788" spans="1:14" ht="29">
      <c r="A788" s="431">
        <f t="shared" si="12"/>
        <v>782</v>
      </c>
      <c r="B788" s="592"/>
      <c r="D788" s="443" t="s">
        <v>2308</v>
      </c>
      <c r="E788" s="444" t="s">
        <v>303</v>
      </c>
      <c r="F788" s="445"/>
      <c r="G788" s="447" t="s">
        <v>1678</v>
      </c>
      <c r="H788" s="447"/>
      <c r="I788" s="469"/>
      <c r="J788" s="469"/>
      <c r="K788" s="447"/>
      <c r="L788" s="470"/>
      <c r="M788" s="460"/>
      <c r="N788" s="449"/>
    </row>
    <row r="789" spans="1:14">
      <c r="A789" s="431">
        <f t="shared" ref="A789" si="13">A788+1</f>
        <v>783</v>
      </c>
      <c r="B789" s="592"/>
      <c r="D789" s="443" t="s">
        <v>2300</v>
      </c>
      <c r="E789" s="444" t="s">
        <v>303</v>
      </c>
      <c r="F789" s="445"/>
      <c r="G789" s="447" t="s">
        <v>1678</v>
      </c>
      <c r="H789" s="447"/>
      <c r="I789" s="469"/>
      <c r="J789" s="469"/>
      <c r="K789" s="447"/>
      <c r="L789" s="470"/>
      <c r="M789" s="460"/>
      <c r="N789" s="449"/>
    </row>
    <row r="790" spans="1:14">
      <c r="A790" s="612"/>
      <c r="B790" s="593"/>
      <c r="C790" s="594"/>
      <c r="D790" s="526"/>
      <c r="E790" s="595"/>
      <c r="F790" s="596"/>
      <c r="G790" s="526"/>
      <c r="H790" s="526"/>
      <c r="I790" s="593"/>
      <c r="J790" s="593"/>
      <c r="K790" s="526"/>
      <c r="L790" s="595"/>
      <c r="M790" s="596"/>
      <c r="N790" s="389"/>
    </row>
    <row r="791" spans="1:14">
      <c r="A791" s="612"/>
      <c r="B791" s="593"/>
      <c r="C791" s="597" t="s">
        <v>2309</v>
      </c>
      <c r="D791" s="598"/>
      <c r="E791" s="595"/>
      <c r="F791" s="599"/>
      <c r="G791" s="526"/>
      <c r="H791" s="526"/>
      <c r="I791" s="526"/>
      <c r="J791" s="526"/>
      <c r="K791" s="526"/>
      <c r="L791" s="526"/>
      <c r="M791" s="526"/>
      <c r="N791" s="389"/>
    </row>
    <row r="792" spans="1:14">
      <c r="A792" s="612"/>
      <c r="B792" s="593"/>
      <c r="C792" s="597" t="s">
        <v>2310</v>
      </c>
      <c r="D792" s="526"/>
      <c r="E792" s="595"/>
      <c r="F792" s="599"/>
      <c r="G792" s="526"/>
      <c r="H792" s="526"/>
      <c r="I792" s="526"/>
      <c r="J792" s="526"/>
      <c r="K792" s="526"/>
      <c r="L792" s="526"/>
      <c r="M792" s="526"/>
      <c r="N792" s="389"/>
    </row>
    <row r="793" spans="1:14">
      <c r="A793" s="612"/>
      <c r="B793" s="593"/>
      <c r="C793" s="597"/>
      <c r="D793" s="526"/>
      <c r="E793" s="595"/>
      <c r="F793" s="599"/>
      <c r="G793" s="526"/>
      <c r="H793" s="526"/>
      <c r="I793" s="526"/>
      <c r="J793" s="526"/>
      <c r="K793" s="526"/>
      <c r="L793" s="526"/>
      <c r="M793" s="526"/>
      <c r="N793" s="389"/>
    </row>
    <row r="794" spans="1:14">
      <c r="A794" s="612"/>
      <c r="B794" s="593"/>
      <c r="C794" s="593" t="s">
        <v>2311</v>
      </c>
      <c r="D794" s="526"/>
      <c r="E794" s="595"/>
      <c r="F794" s="599"/>
      <c r="G794" s="600"/>
      <c r="H794" s="600"/>
      <c r="I794" s="600"/>
      <c r="J794" s="600"/>
      <c r="K794" s="600"/>
      <c r="L794" s="600"/>
      <c r="M794" s="600"/>
      <c r="N794" s="389"/>
    </row>
    <row r="795" spans="1:14">
      <c r="A795" s="612"/>
      <c r="B795" s="593"/>
      <c r="C795" s="593" t="s">
        <v>2312</v>
      </c>
      <c r="D795" s="526"/>
      <c r="E795" s="595"/>
      <c r="F795" s="599"/>
      <c r="G795" s="526"/>
      <c r="H795" s="526"/>
      <c r="I795" s="526"/>
      <c r="J795" s="526"/>
      <c r="K795" s="526"/>
      <c r="L795" s="526"/>
      <c r="M795" s="526"/>
      <c r="N795" s="389"/>
    </row>
    <row r="796" spans="1:14">
      <c r="A796" s="612"/>
      <c r="B796" s="593"/>
      <c r="C796" s="593" t="s">
        <v>2313</v>
      </c>
      <c r="D796" s="526"/>
      <c r="E796" s="595"/>
      <c r="F796" s="599"/>
      <c r="G796" s="526"/>
      <c r="H796" s="526"/>
      <c r="I796" s="526"/>
      <c r="J796" s="526"/>
      <c r="K796" s="526"/>
      <c r="L796" s="526"/>
      <c r="M796" s="526"/>
      <c r="N796" s="389"/>
    </row>
    <row r="797" spans="1:14">
      <c r="A797" s="612"/>
      <c r="B797" s="593"/>
      <c r="C797" s="593" t="s">
        <v>2314</v>
      </c>
      <c r="D797" s="526"/>
      <c r="E797" s="595"/>
      <c r="F797" s="599"/>
      <c r="G797" s="526"/>
      <c r="H797" s="526"/>
      <c r="I797" s="526"/>
      <c r="J797" s="526"/>
      <c r="K797" s="526"/>
      <c r="L797" s="526"/>
      <c r="M797" s="526"/>
      <c r="N797" s="389"/>
    </row>
    <row r="798" spans="1:14">
      <c r="A798" s="612"/>
      <c r="B798" s="593"/>
      <c r="C798" s="593" t="s">
        <v>2315</v>
      </c>
      <c r="D798" s="526"/>
      <c r="E798" s="595"/>
      <c r="F798" s="599"/>
      <c r="G798" s="526"/>
      <c r="H798" s="526"/>
      <c r="I798" s="526"/>
      <c r="J798" s="526"/>
      <c r="K798" s="526"/>
      <c r="L798" s="526"/>
      <c r="M798" s="526"/>
      <c r="N798" s="389"/>
    </row>
    <row r="799" spans="1:14">
      <c r="A799" s="612"/>
      <c r="B799" s="593"/>
      <c r="C799" s="593" t="s">
        <v>2316</v>
      </c>
      <c r="D799" s="526"/>
      <c r="E799" s="595"/>
      <c r="F799" s="599"/>
      <c r="G799" s="526"/>
      <c r="H799" s="526"/>
      <c r="I799" s="526"/>
      <c r="J799" s="526"/>
      <c r="K799" s="526"/>
      <c r="L799" s="526"/>
      <c r="M799" s="526"/>
      <c r="N799" s="389"/>
    </row>
    <row r="800" spans="1:14">
      <c r="A800" s="615"/>
      <c r="B800" s="593"/>
      <c r="C800" s="593" t="s">
        <v>2317</v>
      </c>
      <c r="D800" s="526"/>
      <c r="E800" s="595"/>
      <c r="F800" s="599"/>
      <c r="G800" s="526"/>
      <c r="H800" s="526"/>
      <c r="I800" s="526"/>
      <c r="J800" s="526"/>
      <c r="K800" s="526"/>
      <c r="L800" s="526"/>
      <c r="M800" s="526"/>
      <c r="N800" s="389"/>
    </row>
    <row r="801" spans="1:14" ht="15" thickBot="1">
      <c r="A801" s="616"/>
      <c r="B801" s="617"/>
      <c r="C801" s="877" t="s">
        <v>2318</v>
      </c>
      <c r="D801" s="877"/>
      <c r="E801" s="877"/>
      <c r="F801" s="877"/>
      <c r="G801" s="877"/>
      <c r="H801" s="877"/>
      <c r="I801" s="877"/>
      <c r="J801" s="877"/>
      <c r="K801" s="877"/>
      <c r="L801" s="877"/>
      <c r="M801" s="877"/>
      <c r="N801" s="878"/>
    </row>
  </sheetData>
  <mergeCells count="2">
    <mergeCell ref="G4:M4"/>
    <mergeCell ref="C801:N801"/>
  </mergeCells>
  <hyperlinks>
    <hyperlink ref="D1" location="'Cover Sheets'!A18" display="(Back to Worksheet Links)" xr:uid="{00000000-0004-0000-0A00-000000000000}"/>
  </hyperlinks>
  <pageMargins left="0.7" right="0.7" top="0.75" bottom="0.75" header="0.3" footer="0.3"/>
  <pageSetup scale="44"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1"/>
  <sheetViews>
    <sheetView view="pageBreakPreview" zoomScale="90" zoomScaleNormal="100" zoomScaleSheetLayoutView="90" workbookViewId="0"/>
  </sheetViews>
  <sheetFormatPr defaultColWidth="9.1796875" defaultRowHeight="13"/>
  <cols>
    <col min="1" max="1" width="9.1796875" style="472"/>
    <col min="2" max="2" width="9.54296875" style="479" customWidth="1"/>
    <col min="3" max="3" width="25" style="479" bestFit="1" customWidth="1"/>
    <col min="4" max="4" width="75.26953125" style="472" customWidth="1"/>
    <col min="5" max="5" width="68" style="472" customWidth="1"/>
    <col min="6" max="16384" width="9.1796875" style="472"/>
  </cols>
  <sheetData>
    <row r="1" spans="1:5" ht="15.5">
      <c r="A1" s="651" t="str">
        <f>'Cover Sheets'!A10:D10</f>
        <v>WAPA-UGP 2020 Rate True-up Calculation</v>
      </c>
      <c r="B1" s="628"/>
      <c r="C1" s="628"/>
      <c r="D1" s="629"/>
      <c r="E1" s="641" t="s">
        <v>97</v>
      </c>
    </row>
    <row r="2" spans="1:5" ht="15.5">
      <c r="A2" s="634" t="s">
        <v>2319</v>
      </c>
      <c r="B2" s="630"/>
      <c r="C2" s="630"/>
      <c r="D2" s="286"/>
      <c r="E2" s="285"/>
    </row>
    <row r="3" spans="1:5" ht="15.5">
      <c r="A3" s="634" t="str">
        <f>'Summary-TrueUp'!A3</f>
        <v>12 Months Ending 09/30/2020 True-up</v>
      </c>
      <c r="B3" s="630"/>
      <c r="C3" s="630"/>
      <c r="D3" s="286"/>
      <c r="E3" s="285"/>
    </row>
    <row r="4" spans="1:5" s="473" customFormat="1">
      <c r="A4" s="631" t="s">
        <v>49</v>
      </c>
      <c r="B4" s="632" t="s">
        <v>616</v>
      </c>
      <c r="C4" s="632" t="s">
        <v>1663</v>
      </c>
      <c r="D4" s="633" t="s">
        <v>2320</v>
      </c>
      <c r="E4" s="642" t="s">
        <v>1674</v>
      </c>
    </row>
    <row r="5" spans="1:5" s="476" customFormat="1">
      <c r="A5" s="474">
        <v>1</v>
      </c>
      <c r="B5" s="475"/>
      <c r="C5" s="475" t="s">
        <v>1675</v>
      </c>
      <c r="E5" s="477"/>
    </row>
    <row r="6" spans="1:5">
      <c r="A6" s="478">
        <f>A5+1</f>
        <v>2</v>
      </c>
      <c r="D6" s="480"/>
      <c r="E6" s="481"/>
    </row>
    <row r="7" spans="1:5">
      <c r="A7" s="474">
        <f>A6+1</f>
        <v>3</v>
      </c>
      <c r="B7" s="479" t="s">
        <v>893</v>
      </c>
      <c r="C7" s="479" t="s">
        <v>1680</v>
      </c>
      <c r="D7" s="472" t="s">
        <v>2321</v>
      </c>
      <c r="E7" s="481" t="s">
        <v>2322</v>
      </c>
    </row>
    <row r="8" spans="1:5">
      <c r="A8" s="478">
        <f>A7+1</f>
        <v>4</v>
      </c>
      <c r="D8" s="472" t="s">
        <v>2323</v>
      </c>
      <c r="E8" s="481"/>
    </row>
    <row r="9" spans="1:5">
      <c r="A9" s="474">
        <f>A8+1</f>
        <v>5</v>
      </c>
      <c r="D9" s="472" t="s">
        <v>2324</v>
      </c>
      <c r="E9" s="481"/>
    </row>
    <row r="10" spans="1:5">
      <c r="A10" s="478">
        <f>A9+1</f>
        <v>6</v>
      </c>
      <c r="B10" s="479" t="s">
        <v>899</v>
      </c>
      <c r="C10" s="479" t="s">
        <v>1692</v>
      </c>
      <c r="D10" s="472" t="s">
        <v>2325</v>
      </c>
      <c r="E10" s="481"/>
    </row>
    <row r="11" spans="1:5">
      <c r="A11" s="474">
        <f t="shared" ref="A11:A75" si="0">A10+1</f>
        <v>7</v>
      </c>
      <c r="B11" s="479" t="s">
        <v>905</v>
      </c>
      <c r="C11" s="479" t="s">
        <v>1698</v>
      </c>
      <c r="D11" s="472" t="s">
        <v>2326</v>
      </c>
      <c r="E11" s="481"/>
    </row>
    <row r="12" spans="1:5">
      <c r="A12" s="478">
        <f t="shared" si="0"/>
        <v>8</v>
      </c>
      <c r="B12" s="479" t="s">
        <v>2327</v>
      </c>
      <c r="C12" s="479" t="s">
        <v>1704</v>
      </c>
      <c r="D12" s="472" t="s">
        <v>2328</v>
      </c>
      <c r="E12" s="481" t="s">
        <v>2329</v>
      </c>
    </row>
    <row r="13" spans="1:5">
      <c r="A13" s="474">
        <f t="shared" si="0"/>
        <v>9</v>
      </c>
      <c r="D13" s="472" t="s">
        <v>2330</v>
      </c>
      <c r="E13" s="481" t="s">
        <v>2331</v>
      </c>
    </row>
    <row r="14" spans="1:5">
      <c r="A14" s="478">
        <f t="shared" si="0"/>
        <v>10</v>
      </c>
      <c r="B14" s="479" t="s">
        <v>1285</v>
      </c>
      <c r="C14" s="479" t="s">
        <v>2289</v>
      </c>
      <c r="D14" s="472" t="s">
        <v>2332</v>
      </c>
      <c r="E14" s="481"/>
    </row>
    <row r="15" spans="1:5">
      <c r="A15" s="474">
        <f t="shared" si="0"/>
        <v>11</v>
      </c>
      <c r="B15" s="479" t="s">
        <v>909</v>
      </c>
      <c r="C15" s="479" t="s">
        <v>1712</v>
      </c>
      <c r="D15" s="472" t="s">
        <v>2333</v>
      </c>
      <c r="E15" s="481"/>
    </row>
    <row r="16" spans="1:5">
      <c r="A16" s="478">
        <f t="shared" si="0"/>
        <v>12</v>
      </c>
      <c r="D16" s="472" t="s">
        <v>2334</v>
      </c>
      <c r="E16" s="481" t="s">
        <v>2335</v>
      </c>
    </row>
    <row r="17" spans="1:6">
      <c r="A17" s="474">
        <f t="shared" si="0"/>
        <v>13</v>
      </c>
      <c r="B17" s="479" t="s">
        <v>911</v>
      </c>
      <c r="C17" s="479" t="s">
        <v>1714</v>
      </c>
      <c r="D17" s="472" t="s">
        <v>2336</v>
      </c>
      <c r="E17" s="481" t="s">
        <v>2337</v>
      </c>
    </row>
    <row r="18" spans="1:6">
      <c r="A18" s="478">
        <f t="shared" si="0"/>
        <v>14</v>
      </c>
      <c r="D18" s="472" t="s">
        <v>2338</v>
      </c>
      <c r="E18" s="481" t="s">
        <v>2339</v>
      </c>
    </row>
    <row r="19" spans="1:6">
      <c r="A19" s="474">
        <f t="shared" si="0"/>
        <v>15</v>
      </c>
      <c r="B19" s="479" t="s">
        <v>915</v>
      </c>
      <c r="C19" s="479" t="s">
        <v>1721</v>
      </c>
      <c r="D19" s="472" t="s">
        <v>2340</v>
      </c>
      <c r="E19" s="481" t="s">
        <v>2341</v>
      </c>
    </row>
    <row r="20" spans="1:6">
      <c r="A20" s="478">
        <f t="shared" si="0"/>
        <v>16</v>
      </c>
      <c r="B20" s="479" t="s">
        <v>2342</v>
      </c>
      <c r="C20" s="479" t="s">
        <v>1729</v>
      </c>
      <c r="D20" s="472" t="s">
        <v>2343</v>
      </c>
      <c r="E20" s="481"/>
    </row>
    <row r="21" spans="1:6">
      <c r="A21" s="474">
        <f t="shared" si="0"/>
        <v>17</v>
      </c>
      <c r="D21" s="472" t="s">
        <v>2344</v>
      </c>
      <c r="E21" s="481"/>
      <c r="F21" s="462"/>
    </row>
    <row r="22" spans="1:6">
      <c r="A22" s="478">
        <f t="shared" si="0"/>
        <v>18</v>
      </c>
      <c r="D22" s="472" t="s">
        <v>2345</v>
      </c>
      <c r="E22" s="481" t="s">
        <v>2346</v>
      </c>
    </row>
    <row r="23" spans="1:6">
      <c r="A23" s="474">
        <f t="shared" si="0"/>
        <v>19</v>
      </c>
      <c r="B23" s="479" t="s">
        <v>2347</v>
      </c>
      <c r="C23" s="479" t="s">
        <v>2348</v>
      </c>
      <c r="D23" s="472" t="s">
        <v>2349</v>
      </c>
      <c r="E23" s="481"/>
    </row>
    <row r="24" spans="1:6">
      <c r="A24" s="478">
        <f t="shared" si="0"/>
        <v>20</v>
      </c>
      <c r="B24" s="479" t="s">
        <v>350</v>
      </c>
      <c r="C24" s="479" t="s">
        <v>2350</v>
      </c>
      <c r="D24" s="472" t="s">
        <v>2349</v>
      </c>
      <c r="E24" s="481"/>
    </row>
    <row r="25" spans="1:6">
      <c r="A25" s="474">
        <f t="shared" si="0"/>
        <v>21</v>
      </c>
      <c r="B25" s="479" t="s">
        <v>1753</v>
      </c>
      <c r="C25" s="479" t="s">
        <v>1754</v>
      </c>
      <c r="D25" s="472" t="s">
        <v>2351</v>
      </c>
      <c r="E25" s="481" t="s">
        <v>2352</v>
      </c>
    </row>
    <row r="26" spans="1:6">
      <c r="A26" s="478">
        <f t="shared" si="0"/>
        <v>22</v>
      </c>
      <c r="D26" s="472" t="s">
        <v>2353</v>
      </c>
      <c r="E26" s="481" t="s">
        <v>2354</v>
      </c>
    </row>
    <row r="27" spans="1:6">
      <c r="A27" s="474">
        <f t="shared" si="0"/>
        <v>23</v>
      </c>
      <c r="B27" s="479" t="s">
        <v>931</v>
      </c>
      <c r="C27" s="479" t="s">
        <v>1761</v>
      </c>
      <c r="D27" s="472" t="s">
        <v>2355</v>
      </c>
      <c r="E27" s="481" t="s">
        <v>2356</v>
      </c>
    </row>
    <row r="28" spans="1:6">
      <c r="A28" s="478">
        <f t="shared" si="0"/>
        <v>24</v>
      </c>
      <c r="D28" s="472" t="s">
        <v>2357</v>
      </c>
      <c r="E28" s="481" t="s">
        <v>2358</v>
      </c>
    </row>
    <row r="29" spans="1:6">
      <c r="A29" s="474">
        <f t="shared" si="0"/>
        <v>25</v>
      </c>
      <c r="D29" s="472" t="s">
        <v>2359</v>
      </c>
      <c r="E29" s="481"/>
    </row>
    <row r="30" spans="1:6">
      <c r="A30" s="478">
        <f t="shared" si="0"/>
        <v>26</v>
      </c>
      <c r="D30" s="472" t="s">
        <v>2360</v>
      </c>
      <c r="E30" s="481" t="s">
        <v>2358</v>
      </c>
    </row>
    <row r="31" spans="1:6">
      <c r="A31" s="474">
        <f t="shared" si="0"/>
        <v>27</v>
      </c>
      <c r="B31" s="479" t="s">
        <v>933</v>
      </c>
      <c r="C31" s="479" t="s">
        <v>1766</v>
      </c>
      <c r="D31" s="472" t="s">
        <v>2361</v>
      </c>
      <c r="E31" s="481" t="s">
        <v>2362</v>
      </c>
    </row>
    <row r="32" spans="1:6">
      <c r="A32" s="478">
        <f t="shared" si="0"/>
        <v>28</v>
      </c>
      <c r="B32" s="479" t="s">
        <v>941</v>
      </c>
      <c r="C32" s="479" t="s">
        <v>1786</v>
      </c>
      <c r="D32" s="472" t="s">
        <v>2363</v>
      </c>
      <c r="E32" s="481" t="s">
        <v>2364</v>
      </c>
    </row>
    <row r="33" spans="1:5">
      <c r="A33" s="474">
        <f t="shared" si="0"/>
        <v>29</v>
      </c>
      <c r="B33" s="479" t="s">
        <v>943</v>
      </c>
      <c r="C33" s="479" t="s">
        <v>2365</v>
      </c>
      <c r="D33" s="472" t="s">
        <v>2349</v>
      </c>
      <c r="E33" s="481"/>
    </row>
    <row r="34" spans="1:5">
      <c r="A34" s="478">
        <f t="shared" si="0"/>
        <v>30</v>
      </c>
      <c r="B34" s="479" t="s">
        <v>945</v>
      </c>
      <c r="C34" s="479" t="s">
        <v>1791</v>
      </c>
      <c r="D34" s="472" t="s">
        <v>2366</v>
      </c>
      <c r="E34" s="481" t="s">
        <v>2352</v>
      </c>
    </row>
    <row r="35" spans="1:5">
      <c r="A35" s="474">
        <f t="shared" si="0"/>
        <v>31</v>
      </c>
      <c r="B35" s="479" t="s">
        <v>947</v>
      </c>
      <c r="C35" s="479" t="s">
        <v>2236</v>
      </c>
      <c r="D35" s="472" t="s">
        <v>2367</v>
      </c>
      <c r="E35" s="481"/>
    </row>
    <row r="36" spans="1:5">
      <c r="A36" s="478">
        <f t="shared" si="0"/>
        <v>32</v>
      </c>
      <c r="B36" s="479" t="s">
        <v>949</v>
      </c>
      <c r="C36" s="479" t="s">
        <v>1798</v>
      </c>
      <c r="D36" s="472" t="s">
        <v>2368</v>
      </c>
      <c r="E36" s="481" t="s">
        <v>2369</v>
      </c>
    </row>
    <row r="37" spans="1:5">
      <c r="A37" s="474">
        <f t="shared" si="0"/>
        <v>33</v>
      </c>
      <c r="B37" s="479" t="s">
        <v>951</v>
      </c>
      <c r="C37" s="479" t="s">
        <v>2370</v>
      </c>
      <c r="D37" s="472" t="s">
        <v>2349</v>
      </c>
      <c r="E37" s="481"/>
    </row>
    <row r="38" spans="1:5">
      <c r="A38" s="478">
        <f t="shared" si="0"/>
        <v>34</v>
      </c>
      <c r="B38" s="479" t="s">
        <v>953</v>
      </c>
      <c r="C38" s="479" t="s">
        <v>1808</v>
      </c>
      <c r="D38" s="472" t="s">
        <v>2371</v>
      </c>
      <c r="E38" s="481" t="s">
        <v>2372</v>
      </c>
    </row>
    <row r="39" spans="1:5">
      <c r="A39" s="474">
        <f t="shared" si="0"/>
        <v>35</v>
      </c>
      <c r="D39" s="472" t="s">
        <v>2373</v>
      </c>
      <c r="E39" s="481" t="s">
        <v>2374</v>
      </c>
    </row>
    <row r="40" spans="1:5">
      <c r="A40" s="478">
        <f t="shared" si="0"/>
        <v>36</v>
      </c>
      <c r="B40" s="479" t="s">
        <v>961</v>
      </c>
      <c r="C40" s="479" t="s">
        <v>1818</v>
      </c>
      <c r="D40" s="472" t="s">
        <v>2375</v>
      </c>
      <c r="E40" s="481"/>
    </row>
    <row r="41" spans="1:5">
      <c r="A41" s="474">
        <f t="shared" si="0"/>
        <v>37</v>
      </c>
      <c r="D41" s="472" t="s">
        <v>2376</v>
      </c>
      <c r="E41" s="481" t="s">
        <v>2377</v>
      </c>
    </row>
    <row r="42" spans="1:5">
      <c r="A42" s="478">
        <f t="shared" si="0"/>
        <v>38</v>
      </c>
      <c r="B42" s="479" t="s">
        <v>963</v>
      </c>
      <c r="C42" s="479" t="s">
        <v>1821</v>
      </c>
      <c r="D42" s="472" t="s">
        <v>2378</v>
      </c>
      <c r="E42" s="481"/>
    </row>
    <row r="43" spans="1:5">
      <c r="A43" s="474">
        <f t="shared" si="0"/>
        <v>39</v>
      </c>
      <c r="D43" s="472" t="s">
        <v>2379</v>
      </c>
      <c r="E43" s="481"/>
    </row>
    <row r="44" spans="1:5">
      <c r="A44" s="478">
        <f t="shared" si="0"/>
        <v>40</v>
      </c>
      <c r="D44" s="472" t="s">
        <v>2380</v>
      </c>
      <c r="E44" s="481" t="s">
        <v>2381</v>
      </c>
    </row>
    <row r="45" spans="1:5">
      <c r="A45" s="474">
        <f t="shared" si="0"/>
        <v>41</v>
      </c>
      <c r="D45" s="472" t="s">
        <v>2382</v>
      </c>
      <c r="E45" s="481"/>
    </row>
    <row r="46" spans="1:5">
      <c r="A46" s="478">
        <f t="shared" si="0"/>
        <v>42</v>
      </c>
      <c r="B46" s="479" t="s">
        <v>965</v>
      </c>
      <c r="C46" s="479" t="s">
        <v>1826</v>
      </c>
      <c r="D46" s="472" t="s">
        <v>2383</v>
      </c>
      <c r="E46" s="481"/>
    </row>
    <row r="47" spans="1:5">
      <c r="A47" s="474">
        <f t="shared" si="0"/>
        <v>43</v>
      </c>
      <c r="B47" s="479" t="s">
        <v>969</v>
      </c>
      <c r="C47" s="479" t="s">
        <v>1829</v>
      </c>
      <c r="D47" s="472" t="s">
        <v>2384</v>
      </c>
      <c r="E47" s="481"/>
    </row>
    <row r="48" spans="1:5">
      <c r="A48" s="478">
        <f t="shared" si="0"/>
        <v>44</v>
      </c>
      <c r="B48" s="479" t="s">
        <v>971</v>
      </c>
      <c r="C48" s="479" t="s">
        <v>1831</v>
      </c>
      <c r="D48" s="480" t="s">
        <v>2385</v>
      </c>
      <c r="E48" s="481"/>
    </row>
    <row r="49" spans="1:5">
      <c r="A49" s="474">
        <f t="shared" si="0"/>
        <v>45</v>
      </c>
      <c r="B49" s="479" t="s">
        <v>973</v>
      </c>
      <c r="C49" s="479" t="s">
        <v>1833</v>
      </c>
      <c r="D49" s="472" t="s">
        <v>2386</v>
      </c>
      <c r="E49" s="481" t="s">
        <v>2387</v>
      </c>
    </row>
    <row r="50" spans="1:5">
      <c r="A50" s="478">
        <f t="shared" si="0"/>
        <v>46</v>
      </c>
      <c r="B50" s="479" t="s">
        <v>977</v>
      </c>
      <c r="C50" s="479" t="s">
        <v>1839</v>
      </c>
      <c r="D50" s="472" t="s">
        <v>2388</v>
      </c>
      <c r="E50" s="481"/>
    </row>
    <row r="51" spans="1:5">
      <c r="A51" s="474">
        <f t="shared" si="0"/>
        <v>47</v>
      </c>
      <c r="D51" s="472" t="s">
        <v>2389</v>
      </c>
      <c r="E51" s="481" t="s">
        <v>2390</v>
      </c>
    </row>
    <row r="52" spans="1:5">
      <c r="A52" s="478">
        <f t="shared" si="0"/>
        <v>48</v>
      </c>
      <c r="B52" s="479" t="s">
        <v>1604</v>
      </c>
      <c r="C52" s="479" t="s">
        <v>2391</v>
      </c>
      <c r="D52" s="472" t="s">
        <v>2349</v>
      </c>
      <c r="E52" s="481"/>
    </row>
    <row r="53" spans="1:5">
      <c r="A53" s="474">
        <f t="shared" si="0"/>
        <v>49</v>
      </c>
      <c r="B53" s="479" t="s">
        <v>1606</v>
      </c>
      <c r="C53" s="479" t="s">
        <v>2392</v>
      </c>
      <c r="D53" s="472" t="s">
        <v>2349</v>
      </c>
      <c r="E53" s="481"/>
    </row>
    <row r="54" spans="1:5">
      <c r="A54" s="478">
        <f t="shared" si="0"/>
        <v>50</v>
      </c>
      <c r="B54" s="479" t="s">
        <v>981</v>
      </c>
      <c r="C54" s="479" t="s">
        <v>1855</v>
      </c>
      <c r="D54" s="472" t="s">
        <v>2393</v>
      </c>
      <c r="E54" s="481" t="s">
        <v>2394</v>
      </c>
    </row>
    <row r="55" spans="1:5">
      <c r="A55" s="474">
        <f t="shared" si="0"/>
        <v>51</v>
      </c>
      <c r="B55" s="479" t="s">
        <v>983</v>
      </c>
      <c r="C55" s="479" t="s">
        <v>1863</v>
      </c>
      <c r="D55" s="472" t="s">
        <v>2395</v>
      </c>
      <c r="E55" s="481"/>
    </row>
    <row r="56" spans="1:5">
      <c r="A56" s="478">
        <f t="shared" si="0"/>
        <v>52</v>
      </c>
      <c r="D56" s="472" t="s">
        <v>2396</v>
      </c>
      <c r="E56" s="481"/>
    </row>
    <row r="57" spans="1:5">
      <c r="A57" s="474">
        <f t="shared" si="0"/>
        <v>53</v>
      </c>
      <c r="D57" s="472" t="s">
        <v>2397</v>
      </c>
      <c r="E57" s="481"/>
    </row>
    <row r="58" spans="1:5">
      <c r="A58" s="478">
        <f t="shared" si="0"/>
        <v>54</v>
      </c>
      <c r="D58" s="472" t="s">
        <v>2398</v>
      </c>
      <c r="E58" s="481" t="s">
        <v>2399</v>
      </c>
    </row>
    <row r="59" spans="1:5">
      <c r="A59" s="474">
        <f t="shared" si="0"/>
        <v>55</v>
      </c>
      <c r="D59" s="472" t="s">
        <v>2400</v>
      </c>
      <c r="E59" s="481"/>
    </row>
    <row r="60" spans="1:5">
      <c r="A60" s="478">
        <f t="shared" si="0"/>
        <v>56</v>
      </c>
      <c r="D60" s="472" t="s">
        <v>2401</v>
      </c>
      <c r="E60" s="481" t="s">
        <v>2402</v>
      </c>
    </row>
    <row r="61" spans="1:5">
      <c r="A61" s="474">
        <f t="shared" si="0"/>
        <v>57</v>
      </c>
      <c r="B61" s="479" t="s">
        <v>985</v>
      </c>
      <c r="C61" s="479" t="s">
        <v>2267</v>
      </c>
      <c r="D61" s="472" t="s">
        <v>2403</v>
      </c>
      <c r="E61" s="481"/>
    </row>
    <row r="62" spans="1:5">
      <c r="A62" s="478">
        <f t="shared" si="0"/>
        <v>58</v>
      </c>
      <c r="B62" s="479" t="s">
        <v>989</v>
      </c>
      <c r="C62" s="479" t="s">
        <v>1870</v>
      </c>
      <c r="D62" s="472" t="s">
        <v>2404</v>
      </c>
      <c r="E62" s="481" t="s">
        <v>2405</v>
      </c>
    </row>
    <row r="63" spans="1:5">
      <c r="A63" s="474">
        <f t="shared" si="0"/>
        <v>59</v>
      </c>
      <c r="B63" s="479" t="s">
        <v>1612</v>
      </c>
      <c r="C63" s="479" t="s">
        <v>2406</v>
      </c>
      <c r="D63" s="472" t="s">
        <v>2349</v>
      </c>
      <c r="E63" s="481"/>
    </row>
    <row r="64" spans="1:5">
      <c r="A64" s="478">
        <f t="shared" si="0"/>
        <v>60</v>
      </c>
      <c r="B64" s="479" t="s">
        <v>1401</v>
      </c>
      <c r="C64" s="479" t="s">
        <v>2301</v>
      </c>
      <c r="D64" s="472" t="s">
        <v>2407</v>
      </c>
      <c r="E64" s="481" t="s">
        <v>2408</v>
      </c>
    </row>
    <row r="65" spans="1:5">
      <c r="A65" s="474">
        <f t="shared" si="0"/>
        <v>61</v>
      </c>
      <c r="B65" s="479" t="s">
        <v>167</v>
      </c>
      <c r="C65" s="479" t="s">
        <v>2304</v>
      </c>
      <c r="D65" s="472" t="s">
        <v>2409</v>
      </c>
      <c r="E65" s="481" t="s">
        <v>2408</v>
      </c>
    </row>
    <row r="66" spans="1:5">
      <c r="A66" s="478">
        <f t="shared" si="0"/>
        <v>62</v>
      </c>
      <c r="B66" s="479" t="s">
        <v>2410</v>
      </c>
      <c r="C66" s="479" t="s">
        <v>2411</v>
      </c>
      <c r="D66" s="472" t="s">
        <v>2349</v>
      </c>
      <c r="E66" s="481"/>
    </row>
    <row r="67" spans="1:5">
      <c r="A67" s="474">
        <f t="shared" si="0"/>
        <v>63</v>
      </c>
      <c r="B67" s="479" t="s">
        <v>1616</v>
      </c>
      <c r="C67" s="479" t="s">
        <v>2412</v>
      </c>
      <c r="D67" s="472" t="s">
        <v>2349</v>
      </c>
      <c r="E67" s="481"/>
    </row>
    <row r="68" spans="1:5">
      <c r="A68" s="478">
        <f t="shared" si="0"/>
        <v>64</v>
      </c>
      <c r="B68" s="479" t="s">
        <v>999</v>
      </c>
      <c r="C68" s="479" t="s">
        <v>1910</v>
      </c>
      <c r="D68" s="472" t="s">
        <v>2413</v>
      </c>
      <c r="E68" s="481" t="s">
        <v>2414</v>
      </c>
    </row>
    <row r="69" spans="1:5">
      <c r="A69" s="474">
        <f t="shared" si="0"/>
        <v>65</v>
      </c>
      <c r="D69" s="472" t="s">
        <v>2415</v>
      </c>
      <c r="E69" s="481"/>
    </row>
    <row r="70" spans="1:5">
      <c r="A70" s="478">
        <f t="shared" si="0"/>
        <v>66</v>
      </c>
      <c r="D70" s="472" t="s">
        <v>2416</v>
      </c>
      <c r="E70" s="481"/>
    </row>
    <row r="71" spans="1:5">
      <c r="A71" s="474">
        <f t="shared" si="0"/>
        <v>67</v>
      </c>
      <c r="B71" s="479" t="s">
        <v>1003</v>
      </c>
      <c r="C71" s="479" t="s">
        <v>1927</v>
      </c>
      <c r="D71" s="472" t="s">
        <v>2417</v>
      </c>
      <c r="E71" s="481" t="s">
        <v>2352</v>
      </c>
    </row>
    <row r="72" spans="1:5">
      <c r="A72" s="478">
        <f t="shared" si="0"/>
        <v>68</v>
      </c>
      <c r="D72" s="472" t="s">
        <v>2418</v>
      </c>
      <c r="E72" s="481"/>
    </row>
    <row r="73" spans="1:5">
      <c r="A73" s="474">
        <f t="shared" si="0"/>
        <v>69</v>
      </c>
      <c r="B73" s="479" t="s">
        <v>1005</v>
      </c>
      <c r="C73" s="479" t="s">
        <v>1929</v>
      </c>
      <c r="D73" s="472" t="s">
        <v>2328</v>
      </c>
      <c r="E73" s="481" t="s">
        <v>2329</v>
      </c>
    </row>
    <row r="74" spans="1:5">
      <c r="A74" s="478">
        <f t="shared" si="0"/>
        <v>70</v>
      </c>
      <c r="B74" s="479" t="s">
        <v>1011</v>
      </c>
      <c r="C74" s="479" t="s">
        <v>1943</v>
      </c>
      <c r="D74" s="472" t="s">
        <v>2419</v>
      </c>
      <c r="E74" s="481" t="s">
        <v>2420</v>
      </c>
    </row>
    <row r="75" spans="1:5">
      <c r="A75" s="757">
        <f t="shared" si="0"/>
        <v>71</v>
      </c>
      <c r="B75" s="479" t="s">
        <v>1013</v>
      </c>
      <c r="C75" s="479" t="s">
        <v>1951</v>
      </c>
      <c r="D75" s="472" t="s">
        <v>2421</v>
      </c>
      <c r="E75" s="481"/>
    </row>
    <row r="76" spans="1:5">
      <c r="A76" s="478">
        <f t="shared" ref="A76" si="1">A75+1</f>
        <v>72</v>
      </c>
      <c r="B76" s="479" t="s">
        <v>1017</v>
      </c>
      <c r="C76" s="479" t="s">
        <v>1953</v>
      </c>
      <c r="D76" s="472" t="s">
        <v>2422</v>
      </c>
      <c r="E76" s="481" t="s">
        <v>2423</v>
      </c>
    </row>
    <row r="77" spans="1:5">
      <c r="A77" s="474">
        <f t="shared" ref="A77:A142" si="2">A76+1</f>
        <v>73</v>
      </c>
      <c r="B77" s="479" t="s">
        <v>1019</v>
      </c>
      <c r="C77" s="479" t="s">
        <v>1955</v>
      </c>
      <c r="D77" s="472" t="s">
        <v>2424</v>
      </c>
      <c r="E77" s="481"/>
    </row>
    <row r="78" spans="1:5">
      <c r="A78" s="478">
        <f t="shared" si="2"/>
        <v>74</v>
      </c>
      <c r="D78" s="472" t="s">
        <v>1859</v>
      </c>
      <c r="E78" s="481"/>
    </row>
    <row r="79" spans="1:5">
      <c r="A79" s="474">
        <f t="shared" si="2"/>
        <v>75</v>
      </c>
      <c r="D79" s="472" t="s">
        <v>2425</v>
      </c>
      <c r="E79" s="481" t="s">
        <v>2329</v>
      </c>
    </row>
    <row r="80" spans="1:5">
      <c r="A80" s="478">
        <f t="shared" si="2"/>
        <v>76</v>
      </c>
      <c r="B80" s="479" t="s">
        <v>1618</v>
      </c>
      <c r="C80" s="479" t="s">
        <v>2426</v>
      </c>
      <c r="D80" s="472" t="s">
        <v>2349</v>
      </c>
      <c r="E80" s="481"/>
    </row>
    <row r="81" spans="1:5">
      <c r="A81" s="474">
        <f t="shared" si="2"/>
        <v>77</v>
      </c>
      <c r="B81" s="479" t="s">
        <v>2427</v>
      </c>
      <c r="C81" s="479" t="s">
        <v>2428</v>
      </c>
      <c r="D81" s="472" t="s">
        <v>2349</v>
      </c>
      <c r="E81" s="481"/>
    </row>
    <row r="82" spans="1:5">
      <c r="A82" s="478">
        <f t="shared" si="2"/>
        <v>78</v>
      </c>
      <c r="B82" s="479" t="s">
        <v>1021</v>
      </c>
      <c r="C82" s="479" t="s">
        <v>1962</v>
      </c>
      <c r="D82" s="472" t="s">
        <v>2429</v>
      </c>
      <c r="E82" s="481"/>
    </row>
    <row r="83" spans="1:5">
      <c r="A83" s="474">
        <f t="shared" si="2"/>
        <v>79</v>
      </c>
      <c r="D83" s="472" t="s">
        <v>2430</v>
      </c>
      <c r="E83" s="481"/>
    </row>
    <row r="84" spans="1:5">
      <c r="A84" s="478">
        <f t="shared" si="2"/>
        <v>80</v>
      </c>
      <c r="D84" s="472" t="s">
        <v>2431</v>
      </c>
      <c r="E84" s="481" t="s">
        <v>2432</v>
      </c>
    </row>
    <row r="85" spans="1:5">
      <c r="A85" s="474">
        <f t="shared" si="2"/>
        <v>81</v>
      </c>
      <c r="D85" s="472" t="s">
        <v>2433</v>
      </c>
      <c r="E85" s="481"/>
    </row>
    <row r="86" spans="1:5">
      <c r="A86" s="478">
        <f t="shared" si="2"/>
        <v>82</v>
      </c>
      <c r="B86" s="479" t="s">
        <v>1023</v>
      </c>
      <c r="C86" s="479" t="s">
        <v>1973</v>
      </c>
      <c r="D86" s="472" t="s">
        <v>2434</v>
      </c>
      <c r="E86" s="481"/>
    </row>
    <row r="87" spans="1:5">
      <c r="A87" s="474">
        <f t="shared" si="2"/>
        <v>83</v>
      </c>
      <c r="D87" s="472" t="s">
        <v>2435</v>
      </c>
      <c r="E87" s="481" t="s">
        <v>2436</v>
      </c>
    </row>
    <row r="88" spans="1:5">
      <c r="A88" s="478">
        <f t="shared" si="2"/>
        <v>84</v>
      </c>
      <c r="B88" s="479" t="s">
        <v>1025</v>
      </c>
      <c r="C88" s="479" t="s">
        <v>1977</v>
      </c>
      <c r="D88" s="472" t="s">
        <v>2437</v>
      </c>
      <c r="E88" s="481" t="s">
        <v>2438</v>
      </c>
    </row>
    <row r="89" spans="1:5">
      <c r="A89" s="474">
        <f t="shared" si="2"/>
        <v>85</v>
      </c>
      <c r="D89" s="472" t="s">
        <v>2439</v>
      </c>
      <c r="E89" s="481"/>
    </row>
    <row r="90" spans="1:5" ht="14.5">
      <c r="A90" s="478">
        <f t="shared" si="2"/>
        <v>86</v>
      </c>
      <c r="D90" s="443" t="s">
        <v>2440</v>
      </c>
      <c r="E90" s="481"/>
    </row>
    <row r="91" spans="1:5">
      <c r="A91" s="474">
        <f t="shared" si="2"/>
        <v>87</v>
      </c>
      <c r="B91" s="479" t="s">
        <v>1027</v>
      </c>
      <c r="C91" s="479" t="s">
        <v>1980</v>
      </c>
      <c r="D91" s="472" t="s">
        <v>2441</v>
      </c>
      <c r="E91" s="481"/>
    </row>
    <row r="92" spans="1:5">
      <c r="A92" s="478">
        <f t="shared" si="2"/>
        <v>88</v>
      </c>
      <c r="D92" s="472" t="s">
        <v>2442</v>
      </c>
      <c r="E92" s="481" t="s">
        <v>2335</v>
      </c>
    </row>
    <row r="93" spans="1:5">
      <c r="A93" s="474">
        <f t="shared" si="2"/>
        <v>89</v>
      </c>
      <c r="B93" s="479" t="s">
        <v>1037</v>
      </c>
      <c r="C93" s="479" t="s">
        <v>1992</v>
      </c>
      <c r="D93" s="472" t="s">
        <v>2443</v>
      </c>
      <c r="E93" s="481"/>
    </row>
    <row r="94" spans="1:5">
      <c r="A94" s="478">
        <f t="shared" si="2"/>
        <v>90</v>
      </c>
      <c r="D94" s="472" t="s">
        <v>2444</v>
      </c>
      <c r="E94" s="481" t="s">
        <v>2445</v>
      </c>
    </row>
    <row r="95" spans="1:5">
      <c r="A95" s="474">
        <f t="shared" si="2"/>
        <v>91</v>
      </c>
      <c r="B95" s="479" t="s">
        <v>1039</v>
      </c>
      <c r="C95" s="479" t="s">
        <v>1995</v>
      </c>
      <c r="D95" s="472" t="s">
        <v>2446</v>
      </c>
      <c r="E95" s="481"/>
    </row>
    <row r="96" spans="1:5">
      <c r="A96" s="478">
        <f t="shared" si="2"/>
        <v>92</v>
      </c>
      <c r="D96" s="472" t="s">
        <v>2447</v>
      </c>
      <c r="E96" s="481"/>
    </row>
    <row r="97" spans="1:5">
      <c r="A97" s="474">
        <f t="shared" si="2"/>
        <v>93</v>
      </c>
      <c r="D97" s="472" t="s">
        <v>2448</v>
      </c>
      <c r="E97" s="481" t="s">
        <v>2449</v>
      </c>
    </row>
    <row r="98" spans="1:5">
      <c r="A98" s="478">
        <f t="shared" si="2"/>
        <v>94</v>
      </c>
      <c r="B98" s="479" t="s">
        <v>1041</v>
      </c>
      <c r="C98" s="479" t="s">
        <v>2002</v>
      </c>
      <c r="D98" s="472" t="s">
        <v>2450</v>
      </c>
      <c r="E98" s="481"/>
    </row>
    <row r="99" spans="1:5">
      <c r="A99" s="474">
        <f t="shared" si="2"/>
        <v>95</v>
      </c>
      <c r="B99" s="479" t="s">
        <v>1051</v>
      </c>
      <c r="C99" s="479" t="s">
        <v>2019</v>
      </c>
      <c r="D99" s="472" t="s">
        <v>2451</v>
      </c>
      <c r="E99" s="481" t="s">
        <v>2452</v>
      </c>
    </row>
    <row r="100" spans="1:5">
      <c r="A100" s="478">
        <f t="shared" si="2"/>
        <v>96</v>
      </c>
      <c r="B100" s="479" t="s">
        <v>1053</v>
      </c>
      <c r="C100" s="479" t="s">
        <v>2025</v>
      </c>
      <c r="D100" s="472" t="s">
        <v>2453</v>
      </c>
      <c r="E100" s="481"/>
    </row>
    <row r="101" spans="1:5">
      <c r="A101" s="474">
        <f t="shared" si="2"/>
        <v>97</v>
      </c>
      <c r="D101" s="472" t="s">
        <v>2454</v>
      </c>
      <c r="E101" s="481"/>
    </row>
    <row r="102" spans="1:5">
      <c r="A102" s="478">
        <f t="shared" si="2"/>
        <v>98</v>
      </c>
      <c r="D102" s="472" t="s">
        <v>2455</v>
      </c>
      <c r="E102" s="481"/>
    </row>
    <row r="103" spans="1:5">
      <c r="A103" s="474">
        <f t="shared" si="2"/>
        <v>99</v>
      </c>
      <c r="B103" s="479" t="s">
        <v>1055</v>
      </c>
      <c r="C103" s="479" t="s">
        <v>2029</v>
      </c>
      <c r="D103" s="472" t="s">
        <v>2456</v>
      </c>
      <c r="E103" s="481" t="s">
        <v>2329</v>
      </c>
    </row>
    <row r="104" spans="1:5">
      <c r="A104" s="478">
        <f t="shared" si="2"/>
        <v>100</v>
      </c>
      <c r="B104" s="479" t="s">
        <v>2457</v>
      </c>
      <c r="C104" s="479" t="s">
        <v>2458</v>
      </c>
      <c r="D104" s="472" t="s">
        <v>2349</v>
      </c>
      <c r="E104" s="481"/>
    </row>
    <row r="105" spans="1:5">
      <c r="A105" s="474">
        <f t="shared" si="2"/>
        <v>101</v>
      </c>
      <c r="B105" s="479" t="s">
        <v>1058</v>
      </c>
      <c r="C105" s="479" t="s">
        <v>2033</v>
      </c>
      <c r="D105" s="472" t="s">
        <v>2459</v>
      </c>
      <c r="E105" s="481"/>
    </row>
    <row r="106" spans="1:5">
      <c r="A106" s="478">
        <f t="shared" si="2"/>
        <v>102</v>
      </c>
      <c r="B106" s="479" t="s">
        <v>1062</v>
      </c>
      <c r="C106" s="479" t="s">
        <v>2041</v>
      </c>
      <c r="D106" s="472" t="s">
        <v>2460</v>
      </c>
      <c r="E106" s="481" t="s">
        <v>2461</v>
      </c>
    </row>
    <row r="107" spans="1:5">
      <c r="A107" s="474">
        <f t="shared" si="2"/>
        <v>103</v>
      </c>
      <c r="B107" s="479" t="s">
        <v>1060</v>
      </c>
      <c r="C107" s="479" t="s">
        <v>2034</v>
      </c>
      <c r="D107" s="472" t="s">
        <v>2462</v>
      </c>
      <c r="E107" s="481"/>
    </row>
    <row r="108" spans="1:5">
      <c r="A108" s="478">
        <f t="shared" si="2"/>
        <v>104</v>
      </c>
      <c r="B108" s="479" t="s">
        <v>1488</v>
      </c>
      <c r="C108" s="479" t="s">
        <v>2306</v>
      </c>
      <c r="D108" s="472" t="s">
        <v>2463</v>
      </c>
      <c r="E108" s="481" t="s">
        <v>2423</v>
      </c>
    </row>
    <row r="109" spans="1:5">
      <c r="A109" s="474">
        <f t="shared" si="2"/>
        <v>105</v>
      </c>
      <c r="D109" s="472" t="s">
        <v>2355</v>
      </c>
      <c r="E109" s="481" t="s">
        <v>2423</v>
      </c>
    </row>
    <row r="110" spans="1:5">
      <c r="A110" s="478">
        <f t="shared" si="2"/>
        <v>106</v>
      </c>
      <c r="B110" s="479" t="s">
        <v>1064</v>
      </c>
      <c r="C110" s="479" t="s">
        <v>2045</v>
      </c>
      <c r="D110" s="472" t="s">
        <v>2464</v>
      </c>
      <c r="E110" s="481" t="s">
        <v>2465</v>
      </c>
    </row>
    <row r="111" spans="1:5">
      <c r="A111" s="474">
        <f t="shared" si="2"/>
        <v>107</v>
      </c>
      <c r="B111" s="479" t="s">
        <v>1068</v>
      </c>
      <c r="C111" s="479" t="s">
        <v>2240</v>
      </c>
      <c r="D111" s="472" t="s">
        <v>2466</v>
      </c>
      <c r="E111" s="481"/>
    </row>
    <row r="112" spans="1:5">
      <c r="A112" s="478">
        <f t="shared" si="2"/>
        <v>108</v>
      </c>
      <c r="B112" s="479" t="s">
        <v>1070</v>
      </c>
      <c r="C112" s="479" t="s">
        <v>2053</v>
      </c>
      <c r="D112" s="472" t="s">
        <v>2467</v>
      </c>
      <c r="E112" s="481"/>
    </row>
    <row r="113" spans="1:5">
      <c r="A113" s="474">
        <f t="shared" si="2"/>
        <v>109</v>
      </c>
      <c r="D113" s="472" t="s">
        <v>1861</v>
      </c>
      <c r="E113" s="481" t="s">
        <v>2405</v>
      </c>
    </row>
    <row r="114" spans="1:5">
      <c r="A114" s="478">
        <f t="shared" si="2"/>
        <v>110</v>
      </c>
      <c r="B114" s="479" t="s">
        <v>1072</v>
      </c>
      <c r="C114" s="479" t="s">
        <v>2056</v>
      </c>
      <c r="D114" s="472" t="s">
        <v>2468</v>
      </c>
      <c r="E114" s="481"/>
    </row>
    <row r="115" spans="1:5">
      <c r="A115" s="474">
        <f t="shared" si="2"/>
        <v>111</v>
      </c>
      <c r="D115" s="472" t="s">
        <v>2469</v>
      </c>
      <c r="E115" s="481" t="s">
        <v>2470</v>
      </c>
    </row>
    <row r="116" spans="1:5">
      <c r="A116" s="478">
        <f t="shared" si="2"/>
        <v>112</v>
      </c>
      <c r="B116" s="479" t="s">
        <v>1074</v>
      </c>
      <c r="C116" s="479" t="s">
        <v>2241</v>
      </c>
      <c r="D116" s="472" t="s">
        <v>2471</v>
      </c>
      <c r="E116" s="481"/>
    </row>
    <row r="117" spans="1:5">
      <c r="A117" s="474">
        <f t="shared" si="2"/>
        <v>113</v>
      </c>
      <c r="B117" s="479" t="s">
        <v>1078</v>
      </c>
      <c r="C117" s="479" t="s">
        <v>2063</v>
      </c>
      <c r="D117" s="472" t="s">
        <v>2472</v>
      </c>
      <c r="E117" s="481"/>
    </row>
    <row r="118" spans="1:5">
      <c r="A118" s="478">
        <f t="shared" si="2"/>
        <v>114</v>
      </c>
      <c r="B118" s="479" t="s">
        <v>1080</v>
      </c>
      <c r="C118" s="479" t="s">
        <v>2473</v>
      </c>
      <c r="D118" s="472" t="s">
        <v>2349</v>
      </c>
      <c r="E118" s="481"/>
    </row>
    <row r="119" spans="1:5">
      <c r="A119" s="474">
        <f t="shared" si="2"/>
        <v>115</v>
      </c>
      <c r="B119" s="479" t="s">
        <v>1085</v>
      </c>
      <c r="C119" s="479" t="s">
        <v>2074</v>
      </c>
      <c r="D119" s="472" t="s">
        <v>2474</v>
      </c>
      <c r="E119" s="481"/>
    </row>
    <row r="120" spans="1:5">
      <c r="A120" s="478">
        <f t="shared" si="2"/>
        <v>116</v>
      </c>
      <c r="D120" s="472" t="s">
        <v>2475</v>
      </c>
      <c r="E120" s="481" t="s">
        <v>2420</v>
      </c>
    </row>
    <row r="121" spans="1:5">
      <c r="A121" s="474">
        <f t="shared" si="2"/>
        <v>117</v>
      </c>
      <c r="D121" s="472" t="s">
        <v>2476</v>
      </c>
      <c r="E121" s="481" t="s">
        <v>2420</v>
      </c>
    </row>
    <row r="122" spans="1:5">
      <c r="A122" s="478">
        <f t="shared" si="2"/>
        <v>118</v>
      </c>
      <c r="B122" s="479" t="s">
        <v>1087</v>
      </c>
      <c r="C122" s="479" t="s">
        <v>2077</v>
      </c>
      <c r="D122" s="472" t="s">
        <v>2477</v>
      </c>
      <c r="E122" s="481"/>
    </row>
    <row r="123" spans="1:5">
      <c r="A123" s="474">
        <f t="shared" si="2"/>
        <v>119</v>
      </c>
      <c r="D123" s="472" t="s">
        <v>2398</v>
      </c>
      <c r="E123" s="481" t="s">
        <v>2381</v>
      </c>
    </row>
    <row r="124" spans="1:5">
      <c r="A124" s="478">
        <f t="shared" si="2"/>
        <v>120</v>
      </c>
      <c r="B124" s="479" t="s">
        <v>1622</v>
      </c>
      <c r="C124" s="479" t="s">
        <v>2478</v>
      </c>
      <c r="D124" s="472" t="s">
        <v>2349</v>
      </c>
      <c r="E124" s="481"/>
    </row>
    <row r="125" spans="1:5">
      <c r="A125" s="474">
        <f t="shared" si="2"/>
        <v>121</v>
      </c>
      <c r="B125" s="479" t="s">
        <v>1093</v>
      </c>
      <c r="C125" s="479" t="s">
        <v>2479</v>
      </c>
      <c r="D125" s="472" t="s">
        <v>2349</v>
      </c>
      <c r="E125" s="481"/>
    </row>
    <row r="126" spans="1:5">
      <c r="A126" s="478">
        <f t="shared" si="2"/>
        <v>122</v>
      </c>
      <c r="B126" s="479" t="s">
        <v>1093</v>
      </c>
      <c r="C126" s="479" t="s">
        <v>2082</v>
      </c>
      <c r="D126" s="472" t="s">
        <v>2355</v>
      </c>
      <c r="E126" s="481" t="s">
        <v>2480</v>
      </c>
    </row>
    <row r="127" spans="1:5">
      <c r="A127" s="474">
        <f t="shared" si="2"/>
        <v>123</v>
      </c>
      <c r="B127" s="479" t="s">
        <v>1624</v>
      </c>
      <c r="C127" s="479" t="s">
        <v>2481</v>
      </c>
      <c r="D127" s="472" t="s">
        <v>2349</v>
      </c>
      <c r="E127" s="481"/>
    </row>
    <row r="128" spans="1:5">
      <c r="A128" s="478">
        <f t="shared" si="2"/>
        <v>124</v>
      </c>
      <c r="B128" s="479" t="s">
        <v>1101</v>
      </c>
      <c r="C128" s="479" t="s">
        <v>2102</v>
      </c>
      <c r="D128" s="472" t="s">
        <v>2482</v>
      </c>
      <c r="E128" s="481" t="s">
        <v>2329</v>
      </c>
    </row>
    <row r="129" spans="1:5">
      <c r="A129" s="474">
        <f t="shared" si="2"/>
        <v>125</v>
      </c>
      <c r="D129" s="472" t="s">
        <v>2328</v>
      </c>
      <c r="E129" s="481" t="s">
        <v>2329</v>
      </c>
    </row>
    <row r="130" spans="1:5">
      <c r="A130" s="478">
        <f t="shared" si="2"/>
        <v>126</v>
      </c>
      <c r="B130" s="479" t="s">
        <v>1103</v>
      </c>
      <c r="C130" s="479" t="s">
        <v>2109</v>
      </c>
      <c r="D130" s="472" t="s">
        <v>2483</v>
      </c>
      <c r="E130" s="481" t="s">
        <v>2484</v>
      </c>
    </row>
    <row r="131" spans="1:5">
      <c r="A131" s="474">
        <f t="shared" si="2"/>
        <v>127</v>
      </c>
      <c r="B131" s="479" t="s">
        <v>1109</v>
      </c>
      <c r="C131" s="479" t="s">
        <v>2119</v>
      </c>
      <c r="D131" s="472" t="s">
        <v>2485</v>
      </c>
      <c r="E131" s="481"/>
    </row>
    <row r="132" spans="1:5">
      <c r="A132" s="478">
        <f t="shared" si="2"/>
        <v>128</v>
      </c>
      <c r="D132" s="472" t="s">
        <v>2486</v>
      </c>
      <c r="E132" s="481"/>
    </row>
    <row r="133" spans="1:5">
      <c r="A133" s="474">
        <f t="shared" si="2"/>
        <v>129</v>
      </c>
      <c r="D133" s="472" t="s">
        <v>2487</v>
      </c>
      <c r="E133" s="481"/>
    </row>
    <row r="134" spans="1:5">
      <c r="A134" s="478">
        <f t="shared" si="2"/>
        <v>130</v>
      </c>
      <c r="B134" s="479" t="s">
        <v>164</v>
      </c>
      <c r="C134" s="479" t="s">
        <v>2488</v>
      </c>
      <c r="D134" s="472" t="s">
        <v>2349</v>
      </c>
      <c r="E134" s="481"/>
    </row>
    <row r="135" spans="1:5">
      <c r="A135" s="474">
        <f t="shared" si="2"/>
        <v>131</v>
      </c>
      <c r="B135" s="479" t="s">
        <v>1111</v>
      </c>
      <c r="C135" s="479" t="s">
        <v>2245</v>
      </c>
      <c r="D135" s="472" t="s">
        <v>2489</v>
      </c>
      <c r="E135" s="481"/>
    </row>
    <row r="136" spans="1:5">
      <c r="A136" s="478">
        <f t="shared" si="2"/>
        <v>132</v>
      </c>
      <c r="D136" s="472" t="s">
        <v>2490</v>
      </c>
      <c r="E136" s="481" t="s">
        <v>2491</v>
      </c>
    </row>
    <row r="137" spans="1:5">
      <c r="A137" s="474">
        <f t="shared" si="2"/>
        <v>133</v>
      </c>
      <c r="B137" s="479" t="s">
        <v>1629</v>
      </c>
      <c r="C137" s="479" t="s">
        <v>2125</v>
      </c>
      <c r="D137" s="472" t="s">
        <v>2492</v>
      </c>
      <c r="E137" s="481"/>
    </row>
    <row r="138" spans="1:5">
      <c r="A138" s="478">
        <f t="shared" si="2"/>
        <v>134</v>
      </c>
      <c r="D138" s="472" t="s">
        <v>2493</v>
      </c>
      <c r="E138" s="481" t="s">
        <v>2339</v>
      </c>
    </row>
    <row r="139" spans="1:5">
      <c r="A139" s="474">
        <f t="shared" si="2"/>
        <v>135</v>
      </c>
      <c r="B139" s="479" t="s">
        <v>1117</v>
      </c>
      <c r="C139" s="479" t="s">
        <v>2131</v>
      </c>
      <c r="D139" s="472" t="s">
        <v>2395</v>
      </c>
      <c r="E139" s="481" t="s">
        <v>2329</v>
      </c>
    </row>
    <row r="140" spans="1:5">
      <c r="A140" s="478">
        <f t="shared" si="2"/>
        <v>136</v>
      </c>
      <c r="D140" s="472" t="s">
        <v>2494</v>
      </c>
      <c r="E140" s="481" t="s">
        <v>2352</v>
      </c>
    </row>
    <row r="141" spans="1:5">
      <c r="A141" s="474">
        <f t="shared" si="2"/>
        <v>137</v>
      </c>
      <c r="B141" s="479" t="s">
        <v>1123</v>
      </c>
      <c r="C141" s="479" t="s">
        <v>2138</v>
      </c>
      <c r="D141" s="472" t="s">
        <v>2495</v>
      </c>
      <c r="E141" s="481" t="s">
        <v>2496</v>
      </c>
    </row>
    <row r="142" spans="1:5">
      <c r="A142" s="478">
        <f t="shared" si="2"/>
        <v>138</v>
      </c>
      <c r="B142" s="479" t="s">
        <v>1131</v>
      </c>
      <c r="C142" s="479" t="s">
        <v>2150</v>
      </c>
      <c r="D142" s="472" t="s">
        <v>2497</v>
      </c>
      <c r="E142" s="481"/>
    </row>
    <row r="143" spans="1:5">
      <c r="A143" s="474">
        <f t="shared" ref="A143:A177" si="3">A142+1</f>
        <v>139</v>
      </c>
      <c r="D143" s="472" t="s">
        <v>2498</v>
      </c>
      <c r="E143" s="481" t="s">
        <v>2499</v>
      </c>
    </row>
    <row r="144" spans="1:5">
      <c r="A144" s="478">
        <f t="shared" si="3"/>
        <v>140</v>
      </c>
      <c r="B144" s="479" t="s">
        <v>1135</v>
      </c>
      <c r="C144" s="479" t="s">
        <v>2156</v>
      </c>
      <c r="D144" s="472" t="s">
        <v>2500</v>
      </c>
      <c r="E144" s="481"/>
    </row>
    <row r="145" spans="1:5">
      <c r="A145" s="474">
        <f t="shared" si="3"/>
        <v>141</v>
      </c>
      <c r="B145" s="479" t="s">
        <v>1137</v>
      </c>
      <c r="C145" s="479" t="s">
        <v>2159</v>
      </c>
      <c r="D145" s="472" t="s">
        <v>2501</v>
      </c>
      <c r="E145" s="481"/>
    </row>
    <row r="146" spans="1:5">
      <c r="A146" s="478">
        <f t="shared" si="3"/>
        <v>142</v>
      </c>
      <c r="D146" s="472" t="s">
        <v>2502</v>
      </c>
      <c r="E146" s="481" t="s">
        <v>2503</v>
      </c>
    </row>
    <row r="147" spans="1:5">
      <c r="A147" s="474">
        <f t="shared" si="3"/>
        <v>143</v>
      </c>
      <c r="B147" s="479" t="s">
        <v>1145</v>
      </c>
      <c r="C147" s="479" t="s">
        <v>2180</v>
      </c>
      <c r="D147" s="472" t="s">
        <v>2351</v>
      </c>
      <c r="E147" s="481" t="s">
        <v>2352</v>
      </c>
    </row>
    <row r="148" spans="1:5">
      <c r="A148" s="478">
        <f t="shared" si="3"/>
        <v>144</v>
      </c>
      <c r="B148" s="479" t="s">
        <v>1147</v>
      </c>
      <c r="C148" s="479" t="s">
        <v>2189</v>
      </c>
      <c r="D148" s="472" t="s">
        <v>2504</v>
      </c>
      <c r="E148" s="481" t="s">
        <v>2505</v>
      </c>
    </row>
    <row r="149" spans="1:5">
      <c r="A149" s="474">
        <f t="shared" si="3"/>
        <v>145</v>
      </c>
      <c r="B149" s="479" t="s">
        <v>2192</v>
      </c>
      <c r="C149" s="479" t="s">
        <v>2193</v>
      </c>
      <c r="D149" s="472" t="s">
        <v>2506</v>
      </c>
      <c r="E149" s="481"/>
    </row>
    <row r="150" spans="1:5">
      <c r="A150" s="478">
        <f t="shared" si="3"/>
        <v>146</v>
      </c>
      <c r="D150" s="472" t="s">
        <v>2507</v>
      </c>
      <c r="E150" s="481" t="s">
        <v>2508</v>
      </c>
    </row>
    <row r="151" spans="1:5">
      <c r="A151" s="474">
        <f t="shared" si="3"/>
        <v>147</v>
      </c>
      <c r="B151" s="479" t="s">
        <v>1155</v>
      </c>
      <c r="C151" s="479" t="s">
        <v>2200</v>
      </c>
      <c r="D151" s="472" t="s">
        <v>2494</v>
      </c>
      <c r="E151" s="481" t="s">
        <v>2352</v>
      </c>
    </row>
    <row r="152" spans="1:5">
      <c r="A152" s="478">
        <f t="shared" si="3"/>
        <v>148</v>
      </c>
      <c r="D152" s="472" t="s">
        <v>2509</v>
      </c>
      <c r="E152" s="481" t="s">
        <v>2499</v>
      </c>
    </row>
    <row r="153" spans="1:5">
      <c r="A153" s="474">
        <f t="shared" si="3"/>
        <v>149</v>
      </c>
      <c r="B153" s="479" t="s">
        <v>625</v>
      </c>
      <c r="C153" s="479" t="s">
        <v>2202</v>
      </c>
      <c r="D153" s="472" t="s">
        <v>2510</v>
      </c>
      <c r="E153" s="481" t="s">
        <v>2511</v>
      </c>
    </row>
    <row r="154" spans="1:5">
      <c r="A154" s="478">
        <f t="shared" si="3"/>
        <v>150</v>
      </c>
      <c r="B154" s="479" t="s">
        <v>1157</v>
      </c>
      <c r="C154" s="479" t="s">
        <v>2207</v>
      </c>
      <c r="D154" s="472" t="s">
        <v>2512</v>
      </c>
      <c r="E154" s="481"/>
    </row>
    <row r="155" spans="1:5">
      <c r="A155" s="474">
        <f t="shared" si="3"/>
        <v>151</v>
      </c>
      <c r="B155" s="479" t="s">
        <v>1160</v>
      </c>
      <c r="C155" s="479" t="s">
        <v>2212</v>
      </c>
      <c r="D155" s="472" t="s">
        <v>2513</v>
      </c>
      <c r="E155" s="481" t="s">
        <v>2514</v>
      </c>
    </row>
    <row r="156" spans="1:5">
      <c r="A156" s="478">
        <f t="shared" si="3"/>
        <v>152</v>
      </c>
      <c r="B156" s="479" t="s">
        <v>2515</v>
      </c>
      <c r="C156" s="479" t="s">
        <v>2516</v>
      </c>
      <c r="D156" s="472" t="s">
        <v>2349</v>
      </c>
      <c r="E156" s="481"/>
    </row>
    <row r="157" spans="1:5">
      <c r="A157" s="474">
        <f t="shared" si="3"/>
        <v>153</v>
      </c>
      <c r="B157" s="479" t="s">
        <v>2515</v>
      </c>
      <c r="C157" s="479" t="s">
        <v>2517</v>
      </c>
      <c r="D157" s="472" t="s">
        <v>2349</v>
      </c>
      <c r="E157" s="481"/>
    </row>
    <row r="158" spans="1:5">
      <c r="A158" s="478">
        <f t="shared" si="3"/>
        <v>154</v>
      </c>
      <c r="B158" s="479" t="s">
        <v>1164</v>
      </c>
      <c r="C158" s="479" t="s">
        <v>2216</v>
      </c>
      <c r="D158" s="472" t="s">
        <v>2518</v>
      </c>
      <c r="E158" s="481"/>
    </row>
    <row r="159" spans="1:5">
      <c r="A159" s="474">
        <f t="shared" si="3"/>
        <v>155</v>
      </c>
      <c r="D159" s="472" t="s">
        <v>2519</v>
      </c>
      <c r="E159" s="481" t="s">
        <v>2520</v>
      </c>
    </row>
    <row r="160" spans="1:5">
      <c r="A160" s="478">
        <f t="shared" si="3"/>
        <v>156</v>
      </c>
      <c r="D160" s="472" t="s">
        <v>2521</v>
      </c>
      <c r="E160" s="481" t="s">
        <v>2522</v>
      </c>
    </row>
    <row r="161" spans="1:5">
      <c r="A161" s="474">
        <f t="shared" si="3"/>
        <v>157</v>
      </c>
      <c r="B161" s="479" t="s">
        <v>1166</v>
      </c>
      <c r="C161" s="479" t="s">
        <v>2219</v>
      </c>
      <c r="D161" s="472" t="s">
        <v>2523</v>
      </c>
      <c r="E161" s="481" t="s">
        <v>2524</v>
      </c>
    </row>
    <row r="162" spans="1:5">
      <c r="A162" s="478">
        <f t="shared" si="3"/>
        <v>158</v>
      </c>
      <c r="D162" s="472" t="s">
        <v>2525</v>
      </c>
      <c r="E162" s="481"/>
    </row>
    <row r="163" spans="1:5">
      <c r="A163" s="474">
        <f t="shared" si="3"/>
        <v>159</v>
      </c>
      <c r="D163" s="472" t="s">
        <v>2526</v>
      </c>
      <c r="E163" s="481"/>
    </row>
    <row r="164" spans="1:5">
      <c r="A164" s="478">
        <f t="shared" si="3"/>
        <v>160</v>
      </c>
      <c r="D164" s="472" t="s">
        <v>2527</v>
      </c>
      <c r="E164" s="481"/>
    </row>
    <row r="165" spans="1:5">
      <c r="A165" s="474">
        <f t="shared" si="3"/>
        <v>161</v>
      </c>
      <c r="C165" s="475" t="s">
        <v>2222</v>
      </c>
      <c r="E165" s="481"/>
    </row>
    <row r="166" spans="1:5">
      <c r="A166" s="478">
        <f t="shared" si="3"/>
        <v>162</v>
      </c>
      <c r="C166" s="479" t="s">
        <v>2528</v>
      </c>
      <c r="D166" s="472" t="s">
        <v>2231</v>
      </c>
      <c r="E166" s="481"/>
    </row>
    <row r="167" spans="1:5" ht="14.5">
      <c r="A167" s="474">
        <f t="shared" si="3"/>
        <v>163</v>
      </c>
      <c r="C167" s="433" t="s">
        <v>2288</v>
      </c>
      <c r="E167" s="481"/>
    </row>
    <row r="168" spans="1:5" ht="14.5">
      <c r="A168" s="478">
        <f t="shared" si="3"/>
        <v>164</v>
      </c>
      <c r="C168" s="442" t="s">
        <v>2289</v>
      </c>
      <c r="D168" s="472" t="s">
        <v>2529</v>
      </c>
      <c r="E168" s="481"/>
    </row>
    <row r="169" spans="1:5" ht="14.5">
      <c r="A169" s="757">
        <f t="shared" si="3"/>
        <v>165</v>
      </c>
      <c r="C169" s="442" t="s">
        <v>2291</v>
      </c>
      <c r="D169" s="472" t="s">
        <v>2530</v>
      </c>
      <c r="E169" s="481"/>
    </row>
    <row r="170" spans="1:5" ht="14.5">
      <c r="A170" s="478">
        <f t="shared" si="3"/>
        <v>166</v>
      </c>
      <c r="C170" s="442"/>
      <c r="D170" s="472" t="s">
        <v>2531</v>
      </c>
      <c r="E170" s="481"/>
    </row>
    <row r="171" spans="1:5" ht="14.5">
      <c r="A171" s="757">
        <f t="shared" si="3"/>
        <v>167</v>
      </c>
      <c r="C171" s="442" t="s">
        <v>2267</v>
      </c>
      <c r="D171" s="472" t="s">
        <v>2532</v>
      </c>
      <c r="E171" s="481"/>
    </row>
    <row r="172" spans="1:5" ht="14.5">
      <c r="A172" s="478">
        <f t="shared" si="3"/>
        <v>168</v>
      </c>
      <c r="C172" s="442"/>
      <c r="D172" s="472" t="s">
        <v>2533</v>
      </c>
      <c r="E172" s="481"/>
    </row>
    <row r="173" spans="1:5" ht="14.5">
      <c r="A173" s="757">
        <f t="shared" si="3"/>
        <v>169</v>
      </c>
      <c r="C173" s="442" t="s">
        <v>2301</v>
      </c>
      <c r="D173" s="472" t="s">
        <v>2534</v>
      </c>
      <c r="E173" s="481"/>
    </row>
    <row r="174" spans="1:5" ht="14.5">
      <c r="A174" s="478">
        <f t="shared" si="3"/>
        <v>170</v>
      </c>
      <c r="C174" s="442"/>
      <c r="D174" s="472" t="s">
        <v>2535</v>
      </c>
      <c r="E174" s="481"/>
    </row>
    <row r="175" spans="1:5" ht="14.5">
      <c r="A175" s="757">
        <f t="shared" si="3"/>
        <v>171</v>
      </c>
      <c r="C175" s="442"/>
      <c r="D175" s="472" t="s">
        <v>2536</v>
      </c>
      <c r="E175" s="481"/>
    </row>
    <row r="176" spans="1:5" ht="14.5">
      <c r="A176" s="478">
        <f t="shared" si="3"/>
        <v>172</v>
      </c>
      <c r="C176" s="442" t="s">
        <v>2304</v>
      </c>
      <c r="D176" s="472" t="s">
        <v>2409</v>
      </c>
      <c r="E176" s="481"/>
    </row>
    <row r="177" spans="1:5" ht="14.5">
      <c r="A177" s="757">
        <f t="shared" si="3"/>
        <v>173</v>
      </c>
      <c r="C177" s="442" t="s">
        <v>2306</v>
      </c>
      <c r="D177" s="472" t="s">
        <v>2355</v>
      </c>
      <c r="E177" s="481"/>
    </row>
    <row r="178" spans="1:5">
      <c r="A178" s="478">
        <f>A177+1</f>
        <v>174</v>
      </c>
      <c r="D178" s="472" t="s">
        <v>2537</v>
      </c>
      <c r="E178" s="481"/>
    </row>
    <row r="179" spans="1:5">
      <c r="A179" s="634"/>
      <c r="B179" s="635"/>
      <c r="C179" s="635"/>
      <c r="D179" s="286"/>
      <c r="E179" s="285"/>
    </row>
    <row r="180" spans="1:5" ht="14.5">
      <c r="A180" s="636" t="s">
        <v>2538</v>
      </c>
      <c r="B180" s="637"/>
      <c r="C180" s="637"/>
      <c r="D180" s="638"/>
      <c r="E180" s="639"/>
    </row>
    <row r="181" spans="1:5" ht="13.5" thickBot="1">
      <c r="A181" s="640" t="s">
        <v>2539</v>
      </c>
      <c r="B181" s="643"/>
      <c r="C181" s="643"/>
      <c r="D181" s="297"/>
      <c r="E181" s="300"/>
    </row>
  </sheetData>
  <hyperlinks>
    <hyperlink ref="E1" location="'Cover Sheets'!A18" display="(Back to Worksheet Links)" xr:uid="{00000000-0004-0000-0B00-000000000000}"/>
  </hyperlinks>
  <pageMargins left="0.7" right="0.7" top="0.75" bottom="0.75" header="0.3" footer="0.3"/>
  <pageSetup scale="48" fitToHeight="0" orientation="portrait"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9"/>
  <sheetViews>
    <sheetView view="pageBreakPreview" zoomScaleNormal="100" zoomScaleSheetLayoutView="100" workbookViewId="0"/>
  </sheetViews>
  <sheetFormatPr defaultColWidth="8.81640625" defaultRowHeight="14.5"/>
  <cols>
    <col min="1" max="1" width="40.1796875" style="687" customWidth="1"/>
    <col min="2" max="2" width="91.26953125" style="687" customWidth="1"/>
    <col min="3" max="3" width="15.7265625" style="687" customWidth="1"/>
    <col min="4" max="6" width="9.1796875" style="687" bestFit="1" customWidth="1"/>
    <col min="7" max="16384" width="8.81640625" style="687"/>
  </cols>
  <sheetData>
    <row r="1" spans="1:5" s="686" customFormat="1">
      <c r="A1" s="527" t="str">
        <f>'Cover Sheets'!A10:D10</f>
        <v>WAPA-UGP 2020 Rate True-up Calculation</v>
      </c>
      <c r="B1" s="749" t="s">
        <v>97</v>
      </c>
      <c r="C1" s="236"/>
      <c r="D1" s="708"/>
      <c r="E1" s="231"/>
    </row>
    <row r="2" spans="1:5" s="686" customFormat="1" ht="13">
      <c r="A2" s="573" t="s">
        <v>2540</v>
      </c>
      <c r="B2" s="786"/>
      <c r="C2" s="236"/>
      <c r="D2" s="708"/>
      <c r="E2" s="231"/>
    </row>
    <row r="3" spans="1:5" s="686" customFormat="1" ht="13">
      <c r="A3" s="750" t="str">
        <f>'Summary-TrueUp'!A3</f>
        <v>12 Months Ending 09/30/2020 True-up</v>
      </c>
      <c r="B3" s="787"/>
      <c r="C3" s="236"/>
      <c r="D3" s="708"/>
      <c r="E3" s="231"/>
    </row>
    <row r="4" spans="1:5" s="688" customFormat="1">
      <c r="A4" s="751" t="s">
        <v>2541</v>
      </c>
      <c r="B4" s="752" t="s">
        <v>2542</v>
      </c>
      <c r="C4" s="709"/>
      <c r="D4" s="710"/>
      <c r="E4" s="710"/>
    </row>
    <row r="5" spans="1:5" s="688" customFormat="1" ht="41.25" customHeight="1">
      <c r="A5" s="751" t="s">
        <v>2543</v>
      </c>
      <c r="B5" s="752" t="s">
        <v>2544</v>
      </c>
      <c r="C5" s="709"/>
      <c r="D5" s="710"/>
      <c r="E5" s="710"/>
    </row>
    <row r="6" spans="1:5" s="688" customFormat="1" ht="42" customHeight="1">
      <c r="A6" s="788" t="s">
        <v>2545</v>
      </c>
      <c r="B6" s="753" t="s">
        <v>2546</v>
      </c>
      <c r="C6" s="711"/>
      <c r="D6" s="710"/>
      <c r="E6" s="710"/>
    </row>
    <row r="7" spans="1:5" s="688" customFormat="1" ht="26.5">
      <c r="A7" s="754" t="s">
        <v>2134</v>
      </c>
      <c r="B7" s="752" t="s">
        <v>2547</v>
      </c>
      <c r="C7" s="711"/>
      <c r="D7" s="710"/>
      <c r="E7" s="710"/>
    </row>
    <row r="8" spans="1:5" s="688" customFormat="1">
      <c r="A8" s="754" t="s">
        <v>2180</v>
      </c>
      <c r="B8" s="752" t="s">
        <v>2548</v>
      </c>
      <c r="C8" s="711"/>
      <c r="D8" s="710"/>
      <c r="E8" s="710"/>
    </row>
    <row r="9" spans="1:5" s="688" customFormat="1" ht="29.25" customHeight="1" thickBot="1">
      <c r="A9" s="755" t="s">
        <v>2549</v>
      </c>
      <c r="B9" s="756" t="s">
        <v>2550</v>
      </c>
      <c r="C9" s="710"/>
      <c r="D9" s="710"/>
      <c r="E9" s="710"/>
    </row>
  </sheetData>
  <hyperlinks>
    <hyperlink ref="B1" location="'Cover Sheets'!A18" display="(Back to Worksheet Links)" xr:uid="{26BE3D26-BB31-47C3-9419-53EB253381E1}"/>
  </hyperlinks>
  <pageMargins left="0.7" right="0.7" top="0.75" bottom="0.75" header="0.3" footer="0.3"/>
  <pageSetup scale="69" orientation="portrait" verticalDpi="1200"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0"/>
  <sheetViews>
    <sheetView view="pageBreakPreview" zoomScaleNormal="100" zoomScaleSheetLayoutView="100" workbookViewId="0"/>
  </sheetViews>
  <sheetFormatPr defaultColWidth="13.1796875" defaultRowHeight="14.5"/>
  <cols>
    <col min="1" max="1" width="13.1796875" style="234"/>
    <col min="2" max="2" width="89.453125" style="234" bestFit="1" customWidth="1"/>
    <col min="3" max="3" width="14.81640625" style="234" customWidth="1"/>
    <col min="4" max="4" width="41.54296875" style="234" bestFit="1" customWidth="1"/>
    <col min="5" max="16384" width="13.1796875" style="234"/>
  </cols>
  <sheetData>
    <row r="1" spans="1:4">
      <c r="A1" s="237" t="str">
        <f>'Cover Sheets'!A10:D10</f>
        <v>WAPA-UGP 2020 Rate True-up Calculation</v>
      </c>
      <c r="B1" s="392"/>
      <c r="C1" s="277"/>
      <c r="D1" s="578" t="s">
        <v>97</v>
      </c>
    </row>
    <row r="2" spans="1:4">
      <c r="A2" s="573" t="s">
        <v>2551</v>
      </c>
      <c r="B2" s="513"/>
      <c r="C2" s="278"/>
      <c r="D2" s="279"/>
    </row>
    <row r="3" spans="1:4">
      <c r="A3" s="56" t="str">
        <f>'Summary-TrueUp'!A3</f>
        <v>12 Months Ending 09/30/2020 True-up</v>
      </c>
      <c r="B3" s="278"/>
      <c r="C3" s="278"/>
      <c r="D3" s="279"/>
    </row>
    <row r="4" spans="1:4">
      <c r="A4" s="56"/>
      <c r="B4" s="241" t="s">
        <v>378</v>
      </c>
      <c r="C4" s="242" t="s">
        <v>351</v>
      </c>
      <c r="D4" s="243" t="s">
        <v>102</v>
      </c>
    </row>
    <row r="5" spans="1:4" ht="15" thickBot="1">
      <c r="A5" s="244" t="s">
        <v>383</v>
      </c>
      <c r="B5" s="245">
        <v>-1</v>
      </c>
      <c r="C5" s="245">
        <v>-2</v>
      </c>
      <c r="D5" s="246">
        <v>-3</v>
      </c>
    </row>
    <row r="6" spans="1:4">
      <c r="A6" s="280">
        <v>1</v>
      </c>
      <c r="B6" s="281" t="s">
        <v>2704</v>
      </c>
      <c r="C6" s="830">
        <f>'WS4-CostData'!K134</f>
        <v>11008870.789999999</v>
      </c>
      <c r="D6" s="285" t="s">
        <v>386</v>
      </c>
    </row>
    <row r="7" spans="1:4">
      <c r="A7" s="280">
        <f t="shared" ref="A7:A20" si="0">A6+1</f>
        <v>2</v>
      </c>
      <c r="B7" s="281" t="s">
        <v>2705</v>
      </c>
      <c r="C7" s="830">
        <f>'WS4-CostData'!K109</f>
        <v>231519.94342863557</v>
      </c>
      <c r="D7" s="285" t="s">
        <v>396</v>
      </c>
    </row>
    <row r="8" spans="1:4">
      <c r="A8" s="280">
        <f t="shared" si="0"/>
        <v>3</v>
      </c>
      <c r="B8" s="281" t="s">
        <v>2706</v>
      </c>
      <c r="C8" s="830">
        <f>'WS4-CostData'!K49</f>
        <v>371830.65077387216</v>
      </c>
      <c r="D8" s="285" t="s">
        <v>403</v>
      </c>
    </row>
    <row r="9" spans="1:4">
      <c r="A9" s="280">
        <f t="shared" si="0"/>
        <v>4</v>
      </c>
      <c r="B9" s="281" t="s">
        <v>2707</v>
      </c>
      <c r="C9" s="288">
        <v>0</v>
      </c>
      <c r="D9" s="285" t="s">
        <v>2552</v>
      </c>
    </row>
    <row r="10" spans="1:4" ht="39.5">
      <c r="A10" s="280">
        <f t="shared" si="0"/>
        <v>5</v>
      </c>
      <c r="B10" s="281" t="s">
        <v>408</v>
      </c>
      <c r="C10" s="288">
        <v>0</v>
      </c>
      <c r="D10" s="301" t="s">
        <v>2553</v>
      </c>
    </row>
    <row r="11" spans="1:4">
      <c r="A11" s="280">
        <f t="shared" si="0"/>
        <v>6</v>
      </c>
      <c r="B11" s="281" t="s">
        <v>410</v>
      </c>
      <c r="C11" s="283"/>
      <c r="D11" s="285"/>
    </row>
    <row r="12" spans="1:4">
      <c r="A12" s="280">
        <f t="shared" si="0"/>
        <v>7</v>
      </c>
      <c r="B12" s="286" t="s">
        <v>411</v>
      </c>
      <c r="C12" s="292">
        <f>'WS4-CostData'!K72</f>
        <v>4.3440729198788046E-2</v>
      </c>
      <c r="D12" s="285" t="s">
        <v>2554</v>
      </c>
    </row>
    <row r="13" spans="1:4">
      <c r="A13" s="280">
        <f t="shared" si="0"/>
        <v>8</v>
      </c>
      <c r="B13" s="286" t="s">
        <v>390</v>
      </c>
      <c r="C13" s="288">
        <f>'WS4-CostData'!C26</f>
        <v>8453525.8574448731</v>
      </c>
      <c r="D13" s="285" t="s">
        <v>2555</v>
      </c>
    </row>
    <row r="14" spans="1:4">
      <c r="A14" s="280">
        <f t="shared" si="0"/>
        <v>9</v>
      </c>
      <c r="B14" s="286" t="s">
        <v>421</v>
      </c>
      <c r="C14" s="288">
        <f>C12*C13</f>
        <v>367227.32754821522</v>
      </c>
      <c r="D14" s="285" t="s">
        <v>2556</v>
      </c>
    </row>
    <row r="15" spans="1:4">
      <c r="A15" s="280">
        <f t="shared" si="0"/>
        <v>10</v>
      </c>
      <c r="B15" s="281" t="s">
        <v>424</v>
      </c>
      <c r="C15" s="292"/>
      <c r="D15" s="293"/>
    </row>
    <row r="16" spans="1:4" ht="15" thickBot="1">
      <c r="A16" s="280">
        <f t="shared" si="0"/>
        <v>11</v>
      </c>
      <c r="B16" s="297" t="s">
        <v>427</v>
      </c>
      <c r="C16" s="299">
        <f>C6+C7+C8+C14</f>
        <v>11979448.711750722</v>
      </c>
      <c r="D16" s="300" t="s">
        <v>2557</v>
      </c>
    </row>
    <row r="17" spans="1:4">
      <c r="A17" s="280">
        <f t="shared" si="0"/>
        <v>12</v>
      </c>
      <c r="B17" s="304" t="s">
        <v>2558</v>
      </c>
      <c r="C17" s="305">
        <f>C16*C20</f>
        <v>885018.99407607387</v>
      </c>
      <c r="D17" s="389" t="s">
        <v>2559</v>
      </c>
    </row>
    <row r="18" spans="1:4">
      <c r="A18" s="280">
        <f t="shared" si="0"/>
        <v>13</v>
      </c>
      <c r="B18" s="304" t="s">
        <v>2560</v>
      </c>
      <c r="C18" s="305">
        <f>C16-C17</f>
        <v>11094429.717674648</v>
      </c>
      <c r="D18" s="590" t="s">
        <v>2561</v>
      </c>
    </row>
    <row r="19" spans="1:4">
      <c r="A19" s="280">
        <f t="shared" si="0"/>
        <v>14</v>
      </c>
      <c r="B19" s="526"/>
      <c r="C19" s="526"/>
      <c r="D19" s="389"/>
    </row>
    <row r="20" spans="1:4" s="525" customFormat="1" ht="13.5" thickBot="1">
      <c r="A20" s="244">
        <f t="shared" si="0"/>
        <v>15</v>
      </c>
      <c r="B20" s="390" t="s">
        <v>2562</v>
      </c>
      <c r="C20" s="591">
        <f>'WS8-TransFac'!F516/'WS8-TransFac'!I516</f>
        <v>7.3878107029078294E-2</v>
      </c>
      <c r="D20" s="665" t="s">
        <v>2563</v>
      </c>
    </row>
  </sheetData>
  <hyperlinks>
    <hyperlink ref="D1" location="'Cover Sheets'!A18" display="(Back to Worksheet Links)" xr:uid="{00000000-0004-0000-0D00-000000000000}"/>
  </hyperlinks>
  <pageMargins left="0.7" right="0.7" top="0.75" bottom="0.75" header="0.3" footer="0.3"/>
  <pageSetup scale="76"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8"/>
  <sheetViews>
    <sheetView view="pageBreakPreview" zoomScale="70" zoomScaleNormal="100" zoomScaleSheetLayoutView="70" workbookViewId="0"/>
  </sheetViews>
  <sheetFormatPr defaultColWidth="9.1796875" defaultRowHeight="13"/>
  <cols>
    <col min="1" max="1" width="22.1796875" style="236" customWidth="1"/>
    <col min="2" max="2" width="16.7265625" style="236" customWidth="1"/>
    <col min="3" max="3" width="76.1796875" style="236" bestFit="1" customWidth="1"/>
    <col min="4" max="4" width="27.81640625" style="236" customWidth="1"/>
    <col min="5" max="5" width="22.54296875" style="681" bestFit="1" customWidth="1"/>
    <col min="6" max="6" width="16.54296875" style="236" customWidth="1"/>
    <col min="7" max="7" width="15" style="413" customWidth="1"/>
    <col min="8" max="8" width="22.54296875" style="236" customWidth="1"/>
    <col min="9" max="9" width="17.54296875" style="414" customWidth="1"/>
    <col min="10" max="10" width="12.7265625" style="236" bestFit="1" customWidth="1"/>
    <col min="11" max="11" width="11.54296875" style="236" bestFit="1" customWidth="1"/>
    <col min="12" max="16384" width="9.1796875" style="236"/>
  </cols>
  <sheetData>
    <row r="1" spans="1:14" ht="14.5">
      <c r="A1" s="237" t="str">
        <f>'Cover Sheets'!A10:D10</f>
        <v>WAPA-UGP 2020 Rate True-up Calculation</v>
      </c>
      <c r="B1" s="424"/>
      <c r="C1" s="579" t="s">
        <v>97</v>
      </c>
      <c r="D1" s="238"/>
      <c r="E1" s="677"/>
      <c r="F1" s="238"/>
      <c r="G1" s="420"/>
      <c r="H1" s="238"/>
      <c r="I1" s="421"/>
    </row>
    <row r="2" spans="1:14">
      <c r="A2" s="574" t="s">
        <v>2564</v>
      </c>
      <c r="B2" s="425"/>
      <c r="C2" s="239"/>
      <c r="D2" s="239"/>
      <c r="E2" s="678"/>
      <c r="F2" s="239"/>
      <c r="G2" s="404"/>
      <c r="H2" s="239"/>
      <c r="I2" s="405"/>
    </row>
    <row r="3" spans="1:14">
      <c r="A3" s="240" t="str">
        <f>'Summary-TrueUp'!A3</f>
        <v>12 Months Ending 09/30/2020 True-up</v>
      </c>
      <c r="B3" s="425"/>
      <c r="C3" s="239"/>
      <c r="D3" s="239"/>
      <c r="E3" s="678"/>
      <c r="F3" s="239"/>
      <c r="G3" s="404"/>
      <c r="H3" s="239"/>
      <c r="I3" s="405"/>
    </row>
    <row r="4" spans="1:14" s="3" customFormat="1" ht="42.75" customHeight="1">
      <c r="A4" s="422" t="s">
        <v>2565</v>
      </c>
      <c r="B4" s="426" t="s">
        <v>616</v>
      </c>
      <c r="C4" s="306" t="s">
        <v>378</v>
      </c>
      <c r="D4" s="306" t="s">
        <v>617</v>
      </c>
      <c r="E4" s="679" t="s">
        <v>618</v>
      </c>
      <c r="F4" s="416"/>
      <c r="G4" s="417" t="s">
        <v>650</v>
      </c>
      <c r="H4" s="417" t="s">
        <v>651</v>
      </c>
      <c r="I4" s="418" t="s">
        <v>653</v>
      </c>
      <c r="J4" s="6"/>
      <c r="N4" s="6"/>
    </row>
    <row r="5" spans="1:14" ht="15" customHeight="1">
      <c r="A5" s="396"/>
      <c r="B5" s="427" t="s">
        <v>1215</v>
      </c>
      <c r="C5" s="423" t="s">
        <v>1216</v>
      </c>
      <c r="D5" s="307" t="s">
        <v>627</v>
      </c>
      <c r="E5" s="311">
        <f>E43</f>
        <v>6046940.6499999994</v>
      </c>
      <c r="F5" s="308"/>
      <c r="G5" s="309">
        <v>0</v>
      </c>
      <c r="H5" s="309">
        <f>I5-E5</f>
        <v>0</v>
      </c>
      <c r="I5" s="310">
        <f>I43</f>
        <v>6046940.6499999994</v>
      </c>
      <c r="J5" s="799"/>
      <c r="L5" s="9"/>
      <c r="M5" s="9"/>
      <c r="N5" s="9"/>
    </row>
    <row r="6" spans="1:14">
      <c r="A6" s="396"/>
      <c r="B6" s="427" t="s">
        <v>1218</v>
      </c>
      <c r="C6" s="307" t="s">
        <v>2566</v>
      </c>
      <c r="D6" s="307" t="s">
        <v>627</v>
      </c>
      <c r="E6" s="311">
        <f>E49+E56</f>
        <v>1568214.28</v>
      </c>
      <c r="F6" s="311"/>
      <c r="G6" s="309">
        <v>0</v>
      </c>
      <c r="H6" s="309">
        <f>I6-E6</f>
        <v>-272718.56215000013</v>
      </c>
      <c r="I6" s="310">
        <f>I49+I56</f>
        <v>1295495.7178499999</v>
      </c>
      <c r="J6" s="800"/>
      <c r="L6" s="9"/>
      <c r="M6" s="9"/>
      <c r="N6" s="13"/>
    </row>
    <row r="7" spans="1:14" ht="13.5" thickBot="1">
      <c r="A7" s="397"/>
      <c r="B7" s="428" t="s">
        <v>1220</v>
      </c>
      <c r="C7" s="312" t="s">
        <v>2567</v>
      </c>
      <c r="D7" s="312" t="s">
        <v>627</v>
      </c>
      <c r="E7" s="313">
        <f>E106+E127</f>
        <v>12069071.580000002</v>
      </c>
      <c r="F7" s="313"/>
      <c r="G7" s="314">
        <v>0</v>
      </c>
      <c r="H7" s="314">
        <f>I7-E7</f>
        <v>-1224081.9945500009</v>
      </c>
      <c r="I7" s="315">
        <f>I106+I127</f>
        <v>10844989.585450001</v>
      </c>
      <c r="J7" s="800"/>
      <c r="L7" s="9"/>
      <c r="M7" s="9"/>
      <c r="N7" s="13"/>
    </row>
    <row r="8" spans="1:14">
      <c r="A8" s="316"/>
      <c r="B8" s="427"/>
      <c r="C8" s="318"/>
      <c r="D8" s="318"/>
      <c r="E8" s="534">
        <f>SUM(E5:E7)</f>
        <v>19684226.510000002</v>
      </c>
      <c r="F8" s="319">
        <f>SUM(F5:F7)</f>
        <v>0</v>
      </c>
      <c r="G8" s="321">
        <f>SUM(G5:G7)</f>
        <v>0</v>
      </c>
      <c r="H8" s="320">
        <f>SUM(H5:H7)</f>
        <v>-1496800.556700001</v>
      </c>
      <c r="I8" s="381">
        <f>SUM(I5:I7)</f>
        <v>18187425.953299999</v>
      </c>
      <c r="J8" s="12"/>
      <c r="K8" s="800"/>
      <c r="L8" s="9"/>
      <c r="M8" s="9"/>
      <c r="N8" s="13"/>
    </row>
    <row r="9" spans="1:14" ht="24" customHeight="1">
      <c r="A9" s="400" t="s">
        <v>2568</v>
      </c>
      <c r="B9" s="426" t="s">
        <v>616</v>
      </c>
      <c r="C9" s="306" t="s">
        <v>378</v>
      </c>
      <c r="D9" s="306" t="s">
        <v>629</v>
      </c>
      <c r="E9" s="680" t="s">
        <v>630</v>
      </c>
      <c r="F9" s="401" t="s">
        <v>2569</v>
      </c>
      <c r="G9" s="402" t="s">
        <v>2570</v>
      </c>
      <c r="H9" s="324" t="s">
        <v>2571</v>
      </c>
      <c r="I9" s="415" t="s">
        <v>2572</v>
      </c>
    </row>
    <row r="10" spans="1:14">
      <c r="A10" s="391"/>
      <c r="B10" s="492" t="s">
        <v>2573</v>
      </c>
      <c r="C10" s="419" t="s">
        <v>2574</v>
      </c>
      <c r="D10" s="307" t="s">
        <v>2574</v>
      </c>
      <c r="E10" s="311">
        <f>298.8</f>
        <v>298.8</v>
      </c>
      <c r="F10" s="666">
        <v>1</v>
      </c>
      <c r="G10" s="404">
        <f t="shared" ref="G10:G42" si="0">F10*E10</f>
        <v>298.8</v>
      </c>
      <c r="H10" s="666">
        <v>1</v>
      </c>
      <c r="I10" s="405">
        <f>E10*H10</f>
        <v>298.8</v>
      </c>
    </row>
    <row r="11" spans="1:14">
      <c r="A11" s="391"/>
      <c r="B11" s="492" t="s">
        <v>2573</v>
      </c>
      <c r="C11" s="419" t="s">
        <v>2575</v>
      </c>
      <c r="D11" s="307" t="s">
        <v>2576</v>
      </c>
      <c r="E11" s="311">
        <f>9789.59</f>
        <v>9789.59</v>
      </c>
      <c r="F11" s="666">
        <v>1</v>
      </c>
      <c r="G11" s="404">
        <f t="shared" si="0"/>
        <v>9789.59</v>
      </c>
      <c r="H11" s="666">
        <v>1</v>
      </c>
      <c r="I11" s="405">
        <f t="shared" ref="I11:I42" si="1">E11*H11</f>
        <v>9789.59</v>
      </c>
    </row>
    <row r="12" spans="1:14">
      <c r="A12" s="391"/>
      <c r="B12" s="492" t="s">
        <v>2573</v>
      </c>
      <c r="C12" s="419" t="s">
        <v>2577</v>
      </c>
      <c r="D12" s="307" t="s">
        <v>2576</v>
      </c>
      <c r="E12" s="311">
        <f>1538.62</f>
        <v>1538.62</v>
      </c>
      <c r="F12" s="666">
        <v>1</v>
      </c>
      <c r="G12" s="404">
        <f t="shared" si="0"/>
        <v>1538.62</v>
      </c>
      <c r="H12" s="666">
        <v>1</v>
      </c>
      <c r="I12" s="405">
        <f t="shared" si="1"/>
        <v>1538.62</v>
      </c>
    </row>
    <row r="13" spans="1:14">
      <c r="A13" s="391"/>
      <c r="B13" s="492" t="s">
        <v>2573</v>
      </c>
      <c r="C13" s="419" t="s">
        <v>2578</v>
      </c>
      <c r="D13" s="307" t="s">
        <v>2579</v>
      </c>
      <c r="E13" s="311">
        <f>295485.92</f>
        <v>295485.92</v>
      </c>
      <c r="F13" s="666">
        <v>1</v>
      </c>
      <c r="G13" s="404">
        <f t="shared" si="0"/>
        <v>295485.92</v>
      </c>
      <c r="H13" s="666">
        <v>1</v>
      </c>
      <c r="I13" s="405">
        <f t="shared" si="1"/>
        <v>295485.92</v>
      </c>
    </row>
    <row r="14" spans="1:14">
      <c r="A14" s="391"/>
      <c r="B14" s="492" t="s">
        <v>2573</v>
      </c>
      <c r="C14" s="419" t="s">
        <v>2574</v>
      </c>
      <c r="D14" s="307" t="s">
        <v>2574</v>
      </c>
      <c r="E14" s="311">
        <f>57816.18</f>
        <v>57816.18</v>
      </c>
      <c r="F14" s="666">
        <v>1</v>
      </c>
      <c r="G14" s="404">
        <f t="shared" si="0"/>
        <v>57816.18</v>
      </c>
      <c r="H14" s="666">
        <v>1</v>
      </c>
      <c r="I14" s="405">
        <f t="shared" si="1"/>
        <v>57816.18</v>
      </c>
    </row>
    <row r="15" spans="1:14">
      <c r="A15" s="391"/>
      <c r="B15" s="492" t="s">
        <v>2573</v>
      </c>
      <c r="C15" s="419" t="s">
        <v>2574</v>
      </c>
      <c r="D15" s="307" t="s">
        <v>2580</v>
      </c>
      <c r="E15" s="311">
        <f>5246.19</f>
        <v>5246.19</v>
      </c>
      <c r="F15" s="666">
        <v>1</v>
      </c>
      <c r="G15" s="404">
        <f t="shared" si="0"/>
        <v>5246.19</v>
      </c>
      <c r="H15" s="666">
        <v>1</v>
      </c>
      <c r="I15" s="405">
        <f t="shared" si="1"/>
        <v>5246.19</v>
      </c>
    </row>
    <row r="16" spans="1:14">
      <c r="A16" s="391"/>
      <c r="B16" s="492" t="s">
        <v>2573</v>
      </c>
      <c r="C16" s="419" t="s">
        <v>2581</v>
      </c>
      <c r="D16" s="307" t="s">
        <v>2580</v>
      </c>
      <c r="E16" s="311">
        <f>17479.6</f>
        <v>17479.599999999999</v>
      </c>
      <c r="F16" s="666">
        <v>1</v>
      </c>
      <c r="G16" s="404">
        <f t="shared" si="0"/>
        <v>17479.599999999999</v>
      </c>
      <c r="H16" s="666">
        <v>1</v>
      </c>
      <c r="I16" s="405">
        <f t="shared" si="1"/>
        <v>17479.599999999999</v>
      </c>
    </row>
    <row r="17" spans="1:9">
      <c r="A17" s="391"/>
      <c r="B17" s="492" t="s">
        <v>2573</v>
      </c>
      <c r="C17" s="419" t="s">
        <v>2582</v>
      </c>
      <c r="D17" s="307" t="s">
        <v>2582</v>
      </c>
      <c r="E17" s="311">
        <f>122582.16</f>
        <v>122582.16</v>
      </c>
      <c r="F17" s="666">
        <v>1</v>
      </c>
      <c r="G17" s="404">
        <f t="shared" si="0"/>
        <v>122582.16</v>
      </c>
      <c r="H17" s="666">
        <v>1</v>
      </c>
      <c r="I17" s="405">
        <f t="shared" si="1"/>
        <v>122582.16</v>
      </c>
    </row>
    <row r="18" spans="1:9">
      <c r="A18" s="391"/>
      <c r="B18" s="492" t="s">
        <v>2573</v>
      </c>
      <c r="C18" s="419" t="s">
        <v>2582</v>
      </c>
      <c r="D18" s="307" t="s">
        <v>2582</v>
      </c>
      <c r="E18" s="311">
        <f>12407.04</f>
        <v>12407.04</v>
      </c>
      <c r="F18" s="666">
        <v>1</v>
      </c>
      <c r="G18" s="404">
        <f t="shared" si="0"/>
        <v>12407.04</v>
      </c>
      <c r="H18" s="666">
        <v>1</v>
      </c>
      <c r="I18" s="405">
        <f t="shared" si="1"/>
        <v>12407.04</v>
      </c>
    </row>
    <row r="19" spans="1:9">
      <c r="A19" s="391"/>
      <c r="B19" s="492" t="s">
        <v>2573</v>
      </c>
      <c r="C19" s="419" t="s">
        <v>2583</v>
      </c>
      <c r="D19" s="307" t="s">
        <v>2584</v>
      </c>
      <c r="E19" s="311">
        <f>20216.81</f>
        <v>20216.810000000001</v>
      </c>
      <c r="F19" s="666">
        <v>1</v>
      </c>
      <c r="G19" s="404">
        <f t="shared" si="0"/>
        <v>20216.810000000001</v>
      </c>
      <c r="H19" s="666">
        <v>1</v>
      </c>
      <c r="I19" s="405">
        <f t="shared" si="1"/>
        <v>20216.810000000001</v>
      </c>
    </row>
    <row r="20" spans="1:9">
      <c r="A20" s="391"/>
      <c r="B20" s="492" t="s">
        <v>2573</v>
      </c>
      <c r="C20" s="419" t="s">
        <v>2585</v>
      </c>
      <c r="D20" s="307" t="s">
        <v>2574</v>
      </c>
      <c r="E20" s="311">
        <v>2474.7800000000002</v>
      </c>
      <c r="F20" s="666">
        <v>1</v>
      </c>
      <c r="G20" s="404">
        <f t="shared" si="0"/>
        <v>2474.7800000000002</v>
      </c>
      <c r="H20" s="666">
        <v>1</v>
      </c>
      <c r="I20" s="405">
        <f t="shared" si="1"/>
        <v>2474.7800000000002</v>
      </c>
    </row>
    <row r="21" spans="1:9">
      <c r="A21" s="391"/>
      <c r="B21" s="492" t="s">
        <v>2573</v>
      </c>
      <c r="C21" s="419" t="s">
        <v>2586</v>
      </c>
      <c r="D21" s="307" t="s">
        <v>2586</v>
      </c>
      <c r="E21" s="311">
        <v>38407.760000000002</v>
      </c>
      <c r="F21" s="666">
        <v>1</v>
      </c>
      <c r="G21" s="404">
        <f t="shared" si="0"/>
        <v>38407.760000000002</v>
      </c>
      <c r="H21" s="666">
        <v>1</v>
      </c>
      <c r="I21" s="405">
        <f t="shared" si="1"/>
        <v>38407.760000000002</v>
      </c>
    </row>
    <row r="22" spans="1:9">
      <c r="A22" s="391"/>
      <c r="B22" s="492" t="s">
        <v>2573</v>
      </c>
      <c r="C22" s="419" t="s">
        <v>2575</v>
      </c>
      <c r="D22" s="307" t="s">
        <v>2576</v>
      </c>
      <c r="E22" s="311">
        <f>54137.52</f>
        <v>54137.52</v>
      </c>
      <c r="F22" s="666">
        <v>1</v>
      </c>
      <c r="G22" s="404">
        <f t="shared" si="0"/>
        <v>54137.52</v>
      </c>
      <c r="H22" s="666">
        <v>1</v>
      </c>
      <c r="I22" s="405">
        <f t="shared" si="1"/>
        <v>54137.52</v>
      </c>
    </row>
    <row r="23" spans="1:9">
      <c r="A23" s="391"/>
      <c r="B23" s="492" t="s">
        <v>2573</v>
      </c>
      <c r="C23" s="419" t="s">
        <v>2587</v>
      </c>
      <c r="D23" s="307" t="s">
        <v>2588</v>
      </c>
      <c r="E23" s="311">
        <f>531049.1</f>
        <v>531049.1</v>
      </c>
      <c r="F23" s="666">
        <v>1</v>
      </c>
      <c r="G23" s="404">
        <f t="shared" si="0"/>
        <v>531049.1</v>
      </c>
      <c r="H23" s="666">
        <v>1</v>
      </c>
      <c r="I23" s="405">
        <f t="shared" si="1"/>
        <v>531049.1</v>
      </c>
    </row>
    <row r="24" spans="1:9">
      <c r="A24" s="391"/>
      <c r="B24" s="492" t="s">
        <v>2573</v>
      </c>
      <c r="C24" s="419" t="s">
        <v>2587</v>
      </c>
      <c r="D24" s="307" t="s">
        <v>2589</v>
      </c>
      <c r="E24" s="311">
        <f>90309.47</f>
        <v>90309.47</v>
      </c>
      <c r="F24" s="666">
        <v>1</v>
      </c>
      <c r="G24" s="404">
        <f t="shared" si="0"/>
        <v>90309.47</v>
      </c>
      <c r="H24" s="666">
        <v>1</v>
      </c>
      <c r="I24" s="405">
        <f t="shared" si="1"/>
        <v>90309.47</v>
      </c>
    </row>
    <row r="25" spans="1:9">
      <c r="A25" s="391"/>
      <c r="B25" s="492" t="s">
        <v>2573</v>
      </c>
      <c r="C25" s="419" t="s">
        <v>2590</v>
      </c>
      <c r="D25" s="307" t="s">
        <v>645</v>
      </c>
      <c r="E25" s="311">
        <f>54257.11</f>
        <v>54257.11</v>
      </c>
      <c r="F25" s="666">
        <v>1</v>
      </c>
      <c r="G25" s="404">
        <f t="shared" si="0"/>
        <v>54257.11</v>
      </c>
      <c r="H25" s="666">
        <v>1</v>
      </c>
      <c r="I25" s="405">
        <f t="shared" si="1"/>
        <v>54257.11</v>
      </c>
    </row>
    <row r="26" spans="1:9">
      <c r="A26" s="391"/>
      <c r="B26" s="492" t="s">
        <v>2573</v>
      </c>
      <c r="C26" s="419" t="s">
        <v>2590</v>
      </c>
      <c r="D26" s="307" t="s">
        <v>2591</v>
      </c>
      <c r="E26" s="311">
        <f>475745.99</f>
        <v>475745.99</v>
      </c>
      <c r="F26" s="666">
        <v>1</v>
      </c>
      <c r="G26" s="404">
        <f t="shared" si="0"/>
        <v>475745.99</v>
      </c>
      <c r="H26" s="666">
        <v>1</v>
      </c>
      <c r="I26" s="405">
        <f t="shared" si="1"/>
        <v>475745.99</v>
      </c>
    </row>
    <row r="27" spans="1:9">
      <c r="A27" s="391"/>
      <c r="B27" s="492" t="s">
        <v>2573</v>
      </c>
      <c r="C27" s="419" t="s">
        <v>2592</v>
      </c>
      <c r="D27" s="307" t="s">
        <v>2593</v>
      </c>
      <c r="E27" s="311">
        <f>95962.39</f>
        <v>95962.39</v>
      </c>
      <c r="F27" s="666">
        <v>1</v>
      </c>
      <c r="G27" s="404">
        <f t="shared" si="0"/>
        <v>95962.39</v>
      </c>
      <c r="H27" s="666">
        <v>1</v>
      </c>
      <c r="I27" s="405">
        <f t="shared" si="1"/>
        <v>95962.39</v>
      </c>
    </row>
    <row r="28" spans="1:9">
      <c r="A28" s="391"/>
      <c r="B28" s="492" t="s">
        <v>2573</v>
      </c>
      <c r="C28" s="419" t="s">
        <v>2583</v>
      </c>
      <c r="D28" s="307" t="s">
        <v>2594</v>
      </c>
      <c r="E28" s="311">
        <f>12679.49</f>
        <v>12679.49</v>
      </c>
      <c r="F28" s="666">
        <v>1</v>
      </c>
      <c r="G28" s="404">
        <f t="shared" si="0"/>
        <v>12679.49</v>
      </c>
      <c r="H28" s="666">
        <v>1</v>
      </c>
      <c r="I28" s="405">
        <f t="shared" si="1"/>
        <v>12679.49</v>
      </c>
    </row>
    <row r="29" spans="1:9">
      <c r="A29" s="391"/>
      <c r="B29" s="492" t="s">
        <v>2573</v>
      </c>
      <c r="C29" s="419" t="s">
        <v>2583</v>
      </c>
      <c r="D29" s="307" t="s">
        <v>2256</v>
      </c>
      <c r="E29" s="311">
        <f>1022154.12</f>
        <v>1022154.12</v>
      </c>
      <c r="F29" s="666">
        <v>1</v>
      </c>
      <c r="G29" s="404">
        <f t="shared" si="0"/>
        <v>1022154.12</v>
      </c>
      <c r="H29" s="666">
        <v>1</v>
      </c>
      <c r="I29" s="405">
        <f t="shared" si="1"/>
        <v>1022154.12</v>
      </c>
    </row>
    <row r="30" spans="1:9">
      <c r="A30" s="391"/>
      <c r="B30" s="492" t="s">
        <v>2573</v>
      </c>
      <c r="C30" s="419" t="s">
        <v>2583</v>
      </c>
      <c r="D30" s="307" t="s">
        <v>2595</v>
      </c>
      <c r="E30" s="311">
        <f>122476.25</f>
        <v>122476.25</v>
      </c>
      <c r="F30" s="666">
        <v>1</v>
      </c>
      <c r="G30" s="404">
        <f t="shared" si="0"/>
        <v>122476.25</v>
      </c>
      <c r="H30" s="666">
        <v>1</v>
      </c>
      <c r="I30" s="405">
        <f t="shared" si="1"/>
        <v>122476.25</v>
      </c>
    </row>
    <row r="31" spans="1:9">
      <c r="A31" s="391"/>
      <c r="B31" s="492" t="s">
        <v>2573</v>
      </c>
      <c r="C31" s="419" t="s">
        <v>2596</v>
      </c>
      <c r="D31" s="307" t="s">
        <v>2582</v>
      </c>
      <c r="E31" s="311">
        <f>733679.47</f>
        <v>733679.47</v>
      </c>
      <c r="F31" s="666">
        <v>1</v>
      </c>
      <c r="G31" s="404">
        <f t="shared" si="0"/>
        <v>733679.47</v>
      </c>
      <c r="H31" s="666">
        <v>1</v>
      </c>
      <c r="I31" s="405">
        <f t="shared" si="1"/>
        <v>733679.47</v>
      </c>
    </row>
    <row r="32" spans="1:9">
      <c r="A32" s="391"/>
      <c r="B32" s="492" t="s">
        <v>2573</v>
      </c>
      <c r="C32" s="419" t="s">
        <v>2596</v>
      </c>
      <c r="D32" s="307" t="s">
        <v>2597</v>
      </c>
      <c r="E32" s="311">
        <f>35291.83</f>
        <v>35291.83</v>
      </c>
      <c r="F32" s="666">
        <v>1</v>
      </c>
      <c r="G32" s="404">
        <f t="shared" si="0"/>
        <v>35291.83</v>
      </c>
      <c r="H32" s="666">
        <v>1</v>
      </c>
      <c r="I32" s="405">
        <f t="shared" si="1"/>
        <v>35291.83</v>
      </c>
    </row>
    <row r="33" spans="1:9">
      <c r="A33" s="391"/>
      <c r="B33" s="492" t="s">
        <v>2573</v>
      </c>
      <c r="C33" s="419" t="s">
        <v>2596</v>
      </c>
      <c r="D33" s="307" t="s">
        <v>2598</v>
      </c>
      <c r="E33" s="311">
        <f>13959.4</f>
        <v>13959.4</v>
      </c>
      <c r="F33" s="666">
        <v>1</v>
      </c>
      <c r="G33" s="404">
        <f t="shared" si="0"/>
        <v>13959.4</v>
      </c>
      <c r="H33" s="666">
        <v>1</v>
      </c>
      <c r="I33" s="405">
        <f t="shared" si="1"/>
        <v>13959.4</v>
      </c>
    </row>
    <row r="34" spans="1:9">
      <c r="A34" s="391"/>
      <c r="B34" s="492" t="s">
        <v>2573</v>
      </c>
      <c r="C34" s="419" t="s">
        <v>2599</v>
      </c>
      <c r="D34" s="307" t="s">
        <v>2600</v>
      </c>
      <c r="E34" s="311">
        <f>53112.38</f>
        <v>53112.38</v>
      </c>
      <c r="F34" s="666">
        <v>1</v>
      </c>
      <c r="G34" s="404">
        <f t="shared" si="0"/>
        <v>53112.38</v>
      </c>
      <c r="H34" s="666">
        <v>1</v>
      </c>
      <c r="I34" s="405">
        <f t="shared" si="1"/>
        <v>53112.38</v>
      </c>
    </row>
    <row r="35" spans="1:9">
      <c r="A35" s="391"/>
      <c r="B35" s="492" t="s">
        <v>2573</v>
      </c>
      <c r="C35" s="419" t="s">
        <v>2601</v>
      </c>
      <c r="D35" s="307" t="s">
        <v>2602</v>
      </c>
      <c r="E35" s="311">
        <f>184306.99</f>
        <v>184306.99</v>
      </c>
      <c r="F35" s="666">
        <v>1</v>
      </c>
      <c r="G35" s="404">
        <f t="shared" si="0"/>
        <v>184306.99</v>
      </c>
      <c r="H35" s="666">
        <v>1</v>
      </c>
      <c r="I35" s="405">
        <f t="shared" si="1"/>
        <v>184306.99</v>
      </c>
    </row>
    <row r="36" spans="1:9">
      <c r="A36" s="391"/>
      <c r="B36" s="492" t="s">
        <v>2573</v>
      </c>
      <c r="C36" s="419" t="s">
        <v>2601</v>
      </c>
      <c r="D36" s="307" t="s">
        <v>2603</v>
      </c>
      <c r="E36" s="311">
        <f>97180.43</f>
        <v>97180.43</v>
      </c>
      <c r="F36" s="666">
        <v>1</v>
      </c>
      <c r="G36" s="404">
        <f t="shared" si="0"/>
        <v>97180.43</v>
      </c>
      <c r="H36" s="666">
        <v>1</v>
      </c>
      <c r="I36" s="405">
        <f t="shared" si="1"/>
        <v>97180.43</v>
      </c>
    </row>
    <row r="37" spans="1:9">
      <c r="A37" s="391"/>
      <c r="B37" s="492" t="s">
        <v>2573</v>
      </c>
      <c r="C37" s="419" t="s">
        <v>2601</v>
      </c>
      <c r="D37" s="307" t="s">
        <v>2604</v>
      </c>
      <c r="E37" s="311">
        <f>28884.55</f>
        <v>28884.55</v>
      </c>
      <c r="F37" s="666">
        <v>1</v>
      </c>
      <c r="G37" s="404">
        <f t="shared" si="0"/>
        <v>28884.55</v>
      </c>
      <c r="H37" s="666">
        <v>1</v>
      </c>
      <c r="I37" s="405">
        <f t="shared" si="1"/>
        <v>28884.55</v>
      </c>
    </row>
    <row r="38" spans="1:9">
      <c r="A38" s="391"/>
      <c r="B38" s="492" t="s">
        <v>2573</v>
      </c>
      <c r="C38" s="419" t="s">
        <v>2601</v>
      </c>
      <c r="D38" s="307" t="s">
        <v>2605</v>
      </c>
      <c r="E38" s="311">
        <f>41065.94</f>
        <v>41065.94</v>
      </c>
      <c r="F38" s="666">
        <v>1</v>
      </c>
      <c r="G38" s="404">
        <f t="shared" si="0"/>
        <v>41065.94</v>
      </c>
      <c r="H38" s="666">
        <v>1</v>
      </c>
      <c r="I38" s="405">
        <f t="shared" si="1"/>
        <v>41065.94</v>
      </c>
    </row>
    <row r="39" spans="1:9">
      <c r="A39" s="391"/>
      <c r="B39" s="492" t="s">
        <v>2573</v>
      </c>
      <c r="C39" s="419" t="s">
        <v>2587</v>
      </c>
      <c r="D39" s="307" t="s">
        <v>2588</v>
      </c>
      <c r="E39" s="311">
        <f>1320912.96</f>
        <v>1320912.96</v>
      </c>
      <c r="F39" s="666">
        <v>1</v>
      </c>
      <c r="G39" s="404">
        <f t="shared" si="0"/>
        <v>1320912.96</v>
      </c>
      <c r="H39" s="666">
        <v>1</v>
      </c>
      <c r="I39" s="405">
        <f t="shared" si="1"/>
        <v>1320912.96</v>
      </c>
    </row>
    <row r="40" spans="1:9">
      <c r="A40" s="391"/>
      <c r="B40" s="492" t="s">
        <v>2573</v>
      </c>
      <c r="C40" s="419" t="s">
        <v>2574</v>
      </c>
      <c r="D40" s="307" t="s">
        <v>2574</v>
      </c>
      <c r="E40" s="311">
        <f>454812.77</f>
        <v>454812.77</v>
      </c>
      <c r="F40" s="666">
        <v>1</v>
      </c>
      <c r="G40" s="404">
        <f t="shared" si="0"/>
        <v>454812.77</v>
      </c>
      <c r="H40" s="666">
        <v>1</v>
      </c>
      <c r="I40" s="405">
        <f t="shared" si="1"/>
        <v>454812.77</v>
      </c>
    </row>
    <row r="41" spans="1:9">
      <c r="A41" s="391"/>
      <c r="B41" s="492" t="s">
        <v>1215</v>
      </c>
      <c r="C41" s="419" t="s">
        <v>2600</v>
      </c>
      <c r="D41" s="307" t="s">
        <v>2600</v>
      </c>
      <c r="E41" s="311">
        <f>40641.57</f>
        <v>40641.57</v>
      </c>
      <c r="F41" s="666">
        <v>1</v>
      </c>
      <c r="G41" s="404">
        <f t="shared" si="0"/>
        <v>40641.57</v>
      </c>
      <c r="H41" s="666">
        <v>1</v>
      </c>
      <c r="I41" s="405">
        <f t="shared" si="1"/>
        <v>40641.57</v>
      </c>
    </row>
    <row r="42" spans="1:9">
      <c r="A42" s="391"/>
      <c r="B42" s="492" t="s">
        <v>1215</v>
      </c>
      <c r="C42" s="419" t="s">
        <v>2574</v>
      </c>
      <c r="D42" s="307" t="s">
        <v>2574</v>
      </c>
      <c r="E42" s="311">
        <f>577.47</f>
        <v>577.47</v>
      </c>
      <c r="F42" s="666">
        <v>1</v>
      </c>
      <c r="G42" s="404">
        <f t="shared" si="0"/>
        <v>577.47</v>
      </c>
      <c r="H42" s="666">
        <v>1</v>
      </c>
      <c r="I42" s="405">
        <f t="shared" si="1"/>
        <v>577.47</v>
      </c>
    </row>
    <row r="43" spans="1:9" ht="13.5" thickBot="1">
      <c r="A43" s="391"/>
      <c r="B43" s="492"/>
      <c r="C43" s="489" t="s">
        <v>434</v>
      </c>
      <c r="D43" s="406"/>
      <c r="E43" s="538">
        <f>SUM(E10:E42)</f>
        <v>6046940.6499999994</v>
      </c>
      <c r="F43" s="407"/>
      <c r="G43" s="380">
        <f>SUM(G10:G42)</f>
        <v>6046940.6499999994</v>
      </c>
      <c r="H43" s="407"/>
      <c r="I43" s="317">
        <f>SUM(I10:I42)</f>
        <v>6046940.6499999994</v>
      </c>
    </row>
    <row r="44" spans="1:9" ht="13.5" thickTop="1">
      <c r="A44" s="391"/>
      <c r="B44" s="492" t="s">
        <v>1218</v>
      </c>
      <c r="C44" s="419" t="s">
        <v>2606</v>
      </c>
      <c r="D44" s="307" t="s">
        <v>2606</v>
      </c>
      <c r="E44" s="311">
        <v>146013.4</v>
      </c>
      <c r="F44" s="667">
        <v>0.63700000000000001</v>
      </c>
      <c r="G44" s="404">
        <f t="shared" ref="G44:G48" si="2">F44*E44</f>
        <v>93010.535799999998</v>
      </c>
      <c r="H44" s="667">
        <v>0.81499999999999995</v>
      </c>
      <c r="I44" s="405">
        <f t="shared" ref="I44:I48" si="3">E44*H44</f>
        <v>119000.92099999999</v>
      </c>
    </row>
    <row r="45" spans="1:9">
      <c r="A45" s="391"/>
      <c r="B45" s="492" t="s">
        <v>1218</v>
      </c>
      <c r="C45" s="419" t="s">
        <v>2574</v>
      </c>
      <c r="D45" s="307" t="s">
        <v>2574</v>
      </c>
      <c r="E45" s="311">
        <v>10941.32</v>
      </c>
      <c r="F45" s="667">
        <v>0.63700000000000001</v>
      </c>
      <c r="G45" s="404">
        <f t="shared" si="2"/>
        <v>6969.6208399999996</v>
      </c>
      <c r="H45" s="667">
        <v>0.81499999999999995</v>
      </c>
      <c r="I45" s="405">
        <f t="shared" si="3"/>
        <v>8917.1757999999991</v>
      </c>
    </row>
    <row r="46" spans="1:9">
      <c r="A46" s="391"/>
      <c r="B46" s="492" t="s">
        <v>1218</v>
      </c>
      <c r="C46" s="419" t="s">
        <v>2589</v>
      </c>
      <c r="D46" s="307" t="s">
        <v>2589</v>
      </c>
      <c r="E46" s="311">
        <v>676146.99</v>
      </c>
      <c r="F46" s="667">
        <v>0.63700000000000001</v>
      </c>
      <c r="G46" s="404">
        <f t="shared" si="2"/>
        <v>430705.63263000001</v>
      </c>
      <c r="H46" s="667">
        <v>0.81499999999999995</v>
      </c>
      <c r="I46" s="405">
        <f t="shared" si="3"/>
        <v>551059.79684999993</v>
      </c>
    </row>
    <row r="47" spans="1:9">
      <c r="A47" s="391"/>
      <c r="B47" s="492" t="s">
        <v>1218</v>
      </c>
      <c r="C47" s="419" t="s">
        <v>2607</v>
      </c>
      <c r="D47" s="307" t="s">
        <v>2607</v>
      </c>
      <c r="E47" s="311">
        <v>67520.789999999994</v>
      </c>
      <c r="F47" s="667">
        <v>0.63700000000000001</v>
      </c>
      <c r="G47" s="404">
        <f t="shared" si="2"/>
        <v>43010.74323</v>
      </c>
      <c r="H47" s="667">
        <v>0.81499999999999995</v>
      </c>
      <c r="I47" s="405">
        <f t="shared" si="3"/>
        <v>55029.443849999989</v>
      </c>
    </row>
    <row r="48" spans="1:9">
      <c r="A48" s="391"/>
      <c r="B48" s="492" t="s">
        <v>1218</v>
      </c>
      <c r="C48" s="419" t="s">
        <v>2608</v>
      </c>
      <c r="D48" s="307" t="s">
        <v>2608</v>
      </c>
      <c r="E48" s="311">
        <v>573531.89</v>
      </c>
      <c r="F48" s="667">
        <v>0.63700000000000001</v>
      </c>
      <c r="G48" s="404">
        <f t="shared" si="2"/>
        <v>365339.81393</v>
      </c>
      <c r="H48" s="667">
        <v>0.81499999999999995</v>
      </c>
      <c r="I48" s="405">
        <f t="shared" si="3"/>
        <v>467428.49034999998</v>
      </c>
    </row>
    <row r="49" spans="1:9" ht="13.5" thickBot="1">
      <c r="A49" s="391"/>
      <c r="B49" s="492"/>
      <c r="C49" s="489" t="s">
        <v>434</v>
      </c>
      <c r="D49" s="406"/>
      <c r="E49" s="538">
        <f>SUM(E44:E48)</f>
        <v>1474154.3900000001</v>
      </c>
      <c r="F49" s="407"/>
      <c r="G49" s="380">
        <f>SUM(G44:G48)</f>
        <v>939036.34643000015</v>
      </c>
      <c r="H49" s="407"/>
      <c r="I49" s="317">
        <f>SUM(I44:I48)</f>
        <v>1201435.82785</v>
      </c>
    </row>
    <row r="50" spans="1:9" ht="13.5" thickTop="1">
      <c r="A50" s="391"/>
      <c r="B50" s="492" t="s">
        <v>1218</v>
      </c>
      <c r="C50" s="419" t="s">
        <v>2602</v>
      </c>
      <c r="D50" s="307" t="s">
        <v>2600</v>
      </c>
      <c r="E50" s="311">
        <v>54316.73</v>
      </c>
      <c r="F50" s="666">
        <v>1</v>
      </c>
      <c r="G50" s="404">
        <f t="shared" ref="G50:G55" si="4">F50*E50</f>
        <v>54316.73</v>
      </c>
      <c r="H50" s="666">
        <v>1</v>
      </c>
      <c r="I50" s="405">
        <f t="shared" ref="I50:I55" si="5">E50*H50</f>
        <v>54316.73</v>
      </c>
    </row>
    <row r="51" spans="1:9">
      <c r="A51" s="391"/>
      <c r="B51" s="492" t="s">
        <v>1218</v>
      </c>
      <c r="C51" s="419" t="s">
        <v>2574</v>
      </c>
      <c r="D51" s="307" t="s">
        <v>2574</v>
      </c>
      <c r="E51" s="311">
        <v>20639.32</v>
      </c>
      <c r="F51" s="666">
        <v>1</v>
      </c>
      <c r="G51" s="404">
        <f t="shared" si="4"/>
        <v>20639.32</v>
      </c>
      <c r="H51" s="666">
        <v>1</v>
      </c>
      <c r="I51" s="405">
        <f t="shared" si="5"/>
        <v>20639.32</v>
      </c>
    </row>
    <row r="52" spans="1:9">
      <c r="A52" s="391"/>
      <c r="B52" s="492" t="s">
        <v>1218</v>
      </c>
      <c r="C52" s="419" t="s">
        <v>2583</v>
      </c>
      <c r="D52" s="307" t="s">
        <v>2256</v>
      </c>
      <c r="E52" s="311">
        <v>6525</v>
      </c>
      <c r="F52" s="666">
        <v>1</v>
      </c>
      <c r="G52" s="404">
        <f t="shared" si="4"/>
        <v>6525</v>
      </c>
      <c r="H52" s="666">
        <v>1</v>
      </c>
      <c r="I52" s="405">
        <f t="shared" si="5"/>
        <v>6525</v>
      </c>
    </row>
    <row r="53" spans="1:9">
      <c r="A53" s="391"/>
      <c r="B53" s="492" t="s">
        <v>1218</v>
      </c>
      <c r="C53" s="419" t="s">
        <v>2574</v>
      </c>
      <c r="D53" s="307" t="s">
        <v>2574</v>
      </c>
      <c r="E53" s="311">
        <v>2414.41</v>
      </c>
      <c r="F53" s="666">
        <v>1</v>
      </c>
      <c r="G53" s="404">
        <f t="shared" si="4"/>
        <v>2414.41</v>
      </c>
      <c r="H53" s="666">
        <v>1</v>
      </c>
      <c r="I53" s="405">
        <f t="shared" si="5"/>
        <v>2414.41</v>
      </c>
    </row>
    <row r="54" spans="1:9">
      <c r="A54" s="391"/>
      <c r="B54" s="492" t="s">
        <v>1218</v>
      </c>
      <c r="C54" s="419" t="s">
        <v>2583</v>
      </c>
      <c r="D54" s="307" t="s">
        <v>2256</v>
      </c>
      <c r="E54" s="311">
        <v>8952.5300000000007</v>
      </c>
      <c r="F54" s="666">
        <v>1</v>
      </c>
      <c r="G54" s="404">
        <f t="shared" si="4"/>
        <v>8952.5300000000007</v>
      </c>
      <c r="H54" s="666">
        <v>1</v>
      </c>
      <c r="I54" s="405">
        <f t="shared" si="5"/>
        <v>8952.5300000000007</v>
      </c>
    </row>
    <row r="55" spans="1:9">
      <c r="A55" s="391"/>
      <c r="B55" s="492" t="s">
        <v>1218</v>
      </c>
      <c r="C55" s="419" t="s">
        <v>2574</v>
      </c>
      <c r="D55" s="307" t="s">
        <v>2574</v>
      </c>
      <c r="E55" s="311">
        <v>1211.9000000000001</v>
      </c>
      <c r="F55" s="666">
        <v>1</v>
      </c>
      <c r="G55" s="404">
        <f t="shared" si="4"/>
        <v>1211.9000000000001</v>
      </c>
      <c r="H55" s="666">
        <v>1</v>
      </c>
      <c r="I55" s="405">
        <f t="shared" si="5"/>
        <v>1211.9000000000001</v>
      </c>
    </row>
    <row r="56" spans="1:9" ht="13.5" thickBot="1">
      <c r="A56" s="391"/>
      <c r="B56" s="492"/>
      <c r="C56" s="489" t="s">
        <v>434</v>
      </c>
      <c r="D56" s="406"/>
      <c r="E56" s="538">
        <f>SUM(E50:E55)</f>
        <v>94059.89</v>
      </c>
      <c r="F56" s="407"/>
      <c r="G56" s="380">
        <f>SUM(G50:G55)</f>
        <v>94059.89</v>
      </c>
      <c r="H56" s="406"/>
      <c r="I56" s="317">
        <f>SUM(I50:I55)</f>
        <v>94059.89</v>
      </c>
    </row>
    <row r="57" spans="1:9" ht="13.5" thickTop="1">
      <c r="A57" s="391"/>
      <c r="B57" s="492" t="s">
        <v>1220</v>
      </c>
      <c r="C57" s="486" t="s">
        <v>2609</v>
      </c>
      <c r="D57" s="307" t="s">
        <v>2610</v>
      </c>
      <c r="E57" s="311">
        <f>134174.04</f>
        <v>134174.04</v>
      </c>
      <c r="F57" s="666">
        <v>1</v>
      </c>
      <c r="G57" s="404">
        <f>E57*F57</f>
        <v>134174.04</v>
      </c>
      <c r="H57" s="666">
        <v>1</v>
      </c>
      <c r="I57" s="405">
        <f>E57*H57</f>
        <v>134174.04</v>
      </c>
    </row>
    <row r="58" spans="1:9">
      <c r="A58" s="240"/>
      <c r="B58" s="492" t="s">
        <v>1220</v>
      </c>
      <c r="C58" s="486" t="s">
        <v>2611</v>
      </c>
      <c r="D58" s="307" t="s">
        <v>2603</v>
      </c>
      <c r="E58" s="311">
        <f>59005.31</f>
        <v>59005.31</v>
      </c>
      <c r="F58" s="666">
        <v>1</v>
      </c>
      <c r="G58" s="404">
        <f t="shared" ref="G58:G105" si="6">E58*F58</f>
        <v>59005.31</v>
      </c>
      <c r="H58" s="666">
        <v>1</v>
      </c>
      <c r="I58" s="405">
        <f t="shared" ref="I58:I105" si="7">E58*H58</f>
        <v>59005.31</v>
      </c>
    </row>
    <row r="59" spans="1:9">
      <c r="A59" s="240"/>
      <c r="B59" s="492" t="s">
        <v>1220</v>
      </c>
      <c r="C59" s="486" t="s">
        <v>2612</v>
      </c>
      <c r="D59" s="307" t="s">
        <v>2256</v>
      </c>
      <c r="E59" s="311">
        <f>119667.35</f>
        <v>119667.35</v>
      </c>
      <c r="F59" s="666">
        <v>1</v>
      </c>
      <c r="G59" s="404">
        <f t="shared" si="6"/>
        <v>119667.35</v>
      </c>
      <c r="H59" s="666">
        <v>1</v>
      </c>
      <c r="I59" s="405">
        <f t="shared" si="7"/>
        <v>119667.35</v>
      </c>
    </row>
    <row r="60" spans="1:9">
      <c r="A60" s="240"/>
      <c r="B60" s="492" t="s">
        <v>1220</v>
      </c>
      <c r="C60" s="486" t="s">
        <v>2613</v>
      </c>
      <c r="D60" s="307" t="s">
        <v>2614</v>
      </c>
      <c r="E60" s="311">
        <f>19292.2</f>
        <v>19292.2</v>
      </c>
      <c r="F60" s="666">
        <v>1</v>
      </c>
      <c r="G60" s="404">
        <f t="shared" si="6"/>
        <v>19292.2</v>
      </c>
      <c r="H60" s="666">
        <v>1</v>
      </c>
      <c r="I60" s="405">
        <f t="shared" si="7"/>
        <v>19292.2</v>
      </c>
    </row>
    <row r="61" spans="1:9">
      <c r="A61" s="240"/>
      <c r="B61" s="492" t="s">
        <v>1220</v>
      </c>
      <c r="C61" s="486" t="s">
        <v>2601</v>
      </c>
      <c r="D61" s="307" t="s">
        <v>2602</v>
      </c>
      <c r="E61" s="311">
        <f>53164.52</f>
        <v>53164.52</v>
      </c>
      <c r="F61" s="666">
        <v>1</v>
      </c>
      <c r="G61" s="404">
        <f t="shared" si="6"/>
        <v>53164.52</v>
      </c>
      <c r="H61" s="666">
        <v>1</v>
      </c>
      <c r="I61" s="405">
        <f t="shared" si="7"/>
        <v>53164.52</v>
      </c>
    </row>
    <row r="62" spans="1:9">
      <c r="A62" s="240"/>
      <c r="B62" s="492" t="s">
        <v>1220</v>
      </c>
      <c r="C62" s="486" t="s">
        <v>2601</v>
      </c>
      <c r="D62" s="307" t="s">
        <v>2603</v>
      </c>
      <c r="E62" s="311">
        <f>307465.42</f>
        <v>307465.42</v>
      </c>
      <c r="F62" s="666">
        <v>1</v>
      </c>
      <c r="G62" s="404">
        <f t="shared" si="6"/>
        <v>307465.42</v>
      </c>
      <c r="H62" s="666">
        <v>1</v>
      </c>
      <c r="I62" s="405">
        <f t="shared" si="7"/>
        <v>307465.42</v>
      </c>
    </row>
    <row r="63" spans="1:9">
      <c r="A63" s="240"/>
      <c r="B63" s="492" t="s">
        <v>1220</v>
      </c>
      <c r="C63" s="486" t="s">
        <v>2601</v>
      </c>
      <c r="D63" s="307" t="s">
        <v>2610</v>
      </c>
      <c r="E63" s="311">
        <f>12819.56</f>
        <v>12819.56</v>
      </c>
      <c r="F63" s="666">
        <v>1</v>
      </c>
      <c r="G63" s="404">
        <f t="shared" si="6"/>
        <v>12819.56</v>
      </c>
      <c r="H63" s="666">
        <v>1</v>
      </c>
      <c r="I63" s="405">
        <f t="shared" si="7"/>
        <v>12819.56</v>
      </c>
    </row>
    <row r="64" spans="1:9">
      <c r="A64" s="240"/>
      <c r="B64" s="492" t="s">
        <v>1220</v>
      </c>
      <c r="C64" s="486" t="s">
        <v>2601</v>
      </c>
      <c r="D64" s="307" t="s">
        <v>2605</v>
      </c>
      <c r="E64" s="311">
        <f>415983</f>
        <v>415983</v>
      </c>
      <c r="F64" s="666">
        <v>1</v>
      </c>
      <c r="G64" s="404">
        <f t="shared" si="6"/>
        <v>415983</v>
      </c>
      <c r="H64" s="666">
        <v>1</v>
      </c>
      <c r="I64" s="405">
        <f t="shared" si="7"/>
        <v>415983</v>
      </c>
    </row>
    <row r="65" spans="1:9">
      <c r="A65" s="240"/>
      <c r="B65" s="492" t="s">
        <v>1220</v>
      </c>
      <c r="C65" s="486" t="s">
        <v>2574</v>
      </c>
      <c r="D65" s="307" t="s">
        <v>2574</v>
      </c>
      <c r="E65" s="311">
        <f>150136.1</f>
        <v>150136.1</v>
      </c>
      <c r="F65" s="666">
        <v>1</v>
      </c>
      <c r="G65" s="404">
        <f t="shared" si="6"/>
        <v>150136.1</v>
      </c>
      <c r="H65" s="666">
        <v>1</v>
      </c>
      <c r="I65" s="405">
        <f t="shared" si="7"/>
        <v>150136.1</v>
      </c>
    </row>
    <row r="66" spans="1:9">
      <c r="A66" s="240"/>
      <c r="B66" s="492" t="s">
        <v>1220</v>
      </c>
      <c r="C66" s="486" t="s">
        <v>2574</v>
      </c>
      <c r="D66" s="307" t="s">
        <v>2574</v>
      </c>
      <c r="E66" s="311">
        <f>2533.43</f>
        <v>2533.4299999999998</v>
      </c>
      <c r="F66" s="666">
        <v>1</v>
      </c>
      <c r="G66" s="404">
        <f t="shared" si="6"/>
        <v>2533.4299999999998</v>
      </c>
      <c r="H66" s="666">
        <v>1</v>
      </c>
      <c r="I66" s="405">
        <f t="shared" si="7"/>
        <v>2533.4299999999998</v>
      </c>
    </row>
    <row r="67" spans="1:9">
      <c r="A67" s="240"/>
      <c r="B67" s="492" t="s">
        <v>1220</v>
      </c>
      <c r="C67" s="486" t="s">
        <v>2599</v>
      </c>
      <c r="D67" s="307" t="s">
        <v>2615</v>
      </c>
      <c r="E67" s="311">
        <f>31657.69</f>
        <v>31657.69</v>
      </c>
      <c r="F67" s="666">
        <v>1</v>
      </c>
      <c r="G67" s="404">
        <f t="shared" si="6"/>
        <v>31657.69</v>
      </c>
      <c r="H67" s="666">
        <v>1</v>
      </c>
      <c r="I67" s="405">
        <f t="shared" si="7"/>
        <v>31657.69</v>
      </c>
    </row>
    <row r="68" spans="1:9">
      <c r="A68" s="240"/>
      <c r="B68" s="492" t="s">
        <v>1220</v>
      </c>
      <c r="C68" s="486" t="s">
        <v>2596</v>
      </c>
      <c r="D68" s="307" t="s">
        <v>2582</v>
      </c>
      <c r="E68" s="311">
        <f>85009.25</f>
        <v>85009.25</v>
      </c>
      <c r="F68" s="666">
        <v>1</v>
      </c>
      <c r="G68" s="404">
        <f t="shared" si="6"/>
        <v>85009.25</v>
      </c>
      <c r="H68" s="666">
        <v>1</v>
      </c>
      <c r="I68" s="405">
        <f t="shared" si="7"/>
        <v>85009.25</v>
      </c>
    </row>
    <row r="69" spans="1:9">
      <c r="A69" s="240"/>
      <c r="B69" s="492" t="s">
        <v>1220</v>
      </c>
      <c r="C69" s="486" t="s">
        <v>2602</v>
      </c>
      <c r="D69" s="307" t="s">
        <v>2603</v>
      </c>
      <c r="E69" s="311">
        <f>108684.58</f>
        <v>108684.58</v>
      </c>
      <c r="F69" s="666">
        <v>1</v>
      </c>
      <c r="G69" s="404">
        <f t="shared" si="6"/>
        <v>108684.58</v>
      </c>
      <c r="H69" s="666">
        <v>1</v>
      </c>
      <c r="I69" s="405">
        <f t="shared" si="7"/>
        <v>108684.58</v>
      </c>
    </row>
    <row r="70" spans="1:9">
      <c r="A70" s="240"/>
      <c r="B70" s="492" t="s">
        <v>1220</v>
      </c>
      <c r="C70" s="486" t="s">
        <v>2602</v>
      </c>
      <c r="D70" s="307" t="s">
        <v>2605</v>
      </c>
      <c r="E70" s="311">
        <f>1933.73</f>
        <v>1933.73</v>
      </c>
      <c r="F70" s="666">
        <v>1</v>
      </c>
      <c r="G70" s="404">
        <f t="shared" si="6"/>
        <v>1933.73</v>
      </c>
      <c r="H70" s="666">
        <v>1</v>
      </c>
      <c r="I70" s="405">
        <f t="shared" si="7"/>
        <v>1933.73</v>
      </c>
    </row>
    <row r="71" spans="1:9">
      <c r="A71" s="240"/>
      <c r="B71" s="492" t="s">
        <v>1220</v>
      </c>
      <c r="C71" s="486" t="s">
        <v>2602</v>
      </c>
      <c r="D71" s="307" t="s">
        <v>2602</v>
      </c>
      <c r="E71" s="311">
        <f>38122.92</f>
        <v>38122.92</v>
      </c>
      <c r="F71" s="666">
        <v>1</v>
      </c>
      <c r="G71" s="404">
        <f t="shared" si="6"/>
        <v>38122.92</v>
      </c>
      <c r="H71" s="666">
        <v>1</v>
      </c>
      <c r="I71" s="405">
        <f t="shared" si="7"/>
        <v>38122.92</v>
      </c>
    </row>
    <row r="72" spans="1:9">
      <c r="A72" s="240"/>
      <c r="B72" s="492" t="s">
        <v>1220</v>
      </c>
      <c r="C72" s="486" t="s">
        <v>2574</v>
      </c>
      <c r="D72" s="307" t="s">
        <v>2574</v>
      </c>
      <c r="E72" s="311">
        <f>23485.53</f>
        <v>23485.53</v>
      </c>
      <c r="F72" s="666">
        <v>1</v>
      </c>
      <c r="G72" s="404">
        <f t="shared" si="6"/>
        <v>23485.53</v>
      </c>
      <c r="H72" s="666">
        <v>1</v>
      </c>
      <c r="I72" s="405">
        <f t="shared" si="7"/>
        <v>23485.53</v>
      </c>
    </row>
    <row r="73" spans="1:9">
      <c r="A73" s="240"/>
      <c r="B73" s="492" t="s">
        <v>1220</v>
      </c>
      <c r="C73" s="486" t="s">
        <v>2616</v>
      </c>
      <c r="D73" s="307" t="s">
        <v>2603</v>
      </c>
      <c r="E73" s="311">
        <f>25031.95</f>
        <v>25031.95</v>
      </c>
      <c r="F73" s="666">
        <v>1</v>
      </c>
      <c r="G73" s="404">
        <f t="shared" si="6"/>
        <v>25031.95</v>
      </c>
      <c r="H73" s="666">
        <v>1</v>
      </c>
      <c r="I73" s="405">
        <f t="shared" si="7"/>
        <v>25031.95</v>
      </c>
    </row>
    <row r="74" spans="1:9">
      <c r="A74" s="240"/>
      <c r="B74" s="492" t="s">
        <v>1220</v>
      </c>
      <c r="C74" s="486" t="s">
        <v>2617</v>
      </c>
      <c r="D74" s="307" t="s">
        <v>2574</v>
      </c>
      <c r="E74" s="311">
        <f>513.75</f>
        <v>513.75</v>
      </c>
      <c r="F74" s="666">
        <v>1</v>
      </c>
      <c r="G74" s="404">
        <f t="shared" si="6"/>
        <v>513.75</v>
      </c>
      <c r="H74" s="666">
        <v>1</v>
      </c>
      <c r="I74" s="405">
        <f t="shared" si="7"/>
        <v>513.75</v>
      </c>
    </row>
    <row r="75" spans="1:9">
      <c r="A75" s="240"/>
      <c r="B75" s="492" t="s">
        <v>1220</v>
      </c>
      <c r="C75" s="486" t="s">
        <v>2574</v>
      </c>
      <c r="D75" s="307" t="s">
        <v>2574</v>
      </c>
      <c r="E75" s="311">
        <f>18649.85</f>
        <v>18649.849999999999</v>
      </c>
      <c r="F75" s="666">
        <v>1</v>
      </c>
      <c r="G75" s="404">
        <f t="shared" si="6"/>
        <v>18649.849999999999</v>
      </c>
      <c r="H75" s="666">
        <v>1</v>
      </c>
      <c r="I75" s="405">
        <f t="shared" si="7"/>
        <v>18649.849999999999</v>
      </c>
    </row>
    <row r="76" spans="1:9">
      <c r="A76" s="240"/>
      <c r="B76" s="492" t="s">
        <v>1220</v>
      </c>
      <c r="C76" s="486" t="s">
        <v>2618</v>
      </c>
      <c r="D76" s="307" t="s">
        <v>2610</v>
      </c>
      <c r="E76" s="311">
        <f>2849.9</f>
        <v>2849.9</v>
      </c>
      <c r="F76" s="666">
        <v>1</v>
      </c>
      <c r="G76" s="404">
        <f t="shared" si="6"/>
        <v>2849.9</v>
      </c>
      <c r="H76" s="666">
        <v>1</v>
      </c>
      <c r="I76" s="405">
        <f t="shared" si="7"/>
        <v>2849.9</v>
      </c>
    </row>
    <row r="77" spans="1:9">
      <c r="A77" s="240"/>
      <c r="B77" s="492" t="s">
        <v>1220</v>
      </c>
      <c r="C77" s="486" t="s">
        <v>2619</v>
      </c>
      <c r="D77" s="307" t="s">
        <v>2610</v>
      </c>
      <c r="E77" s="311">
        <f>6624.56</f>
        <v>6624.56</v>
      </c>
      <c r="F77" s="666">
        <v>1</v>
      </c>
      <c r="G77" s="404">
        <f t="shared" si="6"/>
        <v>6624.56</v>
      </c>
      <c r="H77" s="666">
        <v>1</v>
      </c>
      <c r="I77" s="405">
        <f t="shared" si="7"/>
        <v>6624.56</v>
      </c>
    </row>
    <row r="78" spans="1:9">
      <c r="A78" s="240"/>
      <c r="B78" s="492" t="s">
        <v>1220</v>
      </c>
      <c r="C78" s="486" t="s">
        <v>2620</v>
      </c>
      <c r="D78" s="307" t="s">
        <v>2586</v>
      </c>
      <c r="E78" s="311">
        <f>98002.74</f>
        <v>98002.74</v>
      </c>
      <c r="F78" s="666">
        <v>1</v>
      </c>
      <c r="G78" s="404">
        <f t="shared" si="6"/>
        <v>98002.74</v>
      </c>
      <c r="H78" s="666">
        <v>1</v>
      </c>
      <c r="I78" s="405">
        <f t="shared" si="7"/>
        <v>98002.74</v>
      </c>
    </row>
    <row r="79" spans="1:9">
      <c r="A79" s="240"/>
      <c r="B79" s="492" t="s">
        <v>1220</v>
      </c>
      <c r="C79" s="486" t="s">
        <v>2574</v>
      </c>
      <c r="D79" s="307" t="s">
        <v>2574</v>
      </c>
      <c r="E79" s="311">
        <f>3247.51</f>
        <v>3247.51</v>
      </c>
      <c r="F79" s="666">
        <v>1</v>
      </c>
      <c r="G79" s="404">
        <f t="shared" si="6"/>
        <v>3247.51</v>
      </c>
      <c r="H79" s="666">
        <v>1</v>
      </c>
      <c r="I79" s="405">
        <f t="shared" si="7"/>
        <v>3247.51</v>
      </c>
    </row>
    <row r="80" spans="1:9">
      <c r="A80" s="240"/>
      <c r="B80" s="492" t="s">
        <v>1220</v>
      </c>
      <c r="C80" s="486" t="s">
        <v>2596</v>
      </c>
      <c r="D80" s="307" t="s">
        <v>2582</v>
      </c>
      <c r="E80" s="311">
        <f>226333.26</f>
        <v>226333.26</v>
      </c>
      <c r="F80" s="666">
        <v>1</v>
      </c>
      <c r="G80" s="404">
        <f t="shared" si="6"/>
        <v>226333.26</v>
      </c>
      <c r="H80" s="666">
        <v>1</v>
      </c>
      <c r="I80" s="405">
        <f t="shared" si="7"/>
        <v>226333.26</v>
      </c>
    </row>
    <row r="81" spans="1:9">
      <c r="A81" s="240"/>
      <c r="B81" s="492" t="s">
        <v>1220</v>
      </c>
      <c r="C81" s="486" t="s">
        <v>2574</v>
      </c>
      <c r="D81" s="307" t="s">
        <v>2574</v>
      </c>
      <c r="E81" s="311">
        <f>13470.93</f>
        <v>13470.93</v>
      </c>
      <c r="F81" s="666">
        <v>1</v>
      </c>
      <c r="G81" s="404">
        <f t="shared" si="6"/>
        <v>13470.93</v>
      </c>
      <c r="H81" s="666">
        <v>1</v>
      </c>
      <c r="I81" s="405">
        <f t="shared" si="7"/>
        <v>13470.93</v>
      </c>
    </row>
    <row r="82" spans="1:9">
      <c r="A82" s="240"/>
      <c r="B82" s="492" t="s">
        <v>1220</v>
      </c>
      <c r="C82" s="486" t="s">
        <v>2621</v>
      </c>
      <c r="D82" s="307" t="s">
        <v>2615</v>
      </c>
      <c r="E82" s="311">
        <f>70114.66</f>
        <v>70114.66</v>
      </c>
      <c r="F82" s="666">
        <v>1</v>
      </c>
      <c r="G82" s="404">
        <f t="shared" si="6"/>
        <v>70114.66</v>
      </c>
      <c r="H82" s="666">
        <v>1</v>
      </c>
      <c r="I82" s="405">
        <f t="shared" si="7"/>
        <v>70114.66</v>
      </c>
    </row>
    <row r="83" spans="1:9">
      <c r="A83" s="240"/>
      <c r="B83" s="492" t="s">
        <v>1220</v>
      </c>
      <c r="C83" s="486" t="s">
        <v>2574</v>
      </c>
      <c r="D83" s="307" t="s">
        <v>2574</v>
      </c>
      <c r="E83" s="311">
        <f>1421.38</f>
        <v>1421.38</v>
      </c>
      <c r="F83" s="666">
        <v>1</v>
      </c>
      <c r="G83" s="404">
        <f t="shared" si="6"/>
        <v>1421.38</v>
      </c>
      <c r="H83" s="666">
        <v>1</v>
      </c>
      <c r="I83" s="405">
        <f t="shared" si="7"/>
        <v>1421.38</v>
      </c>
    </row>
    <row r="84" spans="1:9">
      <c r="A84" s="240"/>
      <c r="B84" s="492" t="s">
        <v>1220</v>
      </c>
      <c r="C84" s="486" t="s">
        <v>2622</v>
      </c>
      <c r="D84" s="307" t="s">
        <v>2615</v>
      </c>
      <c r="E84" s="311">
        <f>61004.73</f>
        <v>61004.73</v>
      </c>
      <c r="F84" s="666">
        <v>1</v>
      </c>
      <c r="G84" s="404">
        <f t="shared" si="6"/>
        <v>61004.73</v>
      </c>
      <c r="H84" s="666">
        <v>1</v>
      </c>
      <c r="I84" s="405">
        <f t="shared" si="7"/>
        <v>61004.73</v>
      </c>
    </row>
    <row r="85" spans="1:9">
      <c r="A85" s="240"/>
      <c r="B85" s="492" t="s">
        <v>1220</v>
      </c>
      <c r="C85" s="486" t="s">
        <v>2623</v>
      </c>
      <c r="D85" s="307" t="s">
        <v>2256</v>
      </c>
      <c r="E85" s="311">
        <f>202050</f>
        <v>202050</v>
      </c>
      <c r="F85" s="666">
        <v>1</v>
      </c>
      <c r="G85" s="404">
        <f t="shared" si="6"/>
        <v>202050</v>
      </c>
      <c r="H85" s="666">
        <v>1</v>
      </c>
      <c r="I85" s="405">
        <f t="shared" si="7"/>
        <v>202050</v>
      </c>
    </row>
    <row r="86" spans="1:9">
      <c r="A86" s="240"/>
      <c r="B86" s="492" t="s">
        <v>1220</v>
      </c>
      <c r="C86" s="486" t="s">
        <v>2574</v>
      </c>
      <c r="D86" s="307" t="s">
        <v>2574</v>
      </c>
      <c r="E86" s="311">
        <f>6760.85</f>
        <v>6760.85</v>
      </c>
      <c r="F86" s="666">
        <v>1</v>
      </c>
      <c r="G86" s="404">
        <f t="shared" si="6"/>
        <v>6760.85</v>
      </c>
      <c r="H86" s="666">
        <v>1</v>
      </c>
      <c r="I86" s="405">
        <f t="shared" si="7"/>
        <v>6760.85</v>
      </c>
    </row>
    <row r="87" spans="1:9">
      <c r="A87" s="240"/>
      <c r="B87" s="492" t="s">
        <v>1220</v>
      </c>
      <c r="C87" s="486" t="s">
        <v>2256</v>
      </c>
      <c r="D87" s="307" t="s">
        <v>2595</v>
      </c>
      <c r="E87" s="311">
        <f>121027.36</f>
        <v>121027.36</v>
      </c>
      <c r="F87" s="666">
        <v>1</v>
      </c>
      <c r="G87" s="404">
        <f t="shared" si="6"/>
        <v>121027.36</v>
      </c>
      <c r="H87" s="666">
        <v>1</v>
      </c>
      <c r="I87" s="405">
        <f t="shared" si="7"/>
        <v>121027.36</v>
      </c>
    </row>
    <row r="88" spans="1:9">
      <c r="A88" s="240"/>
      <c r="B88" s="492" t="s">
        <v>1220</v>
      </c>
      <c r="C88" s="486" t="s">
        <v>2574</v>
      </c>
      <c r="D88" s="307" t="s">
        <v>2574</v>
      </c>
      <c r="E88" s="311">
        <f>2483.93</f>
        <v>2483.9299999999998</v>
      </c>
      <c r="F88" s="666">
        <v>1</v>
      </c>
      <c r="G88" s="404">
        <f t="shared" si="6"/>
        <v>2483.9299999999998</v>
      </c>
      <c r="H88" s="666">
        <v>1</v>
      </c>
      <c r="I88" s="405">
        <f t="shared" si="7"/>
        <v>2483.9299999999998</v>
      </c>
    </row>
    <row r="89" spans="1:9">
      <c r="A89" s="240"/>
      <c r="B89" s="492" t="s">
        <v>1220</v>
      </c>
      <c r="C89" s="486" t="s">
        <v>2624</v>
      </c>
      <c r="D89" s="307" t="s">
        <v>2593</v>
      </c>
      <c r="E89" s="311">
        <f>454503.96</f>
        <v>454503.96</v>
      </c>
      <c r="F89" s="666">
        <v>1</v>
      </c>
      <c r="G89" s="404">
        <f t="shared" si="6"/>
        <v>454503.96</v>
      </c>
      <c r="H89" s="666">
        <v>1</v>
      </c>
      <c r="I89" s="405">
        <f t="shared" si="7"/>
        <v>454503.96</v>
      </c>
    </row>
    <row r="90" spans="1:9">
      <c r="A90" s="240"/>
      <c r="B90" s="492" t="s">
        <v>1220</v>
      </c>
      <c r="C90" s="486" t="s">
        <v>2574</v>
      </c>
      <c r="D90" s="307" t="s">
        <v>2574</v>
      </c>
      <c r="E90" s="311">
        <f>12877</f>
        <v>12877</v>
      </c>
      <c r="F90" s="666">
        <v>1</v>
      </c>
      <c r="G90" s="404">
        <f t="shared" si="6"/>
        <v>12877</v>
      </c>
      <c r="H90" s="666">
        <v>1</v>
      </c>
      <c r="I90" s="405">
        <f t="shared" si="7"/>
        <v>12877</v>
      </c>
    </row>
    <row r="91" spans="1:9">
      <c r="A91" s="240"/>
      <c r="B91" s="492" t="s">
        <v>1220</v>
      </c>
      <c r="C91" s="486" t="s">
        <v>2625</v>
      </c>
      <c r="D91" s="307" t="s">
        <v>2256</v>
      </c>
      <c r="E91" s="311">
        <f>20216.8</f>
        <v>20216.8</v>
      </c>
      <c r="F91" s="666">
        <v>1</v>
      </c>
      <c r="G91" s="404">
        <f t="shared" si="6"/>
        <v>20216.8</v>
      </c>
      <c r="H91" s="666">
        <v>1</v>
      </c>
      <c r="I91" s="405">
        <f t="shared" si="7"/>
        <v>20216.8</v>
      </c>
    </row>
    <row r="92" spans="1:9">
      <c r="A92" s="240"/>
      <c r="B92" s="492" t="s">
        <v>1220</v>
      </c>
      <c r="C92" s="486" t="s">
        <v>2574</v>
      </c>
      <c r="D92" s="307" t="s">
        <v>2574</v>
      </c>
      <c r="E92" s="311">
        <f>1978.87</f>
        <v>1978.87</v>
      </c>
      <c r="F92" s="666">
        <v>1</v>
      </c>
      <c r="G92" s="404">
        <f t="shared" si="6"/>
        <v>1978.87</v>
      </c>
      <c r="H92" s="666">
        <v>1</v>
      </c>
      <c r="I92" s="405">
        <f t="shared" si="7"/>
        <v>1978.87</v>
      </c>
    </row>
    <row r="93" spans="1:9">
      <c r="A93" s="240"/>
      <c r="B93" s="492" t="s">
        <v>1220</v>
      </c>
      <c r="C93" s="486" t="s">
        <v>2626</v>
      </c>
      <c r="D93" s="307" t="s">
        <v>2597</v>
      </c>
      <c r="E93" s="311">
        <f>36320.07</f>
        <v>36320.07</v>
      </c>
      <c r="F93" s="666">
        <v>1</v>
      </c>
      <c r="G93" s="404">
        <f t="shared" si="6"/>
        <v>36320.07</v>
      </c>
      <c r="H93" s="666">
        <v>1</v>
      </c>
      <c r="I93" s="405">
        <f t="shared" si="7"/>
        <v>36320.07</v>
      </c>
    </row>
    <row r="94" spans="1:9">
      <c r="A94" s="240"/>
      <c r="B94" s="492" t="s">
        <v>1220</v>
      </c>
      <c r="C94" s="486" t="s">
        <v>2574</v>
      </c>
      <c r="D94" s="307" t="s">
        <v>2574</v>
      </c>
      <c r="E94" s="311">
        <f>630.74</f>
        <v>630.74</v>
      </c>
      <c r="F94" s="666">
        <v>1</v>
      </c>
      <c r="G94" s="404">
        <f t="shared" si="6"/>
        <v>630.74</v>
      </c>
      <c r="H94" s="666">
        <v>1</v>
      </c>
      <c r="I94" s="405">
        <f t="shared" si="7"/>
        <v>630.74</v>
      </c>
    </row>
    <row r="95" spans="1:9">
      <c r="A95" s="240"/>
      <c r="B95" s="492" t="s">
        <v>1220</v>
      </c>
      <c r="C95" s="486" t="s">
        <v>2627</v>
      </c>
      <c r="D95" s="307" t="s">
        <v>2256</v>
      </c>
      <c r="E95" s="311">
        <f>23846.74</f>
        <v>23846.74</v>
      </c>
      <c r="F95" s="666">
        <v>1</v>
      </c>
      <c r="G95" s="404">
        <f t="shared" si="6"/>
        <v>23846.74</v>
      </c>
      <c r="H95" s="666">
        <v>1</v>
      </c>
      <c r="I95" s="405">
        <f t="shared" si="7"/>
        <v>23846.74</v>
      </c>
    </row>
    <row r="96" spans="1:9">
      <c r="A96" s="240"/>
      <c r="B96" s="492" t="s">
        <v>1220</v>
      </c>
      <c r="C96" s="486" t="s">
        <v>2628</v>
      </c>
      <c r="D96" s="307" t="s">
        <v>2629</v>
      </c>
      <c r="E96" s="311">
        <f>57731</f>
        <v>57731</v>
      </c>
      <c r="F96" s="666">
        <v>1</v>
      </c>
      <c r="G96" s="404">
        <f t="shared" si="6"/>
        <v>57731</v>
      </c>
      <c r="H96" s="666">
        <v>1</v>
      </c>
      <c r="I96" s="405">
        <f t="shared" si="7"/>
        <v>57731</v>
      </c>
    </row>
    <row r="97" spans="1:9">
      <c r="A97" s="240"/>
      <c r="B97" s="492" t="s">
        <v>1220</v>
      </c>
      <c r="C97" s="486" t="s">
        <v>2599</v>
      </c>
      <c r="D97" s="307" t="s">
        <v>2600</v>
      </c>
      <c r="E97" s="311">
        <f>144190.32</f>
        <v>144190.32</v>
      </c>
      <c r="F97" s="666">
        <v>1</v>
      </c>
      <c r="G97" s="404">
        <f t="shared" si="6"/>
        <v>144190.32</v>
      </c>
      <c r="H97" s="666">
        <v>1</v>
      </c>
      <c r="I97" s="405">
        <f t="shared" si="7"/>
        <v>144190.32</v>
      </c>
    </row>
    <row r="98" spans="1:9">
      <c r="A98" s="240"/>
      <c r="B98" s="492" t="s">
        <v>1220</v>
      </c>
      <c r="C98" s="486" t="s">
        <v>2600</v>
      </c>
      <c r="D98" s="307" t="s">
        <v>2600</v>
      </c>
      <c r="E98" s="311">
        <f>167020.06</f>
        <v>167020.06</v>
      </c>
      <c r="F98" s="666">
        <v>1</v>
      </c>
      <c r="G98" s="404">
        <f t="shared" si="6"/>
        <v>167020.06</v>
      </c>
      <c r="H98" s="666">
        <v>1</v>
      </c>
      <c r="I98" s="405">
        <f t="shared" si="7"/>
        <v>167020.06</v>
      </c>
    </row>
    <row r="99" spans="1:9">
      <c r="A99" s="240"/>
      <c r="B99" s="492" t="s">
        <v>1220</v>
      </c>
      <c r="C99" s="486" t="s">
        <v>2574</v>
      </c>
      <c r="D99" s="307" t="s">
        <v>2574</v>
      </c>
      <c r="E99" s="311">
        <f>2373.14</f>
        <v>2373.14</v>
      </c>
      <c r="F99" s="666">
        <v>1</v>
      </c>
      <c r="G99" s="404">
        <f t="shared" si="6"/>
        <v>2373.14</v>
      </c>
      <c r="H99" s="666">
        <v>1</v>
      </c>
      <c r="I99" s="405">
        <f t="shared" si="7"/>
        <v>2373.14</v>
      </c>
    </row>
    <row r="100" spans="1:9">
      <c r="A100" s="240"/>
      <c r="B100" s="492" t="s">
        <v>1220</v>
      </c>
      <c r="C100" s="486" t="s">
        <v>2603</v>
      </c>
      <c r="D100" s="307" t="s">
        <v>2603</v>
      </c>
      <c r="E100" s="311">
        <v>267248.89</v>
      </c>
      <c r="F100" s="666">
        <v>1</v>
      </c>
      <c r="G100" s="404">
        <f t="shared" si="6"/>
        <v>267248.89</v>
      </c>
      <c r="H100" s="666">
        <v>1</v>
      </c>
      <c r="I100" s="405">
        <f t="shared" si="7"/>
        <v>267248.89</v>
      </c>
    </row>
    <row r="101" spans="1:9">
      <c r="A101" s="240"/>
      <c r="B101" s="492" t="s">
        <v>1220</v>
      </c>
      <c r="C101" s="486" t="s">
        <v>2574</v>
      </c>
      <c r="D101" s="307" t="s">
        <v>2574</v>
      </c>
      <c r="E101" s="311">
        <v>16353.85</v>
      </c>
      <c r="F101" s="666">
        <v>1</v>
      </c>
      <c r="G101" s="404">
        <f t="shared" si="6"/>
        <v>16353.85</v>
      </c>
      <c r="H101" s="666">
        <v>1</v>
      </c>
      <c r="I101" s="405">
        <f t="shared" si="7"/>
        <v>16353.85</v>
      </c>
    </row>
    <row r="102" spans="1:9">
      <c r="A102" s="240"/>
      <c r="B102" s="492" t="s">
        <v>1220</v>
      </c>
      <c r="C102" s="486" t="s">
        <v>2630</v>
      </c>
      <c r="D102" s="307" t="s">
        <v>2615</v>
      </c>
      <c r="E102" s="311">
        <v>559892.23</v>
      </c>
      <c r="F102" s="666">
        <v>1</v>
      </c>
      <c r="G102" s="404">
        <f t="shared" si="6"/>
        <v>559892.23</v>
      </c>
      <c r="H102" s="666">
        <v>1</v>
      </c>
      <c r="I102" s="405">
        <f t="shared" si="7"/>
        <v>559892.23</v>
      </c>
    </row>
    <row r="103" spans="1:9">
      <c r="A103" s="240"/>
      <c r="B103" s="492" t="s">
        <v>1220</v>
      </c>
      <c r="C103" s="486" t="s">
        <v>2574</v>
      </c>
      <c r="D103" s="307" t="s">
        <v>2574</v>
      </c>
      <c r="E103" s="311">
        <v>33279.980000000003</v>
      </c>
      <c r="F103" s="666">
        <v>1</v>
      </c>
      <c r="G103" s="404">
        <f t="shared" si="6"/>
        <v>33279.980000000003</v>
      </c>
      <c r="H103" s="666">
        <v>1</v>
      </c>
      <c r="I103" s="405">
        <f t="shared" si="7"/>
        <v>33279.980000000003</v>
      </c>
    </row>
    <row r="104" spans="1:9">
      <c r="A104" s="240"/>
      <c r="B104" s="492" t="s">
        <v>1220</v>
      </c>
      <c r="C104" s="486" t="s">
        <v>2256</v>
      </c>
      <c r="D104" s="307" t="s">
        <v>2256</v>
      </c>
      <c r="E104" s="311">
        <v>1215753.6000000001</v>
      </c>
      <c r="F104" s="666">
        <v>1</v>
      </c>
      <c r="G104" s="404">
        <f t="shared" si="6"/>
        <v>1215753.6000000001</v>
      </c>
      <c r="H104" s="666">
        <v>1</v>
      </c>
      <c r="I104" s="405">
        <f t="shared" si="7"/>
        <v>1215753.6000000001</v>
      </c>
    </row>
    <row r="105" spans="1:9">
      <c r="A105" s="240"/>
      <c r="B105" s="492" t="s">
        <v>1220</v>
      </c>
      <c r="C105" s="486" t="s">
        <v>2574</v>
      </c>
      <c r="D105" s="307" t="s">
        <v>2574</v>
      </c>
      <c r="E105" s="311">
        <v>15472.91</v>
      </c>
      <c r="F105" s="666">
        <v>1</v>
      </c>
      <c r="G105" s="404">
        <f t="shared" si="6"/>
        <v>15472.91</v>
      </c>
      <c r="H105" s="666">
        <v>1</v>
      </c>
      <c r="I105" s="405">
        <f t="shared" si="7"/>
        <v>15472.91</v>
      </c>
    </row>
    <row r="106" spans="1:9" s="408" customFormat="1" ht="13.5" thickBot="1">
      <c r="A106" s="240"/>
      <c r="B106" s="492"/>
      <c r="C106" s="490" t="s">
        <v>434</v>
      </c>
      <c r="D106" s="406"/>
      <c r="E106" s="538">
        <f>SUM(E57:E105)</f>
        <v>5452412.1500000004</v>
      </c>
      <c r="F106" s="407"/>
      <c r="G106" s="380">
        <f>SUM(G57:G105)</f>
        <v>5452412.1500000004</v>
      </c>
      <c r="H106" s="406"/>
      <c r="I106" s="317">
        <f>SUM(I57:I105)</f>
        <v>5452412.1500000004</v>
      </c>
    </row>
    <row r="107" spans="1:9" ht="13.5" thickTop="1">
      <c r="A107" s="240"/>
      <c r="B107" s="492" t="s">
        <v>1220</v>
      </c>
      <c r="C107" s="486" t="s">
        <v>2631</v>
      </c>
      <c r="D107" s="307" t="s">
        <v>2632</v>
      </c>
      <c r="E107" s="311">
        <f>636801.91</f>
        <v>636801.91</v>
      </c>
      <c r="F107" s="667">
        <v>0.63700000000000001</v>
      </c>
      <c r="G107" s="404">
        <f>E107*F107</f>
        <v>405642.81667000003</v>
      </c>
      <c r="H107" s="667">
        <v>0.81499999999999995</v>
      </c>
      <c r="I107" s="405">
        <f>E107*H107</f>
        <v>518993.55664999998</v>
      </c>
    </row>
    <row r="108" spans="1:9">
      <c r="A108" s="240"/>
      <c r="B108" s="492" t="s">
        <v>1220</v>
      </c>
      <c r="C108" s="486" t="s">
        <v>2574</v>
      </c>
      <c r="D108" s="307" t="s">
        <v>2574</v>
      </c>
      <c r="E108" s="311">
        <f>3422.21</f>
        <v>3422.21</v>
      </c>
      <c r="F108" s="667">
        <v>0.63700000000000001</v>
      </c>
      <c r="G108" s="404">
        <f t="shared" ref="G108:G126" si="8">E108*F108</f>
        <v>2179.9477700000002</v>
      </c>
      <c r="H108" s="667">
        <v>0.81499999999999995</v>
      </c>
      <c r="I108" s="405">
        <f t="shared" ref="I108:I126" si="9">E108*H108</f>
        <v>2789.10115</v>
      </c>
    </row>
    <row r="109" spans="1:9">
      <c r="A109" s="240"/>
      <c r="B109" s="492" t="s">
        <v>1220</v>
      </c>
      <c r="C109" s="486" t="s">
        <v>2633</v>
      </c>
      <c r="D109" s="307" t="s">
        <v>2634</v>
      </c>
      <c r="E109" s="311">
        <f>152203.76</f>
        <v>152203.76</v>
      </c>
      <c r="F109" s="667">
        <v>0.63700000000000001</v>
      </c>
      <c r="G109" s="404">
        <f t="shared" si="8"/>
        <v>96953.79512000001</v>
      </c>
      <c r="H109" s="667">
        <v>0.81499999999999995</v>
      </c>
      <c r="I109" s="405">
        <f t="shared" si="9"/>
        <v>124046.0644</v>
      </c>
    </row>
    <row r="110" spans="1:9">
      <c r="A110" s="240"/>
      <c r="B110" s="492" t="s">
        <v>1220</v>
      </c>
      <c r="C110" s="486" t="s">
        <v>2635</v>
      </c>
      <c r="D110" s="307" t="s">
        <v>2635</v>
      </c>
      <c r="E110" s="311">
        <v>276283.57</v>
      </c>
      <c r="F110" s="667">
        <v>0.63700000000000001</v>
      </c>
      <c r="G110" s="404">
        <f t="shared" si="8"/>
        <v>175992.63409000001</v>
      </c>
      <c r="H110" s="667">
        <v>0.81499999999999995</v>
      </c>
      <c r="I110" s="405">
        <f t="shared" si="9"/>
        <v>225171.10954999999</v>
      </c>
    </row>
    <row r="111" spans="1:9">
      <c r="A111" s="240"/>
      <c r="B111" s="492" t="s">
        <v>1220</v>
      </c>
      <c r="C111" s="486" t="s">
        <v>2574</v>
      </c>
      <c r="D111" s="307" t="s">
        <v>2574</v>
      </c>
      <c r="E111" s="311">
        <v>2835.11</v>
      </c>
      <c r="F111" s="667">
        <v>0.63700000000000001</v>
      </c>
      <c r="G111" s="404">
        <f t="shared" si="8"/>
        <v>1805.9650700000002</v>
      </c>
      <c r="H111" s="667">
        <v>0.81499999999999995</v>
      </c>
      <c r="I111" s="405">
        <f t="shared" si="9"/>
        <v>2310.61465</v>
      </c>
    </row>
    <row r="112" spans="1:9">
      <c r="A112" s="240"/>
      <c r="B112" s="492" t="s">
        <v>1220</v>
      </c>
      <c r="C112" s="486" t="s">
        <v>2596</v>
      </c>
      <c r="D112" s="307" t="s">
        <v>2636</v>
      </c>
      <c r="E112" s="311">
        <f>20893.47</f>
        <v>20893.47</v>
      </c>
      <c r="F112" s="667">
        <v>0.63700000000000001</v>
      </c>
      <c r="G112" s="404">
        <f t="shared" si="8"/>
        <v>13309.14039</v>
      </c>
      <c r="H112" s="667">
        <v>0.81499999999999995</v>
      </c>
      <c r="I112" s="405">
        <f t="shared" si="9"/>
        <v>17028.178049999999</v>
      </c>
    </row>
    <row r="113" spans="1:9">
      <c r="A113" s="240"/>
      <c r="B113" s="492" t="s">
        <v>1220</v>
      </c>
      <c r="C113" s="486" t="s">
        <v>2596</v>
      </c>
      <c r="D113" s="307" t="s">
        <v>2637</v>
      </c>
      <c r="E113" s="311">
        <f>20481.87</f>
        <v>20481.87</v>
      </c>
      <c r="F113" s="667">
        <v>0.63700000000000001</v>
      </c>
      <c r="G113" s="404">
        <f t="shared" si="8"/>
        <v>13046.95119</v>
      </c>
      <c r="H113" s="667">
        <v>0.81499999999999995</v>
      </c>
      <c r="I113" s="405">
        <f t="shared" si="9"/>
        <v>16692.724049999997</v>
      </c>
    </row>
    <row r="114" spans="1:9">
      <c r="A114" s="240"/>
      <c r="B114" s="492" t="s">
        <v>1220</v>
      </c>
      <c r="C114" s="486" t="s">
        <v>2574</v>
      </c>
      <c r="D114" s="307" t="s">
        <v>2574</v>
      </c>
      <c r="E114" s="311">
        <f>405078.07</f>
        <v>405078.07</v>
      </c>
      <c r="F114" s="667">
        <v>0.63700000000000001</v>
      </c>
      <c r="G114" s="404">
        <f t="shared" si="8"/>
        <v>258034.73059000002</v>
      </c>
      <c r="H114" s="667">
        <v>0.81499999999999995</v>
      </c>
      <c r="I114" s="405">
        <f t="shared" si="9"/>
        <v>330138.62705000001</v>
      </c>
    </row>
    <row r="115" spans="1:9">
      <c r="A115" s="240"/>
      <c r="B115" s="492" t="s">
        <v>1220</v>
      </c>
      <c r="C115" s="486" t="s">
        <v>2638</v>
      </c>
      <c r="D115" s="307" t="s">
        <v>2639</v>
      </c>
      <c r="E115" s="311">
        <f>651815.82</f>
        <v>651815.81999999995</v>
      </c>
      <c r="F115" s="667">
        <v>0.63700000000000001</v>
      </c>
      <c r="G115" s="404">
        <f t="shared" si="8"/>
        <v>415206.67733999999</v>
      </c>
      <c r="H115" s="667">
        <v>0.81499999999999995</v>
      </c>
      <c r="I115" s="405">
        <f t="shared" ref="I115:I118" si="10">E115*H115</f>
        <v>531229.89329999988</v>
      </c>
    </row>
    <row r="116" spans="1:9">
      <c r="A116" s="240"/>
      <c r="B116" s="492" t="s">
        <v>1220</v>
      </c>
      <c r="C116" s="486" t="s">
        <v>2574</v>
      </c>
      <c r="D116" s="307" t="s">
        <v>2574</v>
      </c>
      <c r="E116" s="311">
        <f>39508.27</f>
        <v>39508.269999999997</v>
      </c>
      <c r="F116" s="667">
        <v>0.63700000000000001</v>
      </c>
      <c r="G116" s="404">
        <f t="shared" si="8"/>
        <v>25166.767989999997</v>
      </c>
      <c r="H116" s="667">
        <v>0.81499999999999995</v>
      </c>
      <c r="I116" s="405">
        <f t="shared" si="10"/>
        <v>32199.240049999997</v>
      </c>
    </row>
    <row r="117" spans="1:9">
      <c r="A117" s="240"/>
      <c r="B117" s="492" t="s">
        <v>1220</v>
      </c>
      <c r="C117" s="486" t="s">
        <v>2640</v>
      </c>
      <c r="D117" s="307" t="s">
        <v>2640</v>
      </c>
      <c r="E117" s="311">
        <v>153427.82999999999</v>
      </c>
      <c r="F117" s="667">
        <v>0.63700000000000001</v>
      </c>
      <c r="G117" s="404">
        <f t="shared" si="8"/>
        <v>97733.527709999995</v>
      </c>
      <c r="H117" s="667">
        <v>0.81499999999999995</v>
      </c>
      <c r="I117" s="405">
        <f t="shared" si="10"/>
        <v>125043.68144999997</v>
      </c>
    </row>
    <row r="118" spans="1:9">
      <c r="A118" s="240"/>
      <c r="B118" s="492" t="s">
        <v>1220</v>
      </c>
      <c r="C118" s="486" t="s">
        <v>2574</v>
      </c>
      <c r="D118" s="307" t="s">
        <v>2574</v>
      </c>
      <c r="E118" s="311">
        <v>2051.63</v>
      </c>
      <c r="F118" s="667">
        <v>0.63700000000000001</v>
      </c>
      <c r="G118" s="404">
        <f t="shared" si="8"/>
        <v>1306.88831</v>
      </c>
      <c r="H118" s="667">
        <v>0.81499999999999995</v>
      </c>
      <c r="I118" s="405">
        <f t="shared" si="10"/>
        <v>1672.07845</v>
      </c>
    </row>
    <row r="119" spans="1:9">
      <c r="A119" s="240"/>
      <c r="B119" s="492" t="s">
        <v>1220</v>
      </c>
      <c r="C119" s="486" t="s">
        <v>2599</v>
      </c>
      <c r="D119" s="307" t="s">
        <v>2615</v>
      </c>
      <c r="E119" s="311">
        <f>146114.62</f>
        <v>146114.62</v>
      </c>
      <c r="F119" s="667">
        <v>0.63700000000000001</v>
      </c>
      <c r="G119" s="404">
        <f t="shared" si="8"/>
        <v>93075.012940000001</v>
      </c>
      <c r="H119" s="667">
        <v>0.81499999999999995</v>
      </c>
      <c r="I119" s="405">
        <f t="shared" si="9"/>
        <v>119083.41529999999</v>
      </c>
    </row>
    <row r="120" spans="1:9">
      <c r="A120" s="240"/>
      <c r="B120" s="492" t="s">
        <v>1220</v>
      </c>
      <c r="C120" s="486" t="s">
        <v>2641</v>
      </c>
      <c r="D120" s="307" t="s">
        <v>2574</v>
      </c>
      <c r="E120" s="311">
        <f>1844.89</f>
        <v>1844.89</v>
      </c>
      <c r="F120" s="667">
        <v>0.63700000000000001</v>
      </c>
      <c r="G120" s="404">
        <f t="shared" si="8"/>
        <v>1175.1949300000001</v>
      </c>
      <c r="H120" s="667">
        <v>0.81499999999999995</v>
      </c>
      <c r="I120" s="405">
        <f t="shared" si="9"/>
        <v>1503.5853500000001</v>
      </c>
    </row>
    <row r="121" spans="1:9">
      <c r="A121" s="240"/>
      <c r="B121" s="492" t="s">
        <v>1220</v>
      </c>
      <c r="C121" s="486" t="s">
        <v>2642</v>
      </c>
      <c r="D121" s="307" t="s">
        <v>2574</v>
      </c>
      <c r="E121" s="311">
        <f>3844.64</f>
        <v>3844.64</v>
      </c>
      <c r="F121" s="667">
        <v>0.63700000000000001</v>
      </c>
      <c r="G121" s="404">
        <f t="shared" si="8"/>
        <v>2449.03568</v>
      </c>
      <c r="H121" s="667">
        <v>0.81499999999999995</v>
      </c>
      <c r="I121" s="405">
        <f t="shared" si="9"/>
        <v>3133.3815999999997</v>
      </c>
    </row>
    <row r="122" spans="1:9">
      <c r="A122" s="240"/>
      <c r="B122" s="492" t="s">
        <v>1220</v>
      </c>
      <c r="C122" s="486" t="s">
        <v>2643</v>
      </c>
      <c r="D122" s="307" t="s">
        <v>2644</v>
      </c>
      <c r="E122" s="311">
        <f>219050.16</f>
        <v>219050.16</v>
      </c>
      <c r="F122" s="667">
        <v>0.63700000000000001</v>
      </c>
      <c r="G122" s="404">
        <f t="shared" si="8"/>
        <v>139534.95191999999</v>
      </c>
      <c r="H122" s="667">
        <v>0.81499999999999995</v>
      </c>
      <c r="I122" s="405">
        <f t="shared" si="9"/>
        <v>178525.88039999999</v>
      </c>
    </row>
    <row r="123" spans="1:9">
      <c r="A123" s="240"/>
      <c r="B123" s="492" t="s">
        <v>1220</v>
      </c>
      <c r="C123" s="486" t="s">
        <v>2574</v>
      </c>
      <c r="D123" s="307" t="s">
        <v>2574</v>
      </c>
      <c r="E123" s="311">
        <f>285734.43</f>
        <v>285734.43</v>
      </c>
      <c r="F123" s="667">
        <v>0.63700000000000001</v>
      </c>
      <c r="G123" s="404">
        <f t="shared" si="8"/>
        <v>182012.83191000001</v>
      </c>
      <c r="H123" s="667">
        <v>0.81499999999999995</v>
      </c>
      <c r="I123" s="405">
        <f t="shared" si="9"/>
        <v>232873.56044999999</v>
      </c>
    </row>
    <row r="124" spans="1:9">
      <c r="A124" s="240"/>
      <c r="B124" s="492" t="s">
        <v>1220</v>
      </c>
      <c r="C124" s="486" t="s">
        <v>2645</v>
      </c>
      <c r="D124" s="307" t="s">
        <v>2646</v>
      </c>
      <c r="E124" s="311">
        <f>1929776.32</f>
        <v>1929776.32</v>
      </c>
      <c r="F124" s="667">
        <v>0.63700000000000001</v>
      </c>
      <c r="G124" s="404">
        <f t="shared" si="8"/>
        <v>1229267.51584</v>
      </c>
      <c r="H124" s="667">
        <v>0.81499999999999995</v>
      </c>
      <c r="I124" s="405">
        <f t="shared" si="9"/>
        <v>1572767.7008</v>
      </c>
    </row>
    <row r="125" spans="1:9">
      <c r="A125" s="240"/>
      <c r="B125" s="492" t="s">
        <v>1220</v>
      </c>
      <c r="C125" s="486" t="s">
        <v>2647</v>
      </c>
      <c r="D125" s="307" t="s">
        <v>2646</v>
      </c>
      <c r="E125" s="311">
        <f>303096.04</f>
        <v>303096.03999999998</v>
      </c>
      <c r="F125" s="667">
        <v>0.63700000000000001</v>
      </c>
      <c r="G125" s="404">
        <f t="shared" si="8"/>
        <v>193072.17747999998</v>
      </c>
      <c r="H125" s="667">
        <v>0.81499999999999995</v>
      </c>
      <c r="I125" s="405">
        <f t="shared" si="9"/>
        <v>247023.27259999997</v>
      </c>
    </row>
    <row r="126" spans="1:9">
      <c r="A126" s="240"/>
      <c r="B126" s="492" t="s">
        <v>1220</v>
      </c>
      <c r="C126" s="491" t="s">
        <v>2648</v>
      </c>
      <c r="D126" s="487" t="s">
        <v>2646</v>
      </c>
      <c r="E126" s="743">
        <f>1362394.81</f>
        <v>1362394.81</v>
      </c>
      <c r="F126" s="667">
        <v>0.63700000000000001</v>
      </c>
      <c r="G126" s="404">
        <f t="shared" si="8"/>
        <v>867845.49397000007</v>
      </c>
      <c r="H126" s="667">
        <v>0.81499999999999995</v>
      </c>
      <c r="I126" s="405">
        <f t="shared" si="9"/>
        <v>1110351.77015</v>
      </c>
    </row>
    <row r="127" spans="1:9" ht="13.5" thickBot="1">
      <c r="A127" s="409"/>
      <c r="B127" s="493"/>
      <c r="C127" s="488" t="s">
        <v>434</v>
      </c>
      <c r="D127" s="261"/>
      <c r="E127" s="714">
        <f>SUM(E107:E126)</f>
        <v>6616659.4300000016</v>
      </c>
      <c r="F127" s="410"/>
      <c r="G127" s="411">
        <f>SUM(G107:G126)</f>
        <v>4214812.0569100007</v>
      </c>
      <c r="H127" s="410"/>
      <c r="I127" s="412">
        <f>SUM(I107:I126)</f>
        <v>5392577.4354499998</v>
      </c>
    </row>
    <row r="128" spans="1:9">
      <c r="B128" s="408"/>
    </row>
  </sheetData>
  <hyperlinks>
    <hyperlink ref="C1" location="'Cover Sheets'!A18" display="(Back to Worksheet Links)" xr:uid="{00000000-0004-0000-0E00-000000000000}"/>
  </hyperlinks>
  <pageMargins left="0.7" right="0.7" top="0.75" bottom="0.75" header="0.3" footer="0.3"/>
  <pageSetup scale="51"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17"/>
  <sheetViews>
    <sheetView view="pageBreakPreview" zoomScaleNormal="100" zoomScaleSheetLayoutView="100" workbookViewId="0"/>
  </sheetViews>
  <sheetFormatPr defaultColWidth="9.1796875" defaultRowHeight="13"/>
  <cols>
    <col min="1" max="1" width="9.1796875" style="236"/>
    <col min="2" max="2" width="45.81640625" style="236" bestFit="1" customWidth="1"/>
    <col min="3" max="3" width="38.54296875" style="236" customWidth="1"/>
    <col min="4" max="4" width="27.1796875" style="236" customWidth="1"/>
    <col min="5" max="16384" width="9.1796875" style="236"/>
  </cols>
  <sheetData>
    <row r="1" spans="1:4" ht="14.5">
      <c r="A1" s="237" t="str">
        <f>'Cover Sheets'!A10:D10</f>
        <v>WAPA-UGP 2020 Rate True-up Calculation</v>
      </c>
      <c r="B1" s="238"/>
      <c r="C1" s="579" t="s">
        <v>97</v>
      </c>
      <c r="D1" s="262"/>
    </row>
    <row r="2" spans="1:4">
      <c r="A2" s="573" t="s">
        <v>2649</v>
      </c>
      <c r="B2" s="239"/>
      <c r="C2" s="239"/>
      <c r="D2" s="263"/>
    </row>
    <row r="3" spans="1:4">
      <c r="A3" s="240" t="str">
        <f>'Summary-TrueUp'!A3</f>
        <v>12 Months Ending 09/30/2020 True-up</v>
      </c>
      <c r="B3" s="239"/>
      <c r="C3" s="239"/>
      <c r="D3" s="263"/>
    </row>
    <row r="4" spans="1:4">
      <c r="A4" s="56"/>
      <c r="B4" s="241" t="s">
        <v>378</v>
      </c>
      <c r="C4" s="242" t="s">
        <v>2650</v>
      </c>
      <c r="D4" s="243" t="s">
        <v>102</v>
      </c>
    </row>
    <row r="5" spans="1:4" ht="13.5" thickBot="1">
      <c r="A5" s="244" t="s">
        <v>383</v>
      </c>
      <c r="B5" s="245">
        <v>-1</v>
      </c>
      <c r="C5" s="245">
        <v>-2</v>
      </c>
      <c r="D5" s="246">
        <v>-3</v>
      </c>
    </row>
    <row r="6" spans="1:4">
      <c r="A6" s="270">
        <v>1</v>
      </c>
      <c r="B6" s="250" t="s">
        <v>2651</v>
      </c>
      <c r="C6" s="249">
        <f>'WS2-AllocFactor'!E35</f>
        <v>0.15918999299695838</v>
      </c>
      <c r="D6" s="256" t="s">
        <v>2652</v>
      </c>
    </row>
    <row r="7" spans="1:4" ht="13.5" thickBot="1">
      <c r="A7" s="270">
        <v>2</v>
      </c>
      <c r="B7" s="271" t="s">
        <v>2653</v>
      </c>
      <c r="C7" s="251">
        <f>'WS2-AllocFactor'!E36</f>
        <v>585725690.66243219</v>
      </c>
      <c r="D7" s="256" t="s">
        <v>2654</v>
      </c>
    </row>
    <row r="8" spans="1:4" ht="13.5" thickTop="1">
      <c r="A8" s="270">
        <v>3</v>
      </c>
      <c r="B8" s="271" t="s">
        <v>2655</v>
      </c>
      <c r="C8" s="252">
        <f>C6*C7</f>
        <v>93241668.594691187</v>
      </c>
      <c r="D8" s="264" t="s">
        <v>2656</v>
      </c>
    </row>
    <row r="9" spans="1:4" ht="13.5" thickBot="1">
      <c r="A9" s="270">
        <v>4</v>
      </c>
      <c r="B9" s="271" t="s">
        <v>2657</v>
      </c>
      <c r="C9" s="746">
        <v>2423000</v>
      </c>
      <c r="D9" s="256" t="s">
        <v>107</v>
      </c>
    </row>
    <row r="10" spans="1:4" ht="13.5" thickTop="1">
      <c r="A10" s="270">
        <v>5</v>
      </c>
      <c r="B10" s="250" t="s">
        <v>2658</v>
      </c>
      <c r="C10" s="254">
        <f>C8/C9</f>
        <v>38.481910274325706</v>
      </c>
      <c r="D10" s="264" t="s">
        <v>2659</v>
      </c>
    </row>
    <row r="11" spans="1:4">
      <c r="A11" s="270">
        <v>6</v>
      </c>
      <c r="B11" s="250" t="s">
        <v>2660</v>
      </c>
      <c r="C11" s="272">
        <f>8861</f>
        <v>8861</v>
      </c>
      <c r="D11" s="256" t="s">
        <v>107</v>
      </c>
    </row>
    <row r="12" spans="1:4">
      <c r="A12" s="270">
        <v>7</v>
      </c>
      <c r="B12" s="250" t="s">
        <v>2661</v>
      </c>
      <c r="C12" s="273">
        <f>C11*C10</f>
        <v>340988.20694080007</v>
      </c>
      <c r="D12" s="264" t="s">
        <v>2662</v>
      </c>
    </row>
    <row r="13" spans="1:4">
      <c r="A13" s="270">
        <v>8</v>
      </c>
      <c r="B13" s="250" t="s">
        <v>2663</v>
      </c>
      <c r="C13" s="274">
        <v>0</v>
      </c>
      <c r="D13" s="256" t="s">
        <v>109</v>
      </c>
    </row>
    <row r="14" spans="1:4">
      <c r="A14" s="270">
        <v>9</v>
      </c>
      <c r="B14" s="250" t="s">
        <v>2664</v>
      </c>
      <c r="C14" s="273">
        <f>C12+C13</f>
        <v>340988.20694080007</v>
      </c>
      <c r="D14" s="264"/>
    </row>
    <row r="15" spans="1:4">
      <c r="A15" s="275" t="s">
        <v>2665</v>
      </c>
      <c r="B15" s="250" t="s">
        <v>2666</v>
      </c>
      <c r="C15" s="239"/>
      <c r="D15" s="263"/>
    </row>
    <row r="16" spans="1:4">
      <c r="A16" s="275" t="s">
        <v>108</v>
      </c>
      <c r="B16" s="276" t="s">
        <v>2667</v>
      </c>
      <c r="C16" s="239"/>
      <c r="D16" s="263"/>
    </row>
    <row r="17" spans="1:4" ht="13.5" thickBot="1">
      <c r="A17" s="302" t="s">
        <v>2668</v>
      </c>
      <c r="B17" s="303" t="s">
        <v>2669</v>
      </c>
      <c r="C17" s="261"/>
      <c r="D17" s="265"/>
    </row>
  </sheetData>
  <hyperlinks>
    <hyperlink ref="C1" location="'Cover Sheets'!A18" display="(Back to Worksheet Links)" xr:uid="{00000000-0004-0000-0F00-000000000000}"/>
  </hyperlinks>
  <pageMargins left="0.7" right="0.7" top="0.75" bottom="0.75" header="0.3" footer="0.3"/>
  <pageSetup fitToHeight="0"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view="pageBreakPreview" zoomScaleNormal="100" zoomScaleSheetLayoutView="100" workbookViewId="0"/>
  </sheetViews>
  <sheetFormatPr defaultColWidth="9.1796875" defaultRowHeight="13"/>
  <cols>
    <col min="1" max="1" width="9.1796875" style="236"/>
    <col min="2" max="2" width="44.26953125" style="236" customWidth="1"/>
    <col min="3" max="3" width="39.26953125" style="236" customWidth="1"/>
    <col min="4" max="4" width="20" style="236" bestFit="1" customWidth="1"/>
    <col min="5" max="16384" width="9.1796875" style="236"/>
  </cols>
  <sheetData>
    <row r="1" spans="1:4" ht="14.5">
      <c r="A1" s="237" t="str">
        <f>'Cover Sheets'!A10:D10</f>
        <v>WAPA-UGP 2020 Rate True-up Calculation</v>
      </c>
      <c r="B1" s="238"/>
      <c r="C1" s="579" t="s">
        <v>97</v>
      </c>
      <c r="D1" s="262"/>
    </row>
    <row r="2" spans="1:4">
      <c r="A2" s="573" t="s">
        <v>2670</v>
      </c>
      <c r="B2" s="239"/>
      <c r="C2" s="239"/>
      <c r="D2" s="263"/>
    </row>
    <row r="3" spans="1:4">
      <c r="A3" s="240" t="str">
        <f>'Summary-TrueUp'!A3</f>
        <v>12 Months Ending 09/30/2020 True-up</v>
      </c>
      <c r="B3" s="239"/>
      <c r="C3" s="239"/>
      <c r="D3" s="263"/>
    </row>
    <row r="4" spans="1:4">
      <c r="A4" s="56"/>
      <c r="B4" s="241" t="s">
        <v>378</v>
      </c>
      <c r="C4" s="242" t="s">
        <v>2671</v>
      </c>
      <c r="D4" s="243" t="s">
        <v>102</v>
      </c>
    </row>
    <row r="5" spans="1:4" ht="13.5" thickBot="1">
      <c r="A5" s="244" t="s">
        <v>383</v>
      </c>
      <c r="B5" s="245">
        <v>-1</v>
      </c>
      <c r="C5" s="245">
        <v>-2</v>
      </c>
      <c r="D5" s="246">
        <v>-3</v>
      </c>
    </row>
    <row r="6" spans="1:4">
      <c r="A6" s="247">
        <v>1</v>
      </c>
      <c r="B6" s="248" t="s">
        <v>2651</v>
      </c>
      <c r="C6" s="268">
        <f>'WS2-AllocFactor'!E35</f>
        <v>0.15918999299695838</v>
      </c>
      <c r="D6" s="256" t="s">
        <v>2652</v>
      </c>
    </row>
    <row r="7" spans="1:4" ht="13.5" thickBot="1">
      <c r="A7" s="247">
        <v>2</v>
      </c>
      <c r="B7" s="250" t="s">
        <v>2653</v>
      </c>
      <c r="C7" s="269">
        <f>'WS2-AllocFactor'!E36</f>
        <v>585725690.66243219</v>
      </c>
      <c r="D7" s="256" t="s">
        <v>2654</v>
      </c>
    </row>
    <row r="8" spans="1:4" ht="13.5" thickTop="1">
      <c r="A8" s="247">
        <v>3</v>
      </c>
      <c r="B8" s="250" t="s">
        <v>2655</v>
      </c>
      <c r="C8" s="252">
        <f>C6*C7</f>
        <v>93241668.594691187</v>
      </c>
      <c r="D8" s="264" t="s">
        <v>2656</v>
      </c>
    </row>
    <row r="9" spans="1:4" ht="13.5" thickBot="1">
      <c r="A9" s="247">
        <v>4</v>
      </c>
      <c r="B9" s="253" t="s">
        <v>2657</v>
      </c>
      <c r="C9" s="747">
        <v>2423000</v>
      </c>
      <c r="D9" s="256" t="s">
        <v>107</v>
      </c>
    </row>
    <row r="10" spans="1:4" ht="13.5" thickTop="1">
      <c r="A10" s="247">
        <v>5</v>
      </c>
      <c r="B10" s="253" t="s">
        <v>2672</v>
      </c>
      <c r="C10" s="254">
        <f>C8/C9</f>
        <v>38.481910274325706</v>
      </c>
      <c r="D10" s="264" t="s">
        <v>2659</v>
      </c>
    </row>
    <row r="11" spans="1:4">
      <c r="A11" s="247">
        <v>7</v>
      </c>
      <c r="B11" s="255" t="s">
        <v>2673</v>
      </c>
      <c r="C11" s="748">
        <v>157000</v>
      </c>
      <c r="D11" s="256" t="s">
        <v>108</v>
      </c>
    </row>
    <row r="12" spans="1:4">
      <c r="A12" s="247">
        <v>8</v>
      </c>
      <c r="B12" s="255" t="s">
        <v>2674</v>
      </c>
      <c r="C12" s="748">
        <v>94000</v>
      </c>
      <c r="D12" s="256" t="s">
        <v>109</v>
      </c>
    </row>
    <row r="13" spans="1:4">
      <c r="A13" s="247">
        <v>9</v>
      </c>
      <c r="B13" s="255" t="s">
        <v>2675</v>
      </c>
      <c r="C13" s="257">
        <f xml:space="preserve"> (0.03*C11) + (0.03 *C12)</f>
        <v>7530</v>
      </c>
      <c r="D13" s="264" t="s">
        <v>2676</v>
      </c>
    </row>
    <row r="14" spans="1:4">
      <c r="A14" s="247">
        <v>10</v>
      </c>
      <c r="B14" s="255" t="s">
        <v>2677</v>
      </c>
      <c r="C14" s="717">
        <f>42123.38</f>
        <v>42123.38</v>
      </c>
      <c r="D14" s="256" t="s">
        <v>111</v>
      </c>
    </row>
    <row r="15" spans="1:4">
      <c r="A15" s="247">
        <v>11</v>
      </c>
      <c r="B15" s="266" t="s">
        <v>2678</v>
      </c>
      <c r="C15" s="267">
        <f>C10*C13+C14</f>
        <v>331892.16436567256</v>
      </c>
      <c r="D15" s="264" t="s">
        <v>2679</v>
      </c>
    </row>
    <row r="16" spans="1:4">
      <c r="A16" s="258" t="s">
        <v>107</v>
      </c>
      <c r="B16" s="259" t="s">
        <v>2666</v>
      </c>
      <c r="C16" s="239"/>
      <c r="D16" s="263"/>
    </row>
    <row r="17" spans="1:4">
      <c r="A17" s="258" t="s">
        <v>108</v>
      </c>
      <c r="B17" s="259" t="s">
        <v>2680</v>
      </c>
      <c r="C17" s="239"/>
      <c r="D17" s="263"/>
    </row>
    <row r="18" spans="1:4">
      <c r="A18" s="258" t="s">
        <v>109</v>
      </c>
      <c r="B18" s="239" t="s">
        <v>2681</v>
      </c>
      <c r="C18" s="239"/>
      <c r="D18" s="263"/>
    </row>
    <row r="19" spans="1:4">
      <c r="A19" s="258" t="s">
        <v>110</v>
      </c>
      <c r="B19" s="239" t="s">
        <v>2682</v>
      </c>
      <c r="C19" s="239"/>
      <c r="D19" s="263"/>
    </row>
    <row r="20" spans="1:4" ht="13.5" thickBot="1">
      <c r="A20" s="260" t="s">
        <v>111</v>
      </c>
      <c r="B20" s="261" t="s">
        <v>2683</v>
      </c>
      <c r="C20" s="261"/>
      <c r="D20" s="265"/>
    </row>
  </sheetData>
  <hyperlinks>
    <hyperlink ref="C1" location="'Cover Sheets'!A18"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view="pageBreakPreview" topLeftCell="A12" zoomScale="90" zoomScaleNormal="100" zoomScaleSheetLayoutView="90" workbookViewId="0">
      <selection activeCell="A18" sqref="A18"/>
    </sheetView>
  </sheetViews>
  <sheetFormatPr defaultRowHeight="14.5"/>
  <cols>
    <col min="1" max="1" width="55.26953125" customWidth="1"/>
    <col min="2" max="3" width="18.7265625" customWidth="1"/>
    <col min="4" max="4" width="30.7265625" customWidth="1"/>
    <col min="5" max="5" width="36" customWidth="1"/>
    <col min="6" max="6" width="15.26953125" bestFit="1" customWidth="1"/>
    <col min="7" max="7" width="14.54296875" bestFit="1" customWidth="1"/>
    <col min="8" max="8" width="24.1796875" bestFit="1" customWidth="1"/>
    <col min="10" max="10" width="13.26953125" bestFit="1" customWidth="1"/>
  </cols>
  <sheetData>
    <row r="1" spans="1:4" ht="46">
      <c r="A1" s="851"/>
      <c r="B1" s="852"/>
      <c r="C1" s="852"/>
      <c r="D1" s="853"/>
    </row>
    <row r="2" spans="1:4" ht="46">
      <c r="A2" s="845"/>
      <c r="B2" s="846"/>
      <c r="C2" s="846"/>
      <c r="D2" s="847"/>
    </row>
    <row r="3" spans="1:4" ht="46">
      <c r="A3" s="845" t="s">
        <v>3</v>
      </c>
      <c r="B3" s="846"/>
      <c r="C3" s="846"/>
      <c r="D3" s="847"/>
    </row>
    <row r="4" spans="1:4" ht="36">
      <c r="A4" s="848" t="s">
        <v>4</v>
      </c>
      <c r="B4" s="849"/>
      <c r="C4" s="849"/>
      <c r="D4" s="850"/>
    </row>
    <row r="5" spans="1:4" ht="46">
      <c r="A5" s="845" t="s">
        <v>5</v>
      </c>
      <c r="B5" s="846"/>
      <c r="C5" s="846"/>
      <c r="D5" s="847"/>
    </row>
    <row r="6" spans="1:4" ht="46">
      <c r="A6" s="845" t="s">
        <v>6</v>
      </c>
      <c r="B6" s="846"/>
      <c r="C6" s="846"/>
      <c r="D6" s="847"/>
    </row>
    <row r="7" spans="1:4" ht="21.4" customHeight="1">
      <c r="A7" s="657"/>
      <c r="B7" s="658"/>
      <c r="C7" s="550"/>
      <c r="D7" s="572"/>
    </row>
    <row r="8" spans="1:4" ht="46">
      <c r="A8" s="854" t="s">
        <v>7</v>
      </c>
      <c r="B8" s="855"/>
      <c r="C8" s="855"/>
      <c r="D8" s="856"/>
    </row>
    <row r="9" spans="1:4" ht="46">
      <c r="A9" s="657"/>
      <c r="B9" s="658"/>
      <c r="C9" s="550"/>
      <c r="D9" s="572"/>
    </row>
    <row r="10" spans="1:4" ht="46">
      <c r="A10" s="845" t="s">
        <v>8</v>
      </c>
      <c r="B10" s="846"/>
      <c r="C10" s="846"/>
      <c r="D10" s="847"/>
    </row>
    <row r="11" spans="1:4">
      <c r="A11" s="857" t="s">
        <v>9</v>
      </c>
      <c r="B11" s="858"/>
      <c r="C11" s="858"/>
      <c r="D11" s="859"/>
    </row>
    <row r="12" spans="1:4">
      <c r="A12" s="790"/>
      <c r="B12" s="791"/>
      <c r="C12" s="791"/>
      <c r="D12" s="792"/>
    </row>
    <row r="13" spans="1:4">
      <c r="A13" s="790"/>
      <c r="B13" s="791"/>
      <c r="C13" s="791"/>
      <c r="D13" s="792"/>
    </row>
    <row r="14" spans="1:4">
      <c r="A14" s="857" t="s">
        <v>10</v>
      </c>
      <c r="B14" s="858"/>
      <c r="C14" s="858"/>
      <c r="D14" s="859"/>
    </row>
    <row r="15" spans="1:4">
      <c r="A15" s="857" t="s">
        <v>11</v>
      </c>
      <c r="B15" s="858"/>
      <c r="C15" s="858"/>
      <c r="D15" s="859"/>
    </row>
    <row r="16" spans="1:4">
      <c r="A16" s="790"/>
      <c r="B16" s="791"/>
      <c r="C16" s="791"/>
      <c r="D16" s="792"/>
    </row>
    <row r="17" spans="1:4">
      <c r="A17" s="659" t="s">
        <v>12</v>
      </c>
      <c r="B17" s="576" t="s">
        <v>13</v>
      </c>
      <c r="C17" s="791"/>
      <c r="D17" s="792"/>
    </row>
    <row r="18" spans="1:4">
      <c r="A18" s="645" t="s">
        <v>14</v>
      </c>
      <c r="B18" s="843" t="s">
        <v>15</v>
      </c>
      <c r="C18" s="843"/>
      <c r="D18" s="844"/>
    </row>
    <row r="19" spans="1:4">
      <c r="A19" s="645" t="s">
        <v>16</v>
      </c>
      <c r="B19" s="843" t="s">
        <v>17</v>
      </c>
      <c r="C19" s="843"/>
      <c r="D19" s="844"/>
    </row>
    <row r="20" spans="1:4">
      <c r="A20" s="645" t="s">
        <v>18</v>
      </c>
      <c r="B20" s="843" t="s">
        <v>19</v>
      </c>
      <c r="C20" s="843"/>
      <c r="D20" s="844"/>
    </row>
    <row r="21" spans="1:4">
      <c r="A21" s="645" t="s">
        <v>20</v>
      </c>
      <c r="B21" s="843" t="s">
        <v>21</v>
      </c>
      <c r="C21" s="843"/>
      <c r="D21" s="844"/>
    </row>
    <row r="22" spans="1:4">
      <c r="A22" s="645" t="s">
        <v>22</v>
      </c>
      <c r="B22" s="843" t="s">
        <v>23</v>
      </c>
      <c r="C22" s="843"/>
      <c r="D22" s="844"/>
    </row>
    <row r="23" spans="1:4">
      <c r="A23" s="645" t="s">
        <v>24</v>
      </c>
      <c r="B23" s="789" t="s">
        <v>25</v>
      </c>
      <c r="C23" s="660"/>
      <c r="D23" s="661"/>
    </row>
    <row r="24" spans="1:4">
      <c r="A24" s="645" t="s">
        <v>26</v>
      </c>
      <c r="B24" s="843" t="s">
        <v>27</v>
      </c>
      <c r="C24" s="843"/>
      <c r="D24" s="844"/>
    </row>
    <row r="25" spans="1:4">
      <c r="A25" s="645" t="s">
        <v>28</v>
      </c>
      <c r="B25" s="789" t="s">
        <v>29</v>
      </c>
      <c r="C25" s="660"/>
      <c r="D25" s="661"/>
    </row>
    <row r="26" spans="1:4">
      <c r="A26" s="645" t="s">
        <v>30</v>
      </c>
      <c r="B26" s="843" t="s">
        <v>31</v>
      </c>
      <c r="C26" s="843"/>
      <c r="D26" s="844"/>
    </row>
    <row r="27" spans="1:4">
      <c r="A27" s="645" t="s">
        <v>32</v>
      </c>
      <c r="B27" s="843" t="s">
        <v>33</v>
      </c>
      <c r="C27" s="843"/>
      <c r="D27" s="844"/>
    </row>
    <row r="28" spans="1:4">
      <c r="A28" s="645" t="s">
        <v>34</v>
      </c>
      <c r="B28" s="662" t="s">
        <v>35</v>
      </c>
      <c r="C28" s="550"/>
      <c r="D28" s="572"/>
    </row>
    <row r="29" spans="1:4">
      <c r="A29" s="645" t="s">
        <v>36</v>
      </c>
      <c r="B29" s="662" t="s">
        <v>37</v>
      </c>
      <c r="C29" s="550"/>
      <c r="D29" s="572"/>
    </row>
    <row r="30" spans="1:4">
      <c r="A30" s="645" t="s">
        <v>38</v>
      </c>
      <c r="B30" s="662" t="s">
        <v>39</v>
      </c>
      <c r="C30" s="550"/>
      <c r="D30" s="572"/>
    </row>
    <row r="31" spans="1:4">
      <c r="A31" s="645" t="s">
        <v>40</v>
      </c>
      <c r="B31" s="843" t="s">
        <v>41</v>
      </c>
      <c r="C31" s="843"/>
      <c r="D31" s="844"/>
    </row>
    <row r="32" spans="1:4">
      <c r="A32" s="645" t="s">
        <v>42</v>
      </c>
      <c r="B32" s="843" t="s">
        <v>2701</v>
      </c>
      <c r="C32" s="843"/>
      <c r="D32" s="844"/>
    </row>
    <row r="33" spans="1:4" ht="15" thickBot="1">
      <c r="A33" s="663" t="s">
        <v>43</v>
      </c>
      <c r="B33" s="664" t="s">
        <v>44</v>
      </c>
      <c r="C33" s="552"/>
      <c r="D33" s="553"/>
    </row>
  </sheetData>
  <mergeCells count="21">
    <mergeCell ref="A3:D3"/>
    <mergeCell ref="A4:D4"/>
    <mergeCell ref="B22:D22"/>
    <mergeCell ref="A1:D1"/>
    <mergeCell ref="A5:D5"/>
    <mergeCell ref="A6:D6"/>
    <mergeCell ref="A8:D8"/>
    <mergeCell ref="A10:D10"/>
    <mergeCell ref="A11:D11"/>
    <mergeCell ref="A15:D15"/>
    <mergeCell ref="B18:D18"/>
    <mergeCell ref="B19:D19"/>
    <mergeCell ref="B20:D20"/>
    <mergeCell ref="B21:D21"/>
    <mergeCell ref="A14:D14"/>
    <mergeCell ref="A2:D2"/>
    <mergeCell ref="B31:D31"/>
    <mergeCell ref="B32:D32"/>
    <mergeCell ref="B24:D24"/>
    <mergeCell ref="B26:D26"/>
    <mergeCell ref="B27:D27"/>
  </mergeCells>
  <hyperlinks>
    <hyperlink ref="B18:D18" location="'Summary-TrueUp'!A1" display="Worksheet &quot;Summary-TrueUp&quot; -- Calculation of True-ups" xr:uid="{00000000-0004-0000-0000-000000000000}"/>
    <hyperlink ref="B19:D19" location="'WS1-RateBase'!A1" display="Worksheet 1 -- Calculation of Rate Base" xr:uid="{00000000-0004-0000-0000-000001000000}"/>
    <hyperlink ref="B20:D20" location="'WS2-AllocFactor'!A1" display="Worksheet 2 -- Allocation Factors" xr:uid="{00000000-0004-0000-0000-000002000000}"/>
    <hyperlink ref="B21:D21" location="'WS3-RevCredits'!A1" display="Worksheet 3 -- Revenue Credit detail" xr:uid="{00000000-0004-0000-0000-000003000000}"/>
    <hyperlink ref="B22:D22" location="'WS4-CostData'!A1" display="Worksheet 4 - Cost Support Data" xr:uid="{00000000-0004-0000-0000-000004000000}"/>
    <hyperlink ref="B23" location="'WS5-BPUz'!A1" display="Worksheet 5 - SPP Base Plan Upgrades (BPU) - Zonal" xr:uid="{00000000-0004-0000-0000-000005000000}"/>
    <hyperlink ref="B24:D24" location="'WS6-BPUr'!A1" display="Worksheet 6 - SPP Base Plan Upgrades (BPU) - Regional" xr:uid="{00000000-0004-0000-0000-000006000000}"/>
    <hyperlink ref="B25" location="'WS7-BPUFac'!A1" display="Worksheet 7 - SPP Base Plan Upgrades (BPU) - Facilities" xr:uid="{00000000-0004-0000-0000-000007000000}"/>
    <hyperlink ref="B26:D26" location="'WS8-TranFac'!A1" display="Worksheet 8 - Transmission Facilities" xr:uid="{00000000-0004-0000-0000-000008000000}"/>
    <hyperlink ref="B27:D27" location="'WS9-AI-Incl'!A1" display="Worksheet 9 - WAPA-UGP Facilities Included per SPP Tariff Attachment AI" xr:uid="{00000000-0004-0000-0000-000009000000}"/>
    <hyperlink ref="B28" location="'WS10-AI-Excl'!A1" display="Worksheet 10 - WAPA-UGP Facilities Excluded per SPP Tariff Attachment AI" xr:uid="{00000000-0004-0000-0000-00000A000000}"/>
    <hyperlink ref="B29" location="'WS11-FacChanges'!A1" display="Worksheet 11 - Facility Changes Detail" xr:uid="{00000000-0004-0000-0000-00000B000000}"/>
    <hyperlink ref="B30" location="'WS12-SSCD'!A1" display="Worksheet 12 - Scheduling, System Control and Dispatch Service (SSCD) ARR" xr:uid="{00000000-0004-0000-0000-00000C000000}"/>
    <hyperlink ref="B31:D31" location="'WS13-SSCDFac'!A1" display="Worksheet 13 - Scheduling, System Conrol and Dispatch Service (SSCD) Facilities" xr:uid="{00000000-0004-0000-0000-00000D000000}"/>
    <hyperlink ref="B32:D32" location="'WS14-Reg'!A1" display="Worksheet 14 - Regulaton and Frequency Response ARR" xr:uid="{00000000-0004-0000-0000-00000E000000}"/>
    <hyperlink ref="B33" location="'WS15-Res'!A1" display="Worksheet 15 - Reserves ARR" xr:uid="{00000000-0004-0000-0000-00000F000000}"/>
  </hyperlinks>
  <printOptions horizontalCentered="1" verticalCentered="1"/>
  <pageMargins left="0.7" right="0.7" top="0.75" bottom="0.75" header="0.3" footer="0.3"/>
  <pageSetup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view="pageBreakPreview" zoomScale="80" zoomScaleNormal="100" zoomScaleSheetLayoutView="80" workbookViewId="0"/>
  </sheetViews>
  <sheetFormatPr defaultRowHeight="14.5"/>
  <cols>
    <col min="1" max="1" width="9.1796875" style="580"/>
    <col min="2" max="2" width="57.7265625" customWidth="1"/>
    <col min="3" max="3" width="23" customWidth="1"/>
    <col min="4" max="6" width="18.7265625" customWidth="1"/>
    <col min="7" max="7" width="18.7265625" style="568" customWidth="1"/>
    <col min="8" max="8" width="23.54296875" customWidth="1"/>
    <col min="9" max="9" width="15.1796875" customWidth="1"/>
    <col min="10" max="10" width="15.26953125" bestFit="1" customWidth="1"/>
    <col min="11" max="11" width="14.54296875" bestFit="1" customWidth="1"/>
    <col min="12" max="12" width="24.1796875" bestFit="1" customWidth="1"/>
    <col min="14" max="14" width="13.26953125" bestFit="1" customWidth="1"/>
  </cols>
  <sheetData>
    <row r="1" spans="1:15">
      <c r="A1" s="237" t="str">
        <f>'Cover Sheets'!A10:D10</f>
        <v>WAPA-UGP 2020 Rate True-up Calculation</v>
      </c>
      <c r="B1" s="570"/>
      <c r="C1" s="579" t="s">
        <v>45</v>
      </c>
      <c r="D1" s="570"/>
      <c r="E1" s="570"/>
      <c r="F1" s="570"/>
      <c r="G1" s="581"/>
      <c r="H1" s="571"/>
    </row>
    <row r="2" spans="1:15">
      <c r="A2" s="645" t="s">
        <v>14</v>
      </c>
      <c r="B2" s="550"/>
      <c r="C2" s="550"/>
      <c r="D2" s="550"/>
      <c r="E2" s="550"/>
      <c r="F2" s="550"/>
      <c r="G2" s="567"/>
      <c r="H2" s="572"/>
    </row>
    <row r="3" spans="1:15">
      <c r="A3" s="645" t="s">
        <v>46</v>
      </c>
      <c r="B3" s="550"/>
      <c r="C3" s="550"/>
      <c r="D3" s="550"/>
      <c r="E3" s="550"/>
      <c r="F3" s="550"/>
      <c r="G3" s="567"/>
      <c r="H3" s="572"/>
    </row>
    <row r="4" spans="1:15" ht="18" customHeight="1">
      <c r="A4" s="323"/>
      <c r="B4" s="858" t="s">
        <v>47</v>
      </c>
      <c r="C4" s="858"/>
      <c r="D4" s="858"/>
      <c r="E4" s="858"/>
      <c r="F4" s="858"/>
      <c r="G4" s="858"/>
      <c r="H4" s="859"/>
    </row>
    <row r="5" spans="1:15" ht="13.15" customHeight="1" thickBot="1">
      <c r="A5" s="327"/>
      <c r="B5" s="860" t="s">
        <v>48</v>
      </c>
      <c r="C5" s="860"/>
      <c r="D5" s="860"/>
      <c r="E5" s="860"/>
      <c r="F5" s="860"/>
      <c r="G5" s="860"/>
      <c r="H5" s="861"/>
    </row>
    <row r="6" spans="1:15" s="382" customFormat="1" ht="52.15" customHeight="1">
      <c r="A6" s="323"/>
      <c r="B6" s="238"/>
      <c r="C6" s="238"/>
      <c r="D6" s="804" t="s">
        <v>2688</v>
      </c>
      <c r="E6" s="804" t="s">
        <v>2689</v>
      </c>
      <c r="F6" s="804" t="s">
        <v>2690</v>
      </c>
      <c r="G6" s="565"/>
      <c r="H6" s="541" t="s">
        <v>2684</v>
      </c>
      <c r="I6" s="386"/>
      <c r="J6" s="387"/>
      <c r="K6" s="387"/>
      <c r="L6" s="386"/>
      <c r="M6" s="386"/>
    </row>
    <row r="7" spans="1:15" s="382" customFormat="1">
      <c r="A7" s="582" t="s">
        <v>49</v>
      </c>
      <c r="B7" s="558" t="s">
        <v>50</v>
      </c>
      <c r="C7" s="558" t="s">
        <v>51</v>
      </c>
      <c r="D7" s="805">
        <v>0.75</v>
      </c>
      <c r="E7" s="805">
        <v>0.25</v>
      </c>
      <c r="F7" s="542"/>
      <c r="G7" s="566" t="s">
        <v>52</v>
      </c>
      <c r="H7" s="543" t="s">
        <v>53</v>
      </c>
      <c r="I7" s="386"/>
      <c r="J7" s="383"/>
      <c r="K7" s="383"/>
      <c r="L7" s="386"/>
      <c r="M7" s="386"/>
    </row>
    <row r="8" spans="1:15">
      <c r="A8" s="323">
        <v>1</v>
      </c>
      <c r="B8" s="559" t="s">
        <v>54</v>
      </c>
      <c r="C8" s="559" t="s">
        <v>55</v>
      </c>
      <c r="D8" s="668">
        <f>158017189</f>
        <v>158017189</v>
      </c>
      <c r="E8" s="668">
        <f>156860972</f>
        <v>156860972</v>
      </c>
      <c r="F8" s="668">
        <f>'WS1-RateBase'!H7</f>
        <v>158185310.70854157</v>
      </c>
      <c r="G8" s="562"/>
      <c r="H8" s="669">
        <f>F8-(D8*$D$7+E8*$E$7)</f>
        <v>457175.95854157209</v>
      </c>
      <c r="I8" s="379"/>
      <c r="J8" s="388"/>
      <c r="K8" s="388"/>
      <c r="L8" s="388"/>
      <c r="M8" s="388"/>
      <c r="N8" s="235"/>
      <c r="O8" s="235"/>
    </row>
    <row r="9" spans="1:15">
      <c r="A9" s="323">
        <v>2</v>
      </c>
      <c r="B9" s="419" t="s">
        <v>56</v>
      </c>
      <c r="C9" s="51" t="s">
        <v>2686</v>
      </c>
      <c r="D9" s="544">
        <f>-4605890</f>
        <v>-4605890</v>
      </c>
      <c r="E9" s="544">
        <f>-4837343</f>
        <v>-4837343</v>
      </c>
      <c r="F9" s="564">
        <f>'WS3-RevCredits'!H33</f>
        <v>-4829278.2700000005</v>
      </c>
      <c r="G9" s="763">
        <v>1</v>
      </c>
      <c r="H9" s="545">
        <f t="shared" ref="H9:H20" si="0">F9-(D9*$D$7+E9*$E$7)</f>
        <v>-165525.02000000048</v>
      </c>
      <c r="I9" s="379"/>
      <c r="J9" s="388"/>
      <c r="K9" s="388"/>
      <c r="L9" s="388"/>
      <c r="M9" s="388"/>
      <c r="N9" s="235"/>
      <c r="O9" s="235"/>
    </row>
    <row r="10" spans="1:15">
      <c r="A10" s="323">
        <v>3</v>
      </c>
      <c r="B10" s="419" t="s">
        <v>57</v>
      </c>
      <c r="C10" s="51" t="s">
        <v>58</v>
      </c>
      <c r="D10" s="544">
        <f>-2255482</f>
        <v>-2255482</v>
      </c>
      <c r="E10" s="544">
        <f>-2255482</f>
        <v>-2255482</v>
      </c>
      <c r="F10" s="544">
        <f>'WS3-RevCredits'!H47</f>
        <v>-2575273.5599999996</v>
      </c>
      <c r="G10" s="764">
        <v>1</v>
      </c>
      <c r="H10" s="545">
        <f t="shared" si="0"/>
        <v>-319791.55999999959</v>
      </c>
      <c r="I10" s="379"/>
      <c r="J10" s="388"/>
      <c r="K10" s="388"/>
      <c r="L10" s="388"/>
      <c r="M10" s="388"/>
      <c r="N10" s="235"/>
      <c r="O10" s="235"/>
    </row>
    <row r="11" spans="1:15">
      <c r="A11" s="323">
        <v>4</v>
      </c>
      <c r="B11" s="419" t="s">
        <v>59</v>
      </c>
      <c r="C11" s="51" t="s">
        <v>60</v>
      </c>
      <c r="D11" s="544">
        <f>-1141626</f>
        <v>-1141626</v>
      </c>
      <c r="E11" s="544">
        <f>-1141626</f>
        <v>-1141626</v>
      </c>
      <c r="F11" s="544">
        <f>'WS3-RevCredits'!H61+'WS3-RevCredits'!H75</f>
        <v>-1193757.6500000001</v>
      </c>
      <c r="G11" s="764">
        <v>1</v>
      </c>
      <c r="H11" s="545">
        <f t="shared" si="0"/>
        <v>-52131.65000000014</v>
      </c>
      <c r="I11" s="379"/>
      <c r="J11" s="388"/>
      <c r="K11" s="388"/>
      <c r="L11" s="388"/>
      <c r="M11" s="388"/>
      <c r="N11" s="235"/>
      <c r="O11" s="235"/>
    </row>
    <row r="12" spans="1:15">
      <c r="A12" s="323">
        <v>5</v>
      </c>
      <c r="B12" s="419" t="s">
        <v>61</v>
      </c>
      <c r="C12" s="51" t="s">
        <v>62</v>
      </c>
      <c r="D12" s="544">
        <f>-10681455</f>
        <v>-10681455</v>
      </c>
      <c r="E12" s="544">
        <f>-10681455</f>
        <v>-10681455</v>
      </c>
      <c r="F12" s="562">
        <f>-('WS12-SSCD'!C16)</f>
        <v>-11979448.711750722</v>
      </c>
      <c r="G12" s="764">
        <v>1</v>
      </c>
      <c r="H12" s="545">
        <f t="shared" si="0"/>
        <v>-1297993.7117507216</v>
      </c>
      <c r="I12" s="379"/>
      <c r="J12" s="388"/>
      <c r="K12" s="388"/>
      <c r="L12" s="388"/>
      <c r="M12" s="388"/>
      <c r="N12" s="235"/>
      <c r="O12" s="235"/>
    </row>
    <row r="13" spans="1:15">
      <c r="A13" s="323">
        <v>6</v>
      </c>
      <c r="B13" s="419" t="s">
        <v>63</v>
      </c>
      <c r="C13" s="51" t="s">
        <v>64</v>
      </c>
      <c r="D13" s="544">
        <f>-79567</f>
        <v>-79567</v>
      </c>
      <c r="E13" s="544">
        <f>-79567</f>
        <v>-79567</v>
      </c>
      <c r="F13" s="544">
        <f>'WS3-RevCredits'!H103</f>
        <v>-61358.68</v>
      </c>
      <c r="G13" s="764">
        <v>1</v>
      </c>
      <c r="H13" s="545">
        <f t="shared" si="0"/>
        <v>18208.32</v>
      </c>
      <c r="I13" s="379"/>
      <c r="J13" s="388"/>
      <c r="K13" s="388"/>
      <c r="L13" s="388"/>
      <c r="M13" s="388"/>
      <c r="N13" s="235"/>
      <c r="O13" s="235"/>
    </row>
    <row r="14" spans="1:15">
      <c r="A14" s="323">
        <v>7</v>
      </c>
      <c r="B14" s="419" t="s">
        <v>65</v>
      </c>
      <c r="C14" s="831" t="s">
        <v>2687</v>
      </c>
      <c r="D14" s="544">
        <v>0</v>
      </c>
      <c r="E14" s="544">
        <f>231453</f>
        <v>231453</v>
      </c>
      <c r="F14" s="802">
        <f>'WS3-RevCredits'!H19</f>
        <v>92762.700000000012</v>
      </c>
      <c r="G14" s="764">
        <v>1</v>
      </c>
      <c r="H14" s="545">
        <f t="shared" si="0"/>
        <v>34899.450000000012</v>
      </c>
      <c r="I14" s="379"/>
      <c r="J14" s="388"/>
      <c r="K14" s="388"/>
      <c r="L14" s="388"/>
      <c r="M14" s="388"/>
      <c r="N14" s="235"/>
      <c r="O14" s="235"/>
    </row>
    <row r="15" spans="1:15">
      <c r="A15" s="323">
        <v>8</v>
      </c>
      <c r="B15" s="419" t="s">
        <v>66</v>
      </c>
      <c r="C15" s="419" t="s">
        <v>67</v>
      </c>
      <c r="D15" s="544">
        <v>0</v>
      </c>
      <c r="E15" s="544">
        <f>-18333</f>
        <v>-18333</v>
      </c>
      <c r="F15" s="544">
        <v>0</v>
      </c>
      <c r="G15" s="764">
        <v>1</v>
      </c>
      <c r="H15" s="545">
        <f t="shared" si="0"/>
        <v>4583.25</v>
      </c>
      <c r="I15" s="379"/>
      <c r="J15" s="388"/>
      <c r="K15" s="388"/>
      <c r="L15" s="388"/>
      <c r="M15" s="388"/>
      <c r="N15" s="235"/>
      <c r="O15" s="235"/>
    </row>
    <row r="16" spans="1:15" ht="15" thickBot="1">
      <c r="A16" s="323">
        <v>9</v>
      </c>
      <c r="B16" s="406" t="s">
        <v>68</v>
      </c>
      <c r="C16" s="406" t="s">
        <v>69</v>
      </c>
      <c r="D16" s="546">
        <f>SUM(D9:D15)</f>
        <v>-18764020</v>
      </c>
      <c r="E16" s="546">
        <f>SUM(E9:E15)</f>
        <v>-18782353</v>
      </c>
      <c r="F16" s="546">
        <f>SUM(F9:F14)</f>
        <v>-20546354.171750721</v>
      </c>
      <c r="G16" s="765"/>
      <c r="H16" s="547">
        <f>SUM(H9:H15)</f>
        <v>-1777750.9217507218</v>
      </c>
      <c r="I16" s="814">
        <f>F16-(D16*$D$7+E16*$E$7)</f>
        <v>-1777750.9217507206</v>
      </c>
      <c r="J16" s="388"/>
      <c r="K16" s="388"/>
      <c r="L16" s="388"/>
      <c r="M16" s="388"/>
      <c r="N16" s="235"/>
      <c r="O16" s="235"/>
    </row>
    <row r="17" spans="1:15" ht="15" thickTop="1">
      <c r="A17" s="323">
        <v>10</v>
      </c>
      <c r="B17" s="722" t="s">
        <v>70</v>
      </c>
      <c r="C17" s="239"/>
      <c r="D17" s="544">
        <f>798183</f>
        <v>798183</v>
      </c>
      <c r="E17" s="544">
        <v>0</v>
      </c>
      <c r="F17" s="544">
        <v>0</v>
      </c>
      <c r="G17" s="764"/>
      <c r="H17" s="815">
        <f>D17*$D$7</f>
        <v>598637.25</v>
      </c>
      <c r="I17" s="379"/>
      <c r="J17" s="388"/>
      <c r="K17" s="388"/>
      <c r="L17" s="388"/>
      <c r="M17" s="388"/>
      <c r="N17" s="235"/>
      <c r="O17" s="235"/>
    </row>
    <row r="18" spans="1:15">
      <c r="A18" s="323">
        <v>11</v>
      </c>
      <c r="B18" s="239" t="s">
        <v>71</v>
      </c>
      <c r="C18" s="239" t="s">
        <v>72</v>
      </c>
      <c r="D18" s="544">
        <f>-1752994</f>
        <v>-1752994</v>
      </c>
      <c r="E18" s="544">
        <f>-1752993</f>
        <v>-1752993</v>
      </c>
      <c r="F18" s="544">
        <f>D18*$D$7+E18*$E$7</f>
        <v>-1752993.75</v>
      </c>
      <c r="G18" s="766"/>
      <c r="H18" s="545">
        <f t="shared" si="0"/>
        <v>0</v>
      </c>
      <c r="I18" s="379"/>
      <c r="J18" s="388"/>
      <c r="K18" s="388"/>
      <c r="L18" s="388"/>
      <c r="M18" s="388"/>
      <c r="N18" s="235"/>
      <c r="O18" s="235"/>
    </row>
    <row r="19" spans="1:15" ht="15" thickBot="1">
      <c r="A19" s="323">
        <v>12</v>
      </c>
      <c r="B19" s="832" t="s">
        <v>73</v>
      </c>
      <c r="C19" s="832" t="s">
        <v>69</v>
      </c>
      <c r="D19" s="670">
        <f>D8+D16-D17+D18</f>
        <v>136701992</v>
      </c>
      <c r="E19" s="670">
        <f>E8+E16-E17+E18</f>
        <v>136325626</v>
      </c>
      <c r="F19" s="670">
        <f t="shared" ref="F19" si="1">F8+F16-F17+F18</f>
        <v>135885962.78679085</v>
      </c>
      <c r="G19" s="767"/>
      <c r="H19" s="548">
        <f t="shared" si="0"/>
        <v>-721937.71320915222</v>
      </c>
      <c r="I19" s="814">
        <f>H8+H16+H17+H18</f>
        <v>-721937.71320914966</v>
      </c>
      <c r="J19" s="388"/>
      <c r="K19" s="388"/>
      <c r="L19" s="388"/>
      <c r="M19" s="388"/>
      <c r="N19" s="235"/>
      <c r="O19" s="235"/>
    </row>
    <row r="20" spans="1:15" ht="15" thickTop="1">
      <c r="A20" s="323">
        <v>13</v>
      </c>
      <c r="B20" s="793" t="s">
        <v>74</v>
      </c>
      <c r="C20" s="793" t="s">
        <v>75</v>
      </c>
      <c r="D20" s="544">
        <f>-D19</f>
        <v>-136701992</v>
      </c>
      <c r="E20" s="544">
        <f>-E19</f>
        <v>-136325626</v>
      </c>
      <c r="F20" s="803">
        <f>'WS3-RevCredits'!H117</f>
        <v>-136607914.70999998</v>
      </c>
      <c r="G20" s="768"/>
      <c r="H20" s="545">
        <f t="shared" si="0"/>
        <v>-14.209999978542328</v>
      </c>
      <c r="I20" s="394"/>
      <c r="J20" s="388"/>
      <c r="K20" s="388"/>
      <c r="L20" s="388"/>
      <c r="M20" s="388"/>
      <c r="N20" s="235"/>
      <c r="O20" s="235"/>
    </row>
    <row r="21" spans="1:15" ht="15" thickBot="1">
      <c r="A21" s="323">
        <v>14</v>
      </c>
      <c r="B21" s="819" t="s">
        <v>2692</v>
      </c>
      <c r="C21" s="406"/>
      <c r="D21" s="546">
        <f>D8+D16-D17+D18+D20</f>
        <v>0</v>
      </c>
      <c r="E21" s="546">
        <f>E8+E16+E18+E20</f>
        <v>0</v>
      </c>
      <c r="F21" s="813">
        <f>F8+F16+F18+F20</f>
        <v>-721951.92320913076</v>
      </c>
      <c r="G21" s="769"/>
      <c r="H21" s="816">
        <f>H19+H20</f>
        <v>-721951.92320913076</v>
      </c>
      <c r="I21" s="814">
        <f>H8+H16+H17+H18+H20</f>
        <v>-721951.9232091282</v>
      </c>
      <c r="J21" s="388"/>
      <c r="K21" s="388"/>
      <c r="L21" s="388"/>
      <c r="M21" s="388"/>
      <c r="N21" s="235"/>
      <c r="O21" s="235"/>
    </row>
    <row r="22" spans="1:15" ht="15" thickTop="1">
      <c r="A22" s="323">
        <v>15</v>
      </c>
      <c r="B22" s="560"/>
      <c r="C22" s="560"/>
      <c r="D22" s="383"/>
      <c r="E22" s="833"/>
      <c r="F22" s="383"/>
      <c r="G22" s="770"/>
      <c r="H22" s="549"/>
    </row>
    <row r="23" spans="1:15">
      <c r="A23" s="323">
        <v>16</v>
      </c>
      <c r="B23" s="652" t="s">
        <v>76</v>
      </c>
      <c r="C23" s="560"/>
      <c r="D23" s="544">
        <f>703921</f>
        <v>703921</v>
      </c>
      <c r="E23" s="419">
        <f>682241</f>
        <v>682241</v>
      </c>
      <c r="F23" s="717">
        <f>'WS5-BPUz'!M19</f>
        <v>772414.31890586403</v>
      </c>
      <c r="G23" s="770"/>
      <c r="H23" s="545">
        <f>F23-(D23*$D$7+E23*$E$7)</f>
        <v>73913.318905864027</v>
      </c>
    </row>
    <row r="24" spans="1:15">
      <c r="A24" s="323">
        <v>17</v>
      </c>
      <c r="B24" s="239" t="s">
        <v>77</v>
      </c>
      <c r="C24" s="560"/>
      <c r="D24" s="544">
        <f>-15805</f>
        <v>-15805</v>
      </c>
      <c r="E24" s="544">
        <f>-16147</f>
        <v>-16147</v>
      </c>
      <c r="F24" s="718">
        <f>'WS3-RevCredits'!H187</f>
        <v>-19180.699999999983</v>
      </c>
      <c r="G24" s="771"/>
      <c r="H24" s="545">
        <f t="shared" ref="H24" si="2">F24-(D24*$D$7+E24*$E$7)</f>
        <v>-3290.1999999999825</v>
      </c>
    </row>
    <row r="25" spans="1:15">
      <c r="A25" s="323">
        <v>18</v>
      </c>
      <c r="B25" s="239" t="s">
        <v>78</v>
      </c>
      <c r="C25" s="560"/>
      <c r="D25" s="544">
        <f>-1*(D23+D24)</f>
        <v>-688116</v>
      </c>
      <c r="E25" s="544">
        <f>-1*(E23+E24)</f>
        <v>-666094</v>
      </c>
      <c r="F25" s="718">
        <f>'WS3-RevCredits'!H173</f>
        <v>-678757.61000000057</v>
      </c>
      <c r="G25" s="770"/>
      <c r="H25" s="545">
        <f>F25-(D25*$D$7+E25*$E$7)</f>
        <v>3852.8899999994319</v>
      </c>
    </row>
    <row r="26" spans="1:15">
      <c r="A26" s="323">
        <v>19</v>
      </c>
      <c r="B26" s="818" t="s">
        <v>79</v>
      </c>
      <c r="C26" s="560"/>
      <c r="D26" s="716">
        <f>0</f>
        <v>0</v>
      </c>
      <c r="E26" s="716">
        <f>0</f>
        <v>0</v>
      </c>
      <c r="F26" s="716">
        <f>F23+F24+F25</f>
        <v>74476.008905863506</v>
      </c>
      <c r="G26" s="770"/>
      <c r="H26" s="817">
        <f>SUM(H23:H25)</f>
        <v>74476.008905863477</v>
      </c>
    </row>
    <row r="27" spans="1:15">
      <c r="A27" s="323">
        <v>20</v>
      </c>
      <c r="B27" s="560"/>
      <c r="C27" s="560"/>
      <c r="D27" s="718"/>
      <c r="E27" s="718"/>
      <c r="F27" s="383"/>
      <c r="G27" s="770"/>
      <c r="H27" s="715"/>
    </row>
    <row r="28" spans="1:15">
      <c r="A28" s="323">
        <v>21</v>
      </c>
      <c r="B28" s="652" t="s">
        <v>80</v>
      </c>
      <c r="C28" s="560"/>
      <c r="D28" s="544">
        <f>112595</f>
        <v>112595</v>
      </c>
      <c r="E28" s="544">
        <f>113568</f>
        <v>113568</v>
      </c>
      <c r="F28" s="719">
        <f>'WS6-BPUr'!M19</f>
        <v>115553.80328193911</v>
      </c>
      <c r="G28" s="770"/>
      <c r="H28" s="545">
        <f>F28-(D28*$D$7+E28*$E$7)</f>
        <v>2715.5532819391083</v>
      </c>
    </row>
    <row r="29" spans="1:15">
      <c r="A29" s="323">
        <v>22</v>
      </c>
      <c r="B29" s="239" t="s">
        <v>81</v>
      </c>
      <c r="C29" s="560"/>
      <c r="D29" s="544">
        <f>-2528</f>
        <v>-2528</v>
      </c>
      <c r="E29" s="544">
        <f>-2224</f>
        <v>-2224</v>
      </c>
      <c r="F29" s="718">
        <f>'WS3-RevCredits'!H215</f>
        <v>-2373.810000000004</v>
      </c>
      <c r="G29" s="770"/>
      <c r="H29" s="545">
        <f t="shared" ref="H29" si="3">F29-(D29*$D$7+E29*$E$7)</f>
        <v>78.189999999995962</v>
      </c>
    </row>
    <row r="30" spans="1:15">
      <c r="A30" s="323">
        <v>23</v>
      </c>
      <c r="B30" s="239" t="s">
        <v>82</v>
      </c>
      <c r="C30" s="560"/>
      <c r="D30" s="544">
        <f>-1*(D28+D29)</f>
        <v>-110067</v>
      </c>
      <c r="E30" s="544">
        <f>-1*(E28+E29)</f>
        <v>-111344</v>
      </c>
      <c r="F30" s="718">
        <f>'WS3-RevCredits'!H201</f>
        <v>-122816.21999999988</v>
      </c>
      <c r="G30" s="770"/>
      <c r="H30" s="545">
        <f>F30-(D30*$D$7+E30*$E$7)</f>
        <v>-12429.969999999885</v>
      </c>
    </row>
    <row r="31" spans="1:15">
      <c r="A31" s="323">
        <v>24</v>
      </c>
      <c r="B31" s="818" t="s">
        <v>83</v>
      </c>
      <c r="C31" s="560"/>
      <c r="D31" s="716">
        <f>0</f>
        <v>0</v>
      </c>
      <c r="E31" s="716">
        <f>0</f>
        <v>0</v>
      </c>
      <c r="F31" s="716">
        <f>F28+F29+F30</f>
        <v>-9636.2267180607741</v>
      </c>
      <c r="G31" s="770"/>
      <c r="H31" s="817">
        <f>SUM(H28:H30)</f>
        <v>-9636.2267180607814</v>
      </c>
    </row>
    <row r="32" spans="1:15" ht="31.5" customHeight="1">
      <c r="A32" s="323">
        <v>25</v>
      </c>
      <c r="B32" s="583" t="s">
        <v>84</v>
      </c>
      <c r="C32" s="583" t="s">
        <v>85</v>
      </c>
      <c r="D32" s="723">
        <f>11534163</f>
        <v>11534163</v>
      </c>
      <c r="E32" s="723">
        <f>11534163</f>
        <v>11534163</v>
      </c>
      <c r="F32" s="720">
        <f>'WS12-SSCD'!C18</f>
        <v>11094429.717674648</v>
      </c>
      <c r="G32" s="772"/>
      <c r="H32" s="720"/>
    </row>
    <row r="33" spans="1:8">
      <c r="A33" s="323">
        <v>26</v>
      </c>
      <c r="B33" s="583" t="s">
        <v>86</v>
      </c>
      <c r="C33" s="583" t="s">
        <v>87</v>
      </c>
      <c r="D33" s="583"/>
      <c r="E33" s="583"/>
      <c r="F33" s="562">
        <f>'WS3-RevCredits'!H89</f>
        <v>-12660695.819999997</v>
      </c>
      <c r="G33" s="772"/>
    </row>
    <row r="34" spans="1:8" ht="27" customHeight="1" thickBot="1">
      <c r="A34" s="323">
        <v>27</v>
      </c>
      <c r="B34" s="820" t="s">
        <v>2693</v>
      </c>
      <c r="C34" s="823" t="s">
        <v>2697</v>
      </c>
      <c r="D34" s="584"/>
      <c r="E34" s="584"/>
      <c r="F34" s="807">
        <f>F32+F33</f>
        <v>-1566266.1023253482</v>
      </c>
      <c r="G34" s="773"/>
      <c r="H34" s="563"/>
    </row>
    <row r="35" spans="1:8" ht="42" customHeight="1" thickTop="1">
      <c r="A35" s="323">
        <v>28</v>
      </c>
      <c r="B35" s="583" t="s">
        <v>88</v>
      </c>
      <c r="C35" s="583" t="s">
        <v>89</v>
      </c>
      <c r="D35" s="723">
        <v>405976</v>
      </c>
      <c r="E35" s="723">
        <v>400928</v>
      </c>
      <c r="F35" s="561">
        <f>'WS14-Reg'!C14</f>
        <v>340988.20694080007</v>
      </c>
      <c r="G35" s="768"/>
      <c r="H35" s="561"/>
    </row>
    <row r="36" spans="1:8">
      <c r="A36" s="323">
        <v>29</v>
      </c>
      <c r="B36" s="585" t="s">
        <v>90</v>
      </c>
      <c r="C36" s="585" t="s">
        <v>91</v>
      </c>
      <c r="D36" s="724"/>
      <c r="E36" s="724"/>
      <c r="F36" s="562">
        <f>'WS3-RevCredits'!H159</f>
        <v>-395404.88000000012</v>
      </c>
      <c r="G36" s="772"/>
      <c r="H36" s="562"/>
    </row>
    <row r="37" spans="1:8" ht="25.5" customHeight="1" thickBot="1">
      <c r="A37" s="323">
        <v>30</v>
      </c>
      <c r="B37" s="820" t="s">
        <v>2694</v>
      </c>
      <c r="C37" s="584" t="s">
        <v>2698</v>
      </c>
      <c r="D37" s="725"/>
      <c r="E37" s="725"/>
      <c r="F37" s="807">
        <f>F35+F36</f>
        <v>-54416.673059200053</v>
      </c>
      <c r="G37" s="773"/>
      <c r="H37" s="563"/>
    </row>
    <row r="38" spans="1:8" ht="29.25" customHeight="1" thickTop="1">
      <c r="A38" s="323">
        <v>31</v>
      </c>
      <c r="B38" s="583" t="s">
        <v>92</v>
      </c>
      <c r="C38" s="583" t="s">
        <v>93</v>
      </c>
      <c r="D38" s="723">
        <v>345902</v>
      </c>
      <c r="E38" s="723">
        <v>409789</v>
      </c>
      <c r="F38" s="561">
        <f>'WS15-Res'!C15</f>
        <v>331892.16436567256</v>
      </c>
      <c r="G38" s="768"/>
      <c r="H38" s="561"/>
    </row>
    <row r="39" spans="1:8" ht="26.25" customHeight="1">
      <c r="A39" s="323">
        <v>32</v>
      </c>
      <c r="B39" s="583" t="s">
        <v>90</v>
      </c>
      <c r="C39" s="583" t="s">
        <v>94</v>
      </c>
      <c r="D39" s="723"/>
      <c r="E39" s="723"/>
      <c r="F39" s="561">
        <f>'WS3-RevCredits'!H131+'WS3-RevCredits'!H145</f>
        <v>-382360.32000000007</v>
      </c>
      <c r="G39" s="772"/>
      <c r="H39" s="561"/>
    </row>
    <row r="40" spans="1:8" ht="15" thickBot="1">
      <c r="A40" s="323">
        <v>33</v>
      </c>
      <c r="B40" s="821" t="s">
        <v>2695</v>
      </c>
      <c r="C40" s="808" t="s">
        <v>2699</v>
      </c>
      <c r="D40" s="809"/>
      <c r="E40" s="809"/>
      <c r="F40" s="812">
        <f>F38+F39</f>
        <v>-50468.155634327501</v>
      </c>
      <c r="G40" s="810"/>
      <c r="H40" s="811"/>
    </row>
    <row r="41" spans="1:8" ht="15" thickTop="1">
      <c r="A41" s="323">
        <v>34</v>
      </c>
      <c r="B41" s="239" t="s">
        <v>2685</v>
      </c>
      <c r="C41" s="239"/>
      <c r="D41" s="550"/>
      <c r="E41" s="550"/>
      <c r="F41" s="550"/>
      <c r="G41" s="764"/>
      <c r="H41" s="551"/>
    </row>
    <row r="42" spans="1:8">
      <c r="A42" s="323">
        <v>35</v>
      </c>
      <c r="B42" s="239" t="s">
        <v>95</v>
      </c>
      <c r="C42" s="550"/>
      <c r="D42" s="550"/>
      <c r="E42" s="550"/>
      <c r="F42" s="550"/>
      <c r="G42" s="774"/>
      <c r="H42" s="572"/>
    </row>
    <row r="43" spans="1:8">
      <c r="A43" s="806">
        <v>36</v>
      </c>
      <c r="B43" s="239" t="s">
        <v>96</v>
      </c>
      <c r="C43" s="550"/>
      <c r="D43" s="550"/>
      <c r="E43" s="550"/>
      <c r="F43" s="550"/>
      <c r="G43" s="774"/>
      <c r="H43" s="550"/>
    </row>
    <row r="44" spans="1:8">
      <c r="A44" s="806">
        <v>37</v>
      </c>
      <c r="B44" s="239" t="s">
        <v>2691</v>
      </c>
      <c r="C44" s="550"/>
      <c r="D44" s="550"/>
      <c r="E44" s="550"/>
      <c r="F44" s="550"/>
      <c r="G44" s="774"/>
      <c r="H44" s="550"/>
    </row>
    <row r="45" spans="1:8" ht="26.5" customHeight="1">
      <c r="A45" s="822">
        <v>38</v>
      </c>
      <c r="B45" s="862" t="s">
        <v>2696</v>
      </c>
      <c r="C45" s="862"/>
      <c r="D45" s="862"/>
      <c r="E45" s="862"/>
      <c r="F45" s="862"/>
      <c r="G45" s="863"/>
      <c r="H45" s="550"/>
    </row>
  </sheetData>
  <mergeCells count="3">
    <mergeCell ref="B4:H4"/>
    <mergeCell ref="B5:H5"/>
    <mergeCell ref="B45:G45"/>
  </mergeCells>
  <hyperlinks>
    <hyperlink ref="C1" location="'Cover Sheets'!A18" display="Back to Worksheet Links" xr:uid="{3AAF7972-001D-4E29-8AF7-3FE72FE24E68}"/>
  </hyperlinks>
  <printOptions horizontalCentered="1" verticalCentered="1"/>
  <pageMargins left="0.7" right="0.7" top="0.75" bottom="0.7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3"/>
  <sheetViews>
    <sheetView view="pageBreakPreview" zoomScaleNormal="75" zoomScaleSheetLayoutView="100" workbookViewId="0"/>
  </sheetViews>
  <sheetFormatPr defaultColWidth="9.1796875" defaultRowHeight="13"/>
  <cols>
    <col min="1" max="1" width="7.7265625" style="32" customWidth="1"/>
    <col min="2" max="2" width="53.453125" style="32" customWidth="1"/>
    <col min="3" max="3" width="25.453125" style="32" customWidth="1"/>
    <col min="4" max="4" width="20" style="32" customWidth="1"/>
    <col min="5" max="5" width="13.1796875" style="35" customWidth="1"/>
    <col min="6" max="6" width="14.1796875" style="34" customWidth="1"/>
    <col min="7" max="7" width="7.81640625" style="32" customWidth="1"/>
    <col min="8" max="8" width="18.26953125" style="32" customWidth="1"/>
    <col min="9" max="9" width="15.54296875" style="32" customWidth="1"/>
    <col min="10" max="10" width="34" style="33" customWidth="1"/>
    <col min="11" max="11" width="21.26953125" style="33" customWidth="1"/>
    <col min="12" max="12" width="20.81640625" style="33" customWidth="1"/>
    <col min="13" max="13" width="19.7265625" style="33" customWidth="1"/>
    <col min="14" max="14" width="22.453125" style="33" customWidth="1"/>
    <col min="15" max="15" width="15.54296875" style="33" customWidth="1"/>
    <col min="16" max="16384" width="9.1796875" style="32"/>
  </cols>
  <sheetData>
    <row r="1" spans="1:12" ht="14.5">
      <c r="A1" s="794" t="str">
        <f>'Cover Sheets'!A10:D10</f>
        <v>WAPA-UGP 2020 Rate True-up Calculation</v>
      </c>
      <c r="B1" s="795"/>
      <c r="C1" s="577" t="s">
        <v>97</v>
      </c>
      <c r="D1" s="230"/>
      <c r="E1" s="224"/>
      <c r="F1" s="229"/>
      <c r="G1" s="229"/>
      <c r="H1" s="229"/>
      <c r="I1" s="229"/>
      <c r="J1" s="36"/>
    </row>
    <row r="2" spans="1:12">
      <c r="A2" s="167" t="s">
        <v>98</v>
      </c>
      <c r="B2" s="90"/>
      <c r="C2" s="228"/>
      <c r="D2" s="227"/>
      <c r="E2" s="223"/>
      <c r="F2" s="226"/>
      <c r="G2" s="220"/>
      <c r="H2" s="226"/>
      <c r="I2" s="226"/>
      <c r="J2" s="36"/>
      <c r="L2" s="36"/>
    </row>
    <row r="3" spans="1:12">
      <c r="A3" s="51" t="s">
        <v>99</v>
      </c>
      <c r="B3" s="90"/>
      <c r="C3" s="228"/>
      <c r="D3" s="227"/>
      <c r="E3" s="223"/>
      <c r="F3" s="226"/>
      <c r="G3" s="220"/>
      <c r="H3" s="226"/>
      <c r="I3" s="226"/>
      <c r="J3" s="36"/>
      <c r="L3" s="36"/>
    </row>
    <row r="4" spans="1:12">
      <c r="A4" s="393" t="str">
        <f>'Summary-TrueUp'!A3</f>
        <v>12 Months Ending 09/30/2020 True-up</v>
      </c>
      <c r="B4" s="228"/>
      <c r="C4" s="228"/>
      <c r="D4" s="227"/>
      <c r="E4" s="223"/>
      <c r="F4" s="226"/>
      <c r="G4" s="220"/>
      <c r="H4" s="225" t="s">
        <v>100</v>
      </c>
      <c r="I4" s="226"/>
      <c r="J4" s="36"/>
      <c r="L4" s="36"/>
    </row>
    <row r="5" spans="1:12">
      <c r="A5" s="224" t="s">
        <v>101</v>
      </c>
      <c r="B5" s="220"/>
      <c r="C5" s="225" t="s">
        <v>102</v>
      </c>
      <c r="D5" s="225" t="s">
        <v>103</v>
      </c>
      <c r="F5" s="225" t="s">
        <v>104</v>
      </c>
      <c r="G5" s="220"/>
      <c r="H5" s="225" t="s">
        <v>105</v>
      </c>
      <c r="I5" s="220"/>
      <c r="J5" s="36"/>
      <c r="L5" s="36"/>
    </row>
    <row r="6" spans="1:12" ht="13.5" thickBot="1">
      <c r="A6" s="83" t="s">
        <v>106</v>
      </c>
      <c r="B6" s="224" t="s">
        <v>107</v>
      </c>
      <c r="C6" s="224" t="s">
        <v>108</v>
      </c>
      <c r="D6" s="224" t="s">
        <v>109</v>
      </c>
      <c r="E6" s="223"/>
      <c r="F6" s="222" t="s">
        <v>110</v>
      </c>
      <c r="G6" s="220"/>
      <c r="H6" s="221" t="s">
        <v>111</v>
      </c>
      <c r="I6" s="220"/>
      <c r="J6" s="36"/>
      <c r="L6" s="36"/>
    </row>
    <row r="7" spans="1:12" ht="13.5" thickBot="1">
      <c r="A7" s="132">
        <v>1</v>
      </c>
      <c r="B7" s="219" t="s">
        <v>112</v>
      </c>
      <c r="C7" s="218" t="str">
        <f>"(L"&amp;A90&amp;")"</f>
        <v>(L69)</v>
      </c>
      <c r="D7" s="217"/>
      <c r="E7" s="216"/>
      <c r="F7" s="127"/>
      <c r="G7" s="128"/>
      <c r="H7" s="215">
        <f>+H90</f>
        <v>158185310.70854157</v>
      </c>
      <c r="I7" s="214"/>
      <c r="J7" s="36"/>
      <c r="L7" s="36"/>
    </row>
    <row r="8" spans="1:12" ht="13.5" thickTop="1">
      <c r="A8" s="61">
        <f>A7+1</f>
        <v>2</v>
      </c>
      <c r="B8" s="652" t="s">
        <v>113</v>
      </c>
      <c r="C8" s="213" t="s">
        <v>114</v>
      </c>
      <c r="D8" s="212"/>
      <c r="E8" s="185"/>
      <c r="F8" s="72"/>
      <c r="G8" s="52"/>
      <c r="H8" s="555">
        <f>('Summary-TrueUp'!F16)</f>
        <v>-20546354.171750721</v>
      </c>
      <c r="I8" s="50"/>
      <c r="J8" s="36"/>
      <c r="L8" s="36"/>
    </row>
    <row r="9" spans="1:12">
      <c r="A9" s="61">
        <f>A8+1</f>
        <v>3</v>
      </c>
      <c r="B9" s="652" t="s">
        <v>115</v>
      </c>
      <c r="C9" s="210"/>
      <c r="D9" s="52"/>
      <c r="E9" s="182"/>
      <c r="F9" s="72"/>
      <c r="G9" s="52"/>
      <c r="H9" s="211">
        <f>'Summary-TrueUp'!F18</f>
        <v>-1752993.75</v>
      </c>
      <c r="I9" s="50"/>
      <c r="J9" s="36"/>
      <c r="L9" s="36"/>
    </row>
    <row r="10" spans="1:12" ht="13.5" thickBot="1">
      <c r="A10" s="61">
        <f>A9+1</f>
        <v>4</v>
      </c>
      <c r="B10" s="73" t="s">
        <v>116</v>
      </c>
      <c r="C10" s="177" t="str">
        <f>"(L"&amp;A7&amp;" + L"&amp;A8&amp;" + L"&amp;A9&amp;")"</f>
        <v>(L1 + L2 + L3)</v>
      </c>
      <c r="D10" s="209" t="s">
        <v>117</v>
      </c>
      <c r="E10" s="176"/>
      <c r="F10" s="66"/>
      <c r="G10" s="44"/>
      <c r="H10" s="208">
        <f>+H7+H8+H9</f>
        <v>135885962.78679085</v>
      </c>
      <c r="I10" s="173"/>
      <c r="J10" s="36"/>
      <c r="L10" s="36"/>
    </row>
    <row r="11" spans="1:12">
      <c r="A11" s="132"/>
      <c r="B11" s="131" t="s">
        <v>118</v>
      </c>
      <c r="C11" s="207"/>
      <c r="D11" s="207"/>
      <c r="E11" s="206"/>
      <c r="F11" s="205"/>
      <c r="G11" s="204"/>
      <c r="H11" s="203" t="s">
        <v>119</v>
      </c>
      <c r="I11" s="202"/>
      <c r="J11" s="36"/>
      <c r="L11" s="36"/>
    </row>
    <row r="12" spans="1:12">
      <c r="A12" s="61"/>
      <c r="B12" s="795" t="s">
        <v>120</v>
      </c>
      <c r="C12" s="159" t="s">
        <v>121</v>
      </c>
      <c r="D12" s="159"/>
      <c r="E12" s="185"/>
      <c r="F12" s="148"/>
      <c r="G12" s="184"/>
      <c r="H12" s="51"/>
      <c r="I12" s="62"/>
      <c r="J12" s="36"/>
      <c r="L12" s="36"/>
    </row>
    <row r="13" spans="1:12">
      <c r="A13" s="61">
        <f>A10+1</f>
        <v>5</v>
      </c>
      <c r="B13" s="795" t="s">
        <v>122</v>
      </c>
      <c r="C13" s="187" t="s">
        <v>123</v>
      </c>
      <c r="D13" s="201">
        <f>'WS4-CostData'!C9+'WS4-CostData'!E9+'WS4-CostData'!G9</f>
        <v>1198944607.1585801</v>
      </c>
      <c r="E13" s="185" t="s">
        <v>124</v>
      </c>
      <c r="F13" s="164" t="s">
        <v>117</v>
      </c>
      <c r="G13" s="184"/>
      <c r="H13" s="51" t="s">
        <v>117</v>
      </c>
      <c r="I13" s="62"/>
    </row>
    <row r="14" spans="1:12">
      <c r="A14" s="61">
        <f>A13+1</f>
        <v>6</v>
      </c>
      <c r="B14" s="795" t="s">
        <v>125</v>
      </c>
      <c r="C14" s="187" t="s">
        <v>126</v>
      </c>
      <c r="D14" s="201">
        <f>'WS4-CostData'!K8</f>
        <v>1516476764.7497199</v>
      </c>
      <c r="E14" s="185" t="s">
        <v>127</v>
      </c>
      <c r="F14" s="164">
        <f>H103</f>
        <v>1</v>
      </c>
      <c r="G14" s="184"/>
      <c r="H14" s="53">
        <f>+F14*D14</f>
        <v>1516476764.7497199</v>
      </c>
      <c r="I14" s="62"/>
    </row>
    <row r="15" spans="1:12">
      <c r="A15" s="61">
        <f>A14+1</f>
        <v>7</v>
      </c>
      <c r="B15" s="795" t="s">
        <v>128</v>
      </c>
      <c r="C15" s="187" t="s">
        <v>129</v>
      </c>
      <c r="D15" s="201">
        <f>'WS4-CostData'!C7-'WS4-CostData'!C8-'WS4-CostData'!C9</f>
        <v>59094529.686700866</v>
      </c>
      <c r="E15" s="185" t="s">
        <v>124</v>
      </c>
      <c r="F15" s="164" t="s">
        <v>117</v>
      </c>
      <c r="G15" s="184"/>
      <c r="H15" s="53" t="s">
        <v>117</v>
      </c>
      <c r="I15" s="200"/>
    </row>
    <row r="16" spans="1:12" ht="26">
      <c r="A16" s="61">
        <f>A15+1</f>
        <v>8</v>
      </c>
      <c r="B16" s="793" t="s">
        <v>130</v>
      </c>
      <c r="C16" s="194" t="s">
        <v>131</v>
      </c>
      <c r="D16" s="384">
        <v>0</v>
      </c>
      <c r="E16" s="192" t="s">
        <v>132</v>
      </c>
      <c r="F16" s="191">
        <f>H111</f>
        <v>1</v>
      </c>
      <c r="G16" s="190"/>
      <c r="H16" s="189">
        <f>+F16*D16</f>
        <v>0</v>
      </c>
      <c r="I16" s="62"/>
    </row>
    <row r="17" spans="1:12">
      <c r="A17" s="61">
        <f>A16+1</f>
        <v>9</v>
      </c>
      <c r="B17" s="795" t="s">
        <v>133</v>
      </c>
      <c r="C17" s="159"/>
      <c r="D17" s="385">
        <v>0</v>
      </c>
      <c r="E17" s="185" t="s">
        <v>134</v>
      </c>
      <c r="F17" s="164">
        <f>I124</f>
        <v>0</v>
      </c>
      <c r="G17" s="184"/>
      <c r="H17" s="53">
        <f>+F17*D17</f>
        <v>0</v>
      </c>
      <c r="I17" s="62"/>
    </row>
    <row r="18" spans="1:12">
      <c r="A18" s="61">
        <f>A17+1</f>
        <v>10</v>
      </c>
      <c r="B18" s="795" t="s">
        <v>135</v>
      </c>
      <c r="C18" s="159" t="str">
        <f>"(sum L"&amp;A13&amp;" : "&amp;A17&amp;")"</f>
        <v>(sum L5 : 9)</v>
      </c>
      <c r="D18" s="143">
        <f>SUM(D13:D17)</f>
        <v>2774515901.5950007</v>
      </c>
      <c r="E18" s="185" t="s">
        <v>136</v>
      </c>
      <c r="F18" s="195">
        <f>IF(H18&gt;0,H18/D18,0)</f>
        <v>0.54657346309600707</v>
      </c>
      <c r="G18" s="184"/>
      <c r="H18" s="140">
        <f>SUM(H13:H17)</f>
        <v>1516476764.7497199</v>
      </c>
      <c r="I18" s="199"/>
    </row>
    <row r="19" spans="1:12">
      <c r="A19" s="61"/>
      <c r="B19" s="795" t="s">
        <v>137</v>
      </c>
      <c r="C19" s="150"/>
      <c r="D19" s="159"/>
      <c r="E19" s="196"/>
      <c r="F19" s="148"/>
      <c r="G19" s="51"/>
      <c r="H19" s="148"/>
      <c r="I19" s="154"/>
    </row>
    <row r="20" spans="1:12">
      <c r="A20" s="61">
        <f>A18+1</f>
        <v>11</v>
      </c>
      <c r="B20" s="90" t="str">
        <f>+B13</f>
        <v xml:space="preserve">  Production</v>
      </c>
      <c r="C20" s="187" t="s">
        <v>138</v>
      </c>
      <c r="D20" s="159">
        <f>'WS4-CostData'!C20+'WS4-CostData'!G20</f>
        <v>605952612.67733324</v>
      </c>
      <c r="E20" s="185" t="str">
        <f>+E13</f>
        <v>NA</v>
      </c>
      <c r="F20" s="164" t="str">
        <f>+F13</f>
        <v xml:space="preserve"> </v>
      </c>
      <c r="G20" s="184"/>
      <c r="H20" s="53" t="s">
        <v>117</v>
      </c>
      <c r="I20" s="154"/>
    </row>
    <row r="21" spans="1:12">
      <c r="A21" s="61">
        <f>A20+1</f>
        <v>12</v>
      </c>
      <c r="B21" s="90" t="str">
        <f>+B14</f>
        <v xml:space="preserve">  Transmission</v>
      </c>
      <c r="C21" s="187" t="s">
        <v>139</v>
      </c>
      <c r="D21" s="159">
        <f>'WS4-CostData'!C19+'WS4-CostData'!E19+'WS4-CostData'!G19</f>
        <v>752145781.60314918</v>
      </c>
      <c r="E21" s="185" t="str">
        <f>+E14</f>
        <v>TP</v>
      </c>
      <c r="F21" s="164">
        <f>H103</f>
        <v>1</v>
      </c>
      <c r="G21" s="184"/>
      <c r="H21" s="53">
        <f>+F21*D21</f>
        <v>752145781.60314918</v>
      </c>
      <c r="I21" s="154"/>
    </row>
    <row r="22" spans="1:12">
      <c r="A22" s="61">
        <f>A21+1</f>
        <v>13</v>
      </c>
      <c r="B22" s="90" t="str">
        <f>+B15</f>
        <v xml:space="preserve">  Distribution</v>
      </c>
      <c r="C22" s="187" t="s">
        <v>140</v>
      </c>
      <c r="D22" s="159">
        <f>'WS4-CostData'!C18-'WS4-CostData'!C20-'WS4-CostData'!C19</f>
        <v>29265345.561857224</v>
      </c>
      <c r="E22" s="185" t="str">
        <f>+E15</f>
        <v>NA</v>
      </c>
      <c r="F22" s="164" t="str">
        <f>+F15</f>
        <v xml:space="preserve"> </v>
      </c>
      <c r="G22" s="184"/>
      <c r="H22" s="53" t="s">
        <v>117</v>
      </c>
      <c r="I22" s="154"/>
    </row>
    <row r="23" spans="1:12" ht="26.5">
      <c r="A23" s="61">
        <f>A22+1</f>
        <v>14</v>
      </c>
      <c r="B23" s="655" t="str">
        <f>+B16</f>
        <v xml:space="preserve">  General &amp; Intangible</v>
      </c>
      <c r="C23" s="194" t="s">
        <v>141</v>
      </c>
      <c r="D23" s="193">
        <v>0</v>
      </c>
      <c r="E23" s="192" t="str">
        <f>+E16</f>
        <v>W/S</v>
      </c>
      <c r="F23" s="191">
        <f>+F16</f>
        <v>1</v>
      </c>
      <c r="G23" s="190"/>
      <c r="H23" s="189">
        <f>+F23*D23</f>
        <v>0</v>
      </c>
      <c r="I23" s="154"/>
    </row>
    <row r="24" spans="1:12">
      <c r="A24" s="61">
        <f>A23+1</f>
        <v>15</v>
      </c>
      <c r="B24" s="90" t="str">
        <f>+B17</f>
        <v xml:space="preserve">  Common</v>
      </c>
      <c r="C24" s="159"/>
      <c r="D24" s="197">
        <v>0</v>
      </c>
      <c r="E24" s="185" t="str">
        <f>+E17</f>
        <v>CE</v>
      </c>
      <c r="F24" s="164">
        <f>+F17</f>
        <v>0</v>
      </c>
      <c r="G24" s="184"/>
      <c r="H24" s="53">
        <f>+F24*D24</f>
        <v>0</v>
      </c>
      <c r="I24" s="62"/>
    </row>
    <row r="25" spans="1:12">
      <c r="A25" s="61">
        <f>A24+1</f>
        <v>16</v>
      </c>
      <c r="B25" s="795" t="s">
        <v>142</v>
      </c>
      <c r="C25" s="150" t="str">
        <f>"(sum L"&amp;A20&amp;" : "&amp;A24&amp;")"</f>
        <v>(sum L11 : 15)</v>
      </c>
      <c r="D25" s="143">
        <f>SUM(D20:D24)</f>
        <v>1387363739.8423395</v>
      </c>
      <c r="E25" s="196"/>
      <c r="F25" s="148"/>
      <c r="G25" s="184"/>
      <c r="H25" s="140">
        <f>SUM(H20:H24)</f>
        <v>752145781.60314918</v>
      </c>
      <c r="I25" s="199"/>
    </row>
    <row r="26" spans="1:12">
      <c r="A26" s="61"/>
      <c r="B26" s="795" t="s">
        <v>143</v>
      </c>
      <c r="C26" s="159"/>
      <c r="D26" s="159"/>
      <c r="E26" s="185"/>
      <c r="F26" s="148"/>
      <c r="G26" s="51"/>
      <c r="H26" s="148"/>
      <c r="I26" s="154"/>
    </row>
    <row r="27" spans="1:12">
      <c r="A27" s="61">
        <f>A25+1</f>
        <v>17</v>
      </c>
      <c r="B27" s="90" t="str">
        <f>+B20</f>
        <v xml:space="preserve">  Production</v>
      </c>
      <c r="C27" s="159" t="str">
        <f>"(L"&amp;A13&amp; " - L"&amp;A20&amp;")"</f>
        <v>(L5 - L11)</v>
      </c>
      <c r="D27" s="159">
        <f>D13-D20</f>
        <v>592991994.48124683</v>
      </c>
      <c r="E27" s="185"/>
      <c r="F27" s="195"/>
      <c r="G27" s="184"/>
      <c r="H27" s="53" t="s">
        <v>117</v>
      </c>
      <c r="I27" s="154"/>
    </row>
    <row r="28" spans="1:12">
      <c r="A28" s="61">
        <f>A27+1</f>
        <v>18</v>
      </c>
      <c r="B28" s="90" t="str">
        <f>+B21</f>
        <v xml:space="preserve">  Transmission</v>
      </c>
      <c r="C28" s="159" t="str">
        <f>"(L"&amp;A14&amp;" - L"&amp;A21&amp;")"</f>
        <v>(L6 - L12)</v>
      </c>
      <c r="D28" s="159">
        <f>D14-D21</f>
        <v>764330983.14657068</v>
      </c>
      <c r="E28" s="185"/>
      <c r="F28" s="164"/>
      <c r="G28" s="184"/>
      <c r="H28" s="53">
        <f>H14-H21</f>
        <v>764330983.14657068</v>
      </c>
      <c r="I28" s="154"/>
    </row>
    <row r="29" spans="1:12">
      <c r="A29" s="61">
        <f>A28+1</f>
        <v>19</v>
      </c>
      <c r="B29" s="90" t="str">
        <f>+B22</f>
        <v xml:space="preserve">  Distribution</v>
      </c>
      <c r="C29" s="159" t="str">
        <f>"(L"&amp;A15&amp;" - L"&amp;A22&amp;")"</f>
        <v>(L7 - L13)</v>
      </c>
      <c r="D29" s="159">
        <f>D15-D22</f>
        <v>29829184.124843642</v>
      </c>
      <c r="E29" s="185"/>
      <c r="F29" s="195"/>
      <c r="G29" s="184"/>
      <c r="H29" s="53" t="s">
        <v>117</v>
      </c>
      <c r="I29" s="154"/>
    </row>
    <row r="30" spans="1:12">
      <c r="A30" s="61">
        <f>A29+1</f>
        <v>20</v>
      </c>
      <c r="B30" s="90" t="str">
        <f>+B23</f>
        <v xml:space="preserve">  General &amp; Intangible</v>
      </c>
      <c r="C30" s="159" t="str">
        <f>"(L"&amp;A16&amp;" - L"&amp;A23&amp;")"</f>
        <v>(L8 - L14)</v>
      </c>
      <c r="D30" s="159">
        <f>D16-D23</f>
        <v>0</v>
      </c>
      <c r="E30" s="185"/>
      <c r="F30" s="195"/>
      <c r="G30" s="184"/>
      <c r="H30" s="53">
        <f>H16-H23</f>
        <v>0</v>
      </c>
      <c r="I30" s="62"/>
    </row>
    <row r="31" spans="1:12">
      <c r="A31" s="61">
        <f>A30+1</f>
        <v>21</v>
      </c>
      <c r="B31" s="90" t="str">
        <f>+B24</f>
        <v xml:space="preserve">  Common</v>
      </c>
      <c r="C31" s="159" t="str">
        <f>"(L"&amp;A17&amp;" - L"&amp;A24&amp;")"</f>
        <v>(L9 - L15)</v>
      </c>
      <c r="D31" s="159">
        <f>D17-D24</f>
        <v>0</v>
      </c>
      <c r="E31" s="185"/>
      <c r="F31" s="195"/>
      <c r="G31" s="184"/>
      <c r="H31" s="53">
        <f>H17-H24</f>
        <v>0</v>
      </c>
      <c r="I31" s="62"/>
      <c r="J31" s="36"/>
      <c r="L31" s="36"/>
    </row>
    <row r="32" spans="1:12">
      <c r="A32" s="61">
        <f>A31+1</f>
        <v>22</v>
      </c>
      <c r="B32" s="795" t="s">
        <v>144</v>
      </c>
      <c r="C32" s="159" t="str">
        <f>"(sum L"&amp;A27&amp;" : "&amp;A31&amp;")"</f>
        <v>(sum L17 : 21)</v>
      </c>
      <c r="D32" s="143">
        <f>SUM(D27:D31)</f>
        <v>1387152161.7526612</v>
      </c>
      <c r="E32" s="185" t="s">
        <v>145</v>
      </c>
      <c r="F32" s="195">
        <f>IF(H32&gt;0,H32/D32,0)</f>
        <v>0.55100731139750492</v>
      </c>
      <c r="G32" s="184"/>
      <c r="H32" s="140">
        <f>SUM(H27:H31)</f>
        <v>764330983.14657068</v>
      </c>
      <c r="I32" s="199"/>
      <c r="J32" s="36"/>
      <c r="L32" s="36"/>
    </row>
    <row r="33" spans="1:21">
      <c r="A33" s="61"/>
      <c r="B33" s="795" t="s">
        <v>146</v>
      </c>
      <c r="C33" s="150" t="s">
        <v>147</v>
      </c>
      <c r="D33" s="159"/>
      <c r="E33" s="196"/>
      <c r="F33" s="148"/>
      <c r="G33" s="51"/>
      <c r="H33" s="148"/>
      <c r="I33" s="62"/>
      <c r="J33" s="36"/>
      <c r="L33" s="36"/>
    </row>
    <row r="34" spans="1:21">
      <c r="A34" s="61">
        <f>A32+1</f>
        <v>23</v>
      </c>
      <c r="B34" s="795" t="s">
        <v>148</v>
      </c>
      <c r="C34" s="159" t="s">
        <v>149</v>
      </c>
      <c r="D34" s="197">
        <v>0</v>
      </c>
      <c r="E34" s="185"/>
      <c r="F34" s="164">
        <v>0</v>
      </c>
      <c r="G34" s="184"/>
      <c r="H34" s="53">
        <v>0</v>
      </c>
      <c r="I34" s="62"/>
      <c r="J34" s="36"/>
      <c r="L34" s="36"/>
    </row>
    <row r="35" spans="1:21">
      <c r="A35" s="61">
        <f t="shared" ref="A35:A40" si="0">A34+1</f>
        <v>24</v>
      </c>
      <c r="B35" s="795" t="s">
        <v>150</v>
      </c>
      <c r="C35" s="159" t="s">
        <v>149</v>
      </c>
      <c r="D35" s="197">
        <v>0</v>
      </c>
      <c r="E35" s="185" t="s">
        <v>151</v>
      </c>
      <c r="F35" s="164">
        <f>+F32</f>
        <v>0.55100731139750492</v>
      </c>
      <c r="G35" s="184"/>
      <c r="H35" s="53">
        <f>D35*F35</f>
        <v>0</v>
      </c>
      <c r="I35" s="154"/>
      <c r="J35" s="36"/>
      <c r="L35" s="36"/>
    </row>
    <row r="36" spans="1:21">
      <c r="A36" s="61">
        <f t="shared" si="0"/>
        <v>25</v>
      </c>
      <c r="B36" s="795" t="s">
        <v>152</v>
      </c>
      <c r="C36" s="159" t="s">
        <v>149</v>
      </c>
      <c r="D36" s="197">
        <v>0</v>
      </c>
      <c r="E36" s="185" t="s">
        <v>151</v>
      </c>
      <c r="F36" s="164">
        <f>+F35</f>
        <v>0.55100731139750492</v>
      </c>
      <c r="G36" s="184"/>
      <c r="H36" s="53">
        <f>D36*F36</f>
        <v>0</v>
      </c>
      <c r="I36" s="198"/>
      <c r="J36" s="36"/>
      <c r="L36" s="36"/>
    </row>
    <row r="37" spans="1:21">
      <c r="A37" s="61">
        <f t="shared" si="0"/>
        <v>26</v>
      </c>
      <c r="B37" s="795" t="s">
        <v>153</v>
      </c>
      <c r="C37" s="159"/>
      <c r="D37" s="197">
        <v>0</v>
      </c>
      <c r="E37" s="185" t="str">
        <f>+E36</f>
        <v>NP</v>
      </c>
      <c r="F37" s="164">
        <f>+F36</f>
        <v>0.55100731139750492</v>
      </c>
      <c r="G37" s="184"/>
      <c r="H37" s="53">
        <f>D37*F37</f>
        <v>0</v>
      </c>
      <c r="I37" s="154"/>
      <c r="J37" s="36"/>
      <c r="L37" s="36"/>
    </row>
    <row r="38" spans="1:21">
      <c r="A38" s="61">
        <f t="shared" si="0"/>
        <v>27</v>
      </c>
      <c r="B38" s="795" t="s">
        <v>154</v>
      </c>
      <c r="C38" s="159" t="s">
        <v>149</v>
      </c>
      <c r="D38" s="197">
        <v>0</v>
      </c>
      <c r="E38" s="185" t="s">
        <v>151</v>
      </c>
      <c r="F38" s="164">
        <f>+F36</f>
        <v>0.55100731139750492</v>
      </c>
      <c r="G38" s="184"/>
      <c r="H38" s="53">
        <f>D38*F38</f>
        <v>0</v>
      </c>
      <c r="I38" s="50"/>
      <c r="J38" s="36"/>
      <c r="L38" s="36"/>
    </row>
    <row r="39" spans="1:21">
      <c r="A39" s="61">
        <f t="shared" si="0"/>
        <v>28</v>
      </c>
      <c r="B39" s="795" t="s">
        <v>155</v>
      </c>
      <c r="C39" s="159" t="str">
        <f>"(sum L"&amp;A34&amp;" : "&amp;A38&amp;")"</f>
        <v>(sum L23 : 27)</v>
      </c>
      <c r="D39" s="143">
        <f>SUM(D34:D38)</f>
        <v>0</v>
      </c>
      <c r="E39" s="185"/>
      <c r="F39" s="148"/>
      <c r="G39" s="184"/>
      <c r="H39" s="140">
        <f>SUM(H34:H38)</f>
        <v>0</v>
      </c>
      <c r="I39" s="163"/>
      <c r="J39" s="36"/>
      <c r="L39" s="36"/>
    </row>
    <row r="40" spans="1:21">
      <c r="A40" s="61">
        <f t="shared" si="0"/>
        <v>29</v>
      </c>
      <c r="B40" s="795" t="s">
        <v>156</v>
      </c>
      <c r="C40" s="150" t="s">
        <v>157</v>
      </c>
      <c r="D40" s="197">
        <v>0</v>
      </c>
      <c r="E40" s="196" t="str">
        <f>+E21</f>
        <v>TP</v>
      </c>
      <c r="F40" s="164">
        <f>+F21</f>
        <v>1</v>
      </c>
      <c r="G40" s="51"/>
      <c r="H40" s="148">
        <f>+F40*D40</f>
        <v>0</v>
      </c>
      <c r="I40" s="50"/>
      <c r="J40" s="36"/>
      <c r="L40" s="36"/>
    </row>
    <row r="41" spans="1:21">
      <c r="A41" s="61"/>
      <c r="B41" s="795" t="s">
        <v>158</v>
      </c>
      <c r="C41" s="187" t="s">
        <v>159</v>
      </c>
      <c r="D41" s="159"/>
      <c r="E41" s="185"/>
      <c r="F41" s="148"/>
      <c r="G41" s="184"/>
      <c r="H41" s="53"/>
      <c r="I41" s="79"/>
      <c r="J41" s="36"/>
    </row>
    <row r="42" spans="1:21">
      <c r="A42" s="61">
        <f>A40+1</f>
        <v>30</v>
      </c>
      <c r="B42" s="795" t="s">
        <v>160</v>
      </c>
      <c r="C42" s="159" t="s">
        <v>161</v>
      </c>
      <c r="D42" s="159">
        <f>D61/8</f>
        <v>25678377.157499995</v>
      </c>
      <c r="E42" s="185"/>
      <c r="F42" s="195"/>
      <c r="G42" s="184"/>
      <c r="H42" s="53">
        <v>0</v>
      </c>
      <c r="I42" s="188"/>
      <c r="J42" s="36"/>
      <c r="L42" s="36"/>
    </row>
    <row r="43" spans="1:21" ht="26">
      <c r="A43" s="61">
        <f>A42+1</f>
        <v>31</v>
      </c>
      <c r="B43" s="793" t="s">
        <v>162</v>
      </c>
      <c r="C43" s="194" t="s">
        <v>163</v>
      </c>
      <c r="D43" s="193">
        <v>0</v>
      </c>
      <c r="E43" s="192" t="s">
        <v>164</v>
      </c>
      <c r="F43" s="191">
        <f>H104</f>
        <v>0</v>
      </c>
      <c r="G43" s="190"/>
      <c r="H43" s="189">
        <f>+F43*D43</f>
        <v>0</v>
      </c>
      <c r="I43" s="188"/>
      <c r="J43" s="36"/>
      <c r="L43" s="36"/>
    </row>
    <row r="44" spans="1:21">
      <c r="A44" s="61">
        <f>A43+1</f>
        <v>32</v>
      </c>
      <c r="B44" s="795" t="s">
        <v>165</v>
      </c>
      <c r="C44" s="187" t="s">
        <v>166</v>
      </c>
      <c r="D44" s="186">
        <v>0</v>
      </c>
      <c r="E44" s="185" t="s">
        <v>167</v>
      </c>
      <c r="F44" s="164">
        <f>+F18</f>
        <v>0.54657346309600707</v>
      </c>
      <c r="G44" s="184"/>
      <c r="H44" s="53">
        <f>+F44*D44</f>
        <v>0</v>
      </c>
      <c r="I44" s="796"/>
      <c r="J44" s="36"/>
      <c r="L44" s="36"/>
    </row>
    <row r="45" spans="1:21">
      <c r="A45" s="61">
        <f>A44+1</f>
        <v>33</v>
      </c>
      <c r="B45" s="795" t="s">
        <v>168</v>
      </c>
      <c r="C45" s="159" t="str">
        <f>"(sum L"&amp;A42&amp;" : "&amp;A44&amp;")"</f>
        <v>(sum L30 : 32)</v>
      </c>
      <c r="D45" s="183">
        <f>D42+D43+D44</f>
        <v>25678377.157499995</v>
      </c>
      <c r="E45" s="182"/>
      <c r="F45" s="181"/>
      <c r="G45" s="180"/>
      <c r="H45" s="179">
        <f>H42+H43+H44</f>
        <v>0</v>
      </c>
      <c r="I45" s="178"/>
      <c r="J45" s="36"/>
      <c r="L45" s="36"/>
    </row>
    <row r="46" spans="1:21" ht="13.5" thickBot="1">
      <c r="A46" s="69">
        <f>A45+1</f>
        <v>34</v>
      </c>
      <c r="B46" s="73" t="s">
        <v>169</v>
      </c>
      <c r="C46" s="177" t="str">
        <f>"(sum L "&amp;A32&amp;", "&amp;A39&amp;", "&amp;A40&amp;", "&amp;A45&amp;")"</f>
        <v>(sum L 22, 28, 29, 33)</v>
      </c>
      <c r="D46" s="177">
        <f>+D45+D40+D39+D32</f>
        <v>1412830538.9101613</v>
      </c>
      <c r="E46" s="176"/>
      <c r="F46" s="175"/>
      <c r="G46" s="174"/>
      <c r="H46" s="66">
        <f>+H45+H40+H39+H32</f>
        <v>764330983.14657068</v>
      </c>
      <c r="I46" s="173"/>
      <c r="J46" s="36"/>
      <c r="L46" s="38"/>
    </row>
    <row r="47" spans="1:21">
      <c r="A47" s="132"/>
      <c r="B47" s="130" t="s">
        <v>170</v>
      </c>
      <c r="C47" s="172"/>
      <c r="D47" s="172"/>
      <c r="E47" s="171"/>
      <c r="F47" s="169"/>
      <c r="G47" s="170"/>
      <c r="H47" s="169"/>
      <c r="I47" s="168"/>
      <c r="M47" s="37"/>
      <c r="N47" s="37"/>
      <c r="O47" s="37"/>
      <c r="P47" s="167"/>
      <c r="Q47" s="167"/>
      <c r="R47" s="167"/>
      <c r="S47" s="167"/>
      <c r="T47" s="167"/>
      <c r="U47" s="167"/>
    </row>
    <row r="48" spans="1:21">
      <c r="A48" s="61"/>
      <c r="B48" s="795" t="s">
        <v>171</v>
      </c>
      <c r="C48" s="144" t="s">
        <v>172</v>
      </c>
      <c r="D48" s="144"/>
      <c r="E48" s="142"/>
      <c r="F48" s="151"/>
      <c r="G48" s="795"/>
      <c r="H48" s="151"/>
      <c r="I48" s="62"/>
    </row>
    <row r="49" spans="1:9" s="162" customFormat="1">
      <c r="A49" s="61">
        <f>A46+1</f>
        <v>35</v>
      </c>
      <c r="B49" s="795" t="s">
        <v>173</v>
      </c>
      <c r="C49" s="187" t="s">
        <v>174</v>
      </c>
      <c r="D49" s="150">
        <f>'WS4-CostData'!C135</f>
        <v>71526157.809999973</v>
      </c>
      <c r="E49" s="142" t="s">
        <v>175</v>
      </c>
      <c r="F49" s="164">
        <f>H116</f>
        <v>0.95062234884740748</v>
      </c>
      <c r="G49" s="51"/>
      <c r="H49" s="148">
        <f>+F49*D49</f>
        <v>67994364.141372517</v>
      </c>
      <c r="I49" s="62"/>
    </row>
    <row r="50" spans="1:9">
      <c r="A50" s="61">
        <f>A49+1</f>
        <v>36</v>
      </c>
      <c r="B50" s="795" t="s">
        <v>176</v>
      </c>
      <c r="C50" s="187" t="s">
        <v>177</v>
      </c>
      <c r="D50" s="150">
        <f>'WS4-CostData'!E135</f>
        <v>45826814.340000004</v>
      </c>
      <c r="E50" s="142" t="s">
        <v>178</v>
      </c>
      <c r="F50" s="164">
        <f>H119</f>
        <v>8.9355598508752861E-3</v>
      </c>
      <c r="G50" s="51"/>
      <c r="H50" s="148">
        <f>+F50*D50</f>
        <v>409488.24231001985</v>
      </c>
      <c r="I50" s="62"/>
    </row>
    <row r="51" spans="1:9">
      <c r="A51" s="61">
        <f>A50+1</f>
        <v>37</v>
      </c>
      <c r="B51" s="795" t="s">
        <v>179</v>
      </c>
      <c r="C51" s="187" t="s">
        <v>180</v>
      </c>
      <c r="D51" s="150">
        <f>'WS4-CostData'!G135</f>
        <v>54504188</v>
      </c>
      <c r="E51" s="142" t="s">
        <v>181</v>
      </c>
      <c r="F51" s="164">
        <f>H122</f>
        <v>7.3745692062779186E-2</v>
      </c>
      <c r="G51" s="51"/>
      <c r="H51" s="148">
        <f>+F51*D51</f>
        <v>4019449.0643798248</v>
      </c>
      <c r="I51" s="62"/>
    </row>
    <row r="52" spans="1:9">
      <c r="A52" s="61">
        <f>A51+1</f>
        <v>38</v>
      </c>
      <c r="B52" s="795" t="s">
        <v>182</v>
      </c>
      <c r="C52" s="144" t="s">
        <v>183</v>
      </c>
      <c r="D52" s="150"/>
      <c r="E52" s="142" t="s">
        <v>124</v>
      </c>
      <c r="F52" s="164">
        <v>1</v>
      </c>
      <c r="G52" s="51"/>
      <c r="H52" s="148">
        <f>+F52*D52</f>
        <v>0</v>
      </c>
      <c r="I52" s="62"/>
    </row>
    <row r="53" spans="1:9">
      <c r="A53" s="61"/>
      <c r="B53" s="795" t="s">
        <v>184</v>
      </c>
      <c r="C53" s="144" t="s">
        <v>185</v>
      </c>
      <c r="D53" s="150"/>
      <c r="E53" s="149"/>
      <c r="F53" s="151"/>
      <c r="G53" s="795"/>
      <c r="H53" s="151"/>
      <c r="I53" s="62"/>
    </row>
    <row r="54" spans="1:9">
      <c r="A54" s="61">
        <f>A52+1</f>
        <v>39</v>
      </c>
      <c r="B54" s="795" t="s">
        <v>173</v>
      </c>
      <c r="C54" s="187" t="s">
        <v>186</v>
      </c>
      <c r="D54" s="150">
        <f>'WS4-CostData'!C106</f>
        <v>20575063.449999999</v>
      </c>
      <c r="E54" s="142" t="str">
        <f>E49</f>
        <v>PTP/UGP</v>
      </c>
      <c r="F54" s="164">
        <f>F49</f>
        <v>0.95062234884740748</v>
      </c>
      <c r="G54" s="51"/>
      <c r="H54" s="148">
        <f t="shared" ref="H54:H60" si="1">+F54*D54</f>
        <v>19559115.144523442</v>
      </c>
      <c r="I54" s="154"/>
    </row>
    <row r="55" spans="1:9">
      <c r="A55" s="61">
        <f t="shared" ref="A55:A61" si="2">A54+1</f>
        <v>40</v>
      </c>
      <c r="B55" s="795" t="s">
        <v>176</v>
      </c>
      <c r="C55" s="187" t="s">
        <v>187</v>
      </c>
      <c r="D55" s="150">
        <f>'WS4-CostData'!E106</f>
        <v>12994793.66</v>
      </c>
      <c r="E55" s="142" t="str">
        <f>E50</f>
        <v>PTP/RMR</v>
      </c>
      <c r="F55" s="164">
        <f>F50</f>
        <v>8.9355598508752861E-3</v>
      </c>
      <c r="G55" s="51"/>
      <c r="H55" s="148">
        <f t="shared" si="1"/>
        <v>116115.75649870471</v>
      </c>
      <c r="I55" s="154"/>
    </row>
    <row r="56" spans="1:9">
      <c r="A56" s="61">
        <f t="shared" si="2"/>
        <v>41</v>
      </c>
      <c r="B56" s="795" t="s">
        <v>188</v>
      </c>
      <c r="C56" s="150"/>
      <c r="D56" s="165">
        <v>0</v>
      </c>
      <c r="E56" s="142" t="s">
        <v>132</v>
      </c>
      <c r="F56" s="164">
        <f>H111</f>
        <v>1</v>
      </c>
      <c r="G56" s="51"/>
      <c r="H56" s="148">
        <f t="shared" si="1"/>
        <v>0</v>
      </c>
      <c r="I56" s="154"/>
    </row>
    <row r="57" spans="1:9">
      <c r="A57" s="61">
        <f t="shared" si="2"/>
        <v>42</v>
      </c>
      <c r="B57" s="795" t="s">
        <v>189</v>
      </c>
      <c r="C57" s="150" t="s">
        <v>190</v>
      </c>
      <c r="D57" s="165">
        <v>0</v>
      </c>
      <c r="E57" s="142" t="str">
        <f>+E56</f>
        <v>W/S</v>
      </c>
      <c r="F57" s="164">
        <f>H111</f>
        <v>1</v>
      </c>
      <c r="G57" s="51"/>
      <c r="H57" s="148">
        <f t="shared" si="1"/>
        <v>0</v>
      </c>
      <c r="I57" s="154"/>
    </row>
    <row r="58" spans="1:9">
      <c r="A58" s="61">
        <f t="shared" si="2"/>
        <v>43</v>
      </c>
      <c r="B58" s="795" t="s">
        <v>191</v>
      </c>
      <c r="C58" s="150" t="s">
        <v>190</v>
      </c>
      <c r="D58" s="165">
        <v>0</v>
      </c>
      <c r="E58" s="142" t="s">
        <v>164</v>
      </c>
      <c r="F58" s="164">
        <f>H104</f>
        <v>0</v>
      </c>
      <c r="G58" s="51"/>
      <c r="H58" s="148">
        <f t="shared" si="1"/>
        <v>0</v>
      </c>
      <c r="I58" s="154"/>
    </row>
    <row r="59" spans="1:9">
      <c r="A59" s="61">
        <f t="shared" si="2"/>
        <v>44</v>
      </c>
      <c r="B59" s="795" t="s">
        <v>133</v>
      </c>
      <c r="C59" s="150"/>
      <c r="D59" s="165">
        <v>0</v>
      </c>
      <c r="E59" s="142" t="s">
        <v>134</v>
      </c>
      <c r="F59" s="164">
        <f>I124</f>
        <v>0</v>
      </c>
      <c r="G59" s="51"/>
      <c r="H59" s="148">
        <f t="shared" si="1"/>
        <v>0</v>
      </c>
      <c r="I59" s="62"/>
    </row>
    <row r="60" spans="1:9">
      <c r="A60" s="61">
        <f t="shared" si="2"/>
        <v>45</v>
      </c>
      <c r="B60" s="795" t="s">
        <v>192</v>
      </c>
      <c r="C60" s="150"/>
      <c r="D60" s="166">
        <v>0</v>
      </c>
      <c r="E60" s="142" t="s">
        <v>124</v>
      </c>
      <c r="F60" s="164">
        <v>1</v>
      </c>
      <c r="G60" s="51"/>
      <c r="H60" s="148">
        <f t="shared" si="1"/>
        <v>0</v>
      </c>
      <c r="I60" s="62"/>
    </row>
    <row r="61" spans="1:9" ht="26">
      <c r="A61" s="61">
        <f t="shared" si="2"/>
        <v>46</v>
      </c>
      <c r="B61" s="795" t="s">
        <v>193</v>
      </c>
      <c r="C61" s="158" t="str">
        <f>"(sum L "&amp;A49&amp;", "&amp;A50&amp;", "&amp;A51&amp;", "&amp;A54&amp;", "&amp;A55&amp;", "&amp;A58&amp;", "&amp;A59&amp;" less "&amp;A52&amp;", "&amp;A56&amp;", "&amp;A57&amp;")"</f>
        <v>(sum L 35, 36, 37, 39, 40, 43, 44 less 38, 41, 42)</v>
      </c>
      <c r="D61" s="143">
        <f>+D49+D50+D51-D52+D54+D55-D56-D57+D58+D59+D60</f>
        <v>205427017.25999996</v>
      </c>
      <c r="E61" s="142"/>
      <c r="F61" s="148"/>
      <c r="G61" s="51"/>
      <c r="H61" s="140">
        <f>+H49+H50+H51-H52+H54+H55-H56-H57+H58+H59+H60</f>
        <v>92098532.349084511</v>
      </c>
      <c r="I61" s="163"/>
    </row>
    <row r="62" spans="1:9">
      <c r="A62" s="61"/>
      <c r="B62" s="795" t="s">
        <v>194</v>
      </c>
      <c r="C62" s="150"/>
      <c r="D62" s="159"/>
      <c r="E62" s="75"/>
      <c r="F62" s="148"/>
      <c r="G62" s="51"/>
      <c r="H62" s="148"/>
      <c r="I62" s="154"/>
    </row>
    <row r="63" spans="1:9">
      <c r="A63" s="61">
        <f>A61+1</f>
        <v>47</v>
      </c>
      <c r="B63" s="90" t="str">
        <f>+B48</f>
        <v xml:space="preserve">  Transmission </v>
      </c>
      <c r="C63" s="144" t="s">
        <v>195</v>
      </c>
      <c r="D63" s="150"/>
      <c r="E63" s="142"/>
      <c r="F63" s="164"/>
      <c r="G63" s="51"/>
      <c r="H63" s="148"/>
      <c r="I63" s="154"/>
    </row>
    <row r="64" spans="1:9">
      <c r="A64" s="61">
        <f t="shared" ref="A64:A69" si="3">A63+1</f>
        <v>48</v>
      </c>
      <c r="B64" s="795" t="s">
        <v>173</v>
      </c>
      <c r="C64" s="187" t="s">
        <v>196</v>
      </c>
      <c r="D64" s="152">
        <f>'WS4-CostData'!C46</f>
        <v>33044406.969999999</v>
      </c>
      <c r="E64" s="142" t="str">
        <f>E49</f>
        <v>PTP/UGP</v>
      </c>
      <c r="F64" s="164">
        <f>F49</f>
        <v>0.95062234884740748</v>
      </c>
      <c r="G64" s="51"/>
      <c r="H64" s="148">
        <f>+F64*D64</f>
        <v>31412751.770091042</v>
      </c>
      <c r="I64" s="154"/>
    </row>
    <row r="65" spans="1:15">
      <c r="A65" s="61">
        <f t="shared" si="3"/>
        <v>49</v>
      </c>
      <c r="B65" s="795" t="s">
        <v>176</v>
      </c>
      <c r="C65" s="187" t="s">
        <v>197</v>
      </c>
      <c r="D65" s="152">
        <f>'WS4-CostData'!E46</f>
        <v>18388292.57</v>
      </c>
      <c r="E65" s="142" t="str">
        <f>E50</f>
        <v>PTP/RMR</v>
      </c>
      <c r="F65" s="164">
        <f>F50</f>
        <v>8.9355598508752861E-3</v>
      </c>
      <c r="G65" s="51"/>
      <c r="H65" s="148">
        <f>+F65*D65</f>
        <v>164309.68881464034</v>
      </c>
      <c r="I65" s="154"/>
    </row>
    <row r="66" spans="1:15">
      <c r="A66" s="61">
        <f t="shared" si="3"/>
        <v>50</v>
      </c>
      <c r="B66" s="795" t="s">
        <v>179</v>
      </c>
      <c r="C66" s="187" t="s">
        <v>198</v>
      </c>
      <c r="D66" s="152">
        <f>'WS4-CostData'!G46</f>
        <v>17325261</v>
      </c>
      <c r="E66" s="142" t="s">
        <v>181</v>
      </c>
      <c r="F66" s="164">
        <f>F51</f>
        <v>7.3745692062779186E-2</v>
      </c>
      <c r="G66" s="51"/>
      <c r="H66" s="148">
        <f>+F66*D66</f>
        <v>1277663.3626132777</v>
      </c>
      <c r="I66" s="154"/>
    </row>
    <row r="67" spans="1:15">
      <c r="A67" s="61">
        <f t="shared" si="3"/>
        <v>51</v>
      </c>
      <c r="B67" s="795" t="s">
        <v>199</v>
      </c>
      <c r="C67" s="144"/>
      <c r="D67" s="165">
        <v>0</v>
      </c>
      <c r="E67" s="142" t="s">
        <v>132</v>
      </c>
      <c r="F67" s="164">
        <f>H111</f>
        <v>1</v>
      </c>
      <c r="G67" s="51"/>
      <c r="H67" s="148">
        <f>+F67*D67</f>
        <v>0</v>
      </c>
      <c r="I67" s="154"/>
    </row>
    <row r="68" spans="1:15">
      <c r="A68" s="61">
        <f t="shared" si="3"/>
        <v>52</v>
      </c>
      <c r="B68" s="90" t="str">
        <f>+B59</f>
        <v xml:space="preserve">  Common</v>
      </c>
      <c r="C68" s="150"/>
      <c r="D68" s="165">
        <v>0</v>
      </c>
      <c r="E68" s="142" t="s">
        <v>134</v>
      </c>
      <c r="F68" s="164">
        <f>+F59</f>
        <v>0</v>
      </c>
      <c r="G68" s="51"/>
      <c r="H68" s="148">
        <f>+F68*D68</f>
        <v>0</v>
      </c>
      <c r="I68" s="154"/>
      <c r="J68" s="38"/>
      <c r="L68" s="38"/>
    </row>
    <row r="69" spans="1:15">
      <c r="A69" s="61">
        <f t="shared" si="3"/>
        <v>53</v>
      </c>
      <c r="B69" s="795" t="s">
        <v>200</v>
      </c>
      <c r="C69" s="150" t="str">
        <f>"(sum L"&amp;A63&amp;" : "&amp;A68&amp;")"</f>
        <v>(sum L47 : 52)</v>
      </c>
      <c r="D69" s="143">
        <f>SUM(D63:D68)</f>
        <v>68757960.539999992</v>
      </c>
      <c r="E69" s="142"/>
      <c r="F69" s="148"/>
      <c r="G69" s="51"/>
      <c r="H69" s="140">
        <f>SUM(H63:H68)</f>
        <v>32854724.821518961</v>
      </c>
      <c r="I69" s="163"/>
      <c r="J69" s="38"/>
      <c r="L69" s="38"/>
    </row>
    <row r="70" spans="1:15">
      <c r="A70" s="61"/>
      <c r="B70" s="795" t="s">
        <v>201</v>
      </c>
      <c r="C70" s="144" t="s">
        <v>202</v>
      </c>
      <c r="D70" s="159"/>
      <c r="E70" s="75"/>
      <c r="F70" s="148"/>
      <c r="G70" s="51"/>
      <c r="H70" s="148"/>
      <c r="I70" s="62"/>
      <c r="J70" s="38"/>
      <c r="L70" s="38"/>
    </row>
    <row r="71" spans="1:15" s="162" customFormat="1">
      <c r="A71" s="61"/>
      <c r="B71" s="795" t="s">
        <v>203</v>
      </c>
      <c r="C71" s="144"/>
      <c r="D71" s="144"/>
      <c r="E71" s="142"/>
      <c r="F71" s="151"/>
      <c r="G71" s="51"/>
      <c r="H71" s="151"/>
      <c r="I71" s="796"/>
      <c r="J71" s="38"/>
      <c r="K71" s="33"/>
      <c r="L71" s="38"/>
      <c r="M71" s="42"/>
      <c r="N71" s="42"/>
      <c r="O71" s="42"/>
    </row>
    <row r="72" spans="1:15">
      <c r="A72" s="61">
        <f>A69+1</f>
        <v>54</v>
      </c>
      <c r="B72" s="795" t="s">
        <v>204</v>
      </c>
      <c r="C72" s="150"/>
      <c r="D72" s="152">
        <v>0</v>
      </c>
      <c r="E72" s="142" t="s">
        <v>132</v>
      </c>
      <c r="F72" s="141">
        <f>+F67</f>
        <v>1</v>
      </c>
      <c r="G72" s="51"/>
      <c r="H72" s="148">
        <f>+F72*D72</f>
        <v>0</v>
      </c>
      <c r="I72" s="796"/>
      <c r="J72" s="38"/>
      <c r="L72" s="38"/>
    </row>
    <row r="73" spans="1:15">
      <c r="A73" s="61">
        <f>A72+1</f>
        <v>55</v>
      </c>
      <c r="B73" s="795" t="s">
        <v>205</v>
      </c>
      <c r="C73" s="150"/>
      <c r="D73" s="152">
        <v>0</v>
      </c>
      <c r="E73" s="142" t="str">
        <f>+E72</f>
        <v>W/S</v>
      </c>
      <c r="F73" s="141">
        <f>+F72</f>
        <v>1</v>
      </c>
      <c r="G73" s="51"/>
      <c r="H73" s="148">
        <f>+F73*D73</f>
        <v>0</v>
      </c>
      <c r="I73" s="796"/>
      <c r="J73" s="161"/>
      <c r="K73" s="42"/>
      <c r="L73" s="161"/>
    </row>
    <row r="74" spans="1:15">
      <c r="A74" s="61"/>
      <c r="B74" s="795" t="s">
        <v>206</v>
      </c>
      <c r="C74" s="150"/>
      <c r="D74" s="144"/>
      <c r="E74" s="142"/>
      <c r="F74" s="151"/>
      <c r="G74" s="51"/>
      <c r="H74" s="151"/>
      <c r="I74" s="796"/>
      <c r="J74" s="38"/>
      <c r="L74" s="38"/>
    </row>
    <row r="75" spans="1:15">
      <c r="A75" s="61">
        <f>A73+1</f>
        <v>56</v>
      </c>
      <c r="B75" s="795" t="s">
        <v>207</v>
      </c>
      <c r="C75" s="150"/>
      <c r="D75" s="152">
        <v>0</v>
      </c>
      <c r="E75" s="142" t="s">
        <v>167</v>
      </c>
      <c r="F75" s="141">
        <f>+F18</f>
        <v>0.54657346309600707</v>
      </c>
      <c r="G75" s="51"/>
      <c r="H75" s="148">
        <f>+F75*D75</f>
        <v>0</v>
      </c>
      <c r="I75" s="796"/>
      <c r="J75" s="38"/>
      <c r="L75" s="38"/>
    </row>
    <row r="76" spans="1:15">
      <c r="A76" s="61">
        <f>A75+1</f>
        <v>57</v>
      </c>
      <c r="B76" s="795" t="s">
        <v>208</v>
      </c>
      <c r="C76" s="150"/>
      <c r="D76" s="152">
        <v>0</v>
      </c>
      <c r="E76" s="142"/>
      <c r="F76" s="141">
        <v>0</v>
      </c>
      <c r="G76" s="51"/>
      <c r="H76" s="148">
        <v>0</v>
      </c>
      <c r="I76" s="796"/>
      <c r="J76" s="38"/>
      <c r="L76" s="38"/>
    </row>
    <row r="77" spans="1:15">
      <c r="A77" s="61">
        <f>A76+1</f>
        <v>58</v>
      </c>
      <c r="B77" s="795" t="s">
        <v>209</v>
      </c>
      <c r="C77" s="150"/>
      <c r="D77" s="152">
        <v>0</v>
      </c>
      <c r="E77" s="142" t="str">
        <f>+E75</f>
        <v>GP</v>
      </c>
      <c r="F77" s="141">
        <f>+F75</f>
        <v>0.54657346309600707</v>
      </c>
      <c r="G77" s="51"/>
      <c r="H77" s="148">
        <f>+F77*D77</f>
        <v>0</v>
      </c>
      <c r="I77" s="796"/>
      <c r="J77" s="38"/>
      <c r="L77" s="38"/>
    </row>
    <row r="78" spans="1:15">
      <c r="A78" s="61">
        <f>A77+1</f>
        <v>59</v>
      </c>
      <c r="B78" s="795" t="s">
        <v>210</v>
      </c>
      <c r="C78" s="150"/>
      <c r="D78" s="152">
        <v>0</v>
      </c>
      <c r="E78" s="142" t="s">
        <v>167</v>
      </c>
      <c r="F78" s="141">
        <f>+F77</f>
        <v>0.54657346309600707</v>
      </c>
      <c r="G78" s="51"/>
      <c r="H78" s="148">
        <f>+F78*D78</f>
        <v>0</v>
      </c>
      <c r="I78" s="796"/>
      <c r="J78" s="38"/>
      <c r="L78" s="38"/>
    </row>
    <row r="79" spans="1:15">
      <c r="A79" s="61">
        <f>A78+1</f>
        <v>60</v>
      </c>
      <c r="B79" s="795" t="s">
        <v>211</v>
      </c>
      <c r="C79" s="150" t="str">
        <f>"(sum L "&amp;A72&amp;" : "&amp;A78&amp;")"</f>
        <v>(sum L 54 : 59)</v>
      </c>
      <c r="D79" s="143">
        <f>SUM(D72:D78)</f>
        <v>0</v>
      </c>
      <c r="E79" s="142"/>
      <c r="F79" s="141"/>
      <c r="G79" s="51"/>
      <c r="H79" s="140">
        <f>SUM(H72:H78)</f>
        <v>0</v>
      </c>
      <c r="I79" s="160"/>
      <c r="J79" s="38"/>
      <c r="L79" s="38"/>
    </row>
    <row r="80" spans="1:15">
      <c r="A80" s="61"/>
      <c r="B80" s="795" t="s">
        <v>212</v>
      </c>
      <c r="C80" s="146" t="s">
        <v>213</v>
      </c>
      <c r="D80" s="159"/>
      <c r="E80" s="75" t="s">
        <v>124</v>
      </c>
      <c r="F80" s="141"/>
      <c r="G80" s="51"/>
      <c r="H80" s="148"/>
      <c r="I80" s="796"/>
      <c r="J80" s="38"/>
      <c r="L80" s="38"/>
    </row>
    <row r="81" spans="1:12">
      <c r="A81" s="61">
        <f>A79+1</f>
        <v>61</v>
      </c>
      <c r="B81" s="147" t="s">
        <v>214</v>
      </c>
      <c r="C81" s="158"/>
      <c r="D81" s="157">
        <f>IF(D160&gt;0,1-(((1-D161)*(1-D160))/(1-D161*D160*D162)),0)</f>
        <v>0</v>
      </c>
      <c r="E81" s="142"/>
      <c r="F81" s="141"/>
      <c r="G81" s="51"/>
      <c r="H81" s="151"/>
      <c r="I81" s="62"/>
      <c r="J81" s="38"/>
      <c r="L81" s="38"/>
    </row>
    <row r="82" spans="1:12" ht="14">
      <c r="A82" s="61">
        <f>A81+1</f>
        <v>62</v>
      </c>
      <c r="B82" s="795" t="s">
        <v>215</v>
      </c>
      <c r="C82" s="158"/>
      <c r="D82" s="157">
        <f>IF(H135&gt;0,(D81/(1-D81))*(1-H133/H135),0)</f>
        <v>0</v>
      </c>
      <c r="E82" s="142"/>
      <c r="F82" s="156"/>
      <c r="G82" s="51"/>
      <c r="H82" s="151"/>
      <c r="I82" s="796"/>
      <c r="J82" s="38"/>
      <c r="L82" s="38"/>
    </row>
    <row r="83" spans="1:12" ht="26">
      <c r="A83" s="61"/>
      <c r="B83" s="155" t="str">
        <f>"     where WCLTD= (line "&amp;A133&amp;") and R= (line "&amp;A135&amp;") and FIT, SIT &amp; p are as given in footnote I."</f>
        <v xml:space="preserve">     where WCLTD= (line 100) and R= (line 102) and FIT, SIT &amp; p are as given in footnote I.</v>
      </c>
      <c r="C83" s="150"/>
      <c r="D83" s="150"/>
      <c r="E83" s="142"/>
      <c r="F83" s="141"/>
      <c r="G83" s="51"/>
      <c r="H83" s="151"/>
      <c r="I83" s="154"/>
      <c r="J83" s="38"/>
      <c r="L83" s="38"/>
    </row>
    <row r="84" spans="1:12">
      <c r="A84" s="61">
        <f>A82+1</f>
        <v>63</v>
      </c>
      <c r="B84" s="147" t="str">
        <f>"      1 / (1 - T)  = (from line "&amp;A81&amp;")"</f>
        <v xml:space="preserve">      1 / (1 - T)  = (from line 61)</v>
      </c>
      <c r="C84" s="150"/>
      <c r="D84" s="153">
        <f>IF(D81&gt;0,1/(1-D81),0)</f>
        <v>0</v>
      </c>
      <c r="E84" s="142"/>
      <c r="F84" s="141"/>
      <c r="G84" s="51"/>
      <c r="H84" s="151"/>
      <c r="I84" s="50"/>
      <c r="J84" s="38"/>
      <c r="L84" s="38"/>
    </row>
    <row r="85" spans="1:12">
      <c r="A85" s="61">
        <f t="shared" ref="A85:A90" si="4">A84+1</f>
        <v>64</v>
      </c>
      <c r="B85" s="795" t="s">
        <v>216</v>
      </c>
      <c r="C85" s="150" t="s">
        <v>149</v>
      </c>
      <c r="D85" s="152">
        <v>0</v>
      </c>
      <c r="E85" s="142"/>
      <c r="F85" s="141"/>
      <c r="G85" s="51"/>
      <c r="H85" s="151">
        <v>0</v>
      </c>
      <c r="I85" s="50"/>
      <c r="J85" s="36"/>
      <c r="L85" s="38"/>
    </row>
    <row r="86" spans="1:12">
      <c r="A86" s="61">
        <f t="shared" si="4"/>
        <v>65</v>
      </c>
      <c r="B86" s="147" t="s">
        <v>217</v>
      </c>
      <c r="C86" s="146" t="str">
        <f>"(L"&amp;A82&amp;" * L"&amp;A89&amp;")"</f>
        <v>(L62 * L68)</v>
      </c>
      <c r="D86" s="150">
        <f>D82*D89</f>
        <v>0</v>
      </c>
      <c r="E86" s="142" t="s">
        <v>124</v>
      </c>
      <c r="F86" s="141"/>
      <c r="G86" s="51"/>
      <c r="H86" s="148">
        <f>D82*H89</f>
        <v>0</v>
      </c>
      <c r="I86" s="50"/>
      <c r="J86" s="36"/>
      <c r="L86" s="36"/>
    </row>
    <row r="87" spans="1:12">
      <c r="A87" s="61">
        <f t="shared" si="4"/>
        <v>66</v>
      </c>
      <c r="B87" s="795" t="s">
        <v>218</v>
      </c>
      <c r="C87" s="146" t="str">
        <f>"(L"&amp;A84&amp;" * L"&amp;A85&amp;")"</f>
        <v>(L63 * L64)</v>
      </c>
      <c r="D87" s="150">
        <f>D84*D85</f>
        <v>0</v>
      </c>
      <c r="E87" s="149" t="s">
        <v>151</v>
      </c>
      <c r="F87" s="141">
        <f>F32</f>
        <v>0.55100731139750492</v>
      </c>
      <c r="G87" s="51"/>
      <c r="H87" s="148">
        <f>F87*D87</f>
        <v>0</v>
      </c>
      <c r="I87" s="50"/>
      <c r="J87" s="36"/>
      <c r="L87" s="36"/>
    </row>
    <row r="88" spans="1:12">
      <c r="A88" s="61">
        <f t="shared" si="4"/>
        <v>67</v>
      </c>
      <c r="B88" s="147" t="s">
        <v>219</v>
      </c>
      <c r="C88" s="146" t="str">
        <f>"(L"&amp;A86&amp;" + L"&amp;A87&amp;")"</f>
        <v>(L65 + L66)</v>
      </c>
      <c r="D88" s="145">
        <f>+D86+D87</f>
        <v>0</v>
      </c>
      <c r="E88" s="75" t="s">
        <v>117</v>
      </c>
      <c r="F88" s="141" t="s">
        <v>117</v>
      </c>
      <c r="G88" s="51"/>
      <c r="H88" s="140">
        <f>+H86+H87</f>
        <v>0</v>
      </c>
      <c r="I88" s="139"/>
      <c r="J88" s="36"/>
      <c r="L88" s="36"/>
    </row>
    <row r="89" spans="1:12">
      <c r="A89" s="61">
        <f t="shared" si="4"/>
        <v>68</v>
      </c>
      <c r="B89" s="795" t="s">
        <v>220</v>
      </c>
      <c r="C89" s="144" t="str">
        <f>"(L"&amp;A46&amp;" * L"&amp;A135&amp;")"</f>
        <v>(L34 * L102)</v>
      </c>
      <c r="D89" s="143">
        <f>+$H135*D46</f>
        <v>61427916.889891259</v>
      </c>
      <c r="E89" s="142" t="s">
        <v>124</v>
      </c>
      <c r="F89" s="141"/>
      <c r="G89" s="51"/>
      <c r="H89" s="140">
        <f>+$H135*H46</f>
        <v>33232053.537938103</v>
      </c>
      <c r="I89" s="139"/>
      <c r="J89" s="36"/>
      <c r="L89" s="38"/>
    </row>
    <row r="90" spans="1:12" ht="13.5" thickBot="1">
      <c r="A90" s="69">
        <f t="shared" si="4"/>
        <v>69</v>
      </c>
      <c r="B90" s="73" t="s">
        <v>221</v>
      </c>
      <c r="C90" s="138" t="str">
        <f>"(sum L"&amp;A61&amp;", "&amp;A69&amp;" ,"&amp;A79&amp;", "&amp;A88&amp;", "&amp;A89&amp;")"</f>
        <v>(sum L46, 53 ,60, 67, 68)</v>
      </c>
      <c r="D90" s="137">
        <f>+D89+D88+D79+D69+D61</f>
        <v>335612894.68989122</v>
      </c>
      <c r="E90" s="136"/>
      <c r="F90" s="135"/>
      <c r="G90" s="44"/>
      <c r="H90" s="134">
        <f>+H89+H88+H79+H69+H61</f>
        <v>158185310.70854157</v>
      </c>
      <c r="I90" s="133"/>
      <c r="J90" s="38"/>
      <c r="L90" s="38"/>
    </row>
    <row r="91" spans="1:12">
      <c r="A91" s="132"/>
      <c r="B91" s="130"/>
      <c r="C91" s="131" t="s">
        <v>222</v>
      </c>
      <c r="D91" s="130"/>
      <c r="E91" s="129"/>
      <c r="F91" s="127"/>
      <c r="G91" s="128"/>
      <c r="H91" s="127"/>
      <c r="I91" s="126"/>
      <c r="J91" s="40"/>
      <c r="L91" s="40"/>
    </row>
    <row r="92" spans="1:12">
      <c r="A92" s="61"/>
      <c r="B92" s="795" t="s">
        <v>223</v>
      </c>
      <c r="C92" s="52"/>
      <c r="D92" s="52"/>
      <c r="E92" s="54"/>
      <c r="F92" s="72"/>
      <c r="G92" s="52"/>
      <c r="H92" s="72"/>
      <c r="I92" s="62"/>
      <c r="J92" s="38"/>
      <c r="L92" s="40" t="s">
        <v>117</v>
      </c>
    </row>
    <row r="93" spans="1:12">
      <c r="A93" s="61">
        <f>A90+1</f>
        <v>70</v>
      </c>
      <c r="B93" s="652" t="s">
        <v>224</v>
      </c>
      <c r="C93" s="52" t="str">
        <f>"(L"&amp;A14&amp;", C3)"</f>
        <v>(L6, C3)</v>
      </c>
      <c r="D93" s="51"/>
      <c r="E93" s="75"/>
      <c r="F93" s="53"/>
      <c r="G93" s="51"/>
      <c r="H93" s="53">
        <f>+D14</f>
        <v>1516476764.7497199</v>
      </c>
      <c r="I93" s="62"/>
      <c r="J93" s="38"/>
      <c r="L93" s="38"/>
    </row>
    <row r="94" spans="1:12">
      <c r="A94" s="61">
        <f>A93+1</f>
        <v>71</v>
      </c>
      <c r="B94" s="652" t="s">
        <v>225</v>
      </c>
      <c r="C94" s="795" t="s">
        <v>226</v>
      </c>
      <c r="D94" s="795"/>
      <c r="E94" s="83"/>
      <c r="F94" s="82"/>
      <c r="G94" s="795"/>
      <c r="H94" s="125">
        <v>0</v>
      </c>
      <c r="I94" s="62"/>
      <c r="J94" s="38"/>
      <c r="L94" s="38"/>
    </row>
    <row r="95" spans="1:12" ht="13.5" thickBot="1">
      <c r="A95" s="61">
        <f>A94+1</f>
        <v>72</v>
      </c>
      <c r="B95" s="48" t="s">
        <v>227</v>
      </c>
      <c r="C95" s="45" t="s">
        <v>228</v>
      </c>
      <c r="D95" s="44"/>
      <c r="E95" s="75"/>
      <c r="F95" s="53"/>
      <c r="G95" s="51"/>
      <c r="H95" s="124">
        <v>0</v>
      </c>
      <c r="I95" s="796"/>
      <c r="J95" s="38"/>
      <c r="L95" s="38"/>
    </row>
    <row r="96" spans="1:12">
      <c r="A96" s="61">
        <f>A95+1</f>
        <v>73</v>
      </c>
      <c r="B96" s="652" t="s">
        <v>229</v>
      </c>
      <c r="C96" s="52" t="str">
        <f>"(L"&amp;A93&amp;" less L"&amp;A94&amp;" and L"&amp;A95&amp;")"</f>
        <v>(L70 less L71 and L72)</v>
      </c>
      <c r="D96" s="51"/>
      <c r="E96" s="75"/>
      <c r="F96" s="53"/>
      <c r="G96" s="51"/>
      <c r="H96" s="53">
        <f>H93-H94-H95</f>
        <v>1516476764.7497199</v>
      </c>
      <c r="I96" s="796"/>
      <c r="J96" s="38"/>
      <c r="L96" s="38"/>
    </row>
    <row r="97" spans="1:12">
      <c r="A97" s="61">
        <f>A96+1</f>
        <v>74</v>
      </c>
      <c r="B97" s="652" t="s">
        <v>230</v>
      </c>
      <c r="C97" s="52" t="str">
        <f>"(L"&amp;A96&amp;" / L"&amp;A93&amp;")"</f>
        <v>(L73 / L70)</v>
      </c>
      <c r="D97" s="121"/>
      <c r="E97" s="123"/>
      <c r="F97" s="122"/>
      <c r="G97" s="51" t="s">
        <v>231</v>
      </c>
      <c r="H97" s="116">
        <f>IF(H93&gt;0,H96/H93,0)</f>
        <v>1</v>
      </c>
      <c r="I97" s="796"/>
      <c r="J97" s="38"/>
      <c r="L97" s="38"/>
    </row>
    <row r="98" spans="1:12">
      <c r="A98" s="61"/>
      <c r="B98" s="795" t="s">
        <v>232</v>
      </c>
      <c r="C98" s="795"/>
      <c r="D98" s="795"/>
      <c r="E98" s="83"/>
      <c r="F98" s="82"/>
      <c r="G98" s="795"/>
      <c r="H98" s="795"/>
      <c r="I98" s="62"/>
      <c r="J98" s="38"/>
      <c r="L98" s="38"/>
    </row>
    <row r="99" spans="1:12">
      <c r="A99" s="61">
        <f>A97+1</f>
        <v>75</v>
      </c>
      <c r="B99" s="795" t="s">
        <v>233</v>
      </c>
      <c r="C99" s="52" t="str">
        <f>"(sum L"&amp;A49&amp;" to L"&amp;A51&amp;", C3)"</f>
        <v>(sum L35 to L37, C3)</v>
      </c>
      <c r="D99" s="52"/>
      <c r="E99" s="54"/>
      <c r="F99" s="72"/>
      <c r="G99" s="52"/>
      <c r="H99" s="51"/>
      <c r="I99" s="62"/>
      <c r="J99" s="38"/>
      <c r="L99" s="38"/>
    </row>
    <row r="100" spans="1:12" ht="13.5" thickBot="1">
      <c r="A100" s="61">
        <f>A99+1</f>
        <v>76</v>
      </c>
      <c r="B100" s="48" t="s">
        <v>234</v>
      </c>
      <c r="C100" s="45" t="s">
        <v>235</v>
      </c>
      <c r="D100" s="44"/>
      <c r="E100" s="67"/>
      <c r="F100" s="53"/>
      <c r="G100" s="51"/>
      <c r="H100" s="80">
        <v>0</v>
      </c>
      <c r="I100" s="62"/>
      <c r="J100" s="38"/>
      <c r="L100" s="38"/>
    </row>
    <row r="101" spans="1:12">
      <c r="A101" s="61">
        <f>A100+1</f>
        <v>77</v>
      </c>
      <c r="B101" s="652" t="s">
        <v>236</v>
      </c>
      <c r="C101" s="120" t="str">
        <f>"(L"&amp;A99&amp;" - L"&amp;A100&amp;")"</f>
        <v>(L75 - L76)</v>
      </c>
      <c r="D101" s="121"/>
      <c r="E101" s="123"/>
      <c r="F101" s="122"/>
      <c r="G101" s="121"/>
      <c r="H101" s="53">
        <f>+H99-H100</f>
        <v>0</v>
      </c>
      <c r="I101" s="62"/>
      <c r="J101" s="38"/>
      <c r="L101" s="38"/>
    </row>
    <row r="102" spans="1:12" ht="25.5" customHeight="1">
      <c r="A102" s="399">
        <f>A101+1</f>
        <v>78</v>
      </c>
      <c r="B102" s="793" t="s">
        <v>237</v>
      </c>
      <c r="C102" s="120" t="str">
        <f>"(L"&amp;A101&amp;"/ L"&amp;A99&amp;")"</f>
        <v>(L77/ L75)</v>
      </c>
      <c r="D102" s="51"/>
      <c r="E102" s="75"/>
      <c r="F102" s="53"/>
      <c r="G102" s="51"/>
      <c r="H102" s="116">
        <f>IF(H99&gt;0,H101/H99,0)</f>
        <v>0</v>
      </c>
      <c r="I102" s="62"/>
      <c r="J102" s="40"/>
      <c r="L102" s="40" t="s">
        <v>117</v>
      </c>
    </row>
    <row r="103" spans="1:12">
      <c r="A103" s="61">
        <f>A102+1</f>
        <v>79</v>
      </c>
      <c r="B103" s="652" t="s">
        <v>238</v>
      </c>
      <c r="C103" s="52" t="str">
        <f>"(L"&amp;A97&amp;")"</f>
        <v>(L74)</v>
      </c>
      <c r="D103" s="51"/>
      <c r="E103" s="75"/>
      <c r="F103" s="53"/>
      <c r="G103" s="652" t="s">
        <v>127</v>
      </c>
      <c r="H103" s="116">
        <f>H97</f>
        <v>1</v>
      </c>
      <c r="I103" s="62"/>
      <c r="J103" s="40"/>
      <c r="L103" s="40"/>
    </row>
    <row r="104" spans="1:12">
      <c r="A104" s="61">
        <f>A103+1</f>
        <v>80</v>
      </c>
      <c r="B104" s="652" t="s">
        <v>239</v>
      </c>
      <c r="C104" s="120" t="str">
        <f>"(L"&amp;A103&amp;" * L"&amp;A102&amp;")"</f>
        <v>(L79 * L78)</v>
      </c>
      <c r="D104" s="52"/>
      <c r="E104" s="54"/>
      <c r="F104" s="72"/>
      <c r="G104" s="652" t="s">
        <v>240</v>
      </c>
      <c r="H104" s="109">
        <f>+H103*H102</f>
        <v>0</v>
      </c>
      <c r="I104" s="62"/>
      <c r="J104" s="40"/>
      <c r="L104" s="40"/>
    </row>
    <row r="105" spans="1:12">
      <c r="A105" s="61"/>
      <c r="B105" s="795" t="s">
        <v>241</v>
      </c>
      <c r="C105" s="51"/>
      <c r="D105" s="51"/>
      <c r="E105" s="75"/>
      <c r="F105" s="53"/>
      <c r="G105" s="51"/>
      <c r="H105" s="51"/>
      <c r="I105" s="62"/>
      <c r="J105" s="40"/>
      <c r="L105" s="119"/>
    </row>
    <row r="106" spans="1:12" ht="13.5" thickBot="1">
      <c r="A106" s="61"/>
      <c r="B106" s="90"/>
      <c r="C106" s="44"/>
      <c r="D106" s="67" t="s">
        <v>242</v>
      </c>
      <c r="E106" s="67" t="s">
        <v>127</v>
      </c>
      <c r="F106" s="66" t="s">
        <v>52</v>
      </c>
      <c r="G106" s="51"/>
      <c r="H106" s="51"/>
      <c r="I106" s="62"/>
      <c r="J106" s="40"/>
      <c r="L106" s="40"/>
    </row>
    <row r="107" spans="1:12">
      <c r="A107" s="61">
        <f>A104+1</f>
        <v>81</v>
      </c>
      <c r="B107" s="795" t="s">
        <v>122</v>
      </c>
      <c r="C107" s="51"/>
      <c r="D107" s="110">
        <v>0</v>
      </c>
      <c r="E107" s="118">
        <v>0</v>
      </c>
      <c r="F107" s="53">
        <f>D107*E107</f>
        <v>0</v>
      </c>
      <c r="G107" s="51"/>
      <c r="H107" s="51"/>
      <c r="I107" s="62"/>
      <c r="J107" s="40"/>
      <c r="L107" s="40"/>
    </row>
    <row r="108" spans="1:12">
      <c r="A108" s="61">
        <f>A107+1</f>
        <v>82</v>
      </c>
      <c r="B108" s="795" t="s">
        <v>125</v>
      </c>
      <c r="C108" s="51"/>
      <c r="D108" s="110">
        <f>'WS4-CostData'!C107</f>
        <v>19559115.144523442</v>
      </c>
      <c r="E108" s="118">
        <f>+H103</f>
        <v>1</v>
      </c>
      <c r="F108" s="53">
        <f>D108*E108</f>
        <v>19559115.144523442</v>
      </c>
      <c r="G108" s="51"/>
      <c r="H108" s="51"/>
      <c r="I108" s="62"/>
      <c r="J108" s="40"/>
      <c r="L108" s="40"/>
    </row>
    <row r="109" spans="1:12">
      <c r="A109" s="61">
        <f>A108+1</f>
        <v>83</v>
      </c>
      <c r="B109" s="795" t="s">
        <v>128</v>
      </c>
      <c r="C109" s="51"/>
      <c r="D109" s="110">
        <v>0</v>
      </c>
      <c r="E109" s="118">
        <v>0</v>
      </c>
      <c r="F109" s="53">
        <f>D109*E109</f>
        <v>0</v>
      </c>
      <c r="G109" s="51"/>
      <c r="H109" s="75" t="s">
        <v>243</v>
      </c>
      <c r="I109" s="62"/>
      <c r="J109" s="40"/>
      <c r="L109" s="40"/>
    </row>
    <row r="110" spans="1:12" ht="13.5" thickBot="1">
      <c r="A110" s="61">
        <f>A109+1</f>
        <v>84</v>
      </c>
      <c r="B110" s="795" t="s">
        <v>244</v>
      </c>
      <c r="C110" s="51"/>
      <c r="D110" s="107">
        <v>0</v>
      </c>
      <c r="E110" s="118">
        <v>0</v>
      </c>
      <c r="F110" s="66">
        <f>D110*E110</f>
        <v>0</v>
      </c>
      <c r="G110" s="51"/>
      <c r="H110" s="89" t="s">
        <v>245</v>
      </c>
      <c r="I110" s="62"/>
      <c r="J110" s="40"/>
      <c r="L110" s="40"/>
    </row>
    <row r="111" spans="1:12">
      <c r="A111" s="61">
        <f>A110+1</f>
        <v>85</v>
      </c>
      <c r="B111" s="795" t="s">
        <v>246</v>
      </c>
      <c r="C111" s="51" t="str">
        <f>"(sum L"&amp;A107&amp;" to L"&amp;A110&amp;")"</f>
        <v>(sum L81 to L84)</v>
      </c>
      <c r="D111" s="51">
        <f>SUM(D107:D110)</f>
        <v>19559115.144523442</v>
      </c>
      <c r="E111" s="75"/>
      <c r="F111" s="53">
        <f>SUM(F107:F110)</f>
        <v>19559115.144523442</v>
      </c>
      <c r="G111" s="83" t="s">
        <v>247</v>
      </c>
      <c r="H111" s="116">
        <f>IF(F111&gt;0,F111/D111,0)</f>
        <v>1</v>
      </c>
      <c r="I111" s="62"/>
      <c r="J111" s="38"/>
      <c r="L111" s="40"/>
    </row>
    <row r="112" spans="1:12">
      <c r="A112" s="61"/>
      <c r="B112" s="795" t="s">
        <v>248</v>
      </c>
      <c r="C112" s="51" t="s">
        <v>249</v>
      </c>
      <c r="D112" s="51"/>
      <c r="E112" s="75"/>
      <c r="F112" s="53"/>
      <c r="G112" s="51"/>
      <c r="H112" s="51"/>
      <c r="I112" s="62"/>
      <c r="J112" s="40"/>
      <c r="L112" s="40"/>
    </row>
    <row r="113" spans="1:12" ht="13.5" thickBot="1">
      <c r="A113" s="61"/>
      <c r="B113" s="90"/>
      <c r="C113" s="44"/>
      <c r="D113" s="67" t="s">
        <v>242</v>
      </c>
      <c r="E113" s="75"/>
      <c r="F113" s="53"/>
      <c r="G113" s="51"/>
      <c r="H113" s="117"/>
      <c r="I113" s="62"/>
      <c r="J113" s="38"/>
      <c r="L113" s="40"/>
    </row>
    <row r="114" spans="1:12">
      <c r="A114" s="61">
        <f>A111+1</f>
        <v>86</v>
      </c>
      <c r="B114" s="795" t="s">
        <v>250</v>
      </c>
      <c r="C114" s="51"/>
      <c r="D114" s="51">
        <f>'WS4-CostData'!C8</f>
        <v>1414831064.7847199</v>
      </c>
      <c r="E114" s="75"/>
      <c r="F114" s="82"/>
      <c r="G114" s="795"/>
      <c r="H114" s="795"/>
      <c r="I114" s="796"/>
      <c r="J114" s="38"/>
      <c r="L114" s="40"/>
    </row>
    <row r="115" spans="1:12">
      <c r="A115" s="61">
        <f t="shared" ref="A115:A122" si="5">A114+1</f>
        <v>87</v>
      </c>
      <c r="B115" s="795" t="s">
        <v>251</v>
      </c>
      <c r="C115" s="51"/>
      <c r="D115" s="51">
        <f>'WS4-CostData'!C7</f>
        <v>1488320852.6500008</v>
      </c>
      <c r="E115" s="75"/>
      <c r="F115" s="53"/>
      <c r="G115" s="51"/>
      <c r="H115" s="117"/>
      <c r="I115" s="796"/>
      <c r="J115" s="40"/>
      <c r="L115" s="38"/>
    </row>
    <row r="116" spans="1:12">
      <c r="A116" s="61">
        <f t="shared" si="5"/>
        <v>88</v>
      </c>
      <c r="B116" s="795" t="s">
        <v>252</v>
      </c>
      <c r="C116" s="52" t="str">
        <f>"(L"&amp;A114&amp;" / L"&amp;A115&amp;")"</f>
        <v>(L86 / L87)</v>
      </c>
      <c r="D116" s="51"/>
      <c r="E116" s="75"/>
      <c r="F116" s="53" t="s">
        <v>175</v>
      </c>
      <c r="G116" s="75" t="s">
        <v>247</v>
      </c>
      <c r="H116" s="116">
        <f>D114/D115</f>
        <v>0.95062234884740748</v>
      </c>
      <c r="I116" s="62"/>
      <c r="J116" s="38"/>
      <c r="L116" s="40"/>
    </row>
    <row r="117" spans="1:12">
      <c r="A117" s="61">
        <f t="shared" si="5"/>
        <v>89</v>
      </c>
      <c r="B117" s="795" t="s">
        <v>253</v>
      </c>
      <c r="C117" s="51"/>
      <c r="D117" s="51">
        <f>'WS4-CostData'!E8</f>
        <v>7335302.9449999994</v>
      </c>
      <c r="E117" s="75"/>
      <c r="F117" s="53"/>
      <c r="G117" s="51"/>
      <c r="H117" s="53"/>
      <c r="I117" s="62"/>
      <c r="J117" s="36"/>
      <c r="L117" s="38"/>
    </row>
    <row r="118" spans="1:12">
      <c r="A118" s="61">
        <f t="shared" si="5"/>
        <v>90</v>
      </c>
      <c r="B118" s="795" t="s">
        <v>254</v>
      </c>
      <c r="C118" s="51"/>
      <c r="D118" s="51">
        <f>'WS4-CostData'!E7</f>
        <v>820911399.77999997</v>
      </c>
      <c r="E118" s="75"/>
      <c r="F118" s="53"/>
      <c r="G118" s="51"/>
      <c r="H118" s="116"/>
      <c r="I118" s="62"/>
      <c r="J118" s="36"/>
      <c r="L118" s="38"/>
    </row>
    <row r="119" spans="1:12">
      <c r="A119" s="61">
        <f t="shared" si="5"/>
        <v>91</v>
      </c>
      <c r="B119" s="795" t="s">
        <v>255</v>
      </c>
      <c r="C119" s="52" t="str">
        <f>"(L"&amp;A117&amp;" / L"&amp;A118&amp;")"</f>
        <v>(L89 / L90)</v>
      </c>
      <c r="D119" s="795"/>
      <c r="E119" s="75"/>
      <c r="F119" s="53" t="s">
        <v>178</v>
      </c>
      <c r="G119" s="75" t="s">
        <v>247</v>
      </c>
      <c r="H119" s="116">
        <f>D117/D118</f>
        <v>8.9355598508752861E-3</v>
      </c>
      <c r="I119" s="62"/>
      <c r="J119" s="36"/>
      <c r="L119" s="38"/>
    </row>
    <row r="120" spans="1:12">
      <c r="A120" s="61">
        <f t="shared" si="5"/>
        <v>92</v>
      </c>
      <c r="B120" s="795" t="s">
        <v>256</v>
      </c>
      <c r="C120" s="51"/>
      <c r="D120" s="51">
        <f>'WS4-CostData'!G8</f>
        <v>94310397.020000011</v>
      </c>
      <c r="E120" s="75"/>
      <c r="F120" s="53"/>
      <c r="G120" s="51"/>
      <c r="H120" s="53"/>
      <c r="I120" s="62"/>
      <c r="J120" s="36"/>
      <c r="L120" s="38"/>
    </row>
    <row r="121" spans="1:12">
      <c r="A121" s="61">
        <f t="shared" si="5"/>
        <v>93</v>
      </c>
      <c r="B121" s="795" t="s">
        <v>257</v>
      </c>
      <c r="C121" s="51"/>
      <c r="D121" s="51">
        <f>'WS4-CostData'!G7</f>
        <v>1278859746</v>
      </c>
      <c r="E121" s="75"/>
      <c r="F121" s="53"/>
      <c r="G121" s="51"/>
      <c r="H121" s="116"/>
      <c r="I121" s="62"/>
      <c r="J121" s="36"/>
      <c r="L121" s="38"/>
    </row>
    <row r="122" spans="1:12">
      <c r="A122" s="61">
        <f t="shared" si="5"/>
        <v>94</v>
      </c>
      <c r="B122" s="795" t="s">
        <v>258</v>
      </c>
      <c r="C122" s="52" t="str">
        <f>"(L"&amp;A120&amp;" / L"&amp;A121&amp;")"</f>
        <v>(L92 / L93)</v>
      </c>
      <c r="D122" s="795"/>
      <c r="E122" s="75"/>
      <c r="F122" s="53" t="s">
        <v>181</v>
      </c>
      <c r="G122" s="75" t="s">
        <v>247</v>
      </c>
      <c r="H122" s="116">
        <f>D120/D121</f>
        <v>7.3745692062779186E-2</v>
      </c>
      <c r="I122" s="62"/>
      <c r="J122" s="36"/>
      <c r="L122" s="38"/>
    </row>
    <row r="123" spans="1:12">
      <c r="A123" s="61"/>
      <c r="B123" s="795" t="s">
        <v>259</v>
      </c>
      <c r="C123" s="51" t="s">
        <v>260</v>
      </c>
      <c r="D123" s="51"/>
      <c r="E123" s="75"/>
      <c r="F123" s="53"/>
      <c r="G123" s="51"/>
      <c r="H123" s="53"/>
      <c r="I123" s="115" t="s">
        <v>134</v>
      </c>
      <c r="J123" s="36"/>
      <c r="L123" s="38"/>
    </row>
    <row r="124" spans="1:12">
      <c r="A124" s="61"/>
      <c r="B124" s="90"/>
      <c r="C124" s="51"/>
      <c r="D124" s="114" t="s">
        <v>242</v>
      </c>
      <c r="E124" s="75"/>
      <c r="F124" s="53" t="s">
        <v>261</v>
      </c>
      <c r="G124" s="111" t="s">
        <v>117</v>
      </c>
      <c r="H124" s="113" t="s">
        <v>262</v>
      </c>
      <c r="I124" s="112">
        <f>H126*F126</f>
        <v>0</v>
      </c>
      <c r="J124" s="36"/>
      <c r="L124" s="38"/>
    </row>
    <row r="125" spans="1:12">
      <c r="A125" s="61">
        <f>A122+1</f>
        <v>95</v>
      </c>
      <c r="B125" s="795" t="s">
        <v>263</v>
      </c>
      <c r="C125" s="51"/>
      <c r="D125" s="110">
        <v>0</v>
      </c>
      <c r="E125" s="75"/>
      <c r="F125" s="72" t="str">
        <f>"(L"&amp;A125&amp;" / L"&amp;A128&amp;")"</f>
        <v>(L95 / L98)</v>
      </c>
      <c r="G125" s="111"/>
      <c r="H125" s="83" t="str">
        <f>"(L"&amp;A111&amp;")"</f>
        <v>(L85)</v>
      </c>
      <c r="I125" s="796"/>
      <c r="J125" s="36"/>
      <c r="L125" s="40"/>
    </row>
    <row r="126" spans="1:12">
      <c r="A126" s="61">
        <f>A125+1</f>
        <v>96</v>
      </c>
      <c r="B126" s="795" t="s">
        <v>264</v>
      </c>
      <c r="C126" s="51"/>
      <c r="D126" s="110">
        <v>0</v>
      </c>
      <c r="E126" s="75"/>
      <c r="F126" s="109">
        <f>IF(D128&gt;0,D125/D128,0)</f>
        <v>0</v>
      </c>
      <c r="G126" s="75" t="s">
        <v>265</v>
      </c>
      <c r="H126" s="108">
        <f>H111</f>
        <v>1</v>
      </c>
      <c r="I126" s="796"/>
      <c r="J126" s="36"/>
    </row>
    <row r="127" spans="1:12" ht="13.5" thickBot="1">
      <c r="A127" s="61">
        <f>A126+1</f>
        <v>97</v>
      </c>
      <c r="B127" s="73" t="s">
        <v>266</v>
      </c>
      <c r="C127" s="44"/>
      <c r="D127" s="107">
        <v>0</v>
      </c>
      <c r="E127" s="75"/>
      <c r="F127" s="53" t="s">
        <v>117</v>
      </c>
      <c r="G127" s="51"/>
      <c r="H127" s="51"/>
      <c r="I127" s="796"/>
      <c r="J127" s="36"/>
      <c r="L127" s="40"/>
    </row>
    <row r="128" spans="1:12">
      <c r="A128" s="61">
        <f>A127+1</f>
        <v>98</v>
      </c>
      <c r="B128" s="795" t="s">
        <v>246</v>
      </c>
      <c r="C128" s="51" t="str">
        <f>"(sum L"&amp;A125&amp;" to L"&amp;A127&amp;")"</f>
        <v>(sum L95 to L97)</v>
      </c>
      <c r="D128" s="51">
        <f>D125+D126+D127</f>
        <v>0</v>
      </c>
      <c r="E128" s="75"/>
      <c r="F128" s="53"/>
      <c r="G128" s="51"/>
      <c r="H128" s="51"/>
      <c r="I128" s="796"/>
    </row>
    <row r="129" spans="1:23" ht="13.5" thickBot="1">
      <c r="A129" s="61"/>
      <c r="B129" s="795" t="s">
        <v>267</v>
      </c>
      <c r="C129" s="51"/>
      <c r="D129" s="67" t="s">
        <v>242</v>
      </c>
      <c r="E129" s="75"/>
      <c r="F129" s="53"/>
      <c r="G129" s="51"/>
      <c r="H129" s="795"/>
      <c r="I129" s="106"/>
    </row>
    <row r="130" spans="1:23">
      <c r="A130" s="61">
        <f>A128+1</f>
        <v>99</v>
      </c>
      <c r="B130" s="51" t="s">
        <v>268</v>
      </c>
      <c r="C130" s="52"/>
      <c r="D130" s="105">
        <f>('WS4-CostData'!C69*'WS4-CostData'!C14)+('WS4-CostData'!E69*'WS4-CostData'!E14)+('WS4-CostData'!G69*'WS4-CostData'!G14)</f>
        <v>37973105.158128127</v>
      </c>
      <c r="E130" s="75"/>
      <c r="F130" s="53"/>
      <c r="G130" s="51"/>
      <c r="H130" s="51"/>
      <c r="I130" s="796"/>
      <c r="P130" s="41"/>
      <c r="Q130" s="96"/>
      <c r="R130" s="98"/>
      <c r="S130" s="98"/>
      <c r="T130" s="98"/>
      <c r="U130" s="84"/>
      <c r="W130" s="84"/>
    </row>
    <row r="131" spans="1:23">
      <c r="A131" s="61"/>
      <c r="B131" s="90"/>
      <c r="C131" s="51"/>
      <c r="D131" s="51"/>
      <c r="E131" s="75"/>
      <c r="F131" s="53" t="s">
        <v>269</v>
      </c>
      <c r="G131" s="51"/>
      <c r="H131" s="51"/>
      <c r="I131" s="103" t="s">
        <v>270</v>
      </c>
      <c r="P131" s="41"/>
      <c r="Q131" s="96"/>
      <c r="R131" s="98"/>
      <c r="S131" s="98"/>
      <c r="T131" s="98"/>
      <c r="U131" s="84"/>
      <c r="W131" s="84"/>
    </row>
    <row r="132" spans="1:23" ht="13.5" thickBot="1">
      <c r="A132" s="61"/>
      <c r="B132" s="90"/>
      <c r="C132" s="52"/>
      <c r="D132" s="89" t="s">
        <v>242</v>
      </c>
      <c r="E132" s="89" t="s">
        <v>271</v>
      </c>
      <c r="F132" s="104" t="s">
        <v>272</v>
      </c>
      <c r="G132" s="51"/>
      <c r="H132" s="89" t="s">
        <v>273</v>
      </c>
      <c r="I132" s="796"/>
      <c r="P132" s="41"/>
      <c r="Q132" s="96"/>
      <c r="R132" s="98"/>
      <c r="S132" s="98"/>
      <c r="T132" s="98"/>
      <c r="U132" s="84"/>
      <c r="W132" s="84"/>
    </row>
    <row r="133" spans="1:23" ht="26">
      <c r="A133" s="61">
        <f>A130+1</f>
        <v>100</v>
      </c>
      <c r="B133" s="795" t="s">
        <v>274</v>
      </c>
      <c r="C133" s="793" t="s">
        <v>275</v>
      </c>
      <c r="D133" s="51">
        <f>('WS4-CostData'!C67*'WS4-CostData'!C14)+('WS4-CostData'!E67*'WS4-CostData'!E14)+('WS4-CostData'!G67*'WS4-CostData'!G14)</f>
        <v>873374279.00764608</v>
      </c>
      <c r="E133" s="101">
        <f>IF($D$135&gt;0,D133/$D$135,0)</f>
        <v>1</v>
      </c>
      <c r="F133" s="100">
        <f>IF(D130&gt;0,D130/D133,0)</f>
        <v>4.3478616294121121E-2</v>
      </c>
      <c r="G133" s="795"/>
      <c r="H133" s="100">
        <f>F133*E133</f>
        <v>4.3478616294121121E-2</v>
      </c>
      <c r="I133" s="103" t="s">
        <v>276</v>
      </c>
      <c r="P133" s="41"/>
      <c r="Q133" s="96"/>
      <c r="R133" s="98"/>
      <c r="S133" s="98"/>
      <c r="T133" s="98"/>
      <c r="U133" s="84"/>
      <c r="W133" s="84"/>
    </row>
    <row r="134" spans="1:23" ht="13.5" thickBot="1">
      <c r="A134" s="61">
        <f>A133+1</f>
        <v>101</v>
      </c>
      <c r="B134" s="795" t="s">
        <v>277</v>
      </c>
      <c r="C134" s="52"/>
      <c r="D134" s="44">
        <v>0</v>
      </c>
      <c r="E134" s="101">
        <f>IF($D$135&gt;0,D134/$D$135,0)</f>
        <v>0</v>
      </c>
      <c r="F134" s="100">
        <f>H136</f>
        <v>0.12379999999999999</v>
      </c>
      <c r="G134" s="795"/>
      <c r="H134" s="102">
        <f>F134*E134</f>
        <v>0</v>
      </c>
      <c r="I134" s="796"/>
      <c r="P134" s="41"/>
      <c r="Q134" s="96"/>
      <c r="R134" s="98"/>
      <c r="S134" s="98"/>
      <c r="T134" s="98"/>
      <c r="U134" s="84"/>
      <c r="W134" s="84"/>
    </row>
    <row r="135" spans="1:23">
      <c r="A135" s="61">
        <f>A134+1</f>
        <v>102</v>
      </c>
      <c r="B135" s="795" t="s">
        <v>278</v>
      </c>
      <c r="C135" s="51" t="str">
        <f>"(sum L"&amp;A133&amp;" to L"&amp;A134&amp;")"</f>
        <v>(sum L100 to L101)</v>
      </c>
      <c r="D135" s="51">
        <f>SUM(D133:D134)</f>
        <v>873374279.00764608</v>
      </c>
      <c r="E135" s="101">
        <f>IF($D$135&gt;0,D135/$D$135,0)</f>
        <v>1</v>
      </c>
      <c r="F135" s="100"/>
      <c r="G135" s="795"/>
      <c r="H135" s="100">
        <f>SUM(H133:H134)</f>
        <v>4.3478616294121121E-2</v>
      </c>
      <c r="I135" s="796"/>
      <c r="P135" s="41"/>
      <c r="Q135" s="96"/>
      <c r="R135" s="98"/>
      <c r="S135" s="98"/>
      <c r="T135" s="98"/>
      <c r="U135" s="84"/>
      <c r="W135" s="84"/>
    </row>
    <row r="136" spans="1:23">
      <c r="A136" s="61">
        <f>A135+1</f>
        <v>103</v>
      </c>
      <c r="B136" s="795"/>
      <c r="C136" s="795"/>
      <c r="D136" s="795"/>
      <c r="E136" s="75"/>
      <c r="F136" s="53"/>
      <c r="G136" s="82" t="s">
        <v>279</v>
      </c>
      <c r="H136" s="99">
        <v>0.12379999999999999</v>
      </c>
      <c r="I136" s="796"/>
      <c r="P136" s="41"/>
      <c r="Q136" s="96"/>
      <c r="R136" s="98"/>
      <c r="S136" s="98"/>
      <c r="T136" s="98"/>
      <c r="U136" s="84"/>
      <c r="W136" s="84"/>
    </row>
    <row r="137" spans="1:23">
      <c r="A137" s="61">
        <f>A136+1</f>
        <v>104</v>
      </c>
      <c r="B137" s="795"/>
      <c r="C137" s="795"/>
      <c r="D137" s="795"/>
      <c r="E137" s="83"/>
      <c r="F137" s="82"/>
      <c r="G137" s="83" t="s">
        <v>280</v>
      </c>
      <c r="H137" s="97">
        <f>IF(H135&gt;0,H135/F133,0)</f>
        <v>1</v>
      </c>
      <c r="I137" s="796"/>
      <c r="P137" s="96" t="s">
        <v>117</v>
      </c>
      <c r="Q137" s="95"/>
      <c r="R137" s="94"/>
      <c r="S137" s="93"/>
      <c r="T137" s="84"/>
      <c r="V137" s="84"/>
    </row>
    <row r="138" spans="1:23">
      <c r="A138" s="61"/>
      <c r="B138" s="795" t="s">
        <v>113</v>
      </c>
      <c r="C138" s="52"/>
      <c r="D138" s="52"/>
      <c r="E138" s="54"/>
      <c r="F138" s="72"/>
      <c r="G138" s="52"/>
      <c r="H138" s="72"/>
      <c r="I138" s="796"/>
      <c r="P138" s="92"/>
      <c r="Q138" s="91"/>
      <c r="R138" s="91"/>
      <c r="S138" s="41"/>
      <c r="T138" s="84"/>
      <c r="V138" s="84"/>
    </row>
    <row r="139" spans="1:23" ht="13.5" thickBot="1">
      <c r="A139" s="61"/>
      <c r="B139" s="90"/>
      <c r="C139" s="90"/>
      <c r="D139" s="90"/>
      <c r="E139" s="54"/>
      <c r="F139" s="72"/>
      <c r="G139" s="90"/>
      <c r="H139" s="89" t="s">
        <v>281</v>
      </c>
      <c r="I139" s="796"/>
      <c r="P139" s="86"/>
      <c r="Q139" s="41"/>
      <c r="R139" s="41"/>
      <c r="S139" s="85"/>
      <c r="T139" s="84"/>
      <c r="V139" s="84"/>
    </row>
    <row r="140" spans="1:23">
      <c r="A140" s="61"/>
      <c r="B140" s="795" t="s">
        <v>282</v>
      </c>
      <c r="C140" s="52"/>
      <c r="D140" s="52"/>
      <c r="E140" s="54"/>
      <c r="F140" s="88" t="s">
        <v>117</v>
      </c>
      <c r="G140" s="81"/>
      <c r="H140" s="87"/>
      <c r="I140" s="796"/>
      <c r="P140" s="86"/>
      <c r="Q140" s="41"/>
      <c r="R140" s="41"/>
      <c r="S140" s="85"/>
      <c r="T140" s="84"/>
      <c r="V140" s="84"/>
    </row>
    <row r="141" spans="1:23">
      <c r="A141" s="61">
        <f>A137+1</f>
        <v>105</v>
      </c>
      <c r="B141" s="795" t="s">
        <v>283</v>
      </c>
      <c r="C141" s="52" t="s">
        <v>284</v>
      </c>
      <c r="D141" s="52"/>
      <c r="E141" s="83"/>
      <c r="F141" s="82"/>
      <c r="G141" s="81"/>
      <c r="H141" s="77">
        <v>0</v>
      </c>
      <c r="I141" s="796"/>
    </row>
    <row r="142" spans="1:23" ht="13.5" thickBot="1">
      <c r="A142" s="61">
        <f t="shared" ref="A142:A148" si="6">A141+1</f>
        <v>106</v>
      </c>
      <c r="B142" s="73" t="s">
        <v>285</v>
      </c>
      <c r="C142" s="52"/>
      <c r="D142" s="795"/>
      <c r="E142" s="54"/>
      <c r="F142" s="72"/>
      <c r="G142" s="52"/>
      <c r="H142" s="80">
        <v>0</v>
      </c>
      <c r="I142" s="79"/>
    </row>
    <row r="143" spans="1:23">
      <c r="A143" s="61">
        <f t="shared" si="6"/>
        <v>107</v>
      </c>
      <c r="B143" s="795" t="s">
        <v>286</v>
      </c>
      <c r="C143" s="52"/>
      <c r="D143" s="795"/>
      <c r="E143" s="54"/>
      <c r="F143" s="72"/>
      <c r="G143" s="52"/>
      <c r="H143" s="53">
        <f>+H141-H142</f>
        <v>0</v>
      </c>
      <c r="I143" s="79"/>
    </row>
    <row r="144" spans="1:23">
      <c r="A144" s="61">
        <f t="shared" si="6"/>
        <v>108</v>
      </c>
      <c r="B144" s="795" t="s">
        <v>287</v>
      </c>
      <c r="C144" s="52" t="s">
        <v>288</v>
      </c>
      <c r="D144" s="795"/>
      <c r="E144" s="54"/>
      <c r="F144" s="78"/>
      <c r="G144" s="52"/>
      <c r="H144" s="77">
        <f>-('Summary-TrueUp'!F13)</f>
        <v>61358.68</v>
      </c>
      <c r="I144" s="796"/>
    </row>
    <row r="145" spans="1:12">
      <c r="A145" s="61">
        <f t="shared" si="6"/>
        <v>109</v>
      </c>
      <c r="B145" s="795" t="s">
        <v>289</v>
      </c>
      <c r="C145" s="52"/>
      <c r="D145" s="52"/>
      <c r="E145" s="54"/>
      <c r="F145" s="72"/>
      <c r="G145" s="52"/>
      <c r="H145" s="76">
        <v>0</v>
      </c>
      <c r="I145" s="70"/>
    </row>
    <row r="146" spans="1:12">
      <c r="A146" s="61">
        <f t="shared" si="6"/>
        <v>110</v>
      </c>
      <c r="B146" s="795" t="s">
        <v>290</v>
      </c>
      <c r="C146" s="51"/>
      <c r="D146" s="51"/>
      <c r="E146" s="75"/>
      <c r="F146" s="53"/>
      <c r="G146" s="51"/>
      <c r="H146" s="74">
        <v>0</v>
      </c>
      <c r="I146" s="70"/>
    </row>
    <row r="147" spans="1:12" ht="13.5" thickBot="1">
      <c r="A147" s="61">
        <f t="shared" si="6"/>
        <v>111</v>
      </c>
      <c r="B147" s="73" t="s">
        <v>291</v>
      </c>
      <c r="C147" s="45"/>
      <c r="D147" s="52"/>
      <c r="E147" s="54"/>
      <c r="F147" s="72"/>
      <c r="G147" s="52"/>
      <c r="H147" s="71">
        <v>0</v>
      </c>
      <c r="I147" s="70"/>
    </row>
    <row r="148" spans="1:12" ht="13.5" thickBot="1">
      <c r="A148" s="69">
        <f t="shared" si="6"/>
        <v>112</v>
      </c>
      <c r="B148" s="68" t="str">
        <f>+B143</f>
        <v xml:space="preserve">  Total of (a)-(b)</v>
      </c>
      <c r="C148" s="47"/>
      <c r="D148" s="44"/>
      <c r="E148" s="67"/>
      <c r="F148" s="66"/>
      <c r="G148" s="45"/>
      <c r="H148" s="65">
        <f>+H146-H147</f>
        <v>0</v>
      </c>
      <c r="I148" s="64"/>
    </row>
    <row r="149" spans="1:12">
      <c r="A149" s="58" t="s">
        <v>292</v>
      </c>
      <c r="B149" s="866" t="s">
        <v>293</v>
      </c>
      <c r="C149" s="866"/>
      <c r="D149" s="866"/>
      <c r="E149" s="866"/>
      <c r="F149" s="866"/>
      <c r="G149" s="866"/>
      <c r="H149" s="866"/>
      <c r="I149" s="867"/>
      <c r="J149" s="38"/>
      <c r="L149" s="38"/>
    </row>
    <row r="150" spans="1:12" ht="13.5" thickBot="1">
      <c r="A150" s="63" t="s">
        <v>294</v>
      </c>
      <c r="B150" s="866" t="s">
        <v>295</v>
      </c>
      <c r="C150" s="866"/>
      <c r="D150" s="866"/>
      <c r="E150" s="866"/>
      <c r="F150" s="866"/>
      <c r="G150" s="866"/>
      <c r="H150" s="866"/>
      <c r="I150" s="867"/>
      <c r="J150" s="38"/>
      <c r="L150" s="38"/>
    </row>
    <row r="151" spans="1:12">
      <c r="A151" s="58" t="s">
        <v>296</v>
      </c>
      <c r="B151" s="866" t="s">
        <v>297</v>
      </c>
      <c r="C151" s="866"/>
      <c r="D151" s="866"/>
      <c r="E151" s="866"/>
      <c r="F151" s="866"/>
      <c r="G151" s="866"/>
      <c r="H151" s="866"/>
      <c r="I151" s="867"/>
      <c r="J151" s="38"/>
      <c r="L151" s="38"/>
    </row>
    <row r="152" spans="1:12" ht="25.5" customHeight="1">
      <c r="A152" s="57" t="s">
        <v>298</v>
      </c>
      <c r="B152" s="864" t="s">
        <v>299</v>
      </c>
      <c r="C152" s="864"/>
      <c r="D152" s="864"/>
      <c r="E152" s="864"/>
      <c r="F152" s="864"/>
      <c r="G152" s="864"/>
      <c r="H152" s="864"/>
      <c r="I152" s="865"/>
      <c r="J152" s="38"/>
      <c r="L152" s="38"/>
    </row>
    <row r="153" spans="1:12">
      <c r="A153" s="58" t="s">
        <v>300</v>
      </c>
      <c r="B153" s="866" t="s">
        <v>301</v>
      </c>
      <c r="C153" s="866"/>
      <c r="D153" s="866"/>
      <c r="E153" s="866"/>
      <c r="F153" s="866"/>
      <c r="G153" s="866"/>
      <c r="H153" s="866"/>
      <c r="I153" s="867"/>
      <c r="J153" s="38"/>
      <c r="L153" s="38"/>
    </row>
    <row r="154" spans="1:12" ht="25.5" customHeight="1">
      <c r="A154" s="57" t="s">
        <v>302</v>
      </c>
      <c r="B154" s="864" t="str">
        <f>"Cash Working Capital assigned to transmission is one-eighth of O&amp;M allocated to transmission at line "&amp;A61&amp;" column 5.  Prepayments are the electric related prepayments booked to Account No. 165 and reported in the Other Assets Section of the Balance Sheet."</f>
        <v>Cash Working Capital assigned to transmission is one-eighth of O&amp;M allocated to transmission at line 46 column 5.  Prepayments are the electric related prepayments booked to Account No. 165 and reported in the Other Assets Section of the Balance Sheet.</v>
      </c>
      <c r="C154" s="864"/>
      <c r="D154" s="864"/>
      <c r="E154" s="864"/>
      <c r="F154" s="864"/>
      <c r="G154" s="864"/>
      <c r="H154" s="864"/>
      <c r="I154" s="865"/>
      <c r="J154" s="38"/>
      <c r="L154" s="38"/>
    </row>
    <row r="155" spans="1:12" ht="25.5" customHeight="1">
      <c r="A155" s="57" t="s">
        <v>303</v>
      </c>
      <c r="B155" s="864" t="s">
        <v>304</v>
      </c>
      <c r="C155" s="864"/>
      <c r="D155" s="864"/>
      <c r="E155" s="864"/>
      <c r="F155" s="864"/>
      <c r="G155" s="864"/>
      <c r="H155" s="864"/>
      <c r="I155" s="865"/>
      <c r="J155" s="38"/>
      <c r="L155" s="38"/>
    </row>
    <row r="156" spans="1:12">
      <c r="A156" s="58" t="s">
        <v>305</v>
      </c>
      <c r="B156" s="866" t="s">
        <v>306</v>
      </c>
      <c r="C156" s="866"/>
      <c r="D156" s="866"/>
      <c r="E156" s="866"/>
      <c r="F156" s="866"/>
      <c r="G156" s="866"/>
      <c r="H156" s="866"/>
      <c r="I156" s="867"/>
      <c r="J156" s="38"/>
      <c r="L156" s="38"/>
    </row>
    <row r="157" spans="1:12" ht="25.5" customHeight="1">
      <c r="A157" s="57" t="s">
        <v>307</v>
      </c>
      <c r="B157" s="864" t="str">
        <f>"Line "&amp;A57&amp;" - EPRI Annual Membership Dues, all Regulatory Commission Expenses, and non-safety related advertising.  Line "&amp;A58&amp;" - Regulatory Commission Expenses directly related to transmission service, ISO filings, or transmission siting."</f>
        <v>Line 42 - EPRI Annual Membership Dues, all Regulatory Commission Expenses, and non-safety related advertising.  Line 43 - Regulatory Commission Expenses directly related to transmission service, ISO filings, or transmission siting.</v>
      </c>
      <c r="C157" s="864"/>
      <c r="D157" s="864"/>
      <c r="E157" s="864"/>
      <c r="F157" s="864"/>
      <c r="G157" s="864"/>
      <c r="H157" s="864"/>
      <c r="I157" s="865"/>
      <c r="J157" s="38"/>
      <c r="L157" s="38"/>
    </row>
    <row r="158" spans="1:12" ht="25.5" customHeight="1">
      <c r="A158" s="57" t="s">
        <v>308</v>
      </c>
      <c r="B158" s="864" t="s">
        <v>309</v>
      </c>
      <c r="C158" s="864"/>
      <c r="D158" s="864"/>
      <c r="E158" s="864"/>
      <c r="F158" s="864"/>
      <c r="G158" s="864"/>
      <c r="H158" s="864"/>
      <c r="I158" s="865"/>
      <c r="J158" s="38"/>
      <c r="L158" s="38"/>
    </row>
    <row r="159" spans="1:12">
      <c r="A159" s="58" t="s">
        <v>310</v>
      </c>
      <c r="B159" s="652" t="s">
        <v>311</v>
      </c>
      <c r="C159" s="52"/>
      <c r="D159" s="52"/>
      <c r="E159" s="54"/>
      <c r="F159" s="53"/>
      <c r="G159" s="52"/>
      <c r="H159" s="51"/>
      <c r="I159" s="62"/>
      <c r="J159" s="38"/>
      <c r="L159" s="38"/>
    </row>
    <row r="160" spans="1:12">
      <c r="A160" s="58" t="s">
        <v>117</v>
      </c>
      <c r="B160" s="652" t="s">
        <v>312</v>
      </c>
      <c r="C160" s="652" t="s">
        <v>313</v>
      </c>
      <c r="D160" s="60">
        <v>0</v>
      </c>
      <c r="E160" s="54"/>
      <c r="F160" s="53"/>
      <c r="G160" s="52"/>
      <c r="H160" s="51"/>
      <c r="I160" s="62"/>
      <c r="J160" s="38"/>
      <c r="L160" s="38"/>
    </row>
    <row r="161" spans="1:12">
      <c r="A161" s="61"/>
      <c r="B161" s="52"/>
      <c r="C161" s="652" t="s">
        <v>314</v>
      </c>
      <c r="D161" s="60">
        <v>0</v>
      </c>
      <c r="E161" s="868" t="s">
        <v>315</v>
      </c>
      <c r="F161" s="868"/>
      <c r="G161" s="868"/>
      <c r="H161" s="868"/>
      <c r="I161" s="869"/>
      <c r="J161" s="38"/>
      <c r="L161" s="38"/>
    </row>
    <row r="162" spans="1:12">
      <c r="A162" s="61"/>
      <c r="B162" s="52"/>
      <c r="C162" s="652" t="s">
        <v>316</v>
      </c>
      <c r="D162" s="60">
        <v>0</v>
      </c>
      <c r="E162" s="868" t="s">
        <v>317</v>
      </c>
      <c r="F162" s="868"/>
      <c r="G162" s="868"/>
      <c r="H162" s="868"/>
      <c r="I162" s="869"/>
      <c r="J162" s="38"/>
      <c r="L162" s="38"/>
    </row>
    <row r="163" spans="1:12">
      <c r="A163" s="58" t="s">
        <v>318</v>
      </c>
      <c r="B163" s="866" t="s">
        <v>319</v>
      </c>
      <c r="C163" s="866"/>
      <c r="D163" s="866"/>
      <c r="E163" s="866"/>
      <c r="F163" s="866"/>
      <c r="G163" s="866"/>
      <c r="H163" s="866"/>
      <c r="I163" s="867"/>
      <c r="J163" s="38"/>
      <c r="L163" s="38"/>
    </row>
    <row r="164" spans="1:12">
      <c r="A164" s="57" t="s">
        <v>320</v>
      </c>
      <c r="B164" s="864" t="s">
        <v>321</v>
      </c>
      <c r="C164" s="864"/>
      <c r="D164" s="864"/>
      <c r="E164" s="864"/>
      <c r="F164" s="864"/>
      <c r="G164" s="864"/>
      <c r="H164" s="864"/>
      <c r="I164" s="865"/>
      <c r="J164" s="38"/>
      <c r="L164" s="38"/>
    </row>
    <row r="165" spans="1:12" ht="25.5" customHeight="1">
      <c r="A165" s="57" t="s">
        <v>322</v>
      </c>
      <c r="B165" s="864" t="s">
        <v>323</v>
      </c>
      <c r="C165" s="864"/>
      <c r="D165" s="864"/>
      <c r="E165" s="864"/>
      <c r="F165" s="864"/>
      <c r="G165" s="864"/>
      <c r="H165" s="864"/>
      <c r="I165" s="865"/>
      <c r="J165" s="38"/>
      <c r="L165" s="38"/>
    </row>
    <row r="166" spans="1:12">
      <c r="A166" s="57" t="s">
        <v>324</v>
      </c>
      <c r="B166" s="864" t="s">
        <v>325</v>
      </c>
      <c r="C166" s="864"/>
      <c r="D166" s="864"/>
      <c r="E166" s="864"/>
      <c r="F166" s="864"/>
      <c r="G166" s="864"/>
      <c r="H166" s="864"/>
      <c r="I166" s="865"/>
      <c r="J166" s="39"/>
      <c r="L166" s="38"/>
    </row>
    <row r="167" spans="1:12">
      <c r="A167" s="58" t="s">
        <v>326</v>
      </c>
      <c r="B167" s="866" t="s">
        <v>327</v>
      </c>
      <c r="C167" s="866"/>
      <c r="D167" s="866"/>
      <c r="E167" s="866"/>
      <c r="F167" s="866"/>
      <c r="G167" s="866"/>
      <c r="H167" s="866"/>
      <c r="I167" s="867"/>
      <c r="J167" s="59"/>
      <c r="L167" s="38"/>
    </row>
    <row r="168" spans="1:12" ht="25.5" customHeight="1">
      <c r="A168" s="57" t="s">
        <v>328</v>
      </c>
      <c r="B168" s="864" t="str">
        <f>"Debt cost rate = long-term interest (line "&amp;A130&amp;") / long term debt (line "&amp;A133&amp;").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99) / long term debt (line 100).  The Proprietary Capital Cost rate is implicit, a residual calculation after TIER is determined. TIER will be supported in the filing and no change in TIER may be made absent a filing with the ISO and the FERC, if the entity is under FERC's jurisdiction.</v>
      </c>
      <c r="C168" s="864"/>
      <c r="D168" s="864"/>
      <c r="E168" s="864"/>
      <c r="F168" s="864"/>
      <c r="G168" s="864"/>
      <c r="H168" s="864"/>
      <c r="I168" s="865"/>
      <c r="L168" s="38"/>
    </row>
    <row r="169" spans="1:12">
      <c r="A169" s="58" t="s">
        <v>329</v>
      </c>
      <c r="B169" s="866" t="str">
        <f>"Line "&amp;A141&amp;" must equal zero since all short-term power sales must be unbundled and the transmission component reflected in Account No. 456 and all other uses are to be included in the divisor."</f>
        <v>Line 105 must equal zero since all short-term power sales must be unbundled and the transmission component reflected in Account No. 456 and all other uses are to be included in the divisor.</v>
      </c>
      <c r="C169" s="866"/>
      <c r="D169" s="866"/>
      <c r="E169" s="866"/>
      <c r="F169" s="866"/>
      <c r="G169" s="866"/>
      <c r="H169" s="866"/>
      <c r="I169" s="867"/>
      <c r="L169" s="38"/>
    </row>
    <row r="170" spans="1:12">
      <c r="A170" s="58" t="s">
        <v>330</v>
      </c>
      <c r="B170" s="866" t="s">
        <v>331</v>
      </c>
      <c r="C170" s="866"/>
      <c r="D170" s="866"/>
      <c r="E170" s="866"/>
      <c r="F170" s="866"/>
      <c r="G170" s="866"/>
      <c r="H170" s="866"/>
      <c r="I170" s="867"/>
      <c r="L170" s="38"/>
    </row>
    <row r="171" spans="1:12" ht="25.5" customHeight="1">
      <c r="A171" s="57" t="s">
        <v>332</v>
      </c>
      <c r="B171" s="864" t="s">
        <v>333</v>
      </c>
      <c r="C171" s="864"/>
      <c r="D171" s="864"/>
      <c r="E171" s="864"/>
      <c r="F171" s="864"/>
      <c r="G171" s="864"/>
      <c r="H171" s="864"/>
      <c r="I171" s="865"/>
      <c r="J171" s="38"/>
    </row>
    <row r="172" spans="1:12">
      <c r="A172" s="56"/>
      <c r="B172" s="652" t="s">
        <v>334</v>
      </c>
      <c r="C172" s="55"/>
      <c r="D172" s="52"/>
      <c r="E172" s="54"/>
      <c r="F172" s="53"/>
      <c r="G172" s="52"/>
      <c r="H172" s="51"/>
      <c r="I172" s="50"/>
      <c r="J172" s="38"/>
    </row>
    <row r="173" spans="1:12" ht="13.5" thickBot="1">
      <c r="A173" s="49"/>
      <c r="B173" s="48"/>
      <c r="C173" s="45"/>
      <c r="D173" s="45"/>
      <c r="E173" s="47"/>
      <c r="F173" s="46"/>
      <c r="G173" s="45"/>
      <c r="H173" s="44"/>
      <c r="I173" s="43"/>
      <c r="J173" s="36"/>
      <c r="L173" s="36"/>
    </row>
  </sheetData>
  <mergeCells count="21">
    <mergeCell ref="B158:I158"/>
    <mergeCell ref="E161:I161"/>
    <mergeCell ref="B169:I169"/>
    <mergeCell ref="B170:I170"/>
    <mergeCell ref="E162:I162"/>
    <mergeCell ref="B171:I171"/>
    <mergeCell ref="B163:I163"/>
    <mergeCell ref="B164:I164"/>
    <mergeCell ref="B165:I165"/>
    <mergeCell ref="B166:I166"/>
    <mergeCell ref="B167:I167"/>
    <mergeCell ref="B168:I168"/>
    <mergeCell ref="B154:I154"/>
    <mergeCell ref="B155:I155"/>
    <mergeCell ref="B156:I156"/>
    <mergeCell ref="B157:I157"/>
    <mergeCell ref="B149:I149"/>
    <mergeCell ref="B150:I150"/>
    <mergeCell ref="B151:I151"/>
    <mergeCell ref="B152:I152"/>
    <mergeCell ref="B153:I153"/>
  </mergeCells>
  <hyperlinks>
    <hyperlink ref="C1" location="'Cover Sheets'!A18"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0"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31"/>
  <sheetViews>
    <sheetView view="pageBreakPreview" zoomScaleNormal="100" zoomScaleSheetLayoutView="100" workbookViewId="0"/>
  </sheetViews>
  <sheetFormatPr defaultRowHeight="14.5"/>
  <cols>
    <col min="3" max="3" width="47.81640625" bestFit="1" customWidth="1"/>
    <col min="4" max="4" width="26.7265625" bestFit="1" customWidth="1"/>
    <col min="5" max="5" width="14.81640625" bestFit="1" customWidth="1"/>
    <col min="8" max="8" width="18.26953125" bestFit="1" customWidth="1"/>
    <col min="9" max="9" width="8.54296875" customWidth="1"/>
    <col min="10" max="10" width="24" customWidth="1"/>
    <col min="11" max="11" width="12.26953125" customWidth="1"/>
    <col min="12" max="12" width="11.26953125" bestFit="1" customWidth="1"/>
    <col min="13" max="13" width="11" customWidth="1"/>
  </cols>
  <sheetData>
    <row r="1" spans="1:15">
      <c r="A1" s="540" t="str">
        <f>'Cover Sheets'!A10:D10</f>
        <v>WAPA-UGP 2020 Rate True-up Calculation</v>
      </c>
      <c r="B1" s="570"/>
      <c r="C1" s="570"/>
      <c r="D1" s="570"/>
      <c r="E1" s="570"/>
      <c r="F1" s="570"/>
      <c r="G1" s="570"/>
      <c r="H1" s="579" t="s">
        <v>97</v>
      </c>
      <c r="I1" s="570"/>
      <c r="J1" s="571"/>
    </row>
    <row r="2" spans="1:15">
      <c r="A2" s="240" t="s">
        <v>335</v>
      </c>
      <c r="B2" s="550"/>
      <c r="C2" s="550"/>
      <c r="D2" s="550"/>
      <c r="E2" s="550"/>
      <c r="F2" s="550"/>
      <c r="G2" s="550"/>
      <c r="H2" s="550"/>
      <c r="I2" s="550"/>
      <c r="J2" s="572"/>
    </row>
    <row r="3" spans="1:15">
      <c r="A3" s="575" t="str">
        <f>'WS1-RateBase'!A4</f>
        <v>12 Months Ending 09/30/2020 True-up</v>
      </c>
      <c r="B3" s="652"/>
      <c r="C3" s="90"/>
      <c r="D3" s="90"/>
      <c r="E3" s="569"/>
      <c r="F3" s="54"/>
      <c r="G3" s="72"/>
      <c r="H3" s="494" t="s">
        <v>100</v>
      </c>
      <c r="I3" s="72"/>
      <c r="J3" s="188"/>
    </row>
    <row r="4" spans="1:15">
      <c r="A4" s="58" t="s">
        <v>101</v>
      </c>
      <c r="B4" s="494" t="s">
        <v>336</v>
      </c>
      <c r="C4" s="494" t="s">
        <v>337</v>
      </c>
      <c r="D4" s="494" t="s">
        <v>102</v>
      </c>
      <c r="E4" s="494" t="s">
        <v>103</v>
      </c>
      <c r="F4" s="494" t="s">
        <v>104</v>
      </c>
      <c r="G4" s="494" t="s">
        <v>338</v>
      </c>
      <c r="H4" s="494" t="s">
        <v>105</v>
      </c>
      <c r="I4" s="52"/>
      <c r="J4" s="50"/>
    </row>
    <row r="5" spans="1:15" ht="15" thickBot="1">
      <c r="A5" s="63" t="s">
        <v>106</v>
      </c>
      <c r="B5" s="89"/>
      <c r="C5" s="89" t="s">
        <v>107</v>
      </c>
      <c r="D5" s="89" t="s">
        <v>108</v>
      </c>
      <c r="E5" s="89" t="s">
        <v>109</v>
      </c>
      <c r="F5" s="47"/>
      <c r="G5" s="495" t="s">
        <v>110</v>
      </c>
      <c r="H5" s="495" t="s">
        <v>111</v>
      </c>
      <c r="I5" s="45"/>
      <c r="J5" s="43"/>
      <c r="K5" s="682"/>
      <c r="L5" s="682"/>
      <c r="M5" s="682"/>
      <c r="N5" s="682"/>
      <c r="O5" s="691"/>
    </row>
    <row r="6" spans="1:15">
      <c r="A6" s="132">
        <v>1</v>
      </c>
      <c r="B6" s="129" t="s">
        <v>339</v>
      </c>
      <c r="C6" s="507">
        <v>43831</v>
      </c>
      <c r="D6" s="501" t="s">
        <v>340</v>
      </c>
      <c r="E6" s="739">
        <v>20646.29</v>
      </c>
      <c r="F6" s="496" t="s">
        <v>124</v>
      </c>
      <c r="G6" s="509">
        <v>1</v>
      </c>
      <c r="H6" s="554">
        <f>E6</f>
        <v>20646.29</v>
      </c>
      <c r="I6" s="128"/>
      <c r="J6" s="497"/>
    </row>
    <row r="7" spans="1:15">
      <c r="A7" s="61">
        <v>2</v>
      </c>
      <c r="B7" s="54" t="s">
        <v>339</v>
      </c>
      <c r="C7" s="508">
        <v>43862</v>
      </c>
      <c r="D7" s="502" t="s">
        <v>340</v>
      </c>
      <c r="E7" s="740">
        <v>0</v>
      </c>
      <c r="F7" s="185" t="s">
        <v>124</v>
      </c>
      <c r="G7" s="498">
        <v>1</v>
      </c>
      <c r="H7" s="555">
        <f t="shared" ref="H7:H18" si="0">E7</f>
        <v>0</v>
      </c>
      <c r="I7" s="52"/>
      <c r="J7" s="50"/>
      <c r="K7" s="671"/>
      <c r="L7" s="671"/>
      <c r="M7" s="672"/>
      <c r="N7" s="672"/>
    </row>
    <row r="8" spans="1:15">
      <c r="A8" s="61">
        <v>3</v>
      </c>
      <c r="B8" s="54" t="s">
        <v>339</v>
      </c>
      <c r="C8" s="508">
        <v>43891</v>
      </c>
      <c r="D8" s="180" t="s">
        <v>340</v>
      </c>
      <c r="E8" s="740">
        <v>12741.21</v>
      </c>
      <c r="F8" s="185" t="s">
        <v>124</v>
      </c>
      <c r="G8" s="498">
        <v>1</v>
      </c>
      <c r="H8" s="555">
        <f t="shared" si="0"/>
        <v>12741.21</v>
      </c>
      <c r="I8" s="52"/>
      <c r="J8" s="50"/>
      <c r="K8" s="671"/>
      <c r="L8" s="671"/>
      <c r="M8" s="672"/>
      <c r="N8" s="704"/>
    </row>
    <row r="9" spans="1:15">
      <c r="A9" s="61">
        <v>4</v>
      </c>
      <c r="B9" s="54" t="s">
        <v>339</v>
      </c>
      <c r="C9" s="508">
        <v>43922</v>
      </c>
      <c r="D9" s="180" t="s">
        <v>340</v>
      </c>
      <c r="E9" s="740">
        <v>30893.5</v>
      </c>
      <c r="F9" s="185" t="s">
        <v>124</v>
      </c>
      <c r="G9" s="498">
        <v>1</v>
      </c>
      <c r="H9" s="555">
        <f t="shared" si="0"/>
        <v>30893.5</v>
      </c>
      <c r="I9" s="52"/>
      <c r="J9" s="50"/>
      <c r="K9" s="671"/>
      <c r="L9" s="705"/>
      <c r="M9" s="672"/>
      <c r="N9" s="705"/>
    </row>
    <row r="10" spans="1:15">
      <c r="A10" s="61">
        <v>5</v>
      </c>
      <c r="B10" s="54" t="s">
        <v>339</v>
      </c>
      <c r="C10" s="508">
        <v>43952</v>
      </c>
      <c r="D10" s="180" t="s">
        <v>340</v>
      </c>
      <c r="E10" s="740">
        <v>7731.36</v>
      </c>
      <c r="F10" s="185" t="s">
        <v>124</v>
      </c>
      <c r="G10" s="498">
        <v>1</v>
      </c>
      <c r="H10" s="555">
        <f t="shared" si="0"/>
        <v>7731.36</v>
      </c>
      <c r="I10" s="52"/>
      <c r="J10" s="50"/>
      <c r="K10" s="671"/>
      <c r="L10" s="672"/>
      <c r="M10" s="672"/>
      <c r="N10" s="672"/>
    </row>
    <row r="11" spans="1:15">
      <c r="A11" s="61">
        <v>6</v>
      </c>
      <c r="B11" s="54" t="s">
        <v>339</v>
      </c>
      <c r="C11" s="508">
        <v>43983</v>
      </c>
      <c r="D11" s="502" t="s">
        <v>340</v>
      </c>
      <c r="E11" s="740">
        <v>7732.36</v>
      </c>
      <c r="F11" s="185" t="s">
        <v>124</v>
      </c>
      <c r="G11" s="498">
        <v>1</v>
      </c>
      <c r="H11" s="555">
        <f t="shared" si="0"/>
        <v>7732.36</v>
      </c>
      <c r="I11" s="52"/>
      <c r="J11" s="50"/>
      <c r="K11" s="671"/>
      <c r="L11" s="672"/>
      <c r="M11" s="672"/>
      <c r="N11" s="672"/>
    </row>
    <row r="12" spans="1:15">
      <c r="A12" s="61">
        <v>7</v>
      </c>
      <c r="B12" s="54" t="s">
        <v>339</v>
      </c>
      <c r="C12" s="508">
        <v>44013</v>
      </c>
      <c r="D12" s="180" t="s">
        <v>340</v>
      </c>
      <c r="E12" s="740">
        <v>7802.32</v>
      </c>
      <c r="F12" s="185" t="s">
        <v>124</v>
      </c>
      <c r="G12" s="498">
        <v>1</v>
      </c>
      <c r="H12" s="555">
        <f t="shared" si="0"/>
        <v>7802.32</v>
      </c>
      <c r="I12" s="52"/>
      <c r="J12" s="50"/>
      <c r="K12" s="671"/>
      <c r="L12" s="672"/>
      <c r="M12" s="704"/>
      <c r="N12" s="672"/>
    </row>
    <row r="13" spans="1:15">
      <c r="A13" s="61">
        <v>8</v>
      </c>
      <c r="B13" s="54" t="s">
        <v>339</v>
      </c>
      <c r="C13" s="508">
        <v>44044</v>
      </c>
      <c r="D13" s="180" t="s">
        <v>340</v>
      </c>
      <c r="E13" s="741">
        <v>7805.2</v>
      </c>
      <c r="F13" s="196" t="s">
        <v>124</v>
      </c>
      <c r="G13" s="498">
        <f>+G12</f>
        <v>1</v>
      </c>
      <c r="H13" s="555">
        <f t="shared" si="0"/>
        <v>7805.2</v>
      </c>
      <c r="I13" s="52"/>
      <c r="J13" s="50"/>
      <c r="K13" s="671"/>
      <c r="L13" s="672"/>
      <c r="N13" s="672"/>
    </row>
    <row r="14" spans="1:15">
      <c r="A14" s="61">
        <v>9</v>
      </c>
      <c r="B14" s="54" t="s">
        <v>339</v>
      </c>
      <c r="C14" s="508">
        <v>44075</v>
      </c>
      <c r="D14" s="180" t="s">
        <v>340</v>
      </c>
      <c r="E14" s="741">
        <v>7709.2</v>
      </c>
      <c r="F14" s="196" t="s">
        <v>124</v>
      </c>
      <c r="G14" s="498">
        <v>1</v>
      </c>
      <c r="H14" s="555">
        <f t="shared" si="0"/>
        <v>7709.2</v>
      </c>
      <c r="I14" s="52"/>
      <c r="J14" s="50"/>
      <c r="K14" s="671"/>
      <c r="L14" s="704"/>
      <c r="M14" s="672"/>
      <c r="N14" s="704"/>
    </row>
    <row r="15" spans="1:15">
      <c r="A15" s="61">
        <v>10</v>
      </c>
      <c r="B15" s="54" t="s">
        <v>339</v>
      </c>
      <c r="C15" s="508">
        <v>44105</v>
      </c>
      <c r="D15" s="502" t="s">
        <v>340</v>
      </c>
      <c r="E15" s="741">
        <v>-2853.76</v>
      </c>
      <c r="F15" s="504" t="s">
        <v>124</v>
      </c>
      <c r="G15" s="498">
        <v>1</v>
      </c>
      <c r="H15" s="555">
        <f t="shared" si="0"/>
        <v>-2853.76</v>
      </c>
      <c r="I15" s="52"/>
      <c r="J15" s="50"/>
      <c r="K15" s="671"/>
      <c r="L15" s="671"/>
      <c r="M15" s="672"/>
    </row>
    <row r="16" spans="1:15">
      <c r="A16" s="61">
        <v>11</v>
      </c>
      <c r="B16" s="54" t="s">
        <v>339</v>
      </c>
      <c r="C16" s="508">
        <v>44136</v>
      </c>
      <c r="D16" s="180" t="s">
        <v>340</v>
      </c>
      <c r="E16" s="741">
        <v>-9994.11</v>
      </c>
      <c r="F16" s="504" t="s">
        <v>124</v>
      </c>
      <c r="G16" s="498">
        <v>1</v>
      </c>
      <c r="H16" s="555">
        <f t="shared" si="0"/>
        <v>-9994.11</v>
      </c>
      <c r="I16" s="393"/>
      <c r="J16" s="690"/>
      <c r="K16" s="671"/>
      <c r="L16" s="705"/>
      <c r="M16" s="672"/>
    </row>
    <row r="17" spans="1:14">
      <c r="A17" s="61">
        <v>12</v>
      </c>
      <c r="B17" s="54" t="s">
        <v>339</v>
      </c>
      <c r="C17" s="508">
        <v>44166</v>
      </c>
      <c r="D17" s="180" t="s">
        <v>340</v>
      </c>
      <c r="E17" s="741">
        <v>2549.13</v>
      </c>
      <c r="F17" s="182" t="s">
        <v>124</v>
      </c>
      <c r="G17" s="498">
        <v>1</v>
      </c>
      <c r="H17" s="555">
        <f t="shared" si="0"/>
        <v>2549.13</v>
      </c>
      <c r="I17" s="52"/>
      <c r="J17" s="50"/>
      <c r="K17" s="705"/>
      <c r="L17" s="672"/>
      <c r="M17" s="704"/>
    </row>
    <row r="18" spans="1:14">
      <c r="A18" s="61">
        <v>13</v>
      </c>
      <c r="B18" s="54" t="s">
        <v>339</v>
      </c>
      <c r="C18" s="502" t="s">
        <v>341</v>
      </c>
      <c r="D18" s="180" t="s">
        <v>340</v>
      </c>
      <c r="E18" s="511">
        <v>0</v>
      </c>
      <c r="F18" s="504"/>
      <c r="G18" s="498">
        <v>1</v>
      </c>
      <c r="H18" s="556">
        <f t="shared" si="0"/>
        <v>0</v>
      </c>
      <c r="I18" s="499"/>
      <c r="J18" s="500"/>
      <c r="K18" s="706"/>
      <c r="L18" s="707"/>
      <c r="M18" s="707"/>
      <c r="N18" s="379"/>
    </row>
    <row r="19" spans="1:14" ht="15" thickBot="1">
      <c r="A19" s="69">
        <v>14</v>
      </c>
      <c r="B19" s="47"/>
      <c r="C19" s="48" t="s">
        <v>69</v>
      </c>
      <c r="D19" s="505"/>
      <c r="E19" s="512">
        <f>SUM(E6:E18)</f>
        <v>92762.700000000012</v>
      </c>
      <c r="F19" s="506"/>
      <c r="G19" s="46"/>
      <c r="H19" s="557">
        <f>SUM(H6:H18)</f>
        <v>92762.700000000012</v>
      </c>
      <c r="I19" s="45"/>
      <c r="J19" s="43"/>
    </row>
    <row r="20" spans="1:14">
      <c r="A20" s="132">
        <v>15</v>
      </c>
      <c r="B20" s="129" t="s">
        <v>342</v>
      </c>
      <c r="C20" s="507">
        <f t="shared" ref="C20:C31" si="1">C6</f>
        <v>43831</v>
      </c>
      <c r="D20" s="501" t="s">
        <v>343</v>
      </c>
      <c r="E20" s="739">
        <v>-334902.14</v>
      </c>
      <c r="F20" s="496" t="s">
        <v>127</v>
      </c>
      <c r="G20" s="509">
        <v>1</v>
      </c>
      <c r="H20" s="554">
        <f>E20</f>
        <v>-334902.14</v>
      </c>
      <c r="I20" s="128"/>
      <c r="J20" s="497"/>
      <c r="K20" s="671"/>
    </row>
    <row r="21" spans="1:14">
      <c r="A21" s="61">
        <v>16</v>
      </c>
      <c r="B21" s="54" t="s">
        <v>342</v>
      </c>
      <c r="C21" s="508">
        <f t="shared" si="1"/>
        <v>43862</v>
      </c>
      <c r="D21" s="502" t="s">
        <v>343</v>
      </c>
      <c r="E21" s="740">
        <v>-352442.89</v>
      </c>
      <c r="F21" s="185" t="s">
        <v>127</v>
      </c>
      <c r="G21" s="498">
        <v>1</v>
      </c>
      <c r="H21" s="555">
        <f t="shared" ref="H21:H32" si="2">E21</f>
        <v>-352442.89</v>
      </c>
      <c r="I21" s="52"/>
      <c r="J21" s="50"/>
      <c r="K21" s="671"/>
    </row>
    <row r="22" spans="1:14">
      <c r="A22" s="61">
        <v>17</v>
      </c>
      <c r="B22" s="54" t="s">
        <v>342</v>
      </c>
      <c r="C22" s="508">
        <f t="shared" si="1"/>
        <v>43891</v>
      </c>
      <c r="D22" s="180" t="s">
        <v>343</v>
      </c>
      <c r="E22" s="740">
        <v>-336060.25</v>
      </c>
      <c r="F22" s="185" t="s">
        <v>127</v>
      </c>
      <c r="G22" s="498">
        <v>1</v>
      </c>
      <c r="H22" s="555">
        <f t="shared" si="2"/>
        <v>-336060.25</v>
      </c>
      <c r="I22" s="52"/>
      <c r="J22" s="50"/>
      <c r="K22" s="671"/>
    </row>
    <row r="23" spans="1:14">
      <c r="A23" s="61">
        <v>18</v>
      </c>
      <c r="B23" s="54" t="s">
        <v>342</v>
      </c>
      <c r="C23" s="508">
        <f t="shared" si="1"/>
        <v>43922</v>
      </c>
      <c r="D23" s="180" t="s">
        <v>343</v>
      </c>
      <c r="E23" s="740">
        <v>-324908.94</v>
      </c>
      <c r="F23" s="185" t="s">
        <v>127</v>
      </c>
      <c r="G23" s="498">
        <v>1</v>
      </c>
      <c r="H23" s="555">
        <f t="shared" si="2"/>
        <v>-324908.94</v>
      </c>
      <c r="I23" s="52"/>
      <c r="J23" s="50"/>
      <c r="K23" s="671"/>
    </row>
    <row r="24" spans="1:14">
      <c r="A24" s="61">
        <v>19</v>
      </c>
      <c r="B24" s="54" t="s">
        <v>342</v>
      </c>
      <c r="C24" s="508">
        <f t="shared" si="1"/>
        <v>43952</v>
      </c>
      <c r="D24" s="180" t="s">
        <v>343</v>
      </c>
      <c r="E24" s="740">
        <v>-359746.32</v>
      </c>
      <c r="F24" s="185" t="s">
        <v>127</v>
      </c>
      <c r="G24" s="498">
        <v>1</v>
      </c>
      <c r="H24" s="555">
        <f t="shared" si="2"/>
        <v>-359746.32</v>
      </c>
      <c r="I24" s="52"/>
      <c r="J24" s="50"/>
      <c r="K24" s="671"/>
    </row>
    <row r="25" spans="1:14">
      <c r="A25" s="61">
        <v>20</v>
      </c>
      <c r="B25" s="54" t="s">
        <v>342</v>
      </c>
      <c r="C25" s="508">
        <f t="shared" si="1"/>
        <v>43983</v>
      </c>
      <c r="D25" s="180" t="s">
        <v>343</v>
      </c>
      <c r="E25" s="740">
        <v>-392982.64</v>
      </c>
      <c r="F25" s="185" t="s">
        <v>127</v>
      </c>
      <c r="G25" s="498">
        <v>1</v>
      </c>
      <c r="H25" s="555">
        <f t="shared" si="2"/>
        <v>-392982.64</v>
      </c>
      <c r="I25" s="52"/>
      <c r="J25" s="50"/>
      <c r="K25" s="671"/>
    </row>
    <row r="26" spans="1:14">
      <c r="A26" s="61">
        <v>21</v>
      </c>
      <c r="B26" s="54" t="s">
        <v>342</v>
      </c>
      <c r="C26" s="508">
        <f t="shared" si="1"/>
        <v>44013</v>
      </c>
      <c r="D26" s="184" t="s">
        <v>343</v>
      </c>
      <c r="E26" s="740">
        <v>-432148.76</v>
      </c>
      <c r="F26" s="185" t="s">
        <v>127</v>
      </c>
      <c r="G26" s="498">
        <v>1</v>
      </c>
      <c r="H26" s="555">
        <f t="shared" si="2"/>
        <v>-432148.76</v>
      </c>
      <c r="I26" s="52"/>
      <c r="J26" s="50"/>
      <c r="K26" s="671"/>
    </row>
    <row r="27" spans="1:14">
      <c r="A27" s="61">
        <v>22</v>
      </c>
      <c r="B27" s="54" t="s">
        <v>342</v>
      </c>
      <c r="C27" s="508">
        <f t="shared" si="1"/>
        <v>44044</v>
      </c>
      <c r="D27" s="159" t="s">
        <v>343</v>
      </c>
      <c r="E27" s="741">
        <v>-552068.84</v>
      </c>
      <c r="F27" s="196" t="str">
        <f>+F26</f>
        <v>TP</v>
      </c>
      <c r="G27" s="498">
        <f>+G26</f>
        <v>1</v>
      </c>
      <c r="H27" s="555">
        <f t="shared" si="2"/>
        <v>-552068.84</v>
      </c>
      <c r="I27" s="52"/>
      <c r="J27" s="50"/>
      <c r="K27" s="671"/>
    </row>
    <row r="28" spans="1:14">
      <c r="A28" s="61">
        <v>23</v>
      </c>
      <c r="B28" s="54" t="s">
        <v>342</v>
      </c>
      <c r="C28" s="508">
        <f t="shared" si="1"/>
        <v>44075</v>
      </c>
      <c r="D28" s="159" t="s">
        <v>343</v>
      </c>
      <c r="E28" s="741">
        <v>-434241.3</v>
      </c>
      <c r="F28" s="196" t="s">
        <v>127</v>
      </c>
      <c r="G28" s="498">
        <v>1</v>
      </c>
      <c r="H28" s="555">
        <f t="shared" si="2"/>
        <v>-434241.3</v>
      </c>
      <c r="I28" s="52"/>
      <c r="J28" s="50"/>
      <c r="K28" s="671"/>
    </row>
    <row r="29" spans="1:14">
      <c r="A29" s="61">
        <v>24</v>
      </c>
      <c r="B29" s="54" t="s">
        <v>342</v>
      </c>
      <c r="C29" s="508">
        <f t="shared" si="1"/>
        <v>44105</v>
      </c>
      <c r="D29" s="210" t="s">
        <v>343</v>
      </c>
      <c r="E29" s="741">
        <v>-394796.69</v>
      </c>
      <c r="F29" s="504" t="s">
        <v>127</v>
      </c>
      <c r="G29" s="498">
        <v>1</v>
      </c>
      <c r="H29" s="555">
        <f t="shared" si="2"/>
        <v>-394796.69</v>
      </c>
      <c r="I29" s="52"/>
      <c r="J29" s="50"/>
      <c r="K29" s="671"/>
    </row>
    <row r="30" spans="1:14">
      <c r="A30" s="61">
        <v>25</v>
      </c>
      <c r="B30" s="54" t="s">
        <v>342</v>
      </c>
      <c r="C30" s="508">
        <f t="shared" si="1"/>
        <v>44136</v>
      </c>
      <c r="D30" s="210" t="s">
        <v>343</v>
      </c>
      <c r="E30" s="741">
        <v>-508003.63</v>
      </c>
      <c r="F30" s="504" t="s">
        <v>127</v>
      </c>
      <c r="G30" s="498">
        <v>1</v>
      </c>
      <c r="H30" s="555">
        <f t="shared" si="2"/>
        <v>-508003.63</v>
      </c>
      <c r="I30" s="52"/>
      <c r="J30" s="50"/>
      <c r="K30" s="671"/>
    </row>
    <row r="31" spans="1:14">
      <c r="A31" s="61">
        <v>26</v>
      </c>
      <c r="B31" s="54" t="s">
        <v>342</v>
      </c>
      <c r="C31" s="508">
        <f t="shared" si="1"/>
        <v>44166</v>
      </c>
      <c r="D31" s="210" t="s">
        <v>343</v>
      </c>
      <c r="E31" s="741">
        <v>-406975.87</v>
      </c>
      <c r="F31" s="182" t="s">
        <v>127</v>
      </c>
      <c r="G31" s="498">
        <v>1</v>
      </c>
      <c r="H31" s="555">
        <f t="shared" si="2"/>
        <v>-406975.87</v>
      </c>
      <c r="I31" s="52"/>
      <c r="J31" s="50"/>
      <c r="K31" s="705"/>
    </row>
    <row r="32" spans="1:14">
      <c r="A32" s="61">
        <v>27</v>
      </c>
      <c r="B32" s="54" t="s">
        <v>342</v>
      </c>
      <c r="C32" s="652" t="s">
        <v>341</v>
      </c>
      <c r="D32" s="210" t="s">
        <v>343</v>
      </c>
      <c r="E32" s="511">
        <v>0</v>
      </c>
      <c r="F32" s="504"/>
      <c r="G32" s="498">
        <v>1</v>
      </c>
      <c r="H32" s="556">
        <f t="shared" si="2"/>
        <v>0</v>
      </c>
      <c r="I32" s="499"/>
      <c r="J32" s="500"/>
      <c r="K32" s="706"/>
      <c r="L32" s="379"/>
    </row>
    <row r="33" spans="1:12" ht="15" thickBot="1">
      <c r="A33" s="69">
        <v>28</v>
      </c>
      <c r="B33" s="47"/>
      <c r="C33" s="48" t="s">
        <v>69</v>
      </c>
      <c r="D33" s="505"/>
      <c r="E33" s="512">
        <f>SUM(E20:E32)</f>
        <v>-4829278.2700000005</v>
      </c>
      <c r="F33" s="506"/>
      <c r="G33" s="46"/>
      <c r="H33" s="557">
        <f>SUM(H20:H32)</f>
        <v>-4829278.2700000005</v>
      </c>
      <c r="I33" s="45"/>
      <c r="J33" s="43"/>
      <c r="L33" s="379"/>
    </row>
    <row r="34" spans="1:12">
      <c r="A34" s="132">
        <v>29</v>
      </c>
      <c r="B34" s="129" t="s">
        <v>344</v>
      </c>
      <c r="C34" s="507">
        <f t="shared" ref="C34:C45" si="3">C6</f>
        <v>43831</v>
      </c>
      <c r="D34" s="501" t="s">
        <v>345</v>
      </c>
      <c r="E34" s="739">
        <v>-149950.39999999999</v>
      </c>
      <c r="F34" s="496" t="s">
        <v>127</v>
      </c>
      <c r="G34" s="509">
        <v>1</v>
      </c>
      <c r="H34" s="554">
        <f>E34</f>
        <v>-149950.39999999999</v>
      </c>
      <c r="I34" s="128"/>
      <c r="J34" s="497"/>
      <c r="K34" s="671"/>
      <c r="L34" s="379"/>
    </row>
    <row r="35" spans="1:12">
      <c r="A35" s="61">
        <v>30</v>
      </c>
      <c r="B35" s="54" t="s">
        <v>344</v>
      </c>
      <c r="C35" s="508">
        <f t="shared" si="3"/>
        <v>43862</v>
      </c>
      <c r="D35" s="502" t="s">
        <v>345</v>
      </c>
      <c r="E35" s="740">
        <v>-191421.78</v>
      </c>
      <c r="F35" s="185" t="s">
        <v>127</v>
      </c>
      <c r="G35" s="498">
        <v>1</v>
      </c>
      <c r="H35" s="555">
        <f t="shared" ref="H35:H45" si="4">E35</f>
        <v>-191421.78</v>
      </c>
      <c r="I35" s="52"/>
      <c r="J35" s="50"/>
      <c r="K35" s="671"/>
      <c r="L35" s="379"/>
    </row>
    <row r="36" spans="1:12">
      <c r="A36" s="61">
        <v>31</v>
      </c>
      <c r="B36" s="54" t="s">
        <v>344</v>
      </c>
      <c r="C36" s="508">
        <f t="shared" si="3"/>
        <v>43891</v>
      </c>
      <c r="D36" s="502" t="s">
        <v>345</v>
      </c>
      <c r="E36" s="740">
        <v>-301189.03999999998</v>
      </c>
      <c r="F36" s="185" t="s">
        <v>127</v>
      </c>
      <c r="G36" s="498">
        <v>1</v>
      </c>
      <c r="H36" s="555">
        <f t="shared" si="4"/>
        <v>-301189.03999999998</v>
      </c>
      <c r="I36" s="52"/>
      <c r="J36" s="50"/>
      <c r="K36" s="671"/>
      <c r="L36" s="379"/>
    </row>
    <row r="37" spans="1:12">
      <c r="A37" s="61">
        <v>32</v>
      </c>
      <c r="B37" s="54" t="s">
        <v>344</v>
      </c>
      <c r="C37" s="508">
        <f t="shared" si="3"/>
        <v>43922</v>
      </c>
      <c r="D37" s="502" t="s">
        <v>345</v>
      </c>
      <c r="E37" s="740">
        <v>-271501.17</v>
      </c>
      <c r="F37" s="185" t="s">
        <v>127</v>
      </c>
      <c r="G37" s="498">
        <v>1</v>
      </c>
      <c r="H37" s="555">
        <f t="shared" si="4"/>
        <v>-271501.17</v>
      </c>
      <c r="I37" s="52"/>
      <c r="J37" s="50"/>
      <c r="K37" s="671"/>
      <c r="L37" s="379"/>
    </row>
    <row r="38" spans="1:12">
      <c r="A38" s="61">
        <v>33</v>
      </c>
      <c r="B38" s="54" t="s">
        <v>344</v>
      </c>
      <c r="C38" s="508">
        <f t="shared" si="3"/>
        <v>43952</v>
      </c>
      <c r="D38" s="502" t="s">
        <v>345</v>
      </c>
      <c r="E38" s="740">
        <v>-207774.98</v>
      </c>
      <c r="F38" s="185" t="s">
        <v>127</v>
      </c>
      <c r="G38" s="498">
        <v>1</v>
      </c>
      <c r="H38" s="555">
        <f t="shared" si="4"/>
        <v>-207774.98</v>
      </c>
      <c r="I38" s="52"/>
      <c r="J38" s="50"/>
      <c r="K38" s="671"/>
      <c r="L38" s="379"/>
    </row>
    <row r="39" spans="1:12">
      <c r="A39" s="61">
        <v>34</v>
      </c>
      <c r="B39" s="54" t="s">
        <v>344</v>
      </c>
      <c r="C39" s="508">
        <f t="shared" si="3"/>
        <v>43983</v>
      </c>
      <c r="D39" s="502" t="s">
        <v>345</v>
      </c>
      <c r="E39" s="740">
        <v>-141767.76999999999</v>
      </c>
      <c r="F39" s="185" t="s">
        <v>127</v>
      </c>
      <c r="G39" s="498">
        <v>1</v>
      </c>
      <c r="H39" s="555">
        <f t="shared" si="4"/>
        <v>-141767.76999999999</v>
      </c>
      <c r="I39" s="52"/>
      <c r="J39" s="50"/>
      <c r="K39" s="671"/>
      <c r="L39" s="379"/>
    </row>
    <row r="40" spans="1:12">
      <c r="A40" s="61">
        <v>35</v>
      </c>
      <c r="B40" s="54" t="s">
        <v>344</v>
      </c>
      <c r="C40" s="508">
        <f t="shared" si="3"/>
        <v>44013</v>
      </c>
      <c r="D40" s="502" t="s">
        <v>345</v>
      </c>
      <c r="E40" s="740">
        <v>-174763.08</v>
      </c>
      <c r="F40" s="185" t="s">
        <v>127</v>
      </c>
      <c r="G40" s="498">
        <v>1</v>
      </c>
      <c r="H40" s="555">
        <f t="shared" si="4"/>
        <v>-174763.08</v>
      </c>
      <c r="I40" s="52"/>
      <c r="J40" s="50"/>
      <c r="K40" s="671"/>
      <c r="L40" s="379"/>
    </row>
    <row r="41" spans="1:12">
      <c r="A41" s="61">
        <v>36</v>
      </c>
      <c r="B41" s="54" t="s">
        <v>344</v>
      </c>
      <c r="C41" s="508">
        <f t="shared" si="3"/>
        <v>44044</v>
      </c>
      <c r="D41" s="502" t="s">
        <v>345</v>
      </c>
      <c r="E41" s="741">
        <v>-169506.24</v>
      </c>
      <c r="F41" s="196" t="str">
        <f>+F40</f>
        <v>TP</v>
      </c>
      <c r="G41" s="498">
        <f>+G40</f>
        <v>1</v>
      </c>
      <c r="H41" s="555">
        <f t="shared" si="4"/>
        <v>-169506.24</v>
      </c>
      <c r="I41" s="52"/>
      <c r="J41" s="50"/>
      <c r="K41" s="671"/>
      <c r="L41" s="379"/>
    </row>
    <row r="42" spans="1:12">
      <c r="A42" s="61">
        <v>37</v>
      </c>
      <c r="B42" s="54" t="s">
        <v>344</v>
      </c>
      <c r="C42" s="508">
        <f t="shared" si="3"/>
        <v>44075</v>
      </c>
      <c r="D42" s="502" t="s">
        <v>345</v>
      </c>
      <c r="E42" s="741">
        <v>-229755.63</v>
      </c>
      <c r="F42" s="196" t="s">
        <v>127</v>
      </c>
      <c r="G42" s="498">
        <v>1</v>
      </c>
      <c r="H42" s="555">
        <f t="shared" si="4"/>
        <v>-229755.63</v>
      </c>
      <c r="I42" s="52"/>
      <c r="J42" s="50"/>
      <c r="K42" s="671"/>
      <c r="L42" s="379"/>
    </row>
    <row r="43" spans="1:12">
      <c r="A43" s="61">
        <v>38</v>
      </c>
      <c r="B43" s="54" t="s">
        <v>344</v>
      </c>
      <c r="C43" s="508">
        <f t="shared" si="3"/>
        <v>44105</v>
      </c>
      <c r="D43" s="502" t="s">
        <v>345</v>
      </c>
      <c r="E43" s="741">
        <v>-257362.5</v>
      </c>
      <c r="F43" s="504" t="s">
        <v>127</v>
      </c>
      <c r="G43" s="498">
        <v>1</v>
      </c>
      <c r="H43" s="555">
        <f t="shared" si="4"/>
        <v>-257362.5</v>
      </c>
      <c r="I43" s="52"/>
      <c r="J43" s="50"/>
      <c r="K43" s="671"/>
      <c r="L43" s="379"/>
    </row>
    <row r="44" spans="1:12">
      <c r="A44" s="61">
        <v>39</v>
      </c>
      <c r="B44" s="54" t="s">
        <v>344</v>
      </c>
      <c r="C44" s="508">
        <f t="shared" si="3"/>
        <v>44136</v>
      </c>
      <c r="D44" s="502" t="s">
        <v>345</v>
      </c>
      <c r="E44" s="741">
        <v>-305488.36</v>
      </c>
      <c r="F44" s="504" t="s">
        <v>127</v>
      </c>
      <c r="G44" s="498">
        <v>1</v>
      </c>
      <c r="H44" s="555">
        <f t="shared" si="4"/>
        <v>-305488.36</v>
      </c>
      <c r="I44" s="52"/>
      <c r="J44" s="50"/>
      <c r="K44" s="671"/>
      <c r="L44" s="379"/>
    </row>
    <row r="45" spans="1:12">
      <c r="A45" s="61">
        <v>40</v>
      </c>
      <c r="B45" s="54" t="s">
        <v>344</v>
      </c>
      <c r="C45" s="508">
        <f t="shared" si="3"/>
        <v>44166</v>
      </c>
      <c r="D45" s="502" t="s">
        <v>345</v>
      </c>
      <c r="E45" s="741">
        <v>-174792.61</v>
      </c>
      <c r="F45" s="182" t="s">
        <v>127</v>
      </c>
      <c r="G45" s="498">
        <v>1</v>
      </c>
      <c r="H45" s="555">
        <f t="shared" si="4"/>
        <v>-174792.61</v>
      </c>
      <c r="I45" s="52"/>
      <c r="J45" s="50"/>
      <c r="K45" s="705"/>
      <c r="L45" s="379"/>
    </row>
    <row r="46" spans="1:12">
      <c r="A46" s="61">
        <v>41</v>
      </c>
      <c r="B46" s="54" t="s">
        <v>344</v>
      </c>
      <c r="C46" s="652" t="s">
        <v>341</v>
      </c>
      <c r="D46" s="502" t="s">
        <v>345</v>
      </c>
      <c r="E46" s="742">
        <v>0</v>
      </c>
      <c r="F46" s="504" t="s">
        <v>127</v>
      </c>
      <c r="G46" s="498">
        <v>1</v>
      </c>
      <c r="H46" s="587">
        <f>E46</f>
        <v>0</v>
      </c>
      <c r="I46" s="499"/>
      <c r="J46" s="500"/>
      <c r="K46" s="706"/>
      <c r="L46" s="379"/>
    </row>
    <row r="47" spans="1:12" ht="15" thickBot="1">
      <c r="A47" s="69">
        <v>42</v>
      </c>
      <c r="B47" s="47"/>
      <c r="C47" s="48" t="s">
        <v>69</v>
      </c>
      <c r="D47" s="505"/>
      <c r="E47" s="512">
        <f>SUM(E34:E46)</f>
        <v>-2575273.5599999996</v>
      </c>
      <c r="F47" s="506"/>
      <c r="G47" s="46"/>
      <c r="H47" s="557">
        <f>SUM(H34:H46)</f>
        <v>-2575273.5599999996</v>
      </c>
      <c r="I47" s="45"/>
      <c r="J47" s="43"/>
      <c r="L47" s="379"/>
    </row>
    <row r="48" spans="1:12">
      <c r="A48" s="132">
        <v>43</v>
      </c>
      <c r="B48" s="129" t="s">
        <v>346</v>
      </c>
      <c r="C48" s="507">
        <f t="shared" ref="C48:C59" si="5">C6</f>
        <v>43831</v>
      </c>
      <c r="D48" s="501" t="s">
        <v>347</v>
      </c>
      <c r="E48" s="739">
        <f>-157.1-54613.18-22075.02</f>
        <v>-76845.3</v>
      </c>
      <c r="F48" s="496" t="s">
        <v>127</v>
      </c>
      <c r="G48" s="509">
        <v>1</v>
      </c>
      <c r="H48" s="554">
        <f>E48</f>
        <v>-76845.3</v>
      </c>
      <c r="I48" s="694"/>
      <c r="J48" s="497"/>
    </row>
    <row r="49" spans="1:10">
      <c r="A49" s="61">
        <v>44</v>
      </c>
      <c r="B49" s="54" t="s">
        <v>346</v>
      </c>
      <c r="C49" s="508">
        <f t="shared" si="5"/>
        <v>43862</v>
      </c>
      <c r="D49" s="502" t="s">
        <v>347</v>
      </c>
      <c r="E49" s="740">
        <f>-98801.09-70216.95-28382.16</f>
        <v>-197400.19999999998</v>
      </c>
      <c r="F49" s="185" t="s">
        <v>127</v>
      </c>
      <c r="G49" s="498">
        <v>1</v>
      </c>
      <c r="H49" s="555">
        <v>-98801</v>
      </c>
      <c r="I49" s="52"/>
      <c r="J49" s="50"/>
    </row>
    <row r="50" spans="1:10">
      <c r="A50" s="61">
        <v>45</v>
      </c>
      <c r="B50" s="54" t="s">
        <v>346</v>
      </c>
      <c r="C50" s="508">
        <f t="shared" si="5"/>
        <v>43891</v>
      </c>
      <c r="D50" s="180" t="s">
        <v>347</v>
      </c>
      <c r="E50" s="740">
        <f>-201.98-70216.95-28382.16</f>
        <v>-98801.09</v>
      </c>
      <c r="F50" s="185" t="s">
        <v>127</v>
      </c>
      <c r="G50" s="498">
        <v>1</v>
      </c>
      <c r="H50" s="555">
        <f t="shared" ref="H50:H60" si="6">E50</f>
        <v>-98801.09</v>
      </c>
      <c r="I50" s="52"/>
      <c r="J50" s="50"/>
    </row>
    <row r="51" spans="1:10">
      <c r="A51" s="61">
        <v>46</v>
      </c>
      <c r="B51" s="54" t="s">
        <v>346</v>
      </c>
      <c r="C51" s="508">
        <f t="shared" si="5"/>
        <v>43922</v>
      </c>
      <c r="D51" s="502" t="s">
        <v>347</v>
      </c>
      <c r="E51" s="740">
        <f>-162.92-61692.92-36717.22</f>
        <v>-98573.06</v>
      </c>
      <c r="F51" s="185" t="s">
        <v>127</v>
      </c>
      <c r="G51" s="498">
        <v>1</v>
      </c>
      <c r="H51" s="555">
        <f t="shared" si="6"/>
        <v>-98573.06</v>
      </c>
      <c r="I51" s="52"/>
      <c r="J51" s="50"/>
    </row>
    <row r="52" spans="1:10">
      <c r="A52" s="61">
        <v>47</v>
      </c>
      <c r="B52" s="54" t="s">
        <v>346</v>
      </c>
      <c r="C52" s="508">
        <f t="shared" si="5"/>
        <v>43952</v>
      </c>
      <c r="D52" s="180" t="s">
        <v>347</v>
      </c>
      <c r="E52" s="740">
        <f t="shared" ref="E52:E59" si="7">-166.18-62926.78-37451.57</f>
        <v>-100544.53</v>
      </c>
      <c r="F52" s="185" t="s">
        <v>127</v>
      </c>
      <c r="G52" s="498">
        <v>1</v>
      </c>
      <c r="H52" s="555">
        <f t="shared" si="6"/>
        <v>-100544.53</v>
      </c>
      <c r="I52" s="52"/>
      <c r="J52" s="50"/>
    </row>
    <row r="53" spans="1:10">
      <c r="A53" s="61">
        <v>48</v>
      </c>
      <c r="B53" s="54" t="s">
        <v>346</v>
      </c>
      <c r="C53" s="508">
        <f t="shared" si="5"/>
        <v>43983</v>
      </c>
      <c r="D53" s="502" t="s">
        <v>347</v>
      </c>
      <c r="E53" s="740">
        <f t="shared" si="7"/>
        <v>-100544.53</v>
      </c>
      <c r="F53" s="185" t="s">
        <v>127</v>
      </c>
      <c r="G53" s="498">
        <v>1</v>
      </c>
      <c r="H53" s="555">
        <f t="shared" si="6"/>
        <v>-100544.53</v>
      </c>
      <c r="I53" s="52"/>
      <c r="J53" s="50"/>
    </row>
    <row r="54" spans="1:10">
      <c r="A54" s="61">
        <v>49</v>
      </c>
      <c r="B54" s="54" t="s">
        <v>346</v>
      </c>
      <c r="C54" s="508">
        <f t="shared" si="5"/>
        <v>44013</v>
      </c>
      <c r="D54" s="180" t="s">
        <v>347</v>
      </c>
      <c r="E54" s="741">
        <f t="shared" si="7"/>
        <v>-100544.53</v>
      </c>
      <c r="F54" s="196" t="s">
        <v>127</v>
      </c>
      <c r="G54" s="498">
        <v>1</v>
      </c>
      <c r="H54" s="555">
        <f t="shared" si="6"/>
        <v>-100544.53</v>
      </c>
      <c r="I54" s="52"/>
      <c r="J54" s="50"/>
    </row>
    <row r="55" spans="1:10">
      <c r="A55" s="61">
        <v>50</v>
      </c>
      <c r="B55" s="54" t="s">
        <v>346</v>
      </c>
      <c r="C55" s="508">
        <f t="shared" si="5"/>
        <v>44044</v>
      </c>
      <c r="D55" s="502" t="s">
        <v>347</v>
      </c>
      <c r="E55" s="741">
        <f t="shared" si="7"/>
        <v>-100544.53</v>
      </c>
      <c r="F55" s="196" t="str">
        <f>+F54</f>
        <v>TP</v>
      </c>
      <c r="G55" s="498">
        <f>+G54</f>
        <v>1</v>
      </c>
      <c r="H55" s="555">
        <f t="shared" si="6"/>
        <v>-100544.53</v>
      </c>
      <c r="I55" s="52"/>
      <c r="J55" s="50"/>
    </row>
    <row r="56" spans="1:10">
      <c r="A56" s="61">
        <v>51</v>
      </c>
      <c r="B56" s="54" t="s">
        <v>346</v>
      </c>
      <c r="C56" s="508">
        <f t="shared" si="5"/>
        <v>44075</v>
      </c>
      <c r="D56" s="180" t="s">
        <v>347</v>
      </c>
      <c r="E56" s="741">
        <f t="shared" si="7"/>
        <v>-100544.53</v>
      </c>
      <c r="F56" s="196" t="s">
        <v>127</v>
      </c>
      <c r="G56" s="498">
        <v>1</v>
      </c>
      <c r="H56" s="555">
        <f t="shared" si="6"/>
        <v>-100544.53</v>
      </c>
      <c r="I56" s="52"/>
      <c r="J56" s="50"/>
    </row>
    <row r="57" spans="1:10">
      <c r="A57" s="61">
        <v>52</v>
      </c>
      <c r="B57" s="54" t="s">
        <v>346</v>
      </c>
      <c r="C57" s="508">
        <f t="shared" si="5"/>
        <v>44105</v>
      </c>
      <c r="D57" s="502" t="s">
        <v>347</v>
      </c>
      <c r="E57" s="741">
        <f t="shared" si="7"/>
        <v>-100544.53</v>
      </c>
      <c r="F57" s="504" t="s">
        <v>127</v>
      </c>
      <c r="G57" s="498">
        <v>1</v>
      </c>
      <c r="H57" s="555">
        <f t="shared" si="6"/>
        <v>-100544.53</v>
      </c>
      <c r="I57" s="52"/>
      <c r="J57" s="50"/>
    </row>
    <row r="58" spans="1:10">
      <c r="A58" s="61">
        <v>53</v>
      </c>
      <c r="B58" s="54" t="s">
        <v>346</v>
      </c>
      <c r="C58" s="508">
        <f t="shared" si="5"/>
        <v>44136</v>
      </c>
      <c r="D58" s="502" t="s">
        <v>347</v>
      </c>
      <c r="E58" s="741">
        <f t="shared" si="7"/>
        <v>-100544.53</v>
      </c>
      <c r="F58" s="504" t="s">
        <v>127</v>
      </c>
      <c r="G58" s="498">
        <v>1</v>
      </c>
      <c r="H58" s="555">
        <f t="shared" si="6"/>
        <v>-100544.53</v>
      </c>
      <c r="I58" s="52"/>
      <c r="J58" s="50"/>
    </row>
    <row r="59" spans="1:10">
      <c r="A59" s="61">
        <v>54</v>
      </c>
      <c r="B59" s="54" t="s">
        <v>346</v>
      </c>
      <c r="C59" s="508">
        <f t="shared" si="5"/>
        <v>44166</v>
      </c>
      <c r="D59" s="180" t="s">
        <v>347</v>
      </c>
      <c r="E59" s="740">
        <f t="shared" si="7"/>
        <v>-100544.53</v>
      </c>
      <c r="F59" s="182" t="s">
        <v>127</v>
      </c>
      <c r="G59" s="498">
        <v>1</v>
      </c>
      <c r="H59" s="555">
        <f t="shared" si="6"/>
        <v>-100544.53</v>
      </c>
      <c r="I59" s="52"/>
      <c r="J59" s="50"/>
    </row>
    <row r="60" spans="1:10">
      <c r="A60" s="61">
        <v>55</v>
      </c>
      <c r="B60" s="54" t="s">
        <v>346</v>
      </c>
      <c r="C60" s="502" t="s">
        <v>341</v>
      </c>
      <c r="D60" s="180" t="s">
        <v>347</v>
      </c>
      <c r="E60" s="511">
        <v>0</v>
      </c>
      <c r="F60" s="504" t="s">
        <v>127</v>
      </c>
      <c r="G60" s="498">
        <v>1</v>
      </c>
      <c r="H60" s="556">
        <f t="shared" si="6"/>
        <v>0</v>
      </c>
      <c r="I60" s="499"/>
      <c r="J60" s="500"/>
    </row>
    <row r="61" spans="1:10" ht="15" thickBot="1">
      <c r="A61" s="69">
        <v>56</v>
      </c>
      <c r="B61" s="47"/>
      <c r="C61" s="48" t="s">
        <v>69</v>
      </c>
      <c r="D61" s="505"/>
      <c r="E61" s="512">
        <f>SUM(E48:E60)</f>
        <v>-1275975.8900000001</v>
      </c>
      <c r="F61" s="506"/>
      <c r="G61" s="46"/>
      <c r="H61" s="557">
        <f>SUM(H48:H60)</f>
        <v>-1177376.6900000002</v>
      </c>
      <c r="I61" s="45"/>
      <c r="J61" s="43"/>
    </row>
    <row r="62" spans="1:10">
      <c r="A62" s="61">
        <v>57</v>
      </c>
      <c r="B62" s="54" t="s">
        <v>348</v>
      </c>
      <c r="C62" s="507">
        <f t="shared" ref="C62:C73" si="8">C6</f>
        <v>43831</v>
      </c>
      <c r="D62" s="501" t="s">
        <v>349</v>
      </c>
      <c r="E62" s="739">
        <f>-1939.44+1163.22+377.45</f>
        <v>-398.77000000000004</v>
      </c>
      <c r="F62" s="496" t="s">
        <v>350</v>
      </c>
      <c r="G62" s="72"/>
      <c r="H62" s="211">
        <f>E62</f>
        <v>-398.77000000000004</v>
      </c>
      <c r="I62" s="52"/>
      <c r="J62" s="50"/>
    </row>
    <row r="63" spans="1:10">
      <c r="A63" s="61">
        <v>58</v>
      </c>
      <c r="B63" s="54" t="s">
        <v>348</v>
      </c>
      <c r="C63" s="508">
        <f t="shared" si="8"/>
        <v>43862</v>
      </c>
      <c r="D63" s="502" t="s">
        <v>349</v>
      </c>
      <c r="E63" s="740">
        <f>-0.42-0.23</f>
        <v>-0.65</v>
      </c>
      <c r="F63" s="185" t="s">
        <v>350</v>
      </c>
      <c r="G63" s="72"/>
      <c r="H63" s="211">
        <f t="shared" ref="H63:H75" si="9">E63</f>
        <v>-0.65</v>
      </c>
      <c r="I63" s="52"/>
      <c r="J63" s="50"/>
    </row>
    <row r="64" spans="1:10">
      <c r="A64" s="61">
        <v>59</v>
      </c>
      <c r="B64" s="54" t="s">
        <v>348</v>
      </c>
      <c r="C64" s="508">
        <f t="shared" si="8"/>
        <v>43891</v>
      </c>
      <c r="D64" s="180" t="s">
        <v>349</v>
      </c>
      <c r="E64" s="740">
        <f>37318.87</f>
        <v>37318.870000000003</v>
      </c>
      <c r="F64" s="185" t="s">
        <v>350</v>
      </c>
      <c r="G64" s="72"/>
      <c r="H64" s="211">
        <f t="shared" si="9"/>
        <v>37318.870000000003</v>
      </c>
      <c r="I64" s="52"/>
      <c r="J64" s="50"/>
    </row>
    <row r="65" spans="1:10">
      <c r="A65" s="61">
        <v>60</v>
      </c>
      <c r="B65" s="54" t="s">
        <v>348</v>
      </c>
      <c r="C65" s="508">
        <f t="shared" si="8"/>
        <v>43922</v>
      </c>
      <c r="D65" s="502" t="s">
        <v>349</v>
      </c>
      <c r="E65" s="740">
        <f>-8027.8</f>
        <v>-8027.8</v>
      </c>
      <c r="F65" s="185" t="s">
        <v>350</v>
      </c>
      <c r="G65" s="72"/>
      <c r="H65" s="211">
        <f t="shared" si="9"/>
        <v>-8027.8</v>
      </c>
      <c r="I65" s="52"/>
      <c r="J65" s="50"/>
    </row>
    <row r="66" spans="1:10">
      <c r="A66" s="61">
        <v>61</v>
      </c>
      <c r="B66" s="54" t="s">
        <v>348</v>
      </c>
      <c r="C66" s="508">
        <f t="shared" si="8"/>
        <v>43952</v>
      </c>
      <c r="D66" s="180" t="s">
        <v>349</v>
      </c>
      <c r="E66" s="740">
        <f>-7990.72</f>
        <v>-7990.72</v>
      </c>
      <c r="F66" s="185" t="s">
        <v>350</v>
      </c>
      <c r="G66" s="72"/>
      <c r="H66" s="211">
        <f t="shared" si="9"/>
        <v>-7990.72</v>
      </c>
      <c r="I66" s="52"/>
      <c r="J66" s="50"/>
    </row>
    <row r="67" spans="1:10">
      <c r="A67" s="61">
        <v>62</v>
      </c>
      <c r="B67" s="54" t="s">
        <v>348</v>
      </c>
      <c r="C67" s="508">
        <f t="shared" si="8"/>
        <v>43983</v>
      </c>
      <c r="D67" s="502" t="s">
        <v>349</v>
      </c>
      <c r="E67" s="740">
        <f>-7990.83</f>
        <v>-7990.83</v>
      </c>
      <c r="F67" s="185" t="s">
        <v>350</v>
      </c>
      <c r="G67" s="72"/>
      <c r="H67" s="211">
        <f t="shared" si="9"/>
        <v>-7990.83</v>
      </c>
      <c r="I67" s="52"/>
      <c r="J67" s="50"/>
    </row>
    <row r="68" spans="1:10">
      <c r="A68" s="61">
        <v>63</v>
      </c>
      <c r="B68" s="54" t="s">
        <v>348</v>
      </c>
      <c r="C68" s="508">
        <f t="shared" si="8"/>
        <v>44013</v>
      </c>
      <c r="D68" s="180" t="s">
        <v>349</v>
      </c>
      <c r="E68" s="740">
        <f>-7990.83</f>
        <v>-7990.83</v>
      </c>
      <c r="F68" s="185" t="s">
        <v>350</v>
      </c>
      <c r="G68" s="72"/>
      <c r="H68" s="211">
        <f t="shared" si="9"/>
        <v>-7990.83</v>
      </c>
      <c r="I68" s="52"/>
      <c r="J68" s="50"/>
    </row>
    <row r="69" spans="1:10">
      <c r="A69" s="61">
        <v>64</v>
      </c>
      <c r="B69" s="54" t="s">
        <v>348</v>
      </c>
      <c r="C69" s="508">
        <f t="shared" si="8"/>
        <v>44044</v>
      </c>
      <c r="D69" s="502" t="s">
        <v>349</v>
      </c>
      <c r="E69" s="741">
        <v>7990.83</v>
      </c>
      <c r="F69" s="196" t="s">
        <v>350</v>
      </c>
      <c r="G69" s="72"/>
      <c r="H69" s="211">
        <f t="shared" si="9"/>
        <v>7990.83</v>
      </c>
      <c r="I69" s="52"/>
      <c r="J69" s="50"/>
    </row>
    <row r="70" spans="1:10">
      <c r="A70" s="61">
        <v>65</v>
      </c>
      <c r="B70" s="54" t="s">
        <v>348</v>
      </c>
      <c r="C70" s="508">
        <f t="shared" si="8"/>
        <v>44075</v>
      </c>
      <c r="D70" s="180" t="s">
        <v>349</v>
      </c>
      <c r="E70" s="741">
        <f>0.74+0.24</f>
        <v>0.98</v>
      </c>
      <c r="F70" s="196" t="s">
        <v>350</v>
      </c>
      <c r="G70" s="72"/>
      <c r="H70" s="211">
        <f t="shared" si="9"/>
        <v>0.98</v>
      </c>
      <c r="I70" s="52"/>
      <c r="J70" s="50"/>
    </row>
    <row r="71" spans="1:10">
      <c r="A71" s="61">
        <v>66</v>
      </c>
      <c r="B71" s="54" t="s">
        <v>348</v>
      </c>
      <c r="C71" s="508">
        <f t="shared" si="8"/>
        <v>44105</v>
      </c>
      <c r="D71" s="502" t="s">
        <v>349</v>
      </c>
      <c r="E71" s="741">
        <f>-0.82-0.16</f>
        <v>-0.98</v>
      </c>
      <c r="F71" s="504" t="s">
        <v>350</v>
      </c>
      <c r="G71" s="72"/>
      <c r="H71" s="211">
        <f t="shared" si="9"/>
        <v>-0.98</v>
      </c>
      <c r="I71" s="52"/>
      <c r="J71" s="50"/>
    </row>
    <row r="72" spans="1:10">
      <c r="A72" s="61">
        <v>67</v>
      </c>
      <c r="B72" s="54" t="s">
        <v>348</v>
      </c>
      <c r="C72" s="508">
        <f t="shared" si="8"/>
        <v>44136</v>
      </c>
      <c r="D72" s="502" t="s">
        <v>349</v>
      </c>
      <c r="E72" s="741">
        <f>-29291.06</f>
        <v>-29291.06</v>
      </c>
      <c r="F72" s="504" t="s">
        <v>350</v>
      </c>
      <c r="G72" s="72"/>
      <c r="H72" s="211">
        <f t="shared" si="9"/>
        <v>-29291.06</v>
      </c>
      <c r="I72" s="52"/>
      <c r="J72" s="50"/>
    </row>
    <row r="73" spans="1:10">
      <c r="A73" s="61">
        <v>68</v>
      </c>
      <c r="B73" s="54" t="s">
        <v>348</v>
      </c>
      <c r="C73" s="508">
        <f t="shared" si="8"/>
        <v>44166</v>
      </c>
      <c r="D73" s="180" t="s">
        <v>349</v>
      </c>
      <c r="E73" s="741">
        <v>0</v>
      </c>
      <c r="F73" s="182" t="s">
        <v>350</v>
      </c>
      <c r="G73" s="72"/>
      <c r="H73" s="211">
        <f t="shared" si="9"/>
        <v>0</v>
      </c>
      <c r="I73" s="52"/>
      <c r="J73" s="50"/>
    </row>
    <row r="74" spans="1:10">
      <c r="A74" s="61">
        <v>69</v>
      </c>
      <c r="B74" s="54" t="s">
        <v>348</v>
      </c>
      <c r="C74" s="502" t="s">
        <v>341</v>
      </c>
      <c r="D74" s="180" t="s">
        <v>349</v>
      </c>
      <c r="E74" s="511">
        <v>0</v>
      </c>
      <c r="F74" s="504" t="s">
        <v>350</v>
      </c>
      <c r="G74" s="72"/>
      <c r="H74" s="211">
        <f t="shared" si="9"/>
        <v>0</v>
      </c>
      <c r="I74" s="52"/>
      <c r="J74" s="50"/>
    </row>
    <row r="75" spans="1:10" ht="15" thickBot="1">
      <c r="A75" s="61">
        <v>70</v>
      </c>
      <c r="B75" s="54"/>
      <c r="C75" s="48" t="s">
        <v>69</v>
      </c>
      <c r="D75" s="505"/>
      <c r="E75" s="512">
        <f>SUM(E62:E74)</f>
        <v>-16380.959999999997</v>
      </c>
      <c r="F75" s="506"/>
      <c r="G75" s="72"/>
      <c r="H75" s="588">
        <f t="shared" si="9"/>
        <v>-16380.959999999997</v>
      </c>
      <c r="I75" s="586"/>
      <c r="J75" s="133"/>
    </row>
    <row r="76" spans="1:10">
      <c r="A76" s="132">
        <v>71</v>
      </c>
      <c r="B76" s="129">
        <v>7088</v>
      </c>
      <c r="C76" s="507">
        <f t="shared" ref="C76:C86" si="10">C7</f>
        <v>43862</v>
      </c>
      <c r="D76" s="501" t="s">
        <v>351</v>
      </c>
      <c r="E76" s="739">
        <v>-1098131.05</v>
      </c>
      <c r="F76" s="496" t="s">
        <v>124</v>
      </c>
      <c r="G76" s="509">
        <v>1</v>
      </c>
      <c r="H76" s="554">
        <f>E76</f>
        <v>-1098131.05</v>
      </c>
      <c r="I76" s="128"/>
      <c r="J76" s="497"/>
    </row>
    <row r="77" spans="1:10">
      <c r="A77" s="61">
        <v>72</v>
      </c>
      <c r="B77" s="54">
        <v>7088</v>
      </c>
      <c r="C77" s="508">
        <f t="shared" si="10"/>
        <v>43891</v>
      </c>
      <c r="D77" s="502" t="s">
        <v>351</v>
      </c>
      <c r="E77" s="740">
        <v>-1169715.44</v>
      </c>
      <c r="F77" s="185" t="s">
        <v>124</v>
      </c>
      <c r="G77" s="498">
        <v>1</v>
      </c>
      <c r="H77" s="555">
        <f t="shared" ref="H77:H88" si="11">E77</f>
        <v>-1169715.44</v>
      </c>
      <c r="I77" s="52"/>
      <c r="J77" s="50"/>
    </row>
    <row r="78" spans="1:10">
      <c r="A78" s="61">
        <v>73</v>
      </c>
      <c r="B78" s="54">
        <v>7088</v>
      </c>
      <c r="C78" s="508">
        <f t="shared" si="10"/>
        <v>43922</v>
      </c>
      <c r="D78" s="180" t="s">
        <v>351</v>
      </c>
      <c r="E78" s="740">
        <v>-1160160.99</v>
      </c>
      <c r="F78" s="185" t="s">
        <v>124</v>
      </c>
      <c r="G78" s="498">
        <v>1</v>
      </c>
      <c r="H78" s="555">
        <f t="shared" si="11"/>
        <v>-1160160.99</v>
      </c>
      <c r="I78" s="52"/>
      <c r="J78" s="50"/>
    </row>
    <row r="79" spans="1:10">
      <c r="A79" s="61">
        <v>74</v>
      </c>
      <c r="B79" s="54">
        <v>7088</v>
      </c>
      <c r="C79" s="508">
        <f t="shared" si="10"/>
        <v>43952</v>
      </c>
      <c r="D79" s="180" t="s">
        <v>351</v>
      </c>
      <c r="E79" s="740">
        <v>-1041911.59</v>
      </c>
      <c r="F79" s="185" t="s">
        <v>124</v>
      </c>
      <c r="G79" s="498">
        <v>1</v>
      </c>
      <c r="H79" s="555">
        <f t="shared" si="11"/>
        <v>-1041911.59</v>
      </c>
      <c r="I79" s="52"/>
      <c r="J79" s="50"/>
    </row>
    <row r="80" spans="1:10">
      <c r="A80" s="61">
        <v>75</v>
      </c>
      <c r="B80" s="54">
        <v>7088</v>
      </c>
      <c r="C80" s="508">
        <f t="shared" si="10"/>
        <v>43983</v>
      </c>
      <c r="D80" s="180" t="s">
        <v>351</v>
      </c>
      <c r="E80" s="740">
        <v>-916609.51</v>
      </c>
      <c r="F80" s="185" t="s">
        <v>124</v>
      </c>
      <c r="G80" s="498">
        <v>1</v>
      </c>
      <c r="H80" s="555">
        <f t="shared" si="11"/>
        <v>-916609.51</v>
      </c>
      <c r="I80" s="52"/>
      <c r="J80" s="50"/>
    </row>
    <row r="81" spans="1:10">
      <c r="A81" s="61">
        <v>76</v>
      </c>
      <c r="B81" s="54">
        <v>7088</v>
      </c>
      <c r="C81" s="508">
        <f t="shared" si="10"/>
        <v>44013</v>
      </c>
      <c r="D81" s="502" t="s">
        <v>351</v>
      </c>
      <c r="E81" s="740">
        <v>-968651.64</v>
      </c>
      <c r="F81" s="185" t="s">
        <v>124</v>
      </c>
      <c r="G81" s="498">
        <v>1</v>
      </c>
      <c r="H81" s="555">
        <f t="shared" si="11"/>
        <v>-968651.64</v>
      </c>
      <c r="I81" s="52"/>
      <c r="J81" s="50"/>
    </row>
    <row r="82" spans="1:10">
      <c r="A82" s="61">
        <v>77</v>
      </c>
      <c r="B82" s="54">
        <v>7088</v>
      </c>
      <c r="C82" s="508">
        <f t="shared" si="10"/>
        <v>44044</v>
      </c>
      <c r="D82" s="180" t="s">
        <v>351</v>
      </c>
      <c r="E82" s="740">
        <v>-1077786.98</v>
      </c>
      <c r="F82" s="185" t="s">
        <v>124</v>
      </c>
      <c r="G82" s="498">
        <v>1</v>
      </c>
      <c r="H82" s="555">
        <f t="shared" si="11"/>
        <v>-1077786.98</v>
      </c>
      <c r="I82" s="52"/>
      <c r="J82" s="50"/>
    </row>
    <row r="83" spans="1:10">
      <c r="A83" s="61">
        <v>78</v>
      </c>
      <c r="B83" s="54">
        <v>7088</v>
      </c>
      <c r="C83" s="508">
        <f t="shared" si="10"/>
        <v>44075</v>
      </c>
      <c r="D83" s="180" t="s">
        <v>351</v>
      </c>
      <c r="E83" s="741">
        <v>-1122613.79</v>
      </c>
      <c r="F83" s="196" t="s">
        <v>124</v>
      </c>
      <c r="G83" s="498">
        <f>+G82</f>
        <v>1</v>
      </c>
      <c r="H83" s="555">
        <f t="shared" si="11"/>
        <v>-1122613.79</v>
      </c>
      <c r="I83" s="52"/>
      <c r="J83" s="50"/>
    </row>
    <row r="84" spans="1:10">
      <c r="A84" s="61">
        <v>79</v>
      </c>
      <c r="B84" s="54">
        <v>7088</v>
      </c>
      <c r="C84" s="508">
        <f t="shared" si="10"/>
        <v>44105</v>
      </c>
      <c r="D84" s="180" t="s">
        <v>351</v>
      </c>
      <c r="E84" s="741">
        <v>-1048253.27</v>
      </c>
      <c r="F84" s="196" t="s">
        <v>124</v>
      </c>
      <c r="G84" s="498">
        <v>1</v>
      </c>
      <c r="H84" s="555">
        <f t="shared" si="11"/>
        <v>-1048253.27</v>
      </c>
      <c r="I84" s="52"/>
      <c r="J84" s="50"/>
    </row>
    <row r="85" spans="1:10">
      <c r="A85" s="61">
        <v>80</v>
      </c>
      <c r="B85" s="54">
        <v>7088</v>
      </c>
      <c r="C85" s="508">
        <f t="shared" si="10"/>
        <v>44136</v>
      </c>
      <c r="D85" s="502" t="s">
        <v>351</v>
      </c>
      <c r="E85" s="741">
        <v>-981683.28</v>
      </c>
      <c r="F85" s="504" t="s">
        <v>124</v>
      </c>
      <c r="G85" s="498">
        <v>1</v>
      </c>
      <c r="H85" s="555">
        <f t="shared" si="11"/>
        <v>-981683.28</v>
      </c>
      <c r="I85" s="52"/>
      <c r="J85" s="50"/>
    </row>
    <row r="86" spans="1:10">
      <c r="A86" s="61">
        <v>81</v>
      </c>
      <c r="B86" s="54">
        <v>7088</v>
      </c>
      <c r="C86" s="508">
        <f t="shared" si="10"/>
        <v>44166</v>
      </c>
      <c r="D86" s="180" t="s">
        <v>351</v>
      </c>
      <c r="E86" s="741">
        <v>-990914.1</v>
      </c>
      <c r="F86" s="504" t="s">
        <v>124</v>
      </c>
      <c r="G86" s="498">
        <v>1</v>
      </c>
      <c r="H86" s="555">
        <f t="shared" si="11"/>
        <v>-990914.1</v>
      </c>
      <c r="I86" s="52"/>
      <c r="J86" s="50"/>
    </row>
    <row r="87" spans="1:10">
      <c r="A87" s="61">
        <v>82</v>
      </c>
      <c r="B87" s="54">
        <v>7088</v>
      </c>
      <c r="C87" s="508">
        <v>44197</v>
      </c>
      <c r="D87" s="180" t="s">
        <v>351</v>
      </c>
      <c r="E87" s="741">
        <v>-1084264.18</v>
      </c>
      <c r="F87" s="182" t="s">
        <v>124</v>
      </c>
      <c r="G87" s="498">
        <v>1</v>
      </c>
      <c r="H87" s="555">
        <f t="shared" si="11"/>
        <v>-1084264.18</v>
      </c>
      <c r="I87" s="52"/>
      <c r="J87" s="50"/>
    </row>
    <row r="88" spans="1:10">
      <c r="A88" s="61">
        <v>83</v>
      </c>
      <c r="B88" s="54">
        <v>7088</v>
      </c>
      <c r="C88" s="652" t="s">
        <v>341</v>
      </c>
      <c r="D88" s="510" t="s">
        <v>351</v>
      </c>
      <c r="E88" s="511">
        <v>0</v>
      </c>
      <c r="F88" s="504" t="s">
        <v>124</v>
      </c>
      <c r="G88" s="498">
        <v>1</v>
      </c>
      <c r="H88" s="556">
        <f t="shared" si="11"/>
        <v>0</v>
      </c>
      <c r="I88" s="499"/>
      <c r="J88" s="500"/>
    </row>
    <row r="89" spans="1:10" ht="15" thickBot="1">
      <c r="A89" s="69">
        <v>84</v>
      </c>
      <c r="B89" s="47"/>
      <c r="C89" s="48" t="s">
        <v>69</v>
      </c>
      <c r="D89" s="505"/>
      <c r="E89" s="512">
        <f>SUM(E76:E88)</f>
        <v>-12660695.819999997</v>
      </c>
      <c r="F89" s="506"/>
      <c r="G89" s="46"/>
      <c r="H89" s="557">
        <f>SUM(H76:H88)</f>
        <v>-12660695.819999997</v>
      </c>
      <c r="I89" s="45"/>
      <c r="J89" s="43"/>
    </row>
    <row r="90" spans="1:10">
      <c r="A90" s="132">
        <v>85</v>
      </c>
      <c r="B90" s="129">
        <v>45420</v>
      </c>
      <c r="C90" s="507">
        <f t="shared" ref="C90:C101" si="12">C6</f>
        <v>43831</v>
      </c>
      <c r="D90" s="501" t="s">
        <v>352</v>
      </c>
      <c r="E90" s="739">
        <v>-6292.19</v>
      </c>
      <c r="F90" s="496" t="s">
        <v>127</v>
      </c>
      <c r="G90" s="509">
        <v>1</v>
      </c>
      <c r="H90" s="554">
        <f>E90</f>
        <v>-6292.19</v>
      </c>
      <c r="I90" s="128"/>
      <c r="J90" s="497"/>
    </row>
    <row r="91" spans="1:10">
      <c r="A91" s="61">
        <v>86</v>
      </c>
      <c r="B91" s="54">
        <v>45420</v>
      </c>
      <c r="C91" s="508">
        <f t="shared" si="12"/>
        <v>43862</v>
      </c>
      <c r="D91" s="502" t="s">
        <v>352</v>
      </c>
      <c r="E91" s="740">
        <v>-6292.19</v>
      </c>
      <c r="F91" s="185" t="s">
        <v>127</v>
      </c>
      <c r="G91" s="498">
        <v>1</v>
      </c>
      <c r="H91" s="555">
        <f t="shared" ref="H91:H102" si="13">E91</f>
        <v>-6292.19</v>
      </c>
      <c r="I91" s="52"/>
      <c r="J91" s="50"/>
    </row>
    <row r="92" spans="1:10">
      <c r="A92" s="61">
        <v>87</v>
      </c>
      <c r="B92" s="54">
        <v>45420</v>
      </c>
      <c r="C92" s="508">
        <f t="shared" si="12"/>
        <v>43891</v>
      </c>
      <c r="D92" s="180" t="s">
        <v>352</v>
      </c>
      <c r="E92" s="740">
        <v>-6292</v>
      </c>
      <c r="F92" s="185" t="s">
        <v>127</v>
      </c>
      <c r="G92" s="498">
        <v>1</v>
      </c>
      <c r="H92" s="555">
        <f t="shared" si="13"/>
        <v>-6292</v>
      </c>
      <c r="I92" s="52"/>
      <c r="J92" s="50"/>
    </row>
    <row r="93" spans="1:10">
      <c r="A93" s="61">
        <v>88</v>
      </c>
      <c r="B93" s="54">
        <v>45420</v>
      </c>
      <c r="C93" s="508">
        <f t="shared" si="12"/>
        <v>43922</v>
      </c>
      <c r="D93" s="180" t="s">
        <v>352</v>
      </c>
      <c r="E93" s="740">
        <v>-6292.19</v>
      </c>
      <c r="F93" s="185" t="s">
        <v>127</v>
      </c>
      <c r="G93" s="498">
        <v>1</v>
      </c>
      <c r="H93" s="555">
        <f t="shared" si="13"/>
        <v>-6292.19</v>
      </c>
      <c r="I93" s="52"/>
      <c r="J93" s="50"/>
    </row>
    <row r="94" spans="1:10">
      <c r="A94" s="61">
        <v>89</v>
      </c>
      <c r="B94" s="54">
        <v>45420</v>
      </c>
      <c r="C94" s="508">
        <f t="shared" si="12"/>
        <v>43952</v>
      </c>
      <c r="D94" s="180" t="s">
        <v>352</v>
      </c>
      <c r="E94" s="740">
        <v>-6292.19</v>
      </c>
      <c r="F94" s="185" t="s">
        <v>127</v>
      </c>
      <c r="G94" s="498">
        <v>1</v>
      </c>
      <c r="H94" s="555">
        <f t="shared" si="13"/>
        <v>-6292.19</v>
      </c>
      <c r="I94" s="52"/>
      <c r="J94" s="50"/>
    </row>
    <row r="95" spans="1:10">
      <c r="A95" s="61">
        <v>90</v>
      </c>
      <c r="B95" s="54">
        <v>45420</v>
      </c>
      <c r="C95" s="508">
        <f t="shared" si="12"/>
        <v>43983</v>
      </c>
      <c r="D95" s="180" t="s">
        <v>352</v>
      </c>
      <c r="E95" s="740">
        <v>-6292.19</v>
      </c>
      <c r="F95" s="185" t="s">
        <v>127</v>
      </c>
      <c r="G95" s="498">
        <v>1</v>
      </c>
      <c r="H95" s="555">
        <f t="shared" si="13"/>
        <v>-6292.19</v>
      </c>
      <c r="I95" s="52"/>
      <c r="J95" s="50"/>
    </row>
    <row r="96" spans="1:10">
      <c r="A96" s="61">
        <v>91</v>
      </c>
      <c r="B96" s="54">
        <v>45420</v>
      </c>
      <c r="C96" s="508">
        <f t="shared" si="12"/>
        <v>44013</v>
      </c>
      <c r="D96" s="184" t="s">
        <v>352</v>
      </c>
      <c r="E96" s="740">
        <v>-6292.19</v>
      </c>
      <c r="F96" s="185" t="s">
        <v>127</v>
      </c>
      <c r="G96" s="498">
        <v>1</v>
      </c>
      <c r="H96" s="555">
        <f t="shared" si="13"/>
        <v>-6292.19</v>
      </c>
      <c r="I96" s="52"/>
      <c r="J96" s="50"/>
    </row>
    <row r="97" spans="1:10">
      <c r="A97" s="61">
        <v>92</v>
      </c>
      <c r="B97" s="54">
        <v>45420</v>
      </c>
      <c r="C97" s="508">
        <f t="shared" si="12"/>
        <v>44044</v>
      </c>
      <c r="D97" s="159" t="s">
        <v>352</v>
      </c>
      <c r="E97" s="741">
        <v>-6292.19</v>
      </c>
      <c r="F97" s="196" t="str">
        <f>+F96</f>
        <v>TP</v>
      </c>
      <c r="G97" s="498">
        <f>+G96</f>
        <v>1</v>
      </c>
      <c r="H97" s="555">
        <f t="shared" si="13"/>
        <v>-6292.19</v>
      </c>
      <c r="I97" s="52"/>
      <c r="J97" s="50"/>
    </row>
    <row r="98" spans="1:10">
      <c r="A98" s="61">
        <v>93</v>
      </c>
      <c r="B98" s="54">
        <v>45420</v>
      </c>
      <c r="C98" s="508">
        <f t="shared" si="12"/>
        <v>44075</v>
      </c>
      <c r="D98" s="159" t="s">
        <v>352</v>
      </c>
      <c r="E98" s="741">
        <v>-9361.19</v>
      </c>
      <c r="F98" s="196" t="s">
        <v>127</v>
      </c>
      <c r="G98" s="498">
        <v>1</v>
      </c>
      <c r="H98" s="555">
        <f t="shared" si="13"/>
        <v>-9361.19</v>
      </c>
      <c r="I98" s="52"/>
      <c r="J98" s="50"/>
    </row>
    <row r="99" spans="1:10">
      <c r="A99" s="61">
        <v>94</v>
      </c>
      <c r="B99" s="54">
        <v>45420</v>
      </c>
      <c r="C99" s="508">
        <f t="shared" si="12"/>
        <v>44105</v>
      </c>
      <c r="D99" s="210" t="s">
        <v>352</v>
      </c>
      <c r="E99" s="741">
        <v>-553.52</v>
      </c>
      <c r="F99" s="504" t="s">
        <v>127</v>
      </c>
      <c r="G99" s="498">
        <v>1</v>
      </c>
      <c r="H99" s="555">
        <f t="shared" si="13"/>
        <v>-553.52</v>
      </c>
      <c r="I99" s="52"/>
      <c r="J99" s="50"/>
    </row>
    <row r="100" spans="1:10">
      <c r="A100" s="61">
        <v>95</v>
      </c>
      <c r="B100" s="54">
        <v>45420</v>
      </c>
      <c r="C100" s="508">
        <f t="shared" si="12"/>
        <v>44136</v>
      </c>
      <c r="D100" s="180" t="s">
        <v>352</v>
      </c>
      <c r="E100" s="741">
        <v>-553.32000000000005</v>
      </c>
      <c r="F100" s="504" t="s">
        <v>127</v>
      </c>
      <c r="G100" s="498">
        <v>1</v>
      </c>
      <c r="H100" s="555">
        <f t="shared" si="13"/>
        <v>-553.32000000000005</v>
      </c>
      <c r="I100" s="52"/>
      <c r="J100" s="50"/>
    </row>
    <row r="101" spans="1:10">
      <c r="A101" s="61">
        <v>96</v>
      </c>
      <c r="B101" s="54">
        <v>45420</v>
      </c>
      <c r="C101" s="508">
        <f t="shared" si="12"/>
        <v>44166</v>
      </c>
      <c r="D101" s="184" t="s">
        <v>352</v>
      </c>
      <c r="E101" s="741">
        <v>-553.32000000000005</v>
      </c>
      <c r="F101" s="182" t="s">
        <v>127</v>
      </c>
      <c r="G101" s="498">
        <v>1</v>
      </c>
      <c r="H101" s="555">
        <f t="shared" si="13"/>
        <v>-553.32000000000005</v>
      </c>
      <c r="I101" s="52"/>
      <c r="J101" s="50"/>
    </row>
    <row r="102" spans="1:10">
      <c r="A102" s="61">
        <v>97</v>
      </c>
      <c r="B102" s="54">
        <v>45420</v>
      </c>
      <c r="C102" s="502" t="s">
        <v>341</v>
      </c>
      <c r="D102" s="184" t="s">
        <v>352</v>
      </c>
      <c r="E102" s="511" t="s">
        <v>353</v>
      </c>
      <c r="F102" s="504" t="s">
        <v>127</v>
      </c>
      <c r="G102" s="498">
        <v>1</v>
      </c>
      <c r="H102" s="556" t="str">
        <f t="shared" si="13"/>
        <v>-</v>
      </c>
      <c r="I102" s="499"/>
      <c r="J102" s="500"/>
    </row>
    <row r="103" spans="1:10" ht="15" thickBot="1">
      <c r="A103" s="69">
        <v>98</v>
      </c>
      <c r="B103" s="47"/>
      <c r="C103" s="48" t="s">
        <v>69</v>
      </c>
      <c r="D103" s="505"/>
      <c r="E103" s="512">
        <f>SUM(E90:E102)</f>
        <v>-61358.68</v>
      </c>
      <c r="F103" s="506"/>
      <c r="G103" s="46"/>
      <c r="H103" s="557">
        <f>SUM(H90:H102)</f>
        <v>-61358.68</v>
      </c>
      <c r="I103" s="45"/>
      <c r="J103" s="43"/>
    </row>
    <row r="104" spans="1:10">
      <c r="A104" s="132">
        <v>99</v>
      </c>
      <c r="B104" s="129">
        <v>45643</v>
      </c>
      <c r="C104" s="507">
        <f t="shared" ref="C104:C114" si="14">C7</f>
        <v>43862</v>
      </c>
      <c r="D104" s="501" t="s">
        <v>354</v>
      </c>
      <c r="E104" s="739">
        <v>-11391832.599999998</v>
      </c>
      <c r="F104" s="496" t="s">
        <v>127</v>
      </c>
      <c r="G104" s="509">
        <v>1</v>
      </c>
      <c r="H104" s="554">
        <f>E104</f>
        <v>-11391832.599999998</v>
      </c>
      <c r="I104" s="128"/>
      <c r="J104" s="497"/>
    </row>
    <row r="105" spans="1:10">
      <c r="A105" s="61">
        <v>100</v>
      </c>
      <c r="B105" s="54">
        <v>45643</v>
      </c>
      <c r="C105" s="508">
        <f t="shared" si="14"/>
        <v>43891</v>
      </c>
      <c r="D105" s="502" t="s">
        <v>354</v>
      </c>
      <c r="E105" s="740">
        <v>-11391832.789999999</v>
      </c>
      <c r="F105" s="185" t="s">
        <v>127</v>
      </c>
      <c r="G105" s="498">
        <v>1</v>
      </c>
      <c r="H105" s="555">
        <f t="shared" ref="H105:H115" si="15">E105</f>
        <v>-11391832.789999999</v>
      </c>
      <c r="I105" s="52"/>
      <c r="J105" s="50"/>
    </row>
    <row r="106" spans="1:10">
      <c r="A106" s="61">
        <v>101</v>
      </c>
      <c r="B106" s="54">
        <v>45643</v>
      </c>
      <c r="C106" s="508">
        <f t="shared" si="14"/>
        <v>43922</v>
      </c>
      <c r="D106" s="180" t="s">
        <v>354</v>
      </c>
      <c r="E106" s="740">
        <v>-11391832.769999998</v>
      </c>
      <c r="F106" s="185" t="s">
        <v>127</v>
      </c>
      <c r="G106" s="498">
        <v>1</v>
      </c>
      <c r="H106" s="555">
        <f t="shared" si="15"/>
        <v>-11391832.769999998</v>
      </c>
      <c r="I106" s="52"/>
      <c r="J106" s="50"/>
    </row>
    <row r="107" spans="1:10">
      <c r="A107" s="61">
        <v>102</v>
      </c>
      <c r="B107" s="54">
        <v>45643</v>
      </c>
      <c r="C107" s="508">
        <f t="shared" si="14"/>
        <v>43952</v>
      </c>
      <c r="D107" s="180" t="s">
        <v>354</v>
      </c>
      <c r="E107" s="740">
        <v>-11391832.769999998</v>
      </c>
      <c r="F107" s="185" t="s">
        <v>127</v>
      </c>
      <c r="G107" s="498">
        <v>1</v>
      </c>
      <c r="H107" s="555">
        <f t="shared" si="15"/>
        <v>-11391832.769999998</v>
      </c>
      <c r="I107" s="52"/>
      <c r="J107" s="50"/>
    </row>
    <row r="108" spans="1:10">
      <c r="A108" s="61">
        <v>103</v>
      </c>
      <c r="B108" s="54">
        <v>45643</v>
      </c>
      <c r="C108" s="508">
        <f t="shared" si="14"/>
        <v>43983</v>
      </c>
      <c r="D108" s="180" t="s">
        <v>354</v>
      </c>
      <c r="E108" s="740">
        <v>-11391832.769999998</v>
      </c>
      <c r="F108" s="185" t="s">
        <v>127</v>
      </c>
      <c r="G108" s="498">
        <v>1</v>
      </c>
      <c r="H108" s="555">
        <f t="shared" si="15"/>
        <v>-11391832.769999998</v>
      </c>
      <c r="I108" s="52"/>
      <c r="J108" s="50"/>
    </row>
    <row r="109" spans="1:10">
      <c r="A109" s="61">
        <v>104</v>
      </c>
      <c r="B109" s="54">
        <v>45643</v>
      </c>
      <c r="C109" s="508">
        <f t="shared" si="14"/>
        <v>44013</v>
      </c>
      <c r="D109" s="180" t="s">
        <v>354</v>
      </c>
      <c r="E109" s="740">
        <v>-11391832.769999998</v>
      </c>
      <c r="F109" s="185" t="s">
        <v>127</v>
      </c>
      <c r="G109" s="498">
        <v>1</v>
      </c>
      <c r="H109" s="555">
        <f t="shared" si="15"/>
        <v>-11391832.769999998</v>
      </c>
      <c r="I109" s="52"/>
      <c r="J109" s="50"/>
    </row>
    <row r="110" spans="1:10">
      <c r="A110" s="61">
        <v>105</v>
      </c>
      <c r="B110" s="54">
        <v>45643</v>
      </c>
      <c r="C110" s="508">
        <f t="shared" si="14"/>
        <v>44044</v>
      </c>
      <c r="D110" s="184" t="s">
        <v>354</v>
      </c>
      <c r="E110" s="740">
        <v>-11391832.77</v>
      </c>
      <c r="F110" s="185" t="s">
        <v>127</v>
      </c>
      <c r="G110" s="498">
        <v>1</v>
      </c>
      <c r="H110" s="555">
        <f t="shared" si="15"/>
        <v>-11391832.77</v>
      </c>
      <c r="I110" s="52"/>
      <c r="J110" s="50"/>
    </row>
    <row r="111" spans="1:10">
      <c r="A111" s="61">
        <v>106</v>
      </c>
      <c r="B111" s="54">
        <v>45643</v>
      </c>
      <c r="C111" s="508">
        <f t="shared" si="14"/>
        <v>44075</v>
      </c>
      <c r="D111" s="159" t="s">
        <v>354</v>
      </c>
      <c r="E111" s="741">
        <v>-11391832.65</v>
      </c>
      <c r="F111" s="196" t="str">
        <f>+F110</f>
        <v>TP</v>
      </c>
      <c r="G111" s="498">
        <f>+G110</f>
        <v>1</v>
      </c>
      <c r="H111" s="555">
        <f t="shared" si="15"/>
        <v>-11391832.65</v>
      </c>
      <c r="I111" s="52"/>
      <c r="J111" s="50"/>
    </row>
    <row r="112" spans="1:10">
      <c r="A112" s="61">
        <v>107</v>
      </c>
      <c r="B112" s="54">
        <v>45643</v>
      </c>
      <c r="C112" s="508">
        <f t="shared" si="14"/>
        <v>44105</v>
      </c>
      <c r="D112" s="159" t="s">
        <v>354</v>
      </c>
      <c r="E112" s="741">
        <v>-11391846.019999998</v>
      </c>
      <c r="F112" s="196" t="s">
        <v>127</v>
      </c>
      <c r="G112" s="498">
        <v>1</v>
      </c>
      <c r="H112" s="555">
        <f t="shared" si="15"/>
        <v>-11391846.019999998</v>
      </c>
      <c r="I112" s="52"/>
      <c r="J112" s="50"/>
    </row>
    <row r="113" spans="1:10">
      <c r="A113" s="61">
        <v>108</v>
      </c>
      <c r="B113" s="54">
        <v>45643</v>
      </c>
      <c r="C113" s="508">
        <f t="shared" si="14"/>
        <v>44136</v>
      </c>
      <c r="D113" s="210" t="s">
        <v>354</v>
      </c>
      <c r="E113" s="741">
        <v>-11391832.640000001</v>
      </c>
      <c r="F113" s="504" t="s">
        <v>127</v>
      </c>
      <c r="G113" s="498">
        <v>1</v>
      </c>
      <c r="H113" s="555">
        <f t="shared" si="15"/>
        <v>-11391832.640000001</v>
      </c>
      <c r="I113" s="52"/>
      <c r="J113" s="50"/>
    </row>
    <row r="114" spans="1:10">
      <c r="A114" s="61">
        <v>109</v>
      </c>
      <c r="B114" s="54">
        <v>45643</v>
      </c>
      <c r="C114" s="508">
        <f t="shared" si="14"/>
        <v>44166</v>
      </c>
      <c r="D114" s="210" t="s">
        <v>354</v>
      </c>
      <c r="E114" s="741">
        <v>-11360468.939999999</v>
      </c>
      <c r="F114" s="504" t="s">
        <v>127</v>
      </c>
      <c r="G114" s="498">
        <v>1</v>
      </c>
      <c r="H114" s="555">
        <f t="shared" si="15"/>
        <v>-11360468.939999999</v>
      </c>
      <c r="I114" s="52"/>
      <c r="J114" s="50"/>
    </row>
    <row r="115" spans="1:10">
      <c r="A115" s="61">
        <v>110</v>
      </c>
      <c r="B115" s="54">
        <v>45643</v>
      </c>
      <c r="C115" s="508">
        <f>C87</f>
        <v>44197</v>
      </c>
      <c r="D115" s="210" t="s">
        <v>354</v>
      </c>
      <c r="E115" s="741">
        <v>-11329105.220000001</v>
      </c>
      <c r="F115" s="182" t="s">
        <v>127</v>
      </c>
      <c r="G115" s="498">
        <v>1</v>
      </c>
      <c r="H115" s="555">
        <f t="shared" si="15"/>
        <v>-11329105.220000001</v>
      </c>
      <c r="I115" s="52"/>
      <c r="J115" s="50"/>
    </row>
    <row r="116" spans="1:10">
      <c r="A116" s="61">
        <v>111</v>
      </c>
      <c r="B116" s="54">
        <v>45643</v>
      </c>
      <c r="C116" s="652" t="s">
        <v>341</v>
      </c>
      <c r="D116" s="503" t="s">
        <v>354</v>
      </c>
      <c r="E116" s="511">
        <v>0</v>
      </c>
      <c r="F116" s="504" t="s">
        <v>127</v>
      </c>
      <c r="G116" s="498">
        <v>1</v>
      </c>
      <c r="H116" s="587">
        <f>E116</f>
        <v>0</v>
      </c>
      <c r="I116" s="499"/>
      <c r="J116" s="500"/>
    </row>
    <row r="117" spans="1:10" ht="15" thickBot="1">
      <c r="A117" s="69">
        <v>112</v>
      </c>
      <c r="B117" s="47"/>
      <c r="C117" s="48" t="s">
        <v>69</v>
      </c>
      <c r="D117" s="505"/>
      <c r="E117" s="512">
        <f>SUM(E104:E116)</f>
        <v>-136607914.70999998</v>
      </c>
      <c r="F117" s="506"/>
      <c r="G117" s="46"/>
      <c r="H117" s="557">
        <f>SUM(H104:H116)</f>
        <v>-136607914.70999998</v>
      </c>
      <c r="I117" s="45"/>
      <c r="J117" s="43"/>
    </row>
    <row r="118" spans="1:10">
      <c r="A118" s="132">
        <v>113</v>
      </c>
      <c r="B118" s="129">
        <v>7080</v>
      </c>
      <c r="C118" s="507">
        <f t="shared" ref="C118:C128" si="16">C7</f>
        <v>43862</v>
      </c>
      <c r="D118" s="501" t="s">
        <v>355</v>
      </c>
      <c r="E118" s="554">
        <v>-14412.58</v>
      </c>
      <c r="F118" s="496" t="s">
        <v>124</v>
      </c>
      <c r="G118" s="509">
        <v>1</v>
      </c>
      <c r="H118" s="555">
        <f t="shared" ref="H118:H130" si="17">E118</f>
        <v>-14412.58</v>
      </c>
      <c r="I118" s="128"/>
      <c r="J118" s="497"/>
    </row>
    <row r="119" spans="1:10">
      <c r="A119" s="61">
        <v>114</v>
      </c>
      <c r="B119" s="54">
        <v>7080</v>
      </c>
      <c r="C119" s="508">
        <f t="shared" si="16"/>
        <v>43891</v>
      </c>
      <c r="D119" s="502" t="s">
        <v>355</v>
      </c>
      <c r="E119" s="555">
        <v>-14413</v>
      </c>
      <c r="F119" s="185" t="s">
        <v>124</v>
      </c>
      <c r="G119" s="498">
        <v>1</v>
      </c>
      <c r="H119" s="555">
        <f t="shared" si="17"/>
        <v>-14413</v>
      </c>
      <c r="I119" s="52"/>
      <c r="J119" s="50"/>
    </row>
    <row r="120" spans="1:10">
      <c r="A120" s="61">
        <v>115</v>
      </c>
      <c r="B120" s="54">
        <v>7080</v>
      </c>
      <c r="C120" s="508">
        <f t="shared" si="16"/>
        <v>43922</v>
      </c>
      <c r="D120" s="180" t="s">
        <v>355</v>
      </c>
      <c r="E120" s="555">
        <v>-14413</v>
      </c>
      <c r="F120" s="185" t="s">
        <v>124</v>
      </c>
      <c r="G120" s="498">
        <v>1</v>
      </c>
      <c r="H120" s="555">
        <f t="shared" si="17"/>
        <v>-14413</v>
      </c>
      <c r="I120" s="52"/>
      <c r="J120" s="50"/>
    </row>
    <row r="121" spans="1:10">
      <c r="A121" s="61">
        <v>116</v>
      </c>
      <c r="B121" s="54">
        <v>7080</v>
      </c>
      <c r="C121" s="508">
        <f t="shared" si="16"/>
        <v>43952</v>
      </c>
      <c r="D121" s="502" t="s">
        <v>355</v>
      </c>
      <c r="E121" s="555">
        <v>-14413</v>
      </c>
      <c r="F121" s="185" t="s">
        <v>124</v>
      </c>
      <c r="G121" s="498">
        <v>1</v>
      </c>
      <c r="H121" s="555">
        <f t="shared" si="17"/>
        <v>-14413</v>
      </c>
      <c r="I121" s="52"/>
      <c r="J121" s="50"/>
    </row>
    <row r="122" spans="1:10">
      <c r="A122" s="61">
        <v>117</v>
      </c>
      <c r="B122" s="54">
        <v>7080</v>
      </c>
      <c r="C122" s="508">
        <f t="shared" si="16"/>
        <v>43983</v>
      </c>
      <c r="D122" s="180" t="s">
        <v>355</v>
      </c>
      <c r="E122" s="555">
        <v>-14413</v>
      </c>
      <c r="F122" s="185" t="s">
        <v>124</v>
      </c>
      <c r="G122" s="498">
        <v>1</v>
      </c>
      <c r="H122" s="555">
        <f t="shared" si="17"/>
        <v>-14413</v>
      </c>
      <c r="I122" s="52"/>
      <c r="J122" s="50"/>
    </row>
    <row r="123" spans="1:10">
      <c r="A123" s="61">
        <v>118</v>
      </c>
      <c r="B123" s="54">
        <v>7080</v>
      </c>
      <c r="C123" s="508">
        <f t="shared" si="16"/>
        <v>44013</v>
      </c>
      <c r="D123" s="502" t="s">
        <v>355</v>
      </c>
      <c r="E123" s="555">
        <v>-14413</v>
      </c>
      <c r="F123" s="185" t="s">
        <v>124</v>
      </c>
      <c r="G123" s="498">
        <v>1</v>
      </c>
      <c r="H123" s="555">
        <f t="shared" si="17"/>
        <v>-14413</v>
      </c>
      <c r="I123" s="52"/>
      <c r="J123" s="50"/>
    </row>
    <row r="124" spans="1:10">
      <c r="A124" s="61">
        <v>119</v>
      </c>
      <c r="B124" s="54">
        <v>7080</v>
      </c>
      <c r="C124" s="508">
        <f t="shared" si="16"/>
        <v>44044</v>
      </c>
      <c r="D124" s="180" t="s">
        <v>355</v>
      </c>
      <c r="E124" s="693">
        <v>-14413</v>
      </c>
      <c r="F124" s="196" t="s">
        <v>124</v>
      </c>
      <c r="G124" s="498">
        <v>1</v>
      </c>
      <c r="H124" s="555">
        <f t="shared" si="17"/>
        <v>-14413</v>
      </c>
      <c r="I124" s="52"/>
      <c r="J124" s="50"/>
    </row>
    <row r="125" spans="1:10">
      <c r="A125" s="61">
        <v>120</v>
      </c>
      <c r="B125" s="54">
        <v>7080</v>
      </c>
      <c r="C125" s="508">
        <f t="shared" si="16"/>
        <v>44075</v>
      </c>
      <c r="D125" s="502" t="s">
        <v>355</v>
      </c>
      <c r="E125" s="693">
        <v>-14413</v>
      </c>
      <c r="F125" s="196" t="s">
        <v>124</v>
      </c>
      <c r="G125" s="498">
        <f>+G124</f>
        <v>1</v>
      </c>
      <c r="H125" s="555">
        <f t="shared" si="17"/>
        <v>-14413</v>
      </c>
      <c r="I125" s="52"/>
      <c r="J125" s="50"/>
    </row>
    <row r="126" spans="1:10">
      <c r="A126" s="61">
        <v>121</v>
      </c>
      <c r="B126" s="54">
        <v>7080</v>
      </c>
      <c r="C126" s="508">
        <f t="shared" si="16"/>
        <v>44105</v>
      </c>
      <c r="D126" s="180" t="s">
        <v>355</v>
      </c>
      <c r="E126" s="693">
        <v>-24652.75</v>
      </c>
      <c r="F126" s="196" t="s">
        <v>124</v>
      </c>
      <c r="G126" s="498">
        <v>1</v>
      </c>
      <c r="H126" s="555">
        <f t="shared" si="17"/>
        <v>-24652.75</v>
      </c>
      <c r="I126" s="52"/>
      <c r="J126" s="50"/>
    </row>
    <row r="127" spans="1:10">
      <c r="A127" s="61">
        <v>122</v>
      </c>
      <c r="B127" s="54">
        <v>7080</v>
      </c>
      <c r="C127" s="508">
        <f t="shared" si="16"/>
        <v>44136</v>
      </c>
      <c r="D127" s="502" t="s">
        <v>355</v>
      </c>
      <c r="E127" s="693">
        <v>-17074.54</v>
      </c>
      <c r="F127" s="504" t="s">
        <v>124</v>
      </c>
      <c r="G127" s="498">
        <v>1</v>
      </c>
      <c r="H127" s="555">
        <f t="shared" si="17"/>
        <v>-17074.54</v>
      </c>
      <c r="I127" s="52"/>
      <c r="J127" s="50"/>
    </row>
    <row r="128" spans="1:10">
      <c r="A128" s="61">
        <v>123</v>
      </c>
      <c r="B128" s="54">
        <v>7080</v>
      </c>
      <c r="C128" s="508">
        <f t="shared" si="16"/>
        <v>44166</v>
      </c>
      <c r="D128" s="180" t="s">
        <v>355</v>
      </c>
      <c r="E128" s="693">
        <v>-17074.54</v>
      </c>
      <c r="F128" s="504" t="s">
        <v>124</v>
      </c>
      <c r="G128" s="498">
        <v>1</v>
      </c>
      <c r="H128" s="555">
        <f t="shared" si="17"/>
        <v>-17074.54</v>
      </c>
      <c r="I128" s="52"/>
      <c r="J128" s="50"/>
    </row>
    <row r="129" spans="1:10">
      <c r="A129" s="61">
        <v>124</v>
      </c>
      <c r="B129" s="54">
        <v>7080</v>
      </c>
      <c r="C129" s="508">
        <f>C87</f>
        <v>44197</v>
      </c>
      <c r="D129" s="502" t="s">
        <v>355</v>
      </c>
      <c r="E129" s="693">
        <v>-17074.54</v>
      </c>
      <c r="F129" s="504" t="s">
        <v>124</v>
      </c>
      <c r="G129" s="498">
        <v>1</v>
      </c>
      <c r="H129" s="555">
        <f t="shared" si="17"/>
        <v>-17074.54</v>
      </c>
      <c r="I129" s="52"/>
      <c r="J129" s="50"/>
    </row>
    <row r="130" spans="1:10">
      <c r="A130" s="61">
        <v>125</v>
      </c>
      <c r="B130" s="54">
        <v>7080</v>
      </c>
      <c r="C130" s="502" t="s">
        <v>341</v>
      </c>
      <c r="D130" s="502" t="s">
        <v>355</v>
      </c>
      <c r="E130" s="511">
        <v>0</v>
      </c>
      <c r="F130" s="504" t="s">
        <v>124</v>
      </c>
      <c r="G130" s="498">
        <v>1</v>
      </c>
      <c r="H130" s="587">
        <f t="shared" si="17"/>
        <v>0</v>
      </c>
      <c r="I130" s="499"/>
      <c r="J130" s="500"/>
    </row>
    <row r="131" spans="1:10" ht="15" thickBot="1">
      <c r="A131" s="69">
        <v>126</v>
      </c>
      <c r="B131" s="47"/>
      <c r="C131" s="48" t="s">
        <v>69</v>
      </c>
      <c r="D131" s="505"/>
      <c r="E131" s="512">
        <f>SUM(E118:E130)</f>
        <v>-191179.95000000004</v>
      </c>
      <c r="F131" s="506"/>
      <c r="G131" s="46"/>
      <c r="H131" s="557">
        <f>SUM(H118:H130)</f>
        <v>-191179.95000000004</v>
      </c>
      <c r="I131" s="45"/>
      <c r="J131" s="43"/>
    </row>
    <row r="132" spans="1:10">
      <c r="A132" s="132">
        <v>127</v>
      </c>
      <c r="B132" s="129">
        <v>7089</v>
      </c>
      <c r="C132" s="507">
        <f>C7</f>
        <v>43862</v>
      </c>
      <c r="D132" s="501" t="s">
        <v>356</v>
      </c>
      <c r="E132" s="554">
        <v>-14413</v>
      </c>
      <c r="F132" s="496" t="s">
        <v>124</v>
      </c>
      <c r="G132" s="509">
        <v>1</v>
      </c>
      <c r="H132" s="555">
        <f t="shared" ref="H132:H144" si="18">E132</f>
        <v>-14413</v>
      </c>
      <c r="I132" s="128"/>
      <c r="J132" s="497"/>
    </row>
    <row r="133" spans="1:10">
      <c r="A133" s="61">
        <v>128</v>
      </c>
      <c r="B133" s="54">
        <v>7089</v>
      </c>
      <c r="C133" s="508">
        <f>C8</f>
        <v>43891</v>
      </c>
      <c r="D133" s="502" t="s">
        <v>356</v>
      </c>
      <c r="E133" s="555">
        <v>-14413</v>
      </c>
      <c r="F133" s="185" t="s">
        <v>124</v>
      </c>
      <c r="G133" s="498">
        <v>1</v>
      </c>
      <c r="H133" s="555">
        <f t="shared" si="18"/>
        <v>-14413</v>
      </c>
      <c r="I133" s="52"/>
      <c r="J133" s="50"/>
    </row>
    <row r="134" spans="1:10">
      <c r="A134" s="61">
        <v>129</v>
      </c>
      <c r="B134" s="54">
        <v>7089</v>
      </c>
      <c r="C134" s="508">
        <f>C9</f>
        <v>43922</v>
      </c>
      <c r="D134" s="502" t="s">
        <v>356</v>
      </c>
      <c r="E134" s="555">
        <v>-14413</v>
      </c>
      <c r="F134" s="185" t="s">
        <v>124</v>
      </c>
      <c r="G134" s="498">
        <v>1</v>
      </c>
      <c r="H134" s="555">
        <f t="shared" si="18"/>
        <v>-14413</v>
      </c>
      <c r="I134" s="52"/>
      <c r="J134" s="50"/>
    </row>
    <row r="135" spans="1:10">
      <c r="A135" s="61">
        <v>130</v>
      </c>
      <c r="B135" s="54">
        <v>7089</v>
      </c>
      <c r="C135" s="508">
        <f t="shared" ref="C135:C142" si="19">C52</f>
        <v>43952</v>
      </c>
      <c r="D135" s="502" t="s">
        <v>356</v>
      </c>
      <c r="E135" s="555">
        <v>-14413</v>
      </c>
      <c r="F135" s="185" t="s">
        <v>124</v>
      </c>
      <c r="G135" s="498">
        <v>1</v>
      </c>
      <c r="H135" s="555">
        <f t="shared" si="18"/>
        <v>-14413</v>
      </c>
      <c r="I135" s="52"/>
      <c r="J135" s="50"/>
    </row>
    <row r="136" spans="1:10">
      <c r="A136" s="61">
        <v>131</v>
      </c>
      <c r="B136" s="54">
        <v>7089</v>
      </c>
      <c r="C136" s="508">
        <f t="shared" si="19"/>
        <v>43983</v>
      </c>
      <c r="D136" s="502" t="s">
        <v>356</v>
      </c>
      <c r="E136" s="555">
        <v>-14413</v>
      </c>
      <c r="F136" s="185" t="s">
        <v>124</v>
      </c>
      <c r="G136" s="498">
        <v>1</v>
      </c>
      <c r="H136" s="555">
        <f t="shared" si="18"/>
        <v>-14413</v>
      </c>
      <c r="I136" s="52"/>
      <c r="J136" s="50"/>
    </row>
    <row r="137" spans="1:10">
      <c r="A137" s="61">
        <v>132</v>
      </c>
      <c r="B137" s="54">
        <v>7089</v>
      </c>
      <c r="C137" s="508">
        <f t="shared" si="19"/>
        <v>44013</v>
      </c>
      <c r="D137" s="502" t="s">
        <v>356</v>
      </c>
      <c r="E137" s="693">
        <v>-14413</v>
      </c>
      <c r="F137" s="196" t="s">
        <v>124</v>
      </c>
      <c r="G137" s="498">
        <v>1</v>
      </c>
      <c r="H137" s="555">
        <f t="shared" si="18"/>
        <v>-14413</v>
      </c>
      <c r="I137" s="52"/>
      <c r="J137" s="50"/>
    </row>
    <row r="138" spans="1:10">
      <c r="A138" s="61">
        <v>133</v>
      </c>
      <c r="B138" s="54">
        <v>7089</v>
      </c>
      <c r="C138" s="508">
        <f t="shared" si="19"/>
        <v>44044</v>
      </c>
      <c r="D138" s="502" t="s">
        <v>356</v>
      </c>
      <c r="E138" s="693">
        <v>-14413</v>
      </c>
      <c r="F138" s="196" t="s">
        <v>124</v>
      </c>
      <c r="G138" s="498">
        <v>1</v>
      </c>
      <c r="H138" s="555">
        <f t="shared" si="18"/>
        <v>-14413</v>
      </c>
      <c r="I138" s="52"/>
      <c r="J138" s="50"/>
    </row>
    <row r="139" spans="1:10">
      <c r="A139" s="61">
        <v>134</v>
      </c>
      <c r="B139" s="54">
        <v>7089</v>
      </c>
      <c r="C139" s="508">
        <f t="shared" si="19"/>
        <v>44075</v>
      </c>
      <c r="D139" s="502" t="s">
        <v>356</v>
      </c>
      <c r="E139" s="693">
        <v>-14413</v>
      </c>
      <c r="F139" s="196" t="s">
        <v>124</v>
      </c>
      <c r="G139" s="498">
        <f>+G138</f>
        <v>1</v>
      </c>
      <c r="H139" s="555">
        <f t="shared" si="18"/>
        <v>-14413</v>
      </c>
      <c r="I139" s="52"/>
      <c r="J139" s="50"/>
    </row>
    <row r="140" spans="1:10">
      <c r="A140" s="61">
        <v>135</v>
      </c>
      <c r="B140" s="54">
        <v>7089</v>
      </c>
      <c r="C140" s="508">
        <f t="shared" si="19"/>
        <v>44105</v>
      </c>
      <c r="D140" s="502" t="s">
        <v>356</v>
      </c>
      <c r="E140" s="693">
        <v>-24652.75</v>
      </c>
      <c r="F140" s="196" t="s">
        <v>124</v>
      </c>
      <c r="G140" s="498">
        <v>1</v>
      </c>
      <c r="H140" s="555">
        <f t="shared" si="18"/>
        <v>-24652.75</v>
      </c>
      <c r="I140" s="52"/>
      <c r="J140" s="50"/>
    </row>
    <row r="141" spans="1:10">
      <c r="A141" s="61">
        <v>136</v>
      </c>
      <c r="B141" s="54">
        <v>7089</v>
      </c>
      <c r="C141" s="508">
        <f t="shared" si="19"/>
        <v>44136</v>
      </c>
      <c r="D141" s="502" t="s">
        <v>356</v>
      </c>
      <c r="E141" s="693">
        <v>-17074.54</v>
      </c>
      <c r="F141" s="504" t="s">
        <v>124</v>
      </c>
      <c r="G141" s="498">
        <v>1</v>
      </c>
      <c r="H141" s="555">
        <f t="shared" si="18"/>
        <v>-17074.54</v>
      </c>
      <c r="I141" s="52"/>
      <c r="J141" s="50"/>
    </row>
    <row r="142" spans="1:10">
      <c r="A142" s="61">
        <v>137</v>
      </c>
      <c r="B142" s="54">
        <v>7089</v>
      </c>
      <c r="C142" s="508">
        <f t="shared" si="19"/>
        <v>44166</v>
      </c>
      <c r="D142" s="502" t="s">
        <v>356</v>
      </c>
      <c r="E142" s="693">
        <v>-17074.54</v>
      </c>
      <c r="F142" s="504" t="s">
        <v>124</v>
      </c>
      <c r="G142" s="498">
        <v>1</v>
      </c>
      <c r="H142" s="555">
        <f t="shared" si="18"/>
        <v>-17074.54</v>
      </c>
      <c r="I142" s="52"/>
      <c r="J142" s="50"/>
    </row>
    <row r="143" spans="1:10">
      <c r="A143" s="61">
        <v>138</v>
      </c>
      <c r="B143" s="54">
        <v>7089</v>
      </c>
      <c r="C143" s="508">
        <f>C87</f>
        <v>44197</v>
      </c>
      <c r="D143" s="502" t="s">
        <v>356</v>
      </c>
      <c r="E143" s="693">
        <v>-17074.54</v>
      </c>
      <c r="F143" s="504" t="s">
        <v>124</v>
      </c>
      <c r="G143" s="498">
        <v>1</v>
      </c>
      <c r="H143" s="555">
        <f t="shared" si="18"/>
        <v>-17074.54</v>
      </c>
      <c r="I143" s="52"/>
      <c r="J143" s="50"/>
    </row>
    <row r="144" spans="1:10">
      <c r="A144" s="61">
        <v>139</v>
      </c>
      <c r="B144" s="54">
        <v>7089</v>
      </c>
      <c r="C144" s="502" t="s">
        <v>341</v>
      </c>
      <c r="D144" s="502" t="s">
        <v>356</v>
      </c>
      <c r="E144" s="511">
        <v>0</v>
      </c>
      <c r="F144" s="504" t="s">
        <v>124</v>
      </c>
      <c r="G144" s="498">
        <v>1</v>
      </c>
      <c r="H144" s="587">
        <f t="shared" si="18"/>
        <v>0</v>
      </c>
      <c r="I144" s="499"/>
      <c r="J144" s="500"/>
    </row>
    <row r="145" spans="1:12" ht="15" thickBot="1">
      <c r="A145" s="69">
        <v>140</v>
      </c>
      <c r="B145" s="47"/>
      <c r="C145" s="48" t="s">
        <v>69</v>
      </c>
      <c r="D145" s="505"/>
      <c r="E145" s="512">
        <f>SUM(E132:E144)</f>
        <v>-191180.37000000002</v>
      </c>
      <c r="F145" s="506"/>
      <c r="G145" s="46"/>
      <c r="H145" s="557">
        <f>SUM(H132:H144)</f>
        <v>-191180.37000000002</v>
      </c>
      <c r="I145" s="45"/>
      <c r="J145" s="43"/>
    </row>
    <row r="146" spans="1:12">
      <c r="A146" s="132">
        <v>141</v>
      </c>
      <c r="B146" s="129">
        <v>7091</v>
      </c>
      <c r="C146" s="507">
        <f t="shared" ref="C146:C156" si="20">C7</f>
        <v>43862</v>
      </c>
      <c r="D146" s="501" t="s">
        <v>357</v>
      </c>
      <c r="E146" s="554">
        <v>-33381.33</v>
      </c>
      <c r="F146" s="496" t="s">
        <v>124</v>
      </c>
      <c r="G146" s="509">
        <v>1</v>
      </c>
      <c r="H146" s="555">
        <f t="shared" ref="H146:H158" si="21">E146</f>
        <v>-33381.33</v>
      </c>
      <c r="I146" s="128"/>
      <c r="J146" s="497"/>
    </row>
    <row r="147" spans="1:12">
      <c r="A147" s="61">
        <v>142</v>
      </c>
      <c r="B147" s="54">
        <v>7091</v>
      </c>
      <c r="C147" s="508">
        <f t="shared" si="20"/>
        <v>43891</v>
      </c>
      <c r="D147" s="502" t="s">
        <v>357</v>
      </c>
      <c r="E147" s="555">
        <v>-33381.33</v>
      </c>
      <c r="F147" s="185" t="s">
        <v>124</v>
      </c>
      <c r="G147" s="498">
        <v>1</v>
      </c>
      <c r="H147" s="555">
        <f t="shared" si="21"/>
        <v>-33381.33</v>
      </c>
      <c r="I147" s="52"/>
      <c r="J147" s="50"/>
    </row>
    <row r="148" spans="1:12">
      <c r="A148" s="61">
        <v>143</v>
      </c>
      <c r="B148" s="54">
        <v>7091</v>
      </c>
      <c r="C148" s="508">
        <f t="shared" si="20"/>
        <v>43922</v>
      </c>
      <c r="D148" s="180" t="s">
        <v>357</v>
      </c>
      <c r="E148" s="555">
        <v>-33381.33</v>
      </c>
      <c r="F148" s="185" t="s">
        <v>124</v>
      </c>
      <c r="G148" s="498">
        <v>1</v>
      </c>
      <c r="H148" s="555">
        <f t="shared" si="21"/>
        <v>-33381.33</v>
      </c>
      <c r="I148" s="52"/>
      <c r="J148" s="50"/>
    </row>
    <row r="149" spans="1:12">
      <c r="A149" s="61">
        <v>144</v>
      </c>
      <c r="B149" s="54">
        <v>7091</v>
      </c>
      <c r="C149" s="508">
        <f t="shared" si="20"/>
        <v>43952</v>
      </c>
      <c r="D149" s="502" t="s">
        <v>357</v>
      </c>
      <c r="E149" s="555">
        <v>-33381.33</v>
      </c>
      <c r="F149" s="185" t="s">
        <v>124</v>
      </c>
      <c r="G149" s="498">
        <v>1</v>
      </c>
      <c r="H149" s="555">
        <f t="shared" si="21"/>
        <v>-33381.33</v>
      </c>
      <c r="I149" s="52"/>
      <c r="J149" s="50"/>
    </row>
    <row r="150" spans="1:12">
      <c r="A150" s="61">
        <v>145</v>
      </c>
      <c r="B150" s="54">
        <v>7091</v>
      </c>
      <c r="C150" s="508">
        <f t="shared" si="20"/>
        <v>43983</v>
      </c>
      <c r="D150" s="180" t="s">
        <v>357</v>
      </c>
      <c r="E150" s="555">
        <v>-33381.33</v>
      </c>
      <c r="F150" s="185" t="s">
        <v>124</v>
      </c>
      <c r="G150" s="498">
        <v>1</v>
      </c>
      <c r="H150" s="555">
        <f t="shared" si="21"/>
        <v>-33381.33</v>
      </c>
      <c r="I150" s="52"/>
      <c r="J150" s="50"/>
    </row>
    <row r="151" spans="1:12">
      <c r="A151" s="61">
        <v>146</v>
      </c>
      <c r="B151" s="54">
        <v>7091</v>
      </c>
      <c r="C151" s="508">
        <f t="shared" si="20"/>
        <v>44013</v>
      </c>
      <c r="D151" s="502" t="s">
        <v>357</v>
      </c>
      <c r="E151" s="555">
        <v>-33381.33</v>
      </c>
      <c r="F151" s="185" t="s">
        <v>124</v>
      </c>
      <c r="G151" s="498">
        <v>1</v>
      </c>
      <c r="H151" s="555">
        <f t="shared" si="21"/>
        <v>-33381.33</v>
      </c>
      <c r="I151" s="52"/>
      <c r="J151" s="50"/>
    </row>
    <row r="152" spans="1:12">
      <c r="A152" s="61">
        <v>147</v>
      </c>
      <c r="B152" s="54">
        <v>7091</v>
      </c>
      <c r="C152" s="508">
        <f t="shared" si="20"/>
        <v>44044</v>
      </c>
      <c r="D152" s="180" t="s">
        <v>357</v>
      </c>
      <c r="E152" s="555">
        <v>-33381.33</v>
      </c>
      <c r="F152" s="185" t="s">
        <v>124</v>
      </c>
      <c r="G152" s="498">
        <v>1</v>
      </c>
      <c r="H152" s="555">
        <f t="shared" si="21"/>
        <v>-33381.33</v>
      </c>
      <c r="I152" s="52"/>
      <c r="J152" s="50"/>
    </row>
    <row r="153" spans="1:12">
      <c r="A153" s="61">
        <v>148</v>
      </c>
      <c r="B153" s="54">
        <v>7091</v>
      </c>
      <c r="C153" s="508">
        <f t="shared" si="20"/>
        <v>44075</v>
      </c>
      <c r="D153" s="502" t="s">
        <v>357</v>
      </c>
      <c r="E153" s="693">
        <v>-33381.33</v>
      </c>
      <c r="F153" s="196" t="s">
        <v>124</v>
      </c>
      <c r="G153" s="498">
        <f>+G152</f>
        <v>1</v>
      </c>
      <c r="H153" s="555">
        <f t="shared" si="21"/>
        <v>-33381.33</v>
      </c>
      <c r="I153" s="52"/>
      <c r="J153" s="50"/>
    </row>
    <row r="154" spans="1:12">
      <c r="A154" s="61">
        <v>149</v>
      </c>
      <c r="B154" s="54">
        <v>7091</v>
      </c>
      <c r="C154" s="508">
        <f t="shared" si="20"/>
        <v>44105</v>
      </c>
      <c r="D154" s="180" t="s">
        <v>357</v>
      </c>
      <c r="E154" s="693">
        <v>-55361</v>
      </c>
      <c r="F154" s="196" t="s">
        <v>124</v>
      </c>
      <c r="G154" s="498">
        <v>1</v>
      </c>
      <c r="H154" s="555">
        <f t="shared" si="21"/>
        <v>-55361</v>
      </c>
      <c r="I154" s="52"/>
      <c r="J154" s="50"/>
    </row>
    <row r="155" spans="1:12">
      <c r="A155" s="61">
        <v>150</v>
      </c>
      <c r="B155" s="54">
        <v>7091</v>
      </c>
      <c r="C155" s="508">
        <f t="shared" si="20"/>
        <v>44136</v>
      </c>
      <c r="D155" s="502" t="s">
        <v>357</v>
      </c>
      <c r="E155" s="693">
        <v>-24331.08</v>
      </c>
      <c r="F155" s="504" t="s">
        <v>124</v>
      </c>
      <c r="G155" s="498">
        <v>1</v>
      </c>
      <c r="H155" s="555">
        <f t="shared" si="21"/>
        <v>-24331.08</v>
      </c>
      <c r="I155" s="52"/>
      <c r="J155" s="50"/>
    </row>
    <row r="156" spans="1:12">
      <c r="A156" s="61">
        <v>151</v>
      </c>
      <c r="B156" s="54">
        <v>7091</v>
      </c>
      <c r="C156" s="508">
        <f t="shared" si="20"/>
        <v>44166</v>
      </c>
      <c r="D156" s="180" t="s">
        <v>357</v>
      </c>
      <c r="E156" s="693">
        <v>-24331.08</v>
      </c>
      <c r="F156" s="504" t="s">
        <v>124</v>
      </c>
      <c r="G156" s="498">
        <v>1</v>
      </c>
      <c r="H156" s="555">
        <f t="shared" si="21"/>
        <v>-24331.08</v>
      </c>
      <c r="I156" s="52"/>
      <c r="J156" s="50"/>
    </row>
    <row r="157" spans="1:12">
      <c r="A157" s="61">
        <v>152</v>
      </c>
      <c r="B157" s="54">
        <v>7091</v>
      </c>
      <c r="C157" s="508">
        <f>C87</f>
        <v>44197</v>
      </c>
      <c r="D157" s="502" t="s">
        <v>357</v>
      </c>
      <c r="E157" s="693">
        <v>-24331.08</v>
      </c>
      <c r="F157" s="504" t="s">
        <v>124</v>
      </c>
      <c r="G157" s="498">
        <v>1</v>
      </c>
      <c r="H157" s="555">
        <f t="shared" si="21"/>
        <v>-24331.08</v>
      </c>
      <c r="I157" s="52"/>
      <c r="J157" s="50"/>
    </row>
    <row r="158" spans="1:12">
      <c r="A158" s="61">
        <v>153</v>
      </c>
      <c r="B158" s="54">
        <v>7091</v>
      </c>
      <c r="C158" s="502" t="s">
        <v>341</v>
      </c>
      <c r="D158" s="502" t="s">
        <v>357</v>
      </c>
      <c r="E158" s="511">
        <v>0</v>
      </c>
      <c r="F158" s="504" t="s">
        <v>124</v>
      </c>
      <c r="G158" s="498">
        <v>1</v>
      </c>
      <c r="H158" s="587">
        <f t="shared" si="21"/>
        <v>0</v>
      </c>
      <c r="I158" s="499"/>
      <c r="J158" s="500"/>
    </row>
    <row r="159" spans="1:12" ht="15" thickBot="1">
      <c r="A159" s="69">
        <v>154</v>
      </c>
      <c r="B159" s="47"/>
      <c r="C159" s="48" t="s">
        <v>69</v>
      </c>
      <c r="D159" s="505"/>
      <c r="E159" s="512">
        <f>SUM(E146:E158)</f>
        <v>-395404.88000000012</v>
      </c>
      <c r="F159" s="506"/>
      <c r="G159" s="46"/>
      <c r="H159" s="557">
        <f>SUM(H146:H158)</f>
        <v>-395404.88000000012</v>
      </c>
      <c r="I159" s="45"/>
      <c r="J159" s="43"/>
    </row>
    <row r="160" spans="1:12">
      <c r="A160" s="132">
        <v>155</v>
      </c>
      <c r="B160" s="129" t="s">
        <v>348</v>
      </c>
      <c r="C160" s="507">
        <f t="shared" ref="C160:C170" si="22">C21</f>
        <v>43862</v>
      </c>
      <c r="D160" s="501" t="s">
        <v>358</v>
      </c>
      <c r="E160" s="739">
        <f>-562054.04-0.11</f>
        <v>-562054.15</v>
      </c>
      <c r="F160" s="496" t="s">
        <v>124</v>
      </c>
      <c r="G160" s="509">
        <v>1</v>
      </c>
      <c r="H160" s="554">
        <f>E160</f>
        <v>-562054.15</v>
      </c>
      <c r="I160" s="128"/>
      <c r="J160" s="497"/>
      <c r="K160" s="671"/>
      <c r="L160" s="672"/>
    </row>
    <row r="161" spans="1:14">
      <c r="A161" s="61">
        <v>156</v>
      </c>
      <c r="B161" s="54" t="s">
        <v>348</v>
      </c>
      <c r="C161" s="508">
        <f t="shared" si="22"/>
        <v>43891</v>
      </c>
      <c r="D161" s="502" t="s">
        <v>358</v>
      </c>
      <c r="E161" s="740">
        <f>-562053.93</f>
        <v>-562053.93000000005</v>
      </c>
      <c r="F161" s="185" t="s">
        <v>124</v>
      </c>
      <c r="G161" s="498">
        <v>1</v>
      </c>
      <c r="H161" s="555">
        <f t="shared" ref="H161:H171" si="23">E161</f>
        <v>-562053.93000000005</v>
      </c>
      <c r="I161" s="52"/>
      <c r="J161" s="50"/>
      <c r="K161" s="671"/>
    </row>
    <row r="162" spans="1:14">
      <c r="A162" s="61">
        <v>157</v>
      </c>
      <c r="B162" s="54" t="s">
        <v>348</v>
      </c>
      <c r="C162" s="508">
        <f t="shared" si="22"/>
        <v>43922</v>
      </c>
      <c r="D162" s="180" t="s">
        <v>358</v>
      </c>
      <c r="E162" s="740">
        <f>-562053.93</f>
        <v>-562053.93000000005</v>
      </c>
      <c r="F162" s="185" t="s">
        <v>124</v>
      </c>
      <c r="G162" s="498">
        <v>1</v>
      </c>
      <c r="H162" s="555">
        <f t="shared" si="23"/>
        <v>-562053.93000000005</v>
      </c>
      <c r="I162" s="52"/>
      <c r="J162" s="50"/>
      <c r="K162" s="671"/>
    </row>
    <row r="163" spans="1:14">
      <c r="A163" s="61">
        <v>158</v>
      </c>
      <c r="B163" s="54" t="s">
        <v>348</v>
      </c>
      <c r="C163" s="508">
        <f t="shared" si="22"/>
        <v>43952</v>
      </c>
      <c r="D163" s="502" t="s">
        <v>358</v>
      </c>
      <c r="E163" s="740">
        <f>-57461.58</f>
        <v>-57461.58</v>
      </c>
      <c r="F163" s="185" t="s">
        <v>124</v>
      </c>
      <c r="G163" s="498">
        <v>1</v>
      </c>
      <c r="H163" s="555">
        <f t="shared" si="23"/>
        <v>-57461.58</v>
      </c>
      <c r="I163" s="52"/>
      <c r="J163" s="50"/>
      <c r="K163" s="671"/>
    </row>
    <row r="164" spans="1:14">
      <c r="A164" s="61">
        <v>159</v>
      </c>
      <c r="B164" s="54" t="s">
        <v>348</v>
      </c>
      <c r="C164" s="508">
        <f t="shared" si="22"/>
        <v>43983</v>
      </c>
      <c r="D164" s="180" t="s">
        <v>358</v>
      </c>
      <c r="E164" s="740">
        <f>-57461.58</f>
        <v>-57461.58</v>
      </c>
      <c r="F164" s="185" t="s">
        <v>124</v>
      </c>
      <c r="G164" s="498">
        <v>1</v>
      </c>
      <c r="H164" s="555">
        <f t="shared" si="23"/>
        <v>-57461.58</v>
      </c>
      <c r="I164" s="52"/>
      <c r="J164" s="50"/>
      <c r="K164" s="671"/>
    </row>
    <row r="165" spans="1:14">
      <c r="A165" s="61">
        <v>160</v>
      </c>
      <c r="B165" s="54" t="s">
        <v>348</v>
      </c>
      <c r="C165" s="508">
        <f t="shared" si="22"/>
        <v>44013</v>
      </c>
      <c r="D165" s="502" t="s">
        <v>358</v>
      </c>
      <c r="E165" s="740">
        <f>-57461.58</f>
        <v>-57461.58</v>
      </c>
      <c r="F165" s="185" t="s">
        <v>124</v>
      </c>
      <c r="G165" s="498">
        <v>1</v>
      </c>
      <c r="H165" s="555">
        <f t="shared" si="23"/>
        <v>-57461.58</v>
      </c>
      <c r="I165" s="52"/>
      <c r="J165" s="50"/>
      <c r="K165" s="671"/>
    </row>
    <row r="166" spans="1:14">
      <c r="A166" s="61">
        <v>161</v>
      </c>
      <c r="B166" s="54" t="s">
        <v>348</v>
      </c>
      <c r="C166" s="508">
        <f t="shared" si="22"/>
        <v>44044</v>
      </c>
      <c r="D166" s="180" t="s">
        <v>358</v>
      </c>
      <c r="E166" s="740">
        <f>-57461.58</f>
        <v>-57461.58</v>
      </c>
      <c r="F166" s="185" t="s">
        <v>124</v>
      </c>
      <c r="G166" s="498">
        <v>1</v>
      </c>
      <c r="H166" s="555">
        <f t="shared" si="23"/>
        <v>-57461.58</v>
      </c>
      <c r="I166" s="52"/>
      <c r="J166" s="50"/>
      <c r="K166" s="671"/>
    </row>
    <row r="167" spans="1:14">
      <c r="A167" s="61">
        <v>162</v>
      </c>
      <c r="B167" s="54" t="s">
        <v>348</v>
      </c>
      <c r="C167" s="508">
        <f t="shared" si="22"/>
        <v>44075</v>
      </c>
      <c r="D167" s="502" t="s">
        <v>358</v>
      </c>
      <c r="E167" s="741">
        <f>-57461.58</f>
        <v>-57461.58</v>
      </c>
      <c r="F167" s="196" t="s">
        <v>124</v>
      </c>
      <c r="G167" s="498">
        <f>+G166</f>
        <v>1</v>
      </c>
      <c r="H167" s="555">
        <f t="shared" si="23"/>
        <v>-57461.58</v>
      </c>
      <c r="I167" s="52"/>
      <c r="J167" s="50"/>
      <c r="K167" s="671"/>
      <c r="L167" s="672"/>
    </row>
    <row r="168" spans="1:14">
      <c r="A168" s="61">
        <v>163</v>
      </c>
      <c r="B168" s="54" t="s">
        <v>348</v>
      </c>
      <c r="C168" s="508">
        <f t="shared" si="22"/>
        <v>44105</v>
      </c>
      <c r="D168" s="180" t="s">
        <v>358</v>
      </c>
      <c r="E168" s="741">
        <f>447130.82-0.08</f>
        <v>447130.74</v>
      </c>
      <c r="F168" s="196" t="s">
        <v>124</v>
      </c>
      <c r="G168" s="498">
        <v>1</v>
      </c>
      <c r="H168" s="555">
        <f t="shared" si="23"/>
        <v>447130.74</v>
      </c>
      <c r="I168" s="52"/>
      <c r="J168" s="50"/>
      <c r="K168" s="671"/>
      <c r="L168" s="672"/>
    </row>
    <row r="169" spans="1:14">
      <c r="A169" s="61">
        <v>164</v>
      </c>
      <c r="B169" s="54" t="s">
        <v>348</v>
      </c>
      <c r="C169" s="508">
        <f t="shared" si="22"/>
        <v>44136</v>
      </c>
      <c r="D169" s="502" t="s">
        <v>358</v>
      </c>
      <c r="E169" s="741">
        <f>951723.06</f>
        <v>951723.06</v>
      </c>
      <c r="F169" s="504" t="s">
        <v>124</v>
      </c>
      <c r="G169" s="498">
        <v>1</v>
      </c>
      <c r="H169" s="555">
        <f t="shared" si="23"/>
        <v>951723.06</v>
      </c>
      <c r="I169" s="52"/>
      <c r="J169" s="50"/>
      <c r="K169" s="671"/>
    </row>
    <row r="170" spans="1:14">
      <c r="A170" s="61">
        <v>165</v>
      </c>
      <c r="B170" s="54" t="s">
        <v>348</v>
      </c>
      <c r="C170" s="508">
        <f t="shared" si="22"/>
        <v>44166</v>
      </c>
      <c r="D170" s="180" t="s">
        <v>358</v>
      </c>
      <c r="E170" s="741">
        <f>-54171.18</f>
        <v>-54171.18</v>
      </c>
      <c r="F170" s="504" t="s">
        <v>124</v>
      </c>
      <c r="G170" s="498">
        <v>1</v>
      </c>
      <c r="H170" s="555">
        <f t="shared" si="23"/>
        <v>-54171.18</v>
      </c>
      <c r="I170" s="52"/>
      <c r="J170" s="50"/>
      <c r="K170" s="671"/>
    </row>
    <row r="171" spans="1:14">
      <c r="A171" s="61">
        <v>166</v>
      </c>
      <c r="B171" s="54" t="s">
        <v>348</v>
      </c>
      <c r="C171" s="508">
        <f>C101</f>
        <v>44166</v>
      </c>
      <c r="D171" s="502" t="s">
        <v>358</v>
      </c>
      <c r="E171" s="741">
        <f>-49970.32</f>
        <v>-49970.32</v>
      </c>
      <c r="F171" s="182" t="s">
        <v>124</v>
      </c>
      <c r="G171" s="498">
        <v>1</v>
      </c>
      <c r="H171" s="555">
        <f t="shared" si="23"/>
        <v>-49970.32</v>
      </c>
      <c r="I171" s="52"/>
      <c r="J171" s="50"/>
      <c r="K171" s="671"/>
      <c r="L171" s="379"/>
      <c r="M171" s="379"/>
      <c r="N171" s="379"/>
    </row>
    <row r="172" spans="1:14">
      <c r="A172" s="61">
        <v>167</v>
      </c>
      <c r="B172" s="54" t="s">
        <v>348</v>
      </c>
      <c r="C172" s="502" t="s">
        <v>341</v>
      </c>
      <c r="D172" s="180" t="s">
        <v>358</v>
      </c>
      <c r="E172" s="511">
        <v>0</v>
      </c>
      <c r="F172" s="504" t="s">
        <v>124</v>
      </c>
      <c r="G172" s="498">
        <v>1</v>
      </c>
      <c r="H172" s="587">
        <f>E172</f>
        <v>0</v>
      </c>
      <c r="I172" s="499"/>
      <c r="J172" s="500"/>
      <c r="L172" s="379"/>
      <c r="M172" s="379"/>
      <c r="N172" s="379"/>
    </row>
    <row r="173" spans="1:14" ht="15" thickBot="1">
      <c r="A173" s="69">
        <v>168</v>
      </c>
      <c r="B173" s="47"/>
      <c r="C173" s="48" t="s">
        <v>69</v>
      </c>
      <c r="D173" s="505"/>
      <c r="E173" s="512">
        <f>SUM(E160:E172)</f>
        <v>-678757.61000000057</v>
      </c>
      <c r="F173" s="506"/>
      <c r="G173" s="46"/>
      <c r="H173" s="557">
        <f>SUM(H160:H172)</f>
        <v>-678757.61000000057</v>
      </c>
      <c r="I173" s="45"/>
      <c r="J173" s="43"/>
      <c r="K173" s="379"/>
      <c r="L173" s="379"/>
      <c r="N173" s="379"/>
    </row>
    <row r="174" spans="1:14">
      <c r="A174" s="132">
        <v>169</v>
      </c>
      <c r="B174" s="129" t="s">
        <v>348</v>
      </c>
      <c r="C174" s="507">
        <f t="shared" ref="C174:C184" si="24">C35</f>
        <v>43862</v>
      </c>
      <c r="D174" s="501" t="s">
        <v>359</v>
      </c>
      <c r="E174" s="739">
        <f>-40416.67</f>
        <v>-40416.67</v>
      </c>
      <c r="F174" s="496" t="s">
        <v>124</v>
      </c>
      <c r="G174" s="509">
        <v>1</v>
      </c>
      <c r="H174" s="554">
        <f>E174</f>
        <v>-40416.67</v>
      </c>
      <c r="I174" s="128"/>
      <c r="J174" s="497"/>
      <c r="K174" s="671"/>
      <c r="L174" s="672"/>
    </row>
    <row r="175" spans="1:14">
      <c r="A175" s="61">
        <v>170</v>
      </c>
      <c r="B175" s="54" t="s">
        <v>348</v>
      </c>
      <c r="C175" s="508">
        <f t="shared" si="24"/>
        <v>43891</v>
      </c>
      <c r="D175" s="502" t="s">
        <v>359</v>
      </c>
      <c r="E175" s="740">
        <f>-44718.32</f>
        <v>-44718.32</v>
      </c>
      <c r="F175" s="185" t="s">
        <v>124</v>
      </c>
      <c r="G175" s="498">
        <v>1</v>
      </c>
      <c r="H175" s="555">
        <f t="shared" ref="H175:H185" si="25">E175</f>
        <v>-44718.32</v>
      </c>
      <c r="I175" s="52"/>
      <c r="J175" s="50"/>
      <c r="K175" s="671"/>
    </row>
    <row r="176" spans="1:14">
      <c r="A176" s="61">
        <v>171</v>
      </c>
      <c r="B176" s="54" t="s">
        <v>348</v>
      </c>
      <c r="C176" s="508">
        <f t="shared" si="24"/>
        <v>43922</v>
      </c>
      <c r="D176" s="180" t="s">
        <v>359</v>
      </c>
      <c r="E176" s="740">
        <f>-4499.63</f>
        <v>-4499.63</v>
      </c>
      <c r="F176" s="185" t="s">
        <v>124</v>
      </c>
      <c r="G176" s="498">
        <v>1</v>
      </c>
      <c r="H176" s="555">
        <f t="shared" si="25"/>
        <v>-4499.63</v>
      </c>
      <c r="I176" s="52"/>
      <c r="J176" s="50"/>
      <c r="K176" s="671"/>
    </row>
    <row r="177" spans="1:14">
      <c r="A177" s="61">
        <v>172</v>
      </c>
      <c r="B177" s="54" t="s">
        <v>348</v>
      </c>
      <c r="C177" s="508">
        <f t="shared" si="24"/>
        <v>43952</v>
      </c>
      <c r="D177" s="502" t="s">
        <v>359</v>
      </c>
      <c r="E177" s="740">
        <f>-4242.33</f>
        <v>-4242.33</v>
      </c>
      <c r="F177" s="185" t="s">
        <v>124</v>
      </c>
      <c r="G177" s="498">
        <v>1</v>
      </c>
      <c r="H177" s="555">
        <f t="shared" si="25"/>
        <v>-4242.33</v>
      </c>
      <c r="I177" s="52"/>
      <c r="J177" s="50"/>
      <c r="K177" s="671"/>
    </row>
    <row r="178" spans="1:14">
      <c r="A178" s="61">
        <v>173</v>
      </c>
      <c r="B178" s="54" t="s">
        <v>348</v>
      </c>
      <c r="C178" s="508">
        <f t="shared" si="24"/>
        <v>43983</v>
      </c>
      <c r="D178" s="502" t="s">
        <v>359</v>
      </c>
      <c r="E178" s="740">
        <f>-4191.61</f>
        <v>-4191.6099999999997</v>
      </c>
      <c r="F178" s="185" t="s">
        <v>124</v>
      </c>
      <c r="G178" s="498">
        <v>1</v>
      </c>
      <c r="H178" s="555">
        <f t="shared" si="25"/>
        <v>-4191.6099999999997</v>
      </c>
      <c r="I178" s="52"/>
      <c r="J178" s="50"/>
      <c r="K178" s="671"/>
    </row>
    <row r="179" spans="1:14">
      <c r="A179" s="61">
        <v>174</v>
      </c>
      <c r="B179" s="54" t="s">
        <v>348</v>
      </c>
      <c r="C179" s="508">
        <f t="shared" si="24"/>
        <v>44013</v>
      </c>
      <c r="D179" s="180" t="s">
        <v>359</v>
      </c>
      <c r="E179" s="740">
        <f>-4883.64</f>
        <v>-4883.6400000000003</v>
      </c>
      <c r="F179" s="185" t="s">
        <v>124</v>
      </c>
      <c r="G179" s="498">
        <v>1</v>
      </c>
      <c r="H179" s="555">
        <f t="shared" si="25"/>
        <v>-4883.6400000000003</v>
      </c>
      <c r="I179" s="52"/>
      <c r="J179" s="50"/>
      <c r="K179" s="671"/>
    </row>
    <row r="180" spans="1:14">
      <c r="A180" s="61">
        <v>175</v>
      </c>
      <c r="B180" s="54" t="s">
        <v>348</v>
      </c>
      <c r="C180" s="508">
        <f t="shared" si="24"/>
        <v>44044</v>
      </c>
      <c r="D180" s="502" t="s">
        <v>359</v>
      </c>
      <c r="E180" s="740">
        <f>-5115.54</f>
        <v>-5115.54</v>
      </c>
      <c r="F180" s="185" t="s">
        <v>124</v>
      </c>
      <c r="G180" s="498">
        <v>1</v>
      </c>
      <c r="H180" s="555">
        <f t="shared" si="25"/>
        <v>-5115.54</v>
      </c>
      <c r="I180" s="52"/>
      <c r="J180" s="50"/>
      <c r="K180" s="671"/>
    </row>
    <row r="181" spans="1:14">
      <c r="A181" s="61">
        <v>176</v>
      </c>
      <c r="B181" s="54" t="s">
        <v>348</v>
      </c>
      <c r="C181" s="508">
        <f t="shared" si="24"/>
        <v>44075</v>
      </c>
      <c r="D181" s="502" t="s">
        <v>359</v>
      </c>
      <c r="E181" s="741">
        <f>-4854.01</f>
        <v>-4854.01</v>
      </c>
      <c r="F181" s="196" t="s">
        <v>124</v>
      </c>
      <c r="G181" s="498">
        <f>+G180</f>
        <v>1</v>
      </c>
      <c r="H181" s="555">
        <f t="shared" si="25"/>
        <v>-4854.01</v>
      </c>
      <c r="I181" s="52"/>
      <c r="J181" s="50"/>
      <c r="K181" s="671"/>
      <c r="L181" s="672"/>
    </row>
    <row r="182" spans="1:14">
      <c r="A182" s="61">
        <v>177</v>
      </c>
      <c r="B182" s="54" t="s">
        <v>348</v>
      </c>
      <c r="C182" s="508">
        <f t="shared" si="24"/>
        <v>44105</v>
      </c>
      <c r="D182" s="180" t="s">
        <v>359</v>
      </c>
      <c r="E182" s="741">
        <f>31778.67</f>
        <v>31778.67</v>
      </c>
      <c r="F182" s="196" t="s">
        <v>124</v>
      </c>
      <c r="G182" s="498">
        <v>1</v>
      </c>
      <c r="H182" s="555">
        <f t="shared" si="25"/>
        <v>31778.67</v>
      </c>
      <c r="I182" s="52"/>
      <c r="J182" s="50"/>
      <c r="K182" s="671"/>
      <c r="L182" s="672"/>
    </row>
    <row r="183" spans="1:14">
      <c r="A183" s="61">
        <v>178</v>
      </c>
      <c r="B183" s="54" t="s">
        <v>348</v>
      </c>
      <c r="C183" s="508">
        <f t="shared" si="24"/>
        <v>44136</v>
      </c>
      <c r="D183" s="502" t="s">
        <v>359</v>
      </c>
      <c r="E183" s="741">
        <f>71467.82</f>
        <v>71467.820000000007</v>
      </c>
      <c r="F183" s="504" t="s">
        <v>124</v>
      </c>
      <c r="G183" s="498">
        <v>1</v>
      </c>
      <c r="H183" s="555">
        <f t="shared" si="25"/>
        <v>71467.820000000007</v>
      </c>
      <c r="I183" s="52"/>
      <c r="J183" s="50"/>
      <c r="K183" s="671"/>
    </row>
    <row r="184" spans="1:14">
      <c r="A184" s="61">
        <v>179</v>
      </c>
      <c r="B184" s="54" t="s">
        <v>348</v>
      </c>
      <c r="C184" s="508">
        <f t="shared" si="24"/>
        <v>44166</v>
      </c>
      <c r="D184" s="502" t="s">
        <v>359</v>
      </c>
      <c r="E184" s="741">
        <f>-4653.17</f>
        <v>-4653.17</v>
      </c>
      <c r="F184" s="504" t="s">
        <v>124</v>
      </c>
      <c r="G184" s="498">
        <v>1</v>
      </c>
      <c r="H184" s="555">
        <f t="shared" si="25"/>
        <v>-4653.17</v>
      </c>
      <c r="I184" s="52"/>
      <c r="J184" s="50"/>
      <c r="K184" s="671"/>
    </row>
    <row r="185" spans="1:14">
      <c r="A185" s="61">
        <v>180</v>
      </c>
      <c r="B185" s="54" t="s">
        <v>348</v>
      </c>
      <c r="C185" s="508">
        <f>C115</f>
        <v>44197</v>
      </c>
      <c r="D185" s="180" t="s">
        <v>359</v>
      </c>
      <c r="E185" s="741">
        <f>-4852.27</f>
        <v>-4852.2700000000004</v>
      </c>
      <c r="F185" s="182" t="s">
        <v>124</v>
      </c>
      <c r="G185" s="498">
        <v>1</v>
      </c>
      <c r="H185" s="555">
        <f t="shared" si="25"/>
        <v>-4852.2700000000004</v>
      </c>
      <c r="I185" s="52"/>
      <c r="J185" s="50"/>
      <c r="K185" s="671"/>
      <c r="L185" s="379"/>
      <c r="N185" s="379"/>
    </row>
    <row r="186" spans="1:14">
      <c r="A186" s="61">
        <v>181</v>
      </c>
      <c r="B186" s="54" t="s">
        <v>348</v>
      </c>
      <c r="C186" s="502" t="s">
        <v>341</v>
      </c>
      <c r="D186" s="502" t="s">
        <v>359</v>
      </c>
      <c r="E186" s="511">
        <v>0</v>
      </c>
      <c r="F186" s="504" t="s">
        <v>124</v>
      </c>
      <c r="G186" s="498">
        <v>1</v>
      </c>
      <c r="H186" s="587">
        <f>E186</f>
        <v>0</v>
      </c>
      <c r="I186" s="499"/>
      <c r="J186" s="500"/>
      <c r="L186" s="379"/>
      <c r="M186" s="379"/>
      <c r="N186" s="379"/>
    </row>
    <row r="187" spans="1:14" ht="15" thickBot="1">
      <c r="A187" s="69">
        <v>182</v>
      </c>
      <c r="B187" s="47"/>
      <c r="C187" s="48" t="s">
        <v>69</v>
      </c>
      <c r="D187" s="505"/>
      <c r="E187" s="512">
        <f>SUM(E174:E186)</f>
        <v>-19180.699999999983</v>
      </c>
      <c r="F187" s="506"/>
      <c r="G187" s="46"/>
      <c r="H187" s="557">
        <f>SUM(H174:H186)</f>
        <v>-19180.699999999983</v>
      </c>
      <c r="I187" s="45"/>
      <c r="J187" s="43"/>
      <c r="L187" s="379"/>
      <c r="M187" s="379"/>
      <c r="N187" s="379"/>
    </row>
    <row r="188" spans="1:14">
      <c r="A188" s="132">
        <v>183</v>
      </c>
      <c r="B188" s="129" t="s">
        <v>348</v>
      </c>
      <c r="C188" s="507">
        <f t="shared" ref="C188:C198" si="26">C35</f>
        <v>43862</v>
      </c>
      <c r="D188" s="501" t="s">
        <v>360</v>
      </c>
      <c r="E188" s="739">
        <f>-95351.65-677.22</f>
        <v>-96028.87</v>
      </c>
      <c r="F188" s="496" t="s">
        <v>124</v>
      </c>
      <c r="G188" s="509">
        <v>1</v>
      </c>
      <c r="H188" s="554">
        <f>E188</f>
        <v>-96028.87</v>
      </c>
      <c r="I188" s="128"/>
      <c r="J188" s="497"/>
      <c r="K188" s="671"/>
      <c r="L188" s="672"/>
      <c r="M188" s="672"/>
      <c r="N188" s="672"/>
    </row>
    <row r="189" spans="1:14">
      <c r="A189" s="61">
        <v>184</v>
      </c>
      <c r="B189" s="54" t="s">
        <v>348</v>
      </c>
      <c r="C189" s="508">
        <f t="shared" si="26"/>
        <v>43891</v>
      </c>
      <c r="D189" s="502" t="s">
        <v>360</v>
      </c>
      <c r="E189" s="740">
        <f>-95568.34-459.16</f>
        <v>-96027.5</v>
      </c>
      <c r="F189" s="185" t="s">
        <v>124</v>
      </c>
      <c r="G189" s="498">
        <v>1</v>
      </c>
      <c r="H189" s="555">
        <f t="shared" ref="H189:H199" si="27">E189</f>
        <v>-96027.5</v>
      </c>
      <c r="I189" s="52"/>
      <c r="J189" s="50"/>
      <c r="K189" s="671"/>
      <c r="L189" s="671"/>
      <c r="M189" s="672"/>
      <c r="N189" s="672"/>
    </row>
    <row r="190" spans="1:14">
      <c r="A190" s="61">
        <v>185</v>
      </c>
      <c r="B190" s="54" t="s">
        <v>348</v>
      </c>
      <c r="C190" s="508">
        <f t="shared" si="26"/>
        <v>43922</v>
      </c>
      <c r="D190" s="502" t="s">
        <v>360</v>
      </c>
      <c r="E190" s="740">
        <f>-95657-368.81</f>
        <v>-96025.81</v>
      </c>
      <c r="F190" s="185" t="s">
        <v>124</v>
      </c>
      <c r="G190" s="498">
        <v>1</v>
      </c>
      <c r="H190" s="555">
        <f t="shared" si="27"/>
        <v>-96025.81</v>
      </c>
      <c r="I190" s="52"/>
      <c r="J190" s="50"/>
      <c r="K190" s="671"/>
      <c r="L190" s="671"/>
      <c r="M190" s="672"/>
      <c r="N190" s="672"/>
    </row>
    <row r="191" spans="1:14">
      <c r="A191" s="61">
        <v>186</v>
      </c>
      <c r="B191" s="54" t="s">
        <v>348</v>
      </c>
      <c r="C191" s="508">
        <f t="shared" si="26"/>
        <v>43952</v>
      </c>
      <c r="D191" s="502" t="s">
        <v>360</v>
      </c>
      <c r="E191" s="740">
        <f>-9786.21-37.72</f>
        <v>-9823.9299999999985</v>
      </c>
      <c r="F191" s="185" t="s">
        <v>124</v>
      </c>
      <c r="G191" s="498">
        <v>1</v>
      </c>
      <c r="H191" s="555">
        <f t="shared" si="27"/>
        <v>-9823.9299999999985</v>
      </c>
      <c r="I191" s="52"/>
      <c r="J191" s="50"/>
      <c r="K191" s="671"/>
      <c r="L191" s="671"/>
      <c r="M191" s="672"/>
      <c r="N191" s="672"/>
    </row>
    <row r="192" spans="1:14">
      <c r="A192" s="61">
        <v>187</v>
      </c>
      <c r="B192" s="54" t="s">
        <v>348</v>
      </c>
      <c r="C192" s="508">
        <f t="shared" si="26"/>
        <v>43983</v>
      </c>
      <c r="D192" s="502" t="s">
        <v>360</v>
      </c>
      <c r="E192" s="740">
        <f>-9786.19-37.72</f>
        <v>-9823.91</v>
      </c>
      <c r="F192" s="185" t="s">
        <v>124</v>
      </c>
      <c r="G192" s="498">
        <v>1</v>
      </c>
      <c r="H192" s="555">
        <f t="shared" si="27"/>
        <v>-9823.91</v>
      </c>
      <c r="I192" s="52"/>
      <c r="J192" s="50"/>
      <c r="K192" s="671"/>
      <c r="L192" s="671"/>
      <c r="M192" s="672"/>
      <c r="N192" s="672"/>
    </row>
    <row r="193" spans="1:14">
      <c r="A193" s="61">
        <v>188</v>
      </c>
      <c r="B193" s="54" t="s">
        <v>348</v>
      </c>
      <c r="C193" s="508">
        <f t="shared" si="26"/>
        <v>44013</v>
      </c>
      <c r="D193" s="502" t="s">
        <v>360</v>
      </c>
      <c r="E193" s="740">
        <f>-9788.25-37.72</f>
        <v>-9825.9699999999993</v>
      </c>
      <c r="F193" s="185" t="s">
        <v>124</v>
      </c>
      <c r="G193" s="498">
        <v>1</v>
      </c>
      <c r="H193" s="555">
        <f t="shared" si="27"/>
        <v>-9825.9699999999993</v>
      </c>
      <c r="I193" s="52"/>
      <c r="J193" s="50"/>
      <c r="K193" s="671"/>
      <c r="L193" s="671"/>
      <c r="M193" s="672"/>
      <c r="N193" s="672"/>
    </row>
    <row r="194" spans="1:14">
      <c r="A194" s="61">
        <v>189</v>
      </c>
      <c r="B194" s="54" t="s">
        <v>348</v>
      </c>
      <c r="C194" s="508">
        <f t="shared" si="26"/>
        <v>44044</v>
      </c>
      <c r="D194" s="502" t="s">
        <v>360</v>
      </c>
      <c r="E194" s="740">
        <f>-9771.16-46.5</f>
        <v>-9817.66</v>
      </c>
      <c r="F194" s="185" t="s">
        <v>124</v>
      </c>
      <c r="G194" s="498">
        <v>1</v>
      </c>
      <c r="H194" s="555">
        <f t="shared" si="27"/>
        <v>-9817.66</v>
      </c>
      <c r="I194" s="52"/>
      <c r="J194" s="50"/>
      <c r="K194" s="671"/>
      <c r="L194" s="671"/>
      <c r="M194" s="672"/>
      <c r="N194" s="672"/>
    </row>
    <row r="195" spans="1:14">
      <c r="A195" s="61">
        <v>190</v>
      </c>
      <c r="B195" s="54" t="s">
        <v>348</v>
      </c>
      <c r="C195" s="508">
        <f t="shared" si="26"/>
        <v>44075</v>
      </c>
      <c r="D195" s="502" t="s">
        <v>360</v>
      </c>
      <c r="E195" s="741">
        <f>-9764.84-41.16</f>
        <v>-9806</v>
      </c>
      <c r="F195" s="196" t="s">
        <v>124</v>
      </c>
      <c r="G195" s="498">
        <f>+G194</f>
        <v>1</v>
      </c>
      <c r="H195" s="555">
        <f t="shared" si="27"/>
        <v>-9806</v>
      </c>
      <c r="I195" s="52"/>
      <c r="J195" s="50"/>
      <c r="K195" s="671"/>
      <c r="L195" s="672"/>
      <c r="M195" s="672"/>
      <c r="N195" s="672"/>
    </row>
    <row r="196" spans="1:14">
      <c r="A196" s="61">
        <v>191</v>
      </c>
      <c r="B196" s="54" t="s">
        <v>348</v>
      </c>
      <c r="C196" s="508">
        <f t="shared" si="26"/>
        <v>44105</v>
      </c>
      <c r="D196" s="502" t="s">
        <v>360</v>
      </c>
      <c r="E196" s="741">
        <f>75788.6+610.79</f>
        <v>76399.39</v>
      </c>
      <c r="F196" s="196" t="s">
        <v>124</v>
      </c>
      <c r="G196" s="498">
        <v>1</v>
      </c>
      <c r="H196" s="555">
        <f t="shared" si="27"/>
        <v>76399.39</v>
      </c>
      <c r="I196" s="52"/>
      <c r="J196" s="50"/>
      <c r="K196" s="671"/>
      <c r="L196" s="672"/>
      <c r="M196" s="672"/>
      <c r="N196" s="672"/>
    </row>
    <row r="197" spans="1:14">
      <c r="A197" s="61">
        <v>192</v>
      </c>
      <c r="B197" s="54" t="s">
        <v>348</v>
      </c>
      <c r="C197" s="508">
        <f t="shared" si="26"/>
        <v>44136</v>
      </c>
      <c r="D197" s="502" t="s">
        <v>360</v>
      </c>
      <c r="E197" s="741">
        <f>161943.41+674.41</f>
        <v>162617.82</v>
      </c>
      <c r="F197" s="504" t="s">
        <v>124</v>
      </c>
      <c r="G197" s="498">
        <v>1</v>
      </c>
      <c r="H197" s="555">
        <f t="shared" si="27"/>
        <v>162617.82</v>
      </c>
      <c r="I197" s="52"/>
      <c r="J197" s="50"/>
      <c r="K197" s="671"/>
      <c r="L197" s="671"/>
      <c r="M197" s="672"/>
      <c r="N197" s="672"/>
    </row>
    <row r="198" spans="1:14">
      <c r="A198" s="61">
        <v>193</v>
      </c>
      <c r="B198" s="54" t="s">
        <v>348</v>
      </c>
      <c r="C198" s="508">
        <f t="shared" si="26"/>
        <v>44166</v>
      </c>
      <c r="D198" s="502" t="s">
        <v>360</v>
      </c>
      <c r="E198" s="741">
        <f>-11419.97-44.79</f>
        <v>-11464.76</v>
      </c>
      <c r="F198" s="504" t="s">
        <v>124</v>
      </c>
      <c r="G198" s="498">
        <v>1</v>
      </c>
      <c r="H198" s="555">
        <f t="shared" si="27"/>
        <v>-11464.76</v>
      </c>
      <c r="I198" s="52"/>
      <c r="J198" s="50"/>
      <c r="K198" s="671"/>
      <c r="L198" s="379"/>
      <c r="M198" s="672"/>
      <c r="N198" s="672"/>
    </row>
    <row r="199" spans="1:14">
      <c r="A199" s="61">
        <v>194</v>
      </c>
      <c r="B199" s="54" t="s">
        <v>348</v>
      </c>
      <c r="C199" s="508">
        <f>C115</f>
        <v>44197</v>
      </c>
      <c r="D199" s="502" t="s">
        <v>360</v>
      </c>
      <c r="E199" s="741">
        <f>-13137.48-51.54</f>
        <v>-13189.02</v>
      </c>
      <c r="F199" s="182" t="s">
        <v>124</v>
      </c>
      <c r="G199" s="498">
        <v>1</v>
      </c>
      <c r="H199" s="555">
        <f t="shared" si="27"/>
        <v>-13189.02</v>
      </c>
      <c r="I199" s="52"/>
      <c r="J199" s="50"/>
      <c r="K199" s="671"/>
      <c r="L199" s="379"/>
      <c r="M199" s="672"/>
      <c r="N199" s="672"/>
    </row>
    <row r="200" spans="1:14">
      <c r="A200" s="61">
        <v>195</v>
      </c>
      <c r="B200" s="54" t="s">
        <v>348</v>
      </c>
      <c r="C200" s="502" t="s">
        <v>341</v>
      </c>
      <c r="D200" s="502" t="s">
        <v>360</v>
      </c>
      <c r="E200" s="511">
        <v>0</v>
      </c>
      <c r="F200" s="504" t="s">
        <v>124</v>
      </c>
      <c r="G200" s="498">
        <v>1</v>
      </c>
      <c r="H200" s="587">
        <f>E200</f>
        <v>0</v>
      </c>
      <c r="I200" s="499"/>
      <c r="J200" s="500"/>
    </row>
    <row r="201" spans="1:14" ht="15" thickBot="1">
      <c r="A201" s="69">
        <v>196</v>
      </c>
      <c r="B201" s="47"/>
      <c r="C201" s="48" t="s">
        <v>69</v>
      </c>
      <c r="D201" s="505"/>
      <c r="E201" s="512">
        <f>SUM(E188:E200)</f>
        <v>-122816.21999999988</v>
      </c>
      <c r="F201" s="506"/>
      <c r="G201" s="46"/>
      <c r="H201" s="557">
        <f>SUM(H188:H200)</f>
        <v>-122816.21999999988</v>
      </c>
      <c r="I201" s="45"/>
      <c r="J201" s="43"/>
      <c r="K201" s="379"/>
    </row>
    <row r="202" spans="1:14">
      <c r="A202" s="132">
        <v>197</v>
      </c>
      <c r="B202" s="129" t="s">
        <v>348</v>
      </c>
      <c r="C202" s="507">
        <f t="shared" ref="C202:C212" si="28">C49</f>
        <v>43862</v>
      </c>
      <c r="D202" s="501" t="s">
        <v>361</v>
      </c>
      <c r="E202" s="739">
        <f>-4949.27</f>
        <v>-4949.2700000000004</v>
      </c>
      <c r="F202" s="496" t="s">
        <v>124</v>
      </c>
      <c r="G202" s="509">
        <v>1</v>
      </c>
      <c r="H202" s="554">
        <f>E202</f>
        <v>-4949.2700000000004</v>
      </c>
      <c r="I202" s="128"/>
      <c r="J202" s="497"/>
      <c r="K202" s="671"/>
      <c r="L202" s="672"/>
      <c r="M202" s="671"/>
      <c r="N202" s="672"/>
    </row>
    <row r="203" spans="1:14">
      <c r="A203" s="61">
        <v>198</v>
      </c>
      <c r="B203" s="54" t="s">
        <v>348</v>
      </c>
      <c r="C203" s="508">
        <f t="shared" si="28"/>
        <v>43891</v>
      </c>
      <c r="D203" s="502" t="s">
        <v>361</v>
      </c>
      <c r="E203" s="740">
        <f>-5177.61</f>
        <v>-5177.6099999999997</v>
      </c>
      <c r="F203" s="185" t="s">
        <v>124</v>
      </c>
      <c r="G203" s="498">
        <v>1</v>
      </c>
      <c r="H203" s="555">
        <f t="shared" ref="H203:H213" si="29">E203</f>
        <v>-5177.6099999999997</v>
      </c>
      <c r="I203" s="52"/>
      <c r="J203" s="50"/>
      <c r="K203" s="671"/>
      <c r="L203" s="671"/>
      <c r="M203" s="671"/>
      <c r="N203" s="672"/>
    </row>
    <row r="204" spans="1:14">
      <c r="A204" s="61">
        <v>199</v>
      </c>
      <c r="B204" s="54" t="s">
        <v>348</v>
      </c>
      <c r="C204" s="508">
        <f t="shared" si="28"/>
        <v>43922</v>
      </c>
      <c r="D204" s="180" t="s">
        <v>361</v>
      </c>
      <c r="E204" s="740">
        <f>-531.71</f>
        <v>-531.71</v>
      </c>
      <c r="F204" s="185" t="s">
        <v>124</v>
      </c>
      <c r="G204" s="498">
        <v>1</v>
      </c>
      <c r="H204" s="555">
        <f t="shared" si="29"/>
        <v>-531.71</v>
      </c>
      <c r="I204" s="52"/>
      <c r="J204" s="50"/>
      <c r="K204" s="672"/>
      <c r="L204" s="671"/>
      <c r="M204" s="672"/>
      <c r="N204" s="672"/>
    </row>
    <row r="205" spans="1:14">
      <c r="A205" s="61">
        <v>200</v>
      </c>
      <c r="B205" s="54" t="s">
        <v>348</v>
      </c>
      <c r="C205" s="508">
        <f t="shared" si="28"/>
        <v>43952</v>
      </c>
      <c r="D205" s="502" t="s">
        <v>361</v>
      </c>
      <c r="E205" s="740">
        <f>-522.42</f>
        <v>-522.41999999999996</v>
      </c>
      <c r="F205" s="185" t="s">
        <v>124</v>
      </c>
      <c r="G205" s="498">
        <v>1</v>
      </c>
      <c r="H205" s="555">
        <f t="shared" si="29"/>
        <v>-522.41999999999996</v>
      </c>
      <c r="I205" s="52"/>
      <c r="J205" s="50"/>
      <c r="K205" s="672"/>
      <c r="L205" s="671"/>
      <c r="M205" s="672"/>
      <c r="N205" s="672"/>
    </row>
    <row r="206" spans="1:14">
      <c r="A206" s="61">
        <v>201</v>
      </c>
      <c r="B206" s="54" t="s">
        <v>348</v>
      </c>
      <c r="C206" s="508">
        <f t="shared" si="28"/>
        <v>43983</v>
      </c>
      <c r="D206" s="502" t="s">
        <v>361</v>
      </c>
      <c r="E206" s="740">
        <f>-550.1</f>
        <v>-550.1</v>
      </c>
      <c r="F206" s="185" t="s">
        <v>124</v>
      </c>
      <c r="G206" s="498">
        <v>1</v>
      </c>
      <c r="H206" s="555">
        <f t="shared" si="29"/>
        <v>-550.1</v>
      </c>
      <c r="I206" s="52"/>
      <c r="J206" s="50"/>
      <c r="K206" s="672"/>
      <c r="L206" s="671"/>
      <c r="M206" s="672"/>
      <c r="N206" s="672"/>
    </row>
    <row r="207" spans="1:14">
      <c r="A207" s="61">
        <v>202</v>
      </c>
      <c r="B207" s="54" t="s">
        <v>348</v>
      </c>
      <c r="C207" s="508">
        <f t="shared" si="28"/>
        <v>44013</v>
      </c>
      <c r="D207" s="180" t="s">
        <v>361</v>
      </c>
      <c r="E207" s="740">
        <f>-615.12</f>
        <v>-615.12</v>
      </c>
      <c r="F207" s="185" t="s">
        <v>124</v>
      </c>
      <c r="G207" s="498">
        <v>1</v>
      </c>
      <c r="H207" s="555">
        <f t="shared" si="29"/>
        <v>-615.12</v>
      </c>
      <c r="I207" s="52"/>
      <c r="J207" s="50"/>
      <c r="K207" s="672"/>
      <c r="L207" s="671"/>
      <c r="M207" s="672"/>
      <c r="N207" s="672"/>
    </row>
    <row r="208" spans="1:14">
      <c r="A208" s="61">
        <v>203</v>
      </c>
      <c r="B208" s="54" t="s">
        <v>348</v>
      </c>
      <c r="C208" s="508">
        <f t="shared" si="28"/>
        <v>44044</v>
      </c>
      <c r="D208" s="502" t="s">
        <v>361</v>
      </c>
      <c r="E208" s="740">
        <f>-684.45</f>
        <v>-684.45</v>
      </c>
      <c r="F208" s="185" t="s">
        <v>124</v>
      </c>
      <c r="G208" s="498">
        <v>1</v>
      </c>
      <c r="H208" s="555">
        <f t="shared" si="29"/>
        <v>-684.45</v>
      </c>
      <c r="I208" s="52"/>
      <c r="J208" s="50"/>
      <c r="K208" s="672"/>
      <c r="L208" s="671"/>
      <c r="M208" s="672"/>
      <c r="N208" s="672"/>
    </row>
    <row r="209" spans="1:14">
      <c r="A209" s="61">
        <v>204</v>
      </c>
      <c r="B209" s="54" t="s">
        <v>348</v>
      </c>
      <c r="C209" s="508">
        <f t="shared" si="28"/>
        <v>44075</v>
      </c>
      <c r="D209" s="502" t="s">
        <v>361</v>
      </c>
      <c r="E209" s="741">
        <f>-584.71</f>
        <v>-584.71</v>
      </c>
      <c r="F209" s="196" t="s">
        <v>124</v>
      </c>
      <c r="G209" s="498">
        <f>+G208</f>
        <v>1</v>
      </c>
      <c r="H209" s="555">
        <f t="shared" si="29"/>
        <v>-584.71</v>
      </c>
      <c r="I209" s="52"/>
      <c r="J209" s="50"/>
      <c r="K209" s="672"/>
      <c r="L209" s="672"/>
      <c r="M209" s="672"/>
      <c r="N209" s="672"/>
    </row>
    <row r="210" spans="1:14">
      <c r="A210" s="61">
        <v>205</v>
      </c>
      <c r="B210" s="54" t="s">
        <v>348</v>
      </c>
      <c r="C210" s="508">
        <f t="shared" si="28"/>
        <v>44105</v>
      </c>
      <c r="D210" s="180" t="s">
        <v>361</v>
      </c>
      <c r="E210" s="741">
        <f>4100.78</f>
        <v>4100.78</v>
      </c>
      <c r="F210" s="196" t="s">
        <v>124</v>
      </c>
      <c r="G210" s="498">
        <v>1</v>
      </c>
      <c r="H210" s="555">
        <f t="shared" si="29"/>
        <v>4100.78</v>
      </c>
      <c r="I210" s="52"/>
      <c r="J210" s="50"/>
      <c r="K210" s="671"/>
      <c r="L210" s="672"/>
      <c r="M210" s="671"/>
      <c r="N210" s="672"/>
    </row>
    <row r="211" spans="1:14">
      <c r="A211" s="61">
        <v>206</v>
      </c>
      <c r="B211" s="54" t="s">
        <v>348</v>
      </c>
      <c r="C211" s="508">
        <f t="shared" si="28"/>
        <v>44136</v>
      </c>
      <c r="D211" s="502" t="s">
        <v>361</v>
      </c>
      <c r="E211" s="741">
        <f>8433.6</f>
        <v>8433.6</v>
      </c>
      <c r="F211" s="504" t="s">
        <v>124</v>
      </c>
      <c r="G211" s="498">
        <v>1</v>
      </c>
      <c r="H211" s="555">
        <f t="shared" si="29"/>
        <v>8433.6</v>
      </c>
      <c r="I211" s="52"/>
      <c r="J211" s="50"/>
      <c r="K211" s="671"/>
      <c r="L211" s="671"/>
      <c r="M211" s="671"/>
      <c r="N211" s="672"/>
    </row>
    <row r="212" spans="1:14">
      <c r="A212" s="61">
        <v>207</v>
      </c>
      <c r="B212" s="54" t="s">
        <v>348</v>
      </c>
      <c r="C212" s="508">
        <f t="shared" si="28"/>
        <v>44166</v>
      </c>
      <c r="D212" s="502" t="s">
        <v>361</v>
      </c>
      <c r="E212" s="741">
        <f>-629.83</f>
        <v>-629.83000000000004</v>
      </c>
      <c r="F212" s="504" t="s">
        <v>124</v>
      </c>
      <c r="G212" s="498">
        <v>1</v>
      </c>
      <c r="H212" s="555">
        <f t="shared" si="29"/>
        <v>-629.83000000000004</v>
      </c>
      <c r="I212" s="52"/>
      <c r="J212" s="50"/>
      <c r="K212" s="672"/>
      <c r="L212" s="379"/>
      <c r="M212" s="672"/>
      <c r="N212" s="672"/>
    </row>
    <row r="213" spans="1:14">
      <c r="A213" s="61">
        <v>208</v>
      </c>
      <c r="B213" s="54" t="s">
        <v>348</v>
      </c>
      <c r="C213" s="508">
        <f>C129</f>
        <v>44197</v>
      </c>
      <c r="D213" s="180" t="s">
        <v>361</v>
      </c>
      <c r="E213" s="741">
        <f>-662.97</f>
        <v>-662.97</v>
      </c>
      <c r="F213" s="182" t="s">
        <v>124</v>
      </c>
      <c r="G213" s="498">
        <v>1</v>
      </c>
      <c r="H213" s="555">
        <f t="shared" si="29"/>
        <v>-662.97</v>
      </c>
      <c r="I213" s="52"/>
      <c r="J213" s="50"/>
      <c r="K213" s="672"/>
      <c r="L213" s="379"/>
      <c r="M213" s="672"/>
      <c r="N213" s="672"/>
    </row>
    <row r="214" spans="1:14">
      <c r="A214" s="61">
        <v>209</v>
      </c>
      <c r="B214" s="54" t="s">
        <v>348</v>
      </c>
      <c r="C214" s="502" t="s">
        <v>341</v>
      </c>
      <c r="D214" s="502" t="s">
        <v>361</v>
      </c>
      <c r="E214" s="511">
        <v>0</v>
      </c>
      <c r="F214" s="504" t="s">
        <v>124</v>
      </c>
      <c r="G214" s="498">
        <v>1</v>
      </c>
      <c r="H214" s="587">
        <f>E214</f>
        <v>0</v>
      </c>
      <c r="I214" s="499"/>
      <c r="J214" s="500"/>
    </row>
    <row r="215" spans="1:14" ht="15" thickBot="1">
      <c r="A215" s="69">
        <v>210</v>
      </c>
      <c r="B215" s="47"/>
      <c r="C215" s="48" t="s">
        <v>69</v>
      </c>
      <c r="D215" s="505"/>
      <c r="E215" s="512">
        <f>SUM(E202:E214)</f>
        <v>-2373.810000000004</v>
      </c>
      <c r="F215" s="506"/>
      <c r="G215" s="46"/>
      <c r="H215" s="557">
        <f>SUM(H202:H214)</f>
        <v>-2373.810000000004</v>
      </c>
      <c r="I215" s="45"/>
      <c r="J215" s="43"/>
    </row>
    <row r="216" spans="1:14">
      <c r="A216" s="376">
        <v>211</v>
      </c>
      <c r="B216" s="238" t="s">
        <v>362</v>
      </c>
      <c r="C216" s="238" t="s">
        <v>363</v>
      </c>
      <c r="D216" s="238"/>
      <c r="E216" s="238"/>
      <c r="F216" s="238"/>
      <c r="G216" s="238"/>
      <c r="H216" s="238"/>
      <c r="I216" s="238"/>
      <c r="J216" s="262"/>
    </row>
    <row r="217" spans="1:14">
      <c r="A217" s="323">
        <v>212</v>
      </c>
      <c r="B217" s="239"/>
      <c r="C217" s="239" t="s">
        <v>364</v>
      </c>
      <c r="D217" s="239"/>
      <c r="E217" s="239"/>
      <c r="F217" s="239"/>
      <c r="G217" s="239"/>
      <c r="H217" s="239"/>
      <c r="I217" s="239"/>
      <c r="J217" s="263"/>
    </row>
    <row r="218" spans="1:14">
      <c r="A218" s="323">
        <v>213</v>
      </c>
      <c r="B218" s="239"/>
      <c r="C218" s="870" t="s">
        <v>365</v>
      </c>
      <c r="D218" s="870"/>
      <c r="E218" s="870"/>
      <c r="F218" s="870"/>
      <c r="G218" s="870"/>
      <c r="H218" s="870"/>
      <c r="I218" s="870"/>
      <c r="J218" s="871"/>
    </row>
    <row r="219" spans="1:14">
      <c r="A219" s="323">
        <v>214</v>
      </c>
      <c r="B219" s="239"/>
      <c r="C219" s="870" t="s">
        <v>366</v>
      </c>
      <c r="D219" s="870"/>
      <c r="E219" s="870"/>
      <c r="F219" s="870"/>
      <c r="G219" s="870"/>
      <c r="H219" s="870"/>
      <c r="I219" s="870"/>
      <c r="J219" s="871"/>
    </row>
    <row r="220" spans="1:14">
      <c r="A220" s="323">
        <v>215</v>
      </c>
      <c r="B220" s="239"/>
      <c r="C220" s="870" t="s">
        <v>367</v>
      </c>
      <c r="D220" s="870"/>
      <c r="E220" s="870"/>
      <c r="F220" s="870"/>
      <c r="G220" s="870"/>
      <c r="H220" s="870"/>
      <c r="I220" s="870"/>
      <c r="J220" s="871"/>
    </row>
    <row r="221" spans="1:14">
      <c r="A221" s="323">
        <v>216</v>
      </c>
      <c r="B221" s="239"/>
      <c r="C221" s="870" t="s">
        <v>368</v>
      </c>
      <c r="D221" s="870"/>
      <c r="E221" s="870"/>
      <c r="F221" s="870"/>
      <c r="G221" s="870"/>
      <c r="H221" s="870"/>
      <c r="I221" s="870"/>
      <c r="J221" s="871"/>
    </row>
    <row r="222" spans="1:14">
      <c r="A222" s="323">
        <v>217</v>
      </c>
      <c r="B222" s="239"/>
      <c r="C222" s="797" t="s">
        <v>369</v>
      </c>
      <c r="D222" s="797"/>
      <c r="E222" s="797"/>
      <c r="F222" s="797"/>
      <c r="G222" s="797"/>
      <c r="H222" s="797"/>
      <c r="I222" s="797"/>
      <c r="J222" s="798"/>
    </row>
    <row r="223" spans="1:14">
      <c r="A223" s="323">
        <v>190</v>
      </c>
      <c r="B223" s="239"/>
      <c r="C223" s="870" t="s">
        <v>370</v>
      </c>
      <c r="D223" s="870"/>
      <c r="E223" s="870"/>
      <c r="F223" s="870"/>
      <c r="G223" s="870"/>
      <c r="H223" s="870"/>
      <c r="I223" s="870"/>
      <c r="J223" s="871"/>
    </row>
    <row r="224" spans="1:14">
      <c r="A224" s="323">
        <v>191</v>
      </c>
      <c r="B224" s="550"/>
      <c r="C224" s="870" t="s">
        <v>371</v>
      </c>
      <c r="D224" s="870"/>
      <c r="E224" s="870"/>
      <c r="F224" s="870"/>
      <c r="G224" s="870"/>
      <c r="H224" s="870"/>
      <c r="I224" s="870"/>
      <c r="J224" s="871"/>
    </row>
    <row r="225" spans="1:10">
      <c r="A225" s="323">
        <v>192</v>
      </c>
      <c r="B225" s="550"/>
      <c r="C225" s="870" t="s">
        <v>372</v>
      </c>
      <c r="D225" s="870"/>
      <c r="E225" s="870"/>
      <c r="F225" s="870"/>
      <c r="G225" s="870"/>
      <c r="H225" s="870"/>
      <c r="I225" s="870"/>
      <c r="J225" s="871"/>
    </row>
    <row r="226" spans="1:10">
      <c r="A226" s="323">
        <v>193</v>
      </c>
      <c r="B226" s="550"/>
      <c r="C226" s="870" t="s">
        <v>373</v>
      </c>
      <c r="D226" s="870"/>
      <c r="E226" s="870"/>
      <c r="F226" s="870"/>
      <c r="G226" s="870"/>
      <c r="H226" s="870"/>
      <c r="I226" s="870"/>
      <c r="J226" s="871"/>
    </row>
    <row r="227" spans="1:10">
      <c r="A227" s="323">
        <v>194</v>
      </c>
      <c r="B227" s="550"/>
      <c r="C227" s="870" t="s">
        <v>374</v>
      </c>
      <c r="D227" s="870"/>
      <c r="E227" s="870"/>
      <c r="F227" s="870"/>
      <c r="G227" s="870"/>
      <c r="H227" s="870"/>
      <c r="I227" s="870"/>
      <c r="J227" s="871"/>
    </row>
    <row r="228" spans="1:10">
      <c r="A228" s="323">
        <v>195</v>
      </c>
      <c r="B228" s="550"/>
      <c r="C228" s="870" t="s">
        <v>375</v>
      </c>
      <c r="D228" s="870"/>
      <c r="E228" s="870"/>
      <c r="F228" s="870"/>
      <c r="G228" s="870"/>
      <c r="H228" s="870"/>
      <c r="I228" s="870"/>
      <c r="J228" s="871"/>
    </row>
    <row r="229" spans="1:10">
      <c r="A229" s="323">
        <v>196</v>
      </c>
      <c r="B229" s="550"/>
      <c r="C229" s="870" t="s">
        <v>376</v>
      </c>
      <c r="D229" s="870"/>
      <c r="E229" s="870"/>
      <c r="F229" s="870"/>
      <c r="G229" s="870"/>
      <c r="H229" s="870"/>
      <c r="I229" s="870"/>
      <c r="J229" s="871"/>
    </row>
    <row r="231" spans="1:10">
      <c r="H231" s="653">
        <f>H19+H33+H47+H61+H75+H89+H103+H131+H145+H159</f>
        <v>-22005366.479999997</v>
      </c>
    </row>
  </sheetData>
  <mergeCells count="11">
    <mergeCell ref="C225:J225"/>
    <mergeCell ref="C226:J226"/>
    <mergeCell ref="C227:J227"/>
    <mergeCell ref="C228:J228"/>
    <mergeCell ref="C229:J229"/>
    <mergeCell ref="C224:J224"/>
    <mergeCell ref="C218:J218"/>
    <mergeCell ref="C219:J219"/>
    <mergeCell ref="C220:J220"/>
    <mergeCell ref="C221:J221"/>
    <mergeCell ref="C223:J223"/>
  </mergeCells>
  <hyperlinks>
    <hyperlink ref="H1" location="'Cover Sheets'!A18" display="(Back to Worksheet Links)" xr:uid="{00000000-0004-0000-0400-000000000000}"/>
  </hyperlinks>
  <pageMargins left="0.7" right="0.7" top="0.75" bottom="0.75" header="0.3" footer="0.3"/>
  <pageSetup scale="5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view="pageBreakPreview" zoomScale="80" zoomScaleNormal="100" zoomScaleSheetLayoutView="80" workbookViewId="0"/>
  </sheetViews>
  <sheetFormatPr defaultColWidth="13.1796875" defaultRowHeight="14.5"/>
  <cols>
    <col min="1" max="1" width="13.1796875" style="234"/>
    <col min="2" max="2" width="89.453125" style="234" bestFit="1" customWidth="1"/>
    <col min="3" max="7" width="13.1796875" style="234"/>
    <col min="8" max="8" width="44.7265625" style="234" bestFit="1" customWidth="1"/>
    <col min="9" max="16384" width="13.1796875" style="234"/>
  </cols>
  <sheetData>
    <row r="1" spans="1:8">
      <c r="A1" s="540" t="str">
        <f>'Cover Sheets'!A10:D10</f>
        <v>WAPA-UGP 2020 Rate True-up Calculation</v>
      </c>
      <c r="B1" s="392"/>
      <c r="C1" s="277"/>
      <c r="D1" s="277"/>
      <c r="E1" s="277"/>
      <c r="F1" s="277"/>
      <c r="G1" s="277"/>
      <c r="H1" s="649" t="s">
        <v>97</v>
      </c>
    </row>
    <row r="2" spans="1:8">
      <c r="A2" s="56" t="s">
        <v>377</v>
      </c>
      <c r="B2" s="278"/>
      <c r="C2" s="278"/>
      <c r="D2" s="278"/>
      <c r="E2" s="278"/>
      <c r="F2" s="278"/>
      <c r="G2" s="278"/>
      <c r="H2" s="648"/>
    </row>
    <row r="3" spans="1:8">
      <c r="A3" s="56" t="str">
        <f>'Summary-TrueUp'!A3</f>
        <v>12 Months Ending 09/30/2020 True-up</v>
      </c>
      <c r="B3" s="278"/>
      <c r="C3" s="278"/>
      <c r="D3" s="278"/>
      <c r="E3" s="278"/>
      <c r="F3" s="278"/>
      <c r="G3" s="278"/>
      <c r="H3" s="279"/>
    </row>
    <row r="4" spans="1:8" ht="39.5">
      <c r="A4" s="56"/>
      <c r="B4" s="241" t="s">
        <v>378</v>
      </c>
      <c r="C4" s="242" t="s">
        <v>100</v>
      </c>
      <c r="D4" s="241" t="s">
        <v>379</v>
      </c>
      <c r="E4" s="242" t="s">
        <v>380</v>
      </c>
      <c r="F4" s="242" t="s">
        <v>381</v>
      </c>
      <c r="G4" s="242" t="s">
        <v>382</v>
      </c>
      <c r="H4" s="243" t="s">
        <v>102</v>
      </c>
    </row>
    <row r="5" spans="1:8" ht="15" thickBot="1">
      <c r="A5" s="244" t="s">
        <v>383</v>
      </c>
      <c r="B5" s="245">
        <v>-1</v>
      </c>
      <c r="C5" s="245">
        <v>-2</v>
      </c>
      <c r="D5" s="245">
        <v>-3</v>
      </c>
      <c r="E5" s="245">
        <v>-4</v>
      </c>
      <c r="F5" s="245">
        <v>-4</v>
      </c>
      <c r="G5" s="245">
        <v>-5</v>
      </c>
      <c r="H5" s="246">
        <v>-5</v>
      </c>
    </row>
    <row r="6" spans="1:8">
      <c r="A6" s="280">
        <v>1</v>
      </c>
      <c r="B6" s="281" t="s">
        <v>384</v>
      </c>
      <c r="C6" s="282"/>
      <c r="D6" s="283"/>
      <c r="E6" s="284"/>
      <c r="F6" s="283"/>
      <c r="G6" s="283"/>
      <c r="H6" s="285"/>
    </row>
    <row r="7" spans="1:8">
      <c r="A7" s="280">
        <f t="shared" ref="A7:A37" si="0">A6+1</f>
        <v>2</v>
      </c>
      <c r="B7" s="286" t="s">
        <v>385</v>
      </c>
      <c r="C7" s="287">
        <f>'WS4-CostData'!K136</f>
        <v>72423301.44806236</v>
      </c>
      <c r="D7" s="288">
        <f>'WS4-CostData'!K137</f>
        <v>92929909.993522048</v>
      </c>
      <c r="E7" s="288">
        <f>'WS4-CostData'!G137</f>
        <v>50484738.935620181</v>
      </c>
      <c r="F7" s="288">
        <f>'WS4-CostData'!C138</f>
        <v>52383.510722375693</v>
      </c>
      <c r="G7" s="288">
        <f>'WS4-CostData'!C139</f>
        <v>350155.27492244774</v>
      </c>
      <c r="H7" s="285" t="s">
        <v>386</v>
      </c>
    </row>
    <row r="8" spans="1:8">
      <c r="A8" s="280">
        <f t="shared" si="0"/>
        <v>3</v>
      </c>
      <c r="B8" s="286" t="s">
        <v>387</v>
      </c>
      <c r="C8" s="287">
        <v>0</v>
      </c>
      <c r="D8" s="288">
        <v>0</v>
      </c>
      <c r="E8" s="288">
        <v>0</v>
      </c>
      <c r="F8" s="288">
        <v>0</v>
      </c>
      <c r="G8" s="288">
        <v>0</v>
      </c>
      <c r="H8" s="285"/>
    </row>
    <row r="9" spans="1:8">
      <c r="A9" s="280">
        <f t="shared" si="0"/>
        <v>4</v>
      </c>
      <c r="B9" s="286" t="s">
        <v>388</v>
      </c>
      <c r="C9" s="287">
        <f>SUM(C7:C8)</f>
        <v>72423301.44806236</v>
      </c>
      <c r="D9" s="288">
        <f>SUM(D7:D8)</f>
        <v>92929909.993522048</v>
      </c>
      <c r="E9" s="288">
        <f>SUM(E7:E8)</f>
        <v>50484738.935620181</v>
      </c>
      <c r="F9" s="288">
        <f>SUM(F7:F8)</f>
        <v>52383.510722375693</v>
      </c>
      <c r="G9" s="288">
        <f>SUM(G7:G8)</f>
        <v>350155.27492244774</v>
      </c>
      <c r="H9" s="285" t="s">
        <v>389</v>
      </c>
    </row>
    <row r="10" spans="1:8" ht="15" thickBot="1">
      <c r="A10" s="280">
        <f t="shared" si="0"/>
        <v>5</v>
      </c>
      <c r="B10" s="286" t="s">
        <v>390</v>
      </c>
      <c r="C10" s="287">
        <f>'WS4-CostData'!K24</f>
        <v>764330983.14657068</v>
      </c>
      <c r="D10" s="288">
        <f>'WS4-CostData'!K25</f>
        <v>771131882.80124664</v>
      </c>
      <c r="E10" s="288">
        <f>'WS4-CostData'!G25</f>
        <v>585725690.66243219</v>
      </c>
      <c r="F10" s="288">
        <f>'WS4-CostData'!C27</f>
        <v>550199.72081312083</v>
      </c>
      <c r="G10" s="288">
        <f>'WS4-CostData'!C28</f>
        <v>3677785.8499140143</v>
      </c>
      <c r="H10" s="285" t="s">
        <v>391</v>
      </c>
    </row>
    <row r="11" spans="1:8" ht="15" thickBot="1">
      <c r="A11" s="280">
        <f t="shared" si="0"/>
        <v>6</v>
      </c>
      <c r="B11" s="286" t="s">
        <v>392</v>
      </c>
      <c r="C11" s="289">
        <f>+C9/C10</f>
        <v>9.4753847541169514E-2</v>
      </c>
      <c r="D11" s="290">
        <f>+D9/D10</f>
        <v>0.12051104625053355</v>
      </c>
      <c r="E11" s="290">
        <f>+E9/E10</f>
        <v>8.6191778404877503E-2</v>
      </c>
      <c r="F11" s="290">
        <f>+F9/F10</f>
        <v>9.5208173942654753E-2</v>
      </c>
      <c r="G11" s="290">
        <f>+G9/G10</f>
        <v>9.5208173942654725E-2</v>
      </c>
      <c r="H11" s="285" t="s">
        <v>393</v>
      </c>
    </row>
    <row r="12" spans="1:8">
      <c r="A12" s="280">
        <f t="shared" si="0"/>
        <v>7</v>
      </c>
      <c r="B12" s="281" t="s">
        <v>394</v>
      </c>
      <c r="C12" s="282"/>
      <c r="D12" s="283"/>
      <c r="E12" s="283"/>
      <c r="F12" s="283"/>
      <c r="G12" s="283"/>
      <c r="H12" s="285"/>
    </row>
    <row r="13" spans="1:8">
      <c r="A13" s="280">
        <f t="shared" si="0"/>
        <v>8</v>
      </c>
      <c r="B13" s="286" t="s">
        <v>395</v>
      </c>
      <c r="C13" s="287">
        <f>'WS4-CostData'!K107</f>
        <v>19675230.901022147</v>
      </c>
      <c r="D13" s="288">
        <f>'WS4-CostData'!K108</f>
        <v>199005.03972382803</v>
      </c>
      <c r="E13" s="288">
        <f>'WS4-CostData'!G108</f>
        <v>0</v>
      </c>
      <c r="F13" s="288">
        <f>'WS4-CostData'!C110</f>
        <v>15068.53002938668</v>
      </c>
      <c r="G13" s="288">
        <f>'WS4-CostData'!C111</f>
        <v>100724.92664878344</v>
      </c>
      <c r="H13" s="285" t="s">
        <v>396</v>
      </c>
    </row>
    <row r="14" spans="1:8" ht="15" thickBot="1">
      <c r="A14" s="280">
        <f t="shared" si="0"/>
        <v>9</v>
      </c>
      <c r="B14" s="286" t="s">
        <v>397</v>
      </c>
      <c r="C14" s="287">
        <f>C10</f>
        <v>764330983.14657068</v>
      </c>
      <c r="D14" s="288">
        <f>D10</f>
        <v>771131882.80124664</v>
      </c>
      <c r="E14" s="288">
        <f>E10</f>
        <v>585725690.66243219</v>
      </c>
      <c r="F14" s="288">
        <f>F10</f>
        <v>550199.72081312083</v>
      </c>
      <c r="G14" s="288">
        <f>G10</f>
        <v>3677785.8499140143</v>
      </c>
      <c r="H14" s="285" t="s">
        <v>398</v>
      </c>
    </row>
    <row r="15" spans="1:8" ht="15" thickBot="1">
      <c r="A15" s="280">
        <f t="shared" si="0"/>
        <v>10</v>
      </c>
      <c r="B15" s="286" t="s">
        <v>399</v>
      </c>
      <c r="C15" s="289">
        <f>+C13/C14</f>
        <v>2.5741768075427027E-2</v>
      </c>
      <c r="D15" s="290">
        <f>+D13/D14</f>
        <v>2.5806874824175834E-4</v>
      </c>
      <c r="E15" s="290">
        <f>+E13/E14</f>
        <v>0</v>
      </c>
      <c r="F15" s="290">
        <f>+F13/F14</f>
        <v>2.7387382180269794E-2</v>
      </c>
      <c r="G15" s="290">
        <f>+G13/G14</f>
        <v>2.7387382180269784E-2</v>
      </c>
      <c r="H15" s="285" t="s">
        <v>400</v>
      </c>
    </row>
    <row r="16" spans="1:8">
      <c r="A16" s="280">
        <f t="shared" si="0"/>
        <v>11</v>
      </c>
      <c r="B16" s="281" t="s">
        <v>401</v>
      </c>
      <c r="C16" s="282"/>
      <c r="D16" s="283"/>
      <c r="E16" s="283"/>
      <c r="F16" s="283"/>
      <c r="G16" s="283"/>
      <c r="H16" s="285"/>
    </row>
    <row r="17" spans="1:8">
      <c r="A17" s="280">
        <f t="shared" si="0"/>
        <v>12</v>
      </c>
      <c r="B17" s="286" t="s">
        <v>402</v>
      </c>
      <c r="C17" s="288">
        <f>'WS4-CostData'!K47</f>
        <v>32854724.821518961</v>
      </c>
      <c r="D17" s="288">
        <f>'WS4-CostData'!K48</f>
        <v>20990807.261539217</v>
      </c>
      <c r="E17" s="288">
        <f>'WS4-CostData'!G48</f>
        <v>16047597.637386722</v>
      </c>
      <c r="F17" s="288">
        <f>'WS4-CostData'!C50</f>
        <v>24200.685453085178</v>
      </c>
      <c r="G17" s="288">
        <f>'WS4-CostData'!C51</f>
        <v>161768.41817738349</v>
      </c>
      <c r="H17" s="285" t="s">
        <v>403</v>
      </c>
    </row>
    <row r="18" spans="1:8" ht="15" thickBot="1">
      <c r="A18" s="280">
        <f t="shared" si="0"/>
        <v>13</v>
      </c>
      <c r="B18" s="286" t="s">
        <v>390</v>
      </c>
      <c r="C18" s="287">
        <f>C14</f>
        <v>764330983.14657068</v>
      </c>
      <c r="D18" s="288">
        <f>D14</f>
        <v>771131882.80124664</v>
      </c>
      <c r="E18" s="288">
        <f>E14</f>
        <v>585725690.66243219</v>
      </c>
      <c r="F18" s="288">
        <f>F14</f>
        <v>550199.72081312083</v>
      </c>
      <c r="G18" s="288">
        <f>G14</f>
        <v>3677785.8499140143</v>
      </c>
      <c r="H18" s="285" t="s">
        <v>398</v>
      </c>
    </row>
    <row r="19" spans="1:8" ht="15" thickBot="1">
      <c r="A19" s="280">
        <f t="shared" si="0"/>
        <v>14</v>
      </c>
      <c r="B19" s="286" t="s">
        <v>404</v>
      </c>
      <c r="C19" s="289">
        <f>C17/C18</f>
        <v>4.2984944410160889E-2</v>
      </c>
      <c r="D19" s="290">
        <f>D17/D18</f>
        <v>2.722077472051488E-2</v>
      </c>
      <c r="E19" s="290">
        <f>E17/E18</f>
        <v>2.739780394340828E-2</v>
      </c>
      <c r="F19" s="290">
        <f>F17/F18</f>
        <v>4.3985273960735267E-2</v>
      </c>
      <c r="G19" s="290">
        <f>G17/G18</f>
        <v>4.3985273960735261E-2</v>
      </c>
      <c r="H19" s="285" t="s">
        <v>405</v>
      </c>
    </row>
    <row r="20" spans="1:8">
      <c r="A20" s="280">
        <f t="shared" si="0"/>
        <v>15</v>
      </c>
      <c r="B20" s="281" t="s">
        <v>406</v>
      </c>
      <c r="C20" s="282"/>
      <c r="D20" s="283"/>
      <c r="E20" s="283"/>
      <c r="F20" s="283"/>
      <c r="G20" s="283"/>
      <c r="H20" s="285"/>
    </row>
    <row r="21" spans="1:8">
      <c r="A21" s="280">
        <f t="shared" si="0"/>
        <v>16</v>
      </c>
      <c r="B21" s="286" t="s">
        <v>407</v>
      </c>
      <c r="C21" s="282"/>
      <c r="D21" s="283"/>
      <c r="E21" s="283"/>
      <c r="F21" s="283"/>
      <c r="G21" s="283"/>
      <c r="H21" s="285"/>
    </row>
    <row r="22" spans="1:8">
      <c r="A22" s="280">
        <f t="shared" si="0"/>
        <v>17</v>
      </c>
      <c r="B22" s="281" t="s">
        <v>408</v>
      </c>
      <c r="C22" s="282"/>
      <c r="D22" s="283"/>
      <c r="E22" s="283"/>
      <c r="F22" s="283"/>
      <c r="G22" s="283"/>
      <c r="H22" s="285"/>
    </row>
    <row r="23" spans="1:8">
      <c r="A23" s="280">
        <f t="shared" si="0"/>
        <v>18</v>
      </c>
      <c r="B23" s="286" t="s">
        <v>409</v>
      </c>
      <c r="C23" s="282"/>
      <c r="D23" s="283"/>
      <c r="E23" s="283"/>
      <c r="F23" s="283"/>
      <c r="G23" s="283"/>
      <c r="H23" s="285"/>
    </row>
    <row r="24" spans="1:8" ht="15" thickBot="1">
      <c r="A24" s="280">
        <f t="shared" si="0"/>
        <v>19</v>
      </c>
      <c r="B24" s="281" t="s">
        <v>410</v>
      </c>
      <c r="C24" s="282"/>
      <c r="D24" s="283"/>
      <c r="E24" s="283"/>
      <c r="F24" s="283"/>
      <c r="G24" s="283"/>
      <c r="H24" s="285"/>
    </row>
    <row r="25" spans="1:8" ht="15" thickBot="1">
      <c r="A25" s="280">
        <f t="shared" si="0"/>
        <v>20</v>
      </c>
      <c r="B25" s="286" t="s">
        <v>411</v>
      </c>
      <c r="C25" s="289">
        <f>'WS4-CostData'!K72</f>
        <v>4.3440729198788046E-2</v>
      </c>
      <c r="D25" s="290">
        <f>'WS4-CostData'!K74</f>
        <v>4.5600410648672603E-2</v>
      </c>
      <c r="E25" s="290">
        <f>'WS4-CostData'!K74</f>
        <v>4.5600410648672603E-2</v>
      </c>
      <c r="F25" s="290">
        <f>C25</f>
        <v>4.3440729198788046E-2</v>
      </c>
      <c r="G25" s="290">
        <f>F25</f>
        <v>4.3440729198788046E-2</v>
      </c>
      <c r="H25" s="285" t="s">
        <v>412</v>
      </c>
    </row>
    <row r="26" spans="1:8">
      <c r="A26" s="280">
        <f t="shared" si="0"/>
        <v>21</v>
      </c>
      <c r="B26" s="281" t="s">
        <v>413</v>
      </c>
      <c r="C26" s="282"/>
      <c r="D26" s="283"/>
      <c r="E26" s="283"/>
      <c r="F26" s="283"/>
      <c r="G26" s="283"/>
      <c r="H26" s="285"/>
    </row>
    <row r="27" spans="1:8">
      <c r="A27" s="280">
        <f t="shared" si="0"/>
        <v>22</v>
      </c>
      <c r="B27" s="286" t="s">
        <v>414</v>
      </c>
      <c r="C27" s="291">
        <f>C11</f>
        <v>9.4753847541169514E-2</v>
      </c>
      <c r="D27" s="292">
        <f>D11</f>
        <v>0.12051104625053355</v>
      </c>
      <c r="E27" s="292">
        <f>E11</f>
        <v>8.6191778404877503E-2</v>
      </c>
      <c r="F27" s="292">
        <f>F11</f>
        <v>9.5208173942654753E-2</v>
      </c>
      <c r="G27" s="292">
        <f>G11</f>
        <v>9.5208173942654725E-2</v>
      </c>
      <c r="H27" s="285" t="s">
        <v>415</v>
      </c>
    </row>
    <row r="28" spans="1:8">
      <c r="A28" s="280">
        <f t="shared" si="0"/>
        <v>23</v>
      </c>
      <c r="B28" s="286" t="s">
        <v>416</v>
      </c>
      <c r="C28" s="291">
        <f>C15</f>
        <v>2.5741768075427027E-2</v>
      </c>
      <c r="D28" s="292">
        <f>D15</f>
        <v>2.5806874824175834E-4</v>
      </c>
      <c r="E28" s="292">
        <f>E15</f>
        <v>0</v>
      </c>
      <c r="F28" s="292">
        <f>F15</f>
        <v>2.7387382180269794E-2</v>
      </c>
      <c r="G28" s="292">
        <f>G15</f>
        <v>2.7387382180269784E-2</v>
      </c>
      <c r="H28" s="285" t="s">
        <v>417</v>
      </c>
    </row>
    <row r="29" spans="1:8">
      <c r="A29" s="280">
        <f t="shared" si="0"/>
        <v>24</v>
      </c>
      <c r="B29" s="286" t="s">
        <v>402</v>
      </c>
      <c r="C29" s="291">
        <f>C19</f>
        <v>4.2984944410160889E-2</v>
      </c>
      <c r="D29" s="292">
        <f>D19</f>
        <v>2.722077472051488E-2</v>
      </c>
      <c r="E29" s="292">
        <f>E19</f>
        <v>2.739780394340828E-2</v>
      </c>
      <c r="F29" s="292">
        <f>F19</f>
        <v>4.3985273960735267E-2</v>
      </c>
      <c r="G29" s="292">
        <f>G19</f>
        <v>4.3985273960735261E-2</v>
      </c>
      <c r="H29" s="285" t="s">
        <v>418</v>
      </c>
    </row>
    <row r="30" spans="1:8">
      <c r="A30" s="280">
        <f t="shared" si="0"/>
        <v>25</v>
      </c>
      <c r="B30" s="286" t="s">
        <v>419</v>
      </c>
      <c r="C30" s="291">
        <v>0</v>
      </c>
      <c r="D30" s="292">
        <v>0</v>
      </c>
      <c r="E30" s="292">
        <v>0</v>
      </c>
      <c r="F30" s="292">
        <v>0</v>
      </c>
      <c r="G30" s="292">
        <v>0</v>
      </c>
      <c r="H30" s="285"/>
    </row>
    <row r="31" spans="1:8">
      <c r="A31" s="280">
        <f t="shared" si="0"/>
        <v>26</v>
      </c>
      <c r="B31" s="286" t="s">
        <v>420</v>
      </c>
      <c r="C31" s="291">
        <v>0</v>
      </c>
      <c r="D31" s="292">
        <v>0</v>
      </c>
      <c r="E31" s="292">
        <v>0</v>
      </c>
      <c r="F31" s="292">
        <v>0</v>
      </c>
      <c r="G31" s="292">
        <v>0</v>
      </c>
      <c r="H31" s="285"/>
    </row>
    <row r="32" spans="1:8" ht="15" thickBot="1">
      <c r="A32" s="280">
        <f t="shared" si="0"/>
        <v>27</v>
      </c>
      <c r="B32" s="286" t="s">
        <v>421</v>
      </c>
      <c r="C32" s="291">
        <f>C25</f>
        <v>4.3440729198788046E-2</v>
      </c>
      <c r="D32" s="292">
        <f>D25</f>
        <v>4.5600410648672603E-2</v>
      </c>
      <c r="E32" s="292">
        <f>E25</f>
        <v>4.5600410648672603E-2</v>
      </c>
      <c r="F32" s="292">
        <f>F25</f>
        <v>4.3440729198788046E-2</v>
      </c>
      <c r="G32" s="292">
        <f>G25</f>
        <v>4.3440729198788046E-2</v>
      </c>
      <c r="H32" s="285" t="s">
        <v>422</v>
      </c>
    </row>
    <row r="33" spans="1:8" ht="15" thickBot="1">
      <c r="A33" s="280">
        <f t="shared" si="0"/>
        <v>28</v>
      </c>
      <c r="B33" s="286" t="s">
        <v>423</v>
      </c>
      <c r="C33" s="289">
        <f>SUM(C27:C32)</f>
        <v>0.20692128922554548</v>
      </c>
      <c r="D33" s="290">
        <f>SUM(D27:D32)</f>
        <v>0.19359030036796279</v>
      </c>
      <c r="E33" s="290">
        <f>SUM(E27:E32)</f>
        <v>0.15918999299695838</v>
      </c>
      <c r="F33" s="290">
        <f>SUM(F27:F32)</f>
        <v>0.21002155928244787</v>
      </c>
      <c r="G33" s="290">
        <f>SUM(G27:G32)</f>
        <v>0.21002155928244781</v>
      </c>
      <c r="H33" s="285"/>
    </row>
    <row r="34" spans="1:8">
      <c r="A34" s="280">
        <f t="shared" si="0"/>
        <v>29</v>
      </c>
      <c r="B34" s="281" t="s">
        <v>424</v>
      </c>
      <c r="C34" s="291"/>
      <c r="D34" s="292"/>
      <c r="E34" s="292"/>
      <c r="F34" s="292"/>
      <c r="G34" s="292"/>
      <c r="H34" s="293"/>
    </row>
    <row r="35" spans="1:8">
      <c r="A35" s="280">
        <f t="shared" si="0"/>
        <v>30</v>
      </c>
      <c r="B35" s="286" t="s">
        <v>425</v>
      </c>
      <c r="C35" s="291">
        <f>C33</f>
        <v>0.20692128922554548</v>
      </c>
      <c r="D35" s="292">
        <f>D33</f>
        <v>0.19359030036796279</v>
      </c>
      <c r="E35" s="292">
        <f>E33</f>
        <v>0.15918999299695838</v>
      </c>
      <c r="F35" s="292">
        <f>F33</f>
        <v>0.21002155928244787</v>
      </c>
      <c r="G35" s="292">
        <f>G33</f>
        <v>0.21002155928244781</v>
      </c>
      <c r="H35" s="294" t="s">
        <v>426</v>
      </c>
    </row>
    <row r="36" spans="1:8">
      <c r="A36" s="280">
        <f t="shared" si="0"/>
        <v>31</v>
      </c>
      <c r="B36" s="286" t="s">
        <v>390</v>
      </c>
      <c r="C36" s="295">
        <f>C10</f>
        <v>764330983.14657068</v>
      </c>
      <c r="D36" s="296">
        <f>D10</f>
        <v>771131882.80124664</v>
      </c>
      <c r="E36" s="296">
        <f>E10</f>
        <v>585725690.66243219</v>
      </c>
      <c r="F36" s="296">
        <f>F10</f>
        <v>550199.72081312083</v>
      </c>
      <c r="G36" s="296">
        <f>G10</f>
        <v>3677785.8499140143</v>
      </c>
      <c r="H36" s="285" t="s">
        <v>398</v>
      </c>
    </row>
    <row r="37" spans="1:8" ht="15" thickBot="1">
      <c r="A37" s="244">
        <f t="shared" si="0"/>
        <v>32</v>
      </c>
      <c r="B37" s="297" t="s">
        <v>427</v>
      </c>
      <c r="C37" s="298">
        <f>C36*C35</f>
        <v>158156352.42771709</v>
      </c>
      <c r="D37" s="299">
        <f>D36*D35</f>
        <v>149283652.81480601</v>
      </c>
      <c r="E37" s="299">
        <f>E36*E35</f>
        <v>93241668.594691187</v>
      </c>
      <c r="F37" s="299">
        <f>F36*F35</f>
        <v>115553.80328193912</v>
      </c>
      <c r="G37" s="299">
        <f>G36*G35</f>
        <v>772414.31890586391</v>
      </c>
      <c r="H37" s="300" t="s">
        <v>428</v>
      </c>
    </row>
  </sheetData>
  <hyperlinks>
    <hyperlink ref="H1" location="'Cover Sheets'!A18" display="(Back to Worksheet Links)" xr:uid="{00000000-0004-0000-0300-000000000000}"/>
  </hyperlinks>
  <pageMargins left="0.7" right="0.7" top="0.75" bottom="0.75" header="0.3" footer="0.3"/>
  <pageSetup scale="57" fitToHeight="0"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53"/>
  <sheetViews>
    <sheetView view="pageBreakPreview" zoomScaleNormal="100" zoomScaleSheetLayoutView="100" workbookViewId="0"/>
  </sheetViews>
  <sheetFormatPr defaultColWidth="12.7265625" defaultRowHeight="13"/>
  <cols>
    <col min="1" max="1" width="12.7265625" style="232"/>
    <col min="2" max="2" width="32.81640625" style="231" customWidth="1"/>
    <col min="3" max="3" width="15.54296875" style="231" bestFit="1" customWidth="1"/>
    <col min="4" max="4" width="7" style="231" customWidth="1"/>
    <col min="5" max="5" width="12.7265625" style="231"/>
    <col min="6" max="6" width="7.54296875" style="231" bestFit="1" customWidth="1"/>
    <col min="7" max="7" width="17.26953125" style="231" customWidth="1"/>
    <col min="8" max="8" width="8.453125" style="231" customWidth="1"/>
    <col min="9" max="9" width="12.7265625" style="231"/>
    <col min="10" max="10" width="7" style="231" customWidth="1"/>
    <col min="11" max="12" width="16.26953125" style="231" customWidth="1"/>
    <col min="13" max="16384" width="12.7265625" style="231"/>
  </cols>
  <sheetData>
    <row r="1" spans="1:12" ht="14.5">
      <c r="A1" s="237" t="str">
        <f>'Cover Sheets'!A10:D10</f>
        <v>WAPA-UGP 2020 Rate True-up Calculation</v>
      </c>
      <c r="B1" s="322"/>
      <c r="C1" s="579" t="s">
        <v>97</v>
      </c>
      <c r="D1" s="238"/>
      <c r="E1" s="238"/>
      <c r="F1" s="238"/>
      <c r="G1" s="238"/>
      <c r="H1" s="238"/>
      <c r="I1" s="238"/>
      <c r="J1" s="238"/>
      <c r="K1" s="238"/>
      <c r="L1" s="262"/>
    </row>
    <row r="2" spans="1:12">
      <c r="A2" s="573" t="s">
        <v>429</v>
      </c>
      <c r="B2" s="794"/>
      <c r="C2" s="239"/>
      <c r="D2" s="239"/>
      <c r="E2" s="239"/>
      <c r="F2" s="239"/>
      <c r="G2" s="239"/>
      <c r="H2" s="239"/>
      <c r="I2" s="239"/>
      <c r="J2" s="239"/>
      <c r="K2" s="239"/>
      <c r="L2" s="263"/>
    </row>
    <row r="3" spans="1:12">
      <c r="A3" s="573" t="str">
        <f>'Summary-TrueUp'!A3</f>
        <v>12 Months Ending 09/30/2020 True-up</v>
      </c>
      <c r="B3" s="794"/>
      <c r="C3" s="239"/>
      <c r="D3" s="239"/>
      <c r="E3" s="239"/>
      <c r="F3" s="239"/>
      <c r="G3" s="239"/>
      <c r="H3" s="239"/>
      <c r="I3" s="239"/>
      <c r="J3" s="239"/>
      <c r="K3" s="239"/>
      <c r="L3" s="263"/>
    </row>
    <row r="4" spans="1:12">
      <c r="A4" s="323"/>
      <c r="B4" s="324"/>
      <c r="C4" s="324" t="s">
        <v>430</v>
      </c>
      <c r="D4" s="325"/>
      <c r="E4" s="324" t="s">
        <v>431</v>
      </c>
      <c r="F4" s="325"/>
      <c r="G4" s="324" t="s">
        <v>432</v>
      </c>
      <c r="H4" s="326"/>
      <c r="I4" s="324" t="s">
        <v>433</v>
      </c>
      <c r="J4" s="326"/>
      <c r="K4" s="324" t="s">
        <v>434</v>
      </c>
      <c r="L4" s="263"/>
    </row>
    <row r="5" spans="1:12" s="232" customFormat="1" ht="13.5" thickBot="1">
      <c r="A5" s="327" t="s">
        <v>49</v>
      </c>
      <c r="B5" s="245">
        <v>-1</v>
      </c>
      <c r="C5" s="328">
        <v>-2</v>
      </c>
      <c r="D5" s="329"/>
      <c r="E5" s="328">
        <v>-3</v>
      </c>
      <c r="F5" s="329"/>
      <c r="G5" s="245">
        <v>-4</v>
      </c>
      <c r="H5" s="330"/>
      <c r="I5" s="245">
        <v>-5</v>
      </c>
      <c r="J5" s="330"/>
      <c r="K5" s="245">
        <v>-6</v>
      </c>
      <c r="L5" s="331"/>
    </row>
    <row r="6" spans="1:12">
      <c r="A6" s="323">
        <v>1</v>
      </c>
      <c r="B6" s="332" t="s">
        <v>435</v>
      </c>
      <c r="C6" s="333"/>
      <c r="D6" s="333"/>
      <c r="E6" s="333"/>
      <c r="F6" s="333"/>
      <c r="G6" s="333"/>
      <c r="H6" s="333"/>
      <c r="I6" s="333"/>
      <c r="J6" s="333"/>
      <c r="K6" s="333"/>
      <c r="L6" s="263"/>
    </row>
    <row r="7" spans="1:12">
      <c r="A7" s="323">
        <f t="shared" ref="A7:A35" si="0">A6+1</f>
        <v>2</v>
      </c>
      <c r="B7" s="334" t="s">
        <v>436</v>
      </c>
      <c r="C7" s="335">
        <f>'WS8-TransFac'!$E$513</f>
        <v>1488320852.6500008</v>
      </c>
      <c r="D7" s="336" t="s">
        <v>437</v>
      </c>
      <c r="E7" s="335">
        <f>820911399.78</f>
        <v>820911399.77999997</v>
      </c>
      <c r="F7" s="336" t="s">
        <v>438</v>
      </c>
      <c r="G7" s="335">
        <f>162150730+193277247+201456286+360908896+79195566+281871021</f>
        <v>1278859746</v>
      </c>
      <c r="H7" s="336" t="s">
        <v>439</v>
      </c>
      <c r="I7" s="335">
        <f>552632733.68</f>
        <v>552632733.67999995</v>
      </c>
      <c r="J7" s="336" t="s">
        <v>440</v>
      </c>
      <c r="K7" s="334">
        <f t="shared" ref="K7:K12" si="1">C7+E7+G7+I7</f>
        <v>4140724732.1100006</v>
      </c>
      <c r="L7" s="263"/>
    </row>
    <row r="8" spans="1:12">
      <c r="A8" s="323">
        <f t="shared" si="0"/>
        <v>3</v>
      </c>
      <c r="B8" s="334" t="s">
        <v>441</v>
      </c>
      <c r="C8" s="335">
        <f>'WS8-TransFac'!$I$513</f>
        <v>1414831064.7847199</v>
      </c>
      <c r="D8" s="336" t="s">
        <v>442</v>
      </c>
      <c r="E8" s="334">
        <f>'WS8-TransFac'!$I$504</f>
        <v>7335302.9449999994</v>
      </c>
      <c r="F8" s="336" t="s">
        <v>443</v>
      </c>
      <c r="G8" s="334">
        <f>'WS8-TransFac'!$I$511</f>
        <v>94310397.020000011</v>
      </c>
      <c r="H8" s="336" t="s">
        <v>444</v>
      </c>
      <c r="I8" s="334">
        <v>0</v>
      </c>
      <c r="J8" s="336"/>
      <c r="K8" s="334">
        <f t="shared" si="1"/>
        <v>1516476764.7497199</v>
      </c>
      <c r="L8" s="263"/>
    </row>
    <row r="9" spans="1:12">
      <c r="A9" s="323">
        <f t="shared" si="0"/>
        <v>4</v>
      </c>
      <c r="B9" s="334" t="s">
        <v>445</v>
      </c>
      <c r="C9" s="335">
        <f>'WS8-TransFac'!$G$513</f>
        <v>14395258.178580005</v>
      </c>
      <c r="D9" s="336" t="s">
        <v>446</v>
      </c>
      <c r="E9" s="334">
        <v>0</v>
      </c>
      <c r="F9" s="336"/>
      <c r="G9" s="335">
        <f>G7-G8</f>
        <v>1184549348.98</v>
      </c>
      <c r="H9" s="336" t="s">
        <v>447</v>
      </c>
      <c r="I9" s="335">
        <f>I7-I8</f>
        <v>552632733.67999995</v>
      </c>
      <c r="J9" s="336" t="s">
        <v>447</v>
      </c>
      <c r="K9" s="334">
        <f t="shared" si="1"/>
        <v>1751577340.8385801</v>
      </c>
      <c r="L9" s="263"/>
    </row>
    <row r="10" spans="1:12">
      <c r="A10" s="323">
        <f t="shared" si="0"/>
        <v>5</v>
      </c>
      <c r="B10" s="334" t="s">
        <v>448</v>
      </c>
      <c r="C10" s="335">
        <f>'WS13-SSCDFac'!$G$43+'WS13-SSCDFac'!$G$49+'WS13-SSCDFac'!$G$56+'WS13-SSCDFac'!$G$106+'WS13-SSCDFac'!$G$127</f>
        <v>16747261.09334</v>
      </c>
      <c r="D10" s="336" t="s">
        <v>449</v>
      </c>
      <c r="E10" s="334"/>
      <c r="F10" s="336"/>
      <c r="G10" s="335"/>
      <c r="H10" s="336"/>
      <c r="I10" s="335"/>
      <c r="J10" s="336"/>
      <c r="K10" s="334">
        <f t="shared" si="1"/>
        <v>16747261.09334</v>
      </c>
      <c r="L10" s="263"/>
    </row>
    <row r="11" spans="1:12">
      <c r="A11" s="323">
        <f t="shared" si="0"/>
        <v>6</v>
      </c>
      <c r="B11" s="334" t="s">
        <v>450</v>
      </c>
      <c r="C11" s="335">
        <f>'WS7-BPUFac'!G8</f>
        <v>1089999.4314000001</v>
      </c>
      <c r="D11" s="336" t="s">
        <v>451</v>
      </c>
      <c r="E11" s="334"/>
      <c r="F11" s="336"/>
      <c r="G11" s="335"/>
      <c r="H11" s="336"/>
      <c r="I11" s="335"/>
      <c r="J11" s="336"/>
      <c r="K11" s="334">
        <f t="shared" si="1"/>
        <v>1089999.4314000001</v>
      </c>
      <c r="L11" s="263"/>
    </row>
    <row r="12" spans="1:12">
      <c r="A12" s="323">
        <f t="shared" si="0"/>
        <v>7</v>
      </c>
      <c r="B12" s="334" t="s">
        <v>452</v>
      </c>
      <c r="C12" s="335">
        <f>'WS7-BPUFac'!H8</f>
        <v>7286053.2886000006</v>
      </c>
      <c r="D12" s="336" t="s">
        <v>451</v>
      </c>
      <c r="E12" s="334"/>
      <c r="F12" s="336"/>
      <c r="G12" s="335"/>
      <c r="H12" s="336"/>
      <c r="I12" s="335"/>
      <c r="J12" s="336"/>
      <c r="K12" s="334">
        <f t="shared" si="1"/>
        <v>7286053.2886000006</v>
      </c>
      <c r="L12" s="263"/>
    </row>
    <row r="13" spans="1:12">
      <c r="A13" s="323">
        <f t="shared" si="0"/>
        <v>8</v>
      </c>
      <c r="B13" s="334" t="s">
        <v>453</v>
      </c>
      <c r="C13" s="337">
        <f>C9/C7</f>
        <v>9.6721470729572902E-3</v>
      </c>
      <c r="D13" s="338" t="s">
        <v>454</v>
      </c>
      <c r="E13" s="337">
        <f>E9/E7</f>
        <v>0</v>
      </c>
      <c r="F13" s="338" t="s">
        <v>454</v>
      </c>
      <c r="G13" s="337">
        <f>G9/G7</f>
        <v>0.92625430793722086</v>
      </c>
      <c r="H13" s="338" t="s">
        <v>454</v>
      </c>
      <c r="I13" s="337">
        <f>I9/I7</f>
        <v>1</v>
      </c>
      <c r="J13" s="338" t="s">
        <v>454</v>
      </c>
      <c r="K13" s="334"/>
      <c r="L13" s="263"/>
    </row>
    <row r="14" spans="1:12">
      <c r="A14" s="323">
        <f t="shared" si="0"/>
        <v>9</v>
      </c>
      <c r="B14" s="334" t="s">
        <v>455</v>
      </c>
      <c r="C14" s="337">
        <f>C8/C7</f>
        <v>0.95062234884740748</v>
      </c>
      <c r="D14" s="338" t="s">
        <v>456</v>
      </c>
      <c r="E14" s="337">
        <f>E8/E7</f>
        <v>8.9355598508752861E-3</v>
      </c>
      <c r="F14" s="338" t="s">
        <v>456</v>
      </c>
      <c r="G14" s="337">
        <f>G8/G7</f>
        <v>7.3745692062779186E-2</v>
      </c>
      <c r="H14" s="338" t="s">
        <v>456</v>
      </c>
      <c r="I14" s="337">
        <f>I8/I7</f>
        <v>0</v>
      </c>
      <c r="J14" s="338" t="s">
        <v>456</v>
      </c>
      <c r="K14" s="334"/>
      <c r="L14" s="263"/>
    </row>
    <row r="15" spans="1:12">
      <c r="A15" s="323">
        <f t="shared" si="0"/>
        <v>10</v>
      </c>
      <c r="B15" s="334" t="s">
        <v>457</v>
      </c>
      <c r="C15" s="337">
        <f>C10/C7</f>
        <v>1.1252453436717619E-2</v>
      </c>
      <c r="D15" s="338" t="s">
        <v>458</v>
      </c>
      <c r="E15" s="337"/>
      <c r="F15" s="338"/>
      <c r="G15" s="337"/>
      <c r="H15" s="338"/>
      <c r="I15" s="337"/>
      <c r="J15" s="338"/>
      <c r="K15" s="334"/>
      <c r="L15" s="263"/>
    </row>
    <row r="16" spans="1:12">
      <c r="A16" s="323">
        <f t="shared" si="0"/>
        <v>11</v>
      </c>
      <c r="B16" s="334" t="s">
        <v>459</v>
      </c>
      <c r="C16" s="337">
        <f>C11/C7</f>
        <v>7.3236858131714194E-4</v>
      </c>
      <c r="D16" s="338" t="s">
        <v>460</v>
      </c>
      <c r="E16" s="337"/>
      <c r="F16" s="338"/>
      <c r="G16" s="337"/>
      <c r="H16" s="338"/>
      <c r="I16" s="337"/>
      <c r="J16" s="338"/>
      <c r="K16" s="334"/>
      <c r="L16" s="263"/>
    </row>
    <row r="17" spans="1:12">
      <c r="A17" s="323">
        <f t="shared" si="0"/>
        <v>12</v>
      </c>
      <c r="B17" s="334" t="s">
        <v>461</v>
      </c>
      <c r="C17" s="337">
        <f>C12/C7</f>
        <v>4.8954855907763165E-3</v>
      </c>
      <c r="D17" s="338" t="s">
        <v>462</v>
      </c>
      <c r="E17" s="337"/>
      <c r="F17" s="338"/>
      <c r="G17" s="337"/>
      <c r="H17" s="338"/>
      <c r="I17" s="337"/>
      <c r="J17" s="338"/>
      <c r="K17" s="334"/>
      <c r="L17" s="263"/>
    </row>
    <row r="18" spans="1:12">
      <c r="A18" s="323">
        <f t="shared" si="0"/>
        <v>13</v>
      </c>
      <c r="B18" s="334" t="s">
        <v>463</v>
      </c>
      <c r="C18" s="335">
        <f>630067680.32+106992489.05</f>
        <v>737060169.37</v>
      </c>
      <c r="D18" s="336" t="s">
        <v>464</v>
      </c>
      <c r="E18" s="744">
        <f>425636729.63</f>
        <v>425636729.63</v>
      </c>
      <c r="F18" s="339" t="s">
        <v>465</v>
      </c>
      <c r="G18" s="334">
        <f>80428139+105755063+119413267+154316801+37453063+149133935</f>
        <v>646500268</v>
      </c>
      <c r="H18" s="336" t="s">
        <v>466</v>
      </c>
      <c r="I18" s="335">
        <f>374492845.36</f>
        <v>374492845.36000001</v>
      </c>
      <c r="J18" s="336" t="s">
        <v>440</v>
      </c>
      <c r="K18" s="334">
        <f t="shared" ref="K18:K24" si="2">C18+E18+G18+I18</f>
        <v>2183690012.3600001</v>
      </c>
      <c r="L18" s="263"/>
    </row>
    <row r="19" spans="1:12">
      <c r="A19" s="323">
        <f t="shared" si="0"/>
        <v>14</v>
      </c>
      <c r="B19" s="334" t="s">
        <v>467</v>
      </c>
      <c r="C19" s="334">
        <f>C18*C14</f>
        <v>700665869.44837737</v>
      </c>
      <c r="D19" s="336" t="s">
        <v>468</v>
      </c>
      <c r="E19" s="334">
        <f>E18*E14</f>
        <v>3803302.4723396874</v>
      </c>
      <c r="F19" s="336" t="s">
        <v>468</v>
      </c>
      <c r="G19" s="334">
        <f>G18*G14</f>
        <v>47676609.682432219</v>
      </c>
      <c r="H19" s="336" t="s">
        <v>468</v>
      </c>
      <c r="I19" s="334">
        <f>I18*I14</f>
        <v>0</v>
      </c>
      <c r="J19" s="336" t="s">
        <v>468</v>
      </c>
      <c r="K19" s="334">
        <f t="shared" si="2"/>
        <v>752145781.60314918</v>
      </c>
      <c r="L19" s="263"/>
    </row>
    <row r="20" spans="1:12">
      <c r="A20" s="323">
        <f t="shared" si="0"/>
        <v>15</v>
      </c>
      <c r="B20" s="334" t="s">
        <v>469</v>
      </c>
      <c r="C20" s="334">
        <f>C18*C$13</f>
        <v>7128954.3597654505</v>
      </c>
      <c r="D20" s="336" t="s">
        <v>470</v>
      </c>
      <c r="E20" s="334">
        <f>E18*E$13</f>
        <v>0</v>
      </c>
      <c r="F20" s="336" t="s">
        <v>471</v>
      </c>
      <c r="G20" s="726">
        <f>G18-G19</f>
        <v>598823658.31756783</v>
      </c>
      <c r="H20" s="336" t="s">
        <v>472</v>
      </c>
      <c r="I20" s="334">
        <f>I13*I18</f>
        <v>374492845.36000001</v>
      </c>
      <c r="J20" s="336" t="s">
        <v>470</v>
      </c>
      <c r="K20" s="334">
        <f>C20+E20+G20+I20</f>
        <v>980445458.03733325</v>
      </c>
      <c r="L20" s="263"/>
    </row>
    <row r="21" spans="1:12">
      <c r="A21" s="323">
        <f t="shared" si="0"/>
        <v>16</v>
      </c>
      <c r="B21" s="334" t="s">
        <v>473</v>
      </c>
      <c r="C21" s="334">
        <f>C18*C$15</f>
        <v>8293735.2358951271</v>
      </c>
      <c r="D21" s="336" t="s">
        <v>474</v>
      </c>
      <c r="E21" s="334"/>
      <c r="F21" s="336"/>
      <c r="G21" s="335"/>
      <c r="H21" s="336"/>
      <c r="I21" s="334"/>
      <c r="J21" s="336"/>
      <c r="K21" s="334">
        <f t="shared" si="2"/>
        <v>8293735.2358951271</v>
      </c>
      <c r="L21" s="263"/>
    </row>
    <row r="22" spans="1:12">
      <c r="A22" s="323">
        <f t="shared" si="0"/>
        <v>17</v>
      </c>
      <c r="B22" s="334" t="s">
        <v>475</v>
      </c>
      <c r="C22" s="334">
        <f>C16*C18</f>
        <v>539799.71058687929</v>
      </c>
      <c r="D22" s="336" t="s">
        <v>476</v>
      </c>
      <c r="E22" s="334"/>
      <c r="F22" s="336"/>
      <c r="G22" s="335"/>
      <c r="H22" s="336"/>
      <c r="I22" s="334"/>
      <c r="J22" s="336"/>
      <c r="K22" s="334">
        <f t="shared" si="2"/>
        <v>539799.71058687929</v>
      </c>
      <c r="L22" s="263"/>
    </row>
    <row r="23" spans="1:12">
      <c r="A23" s="323">
        <f t="shared" si="0"/>
        <v>18</v>
      </c>
      <c r="B23" s="340" t="s">
        <v>477</v>
      </c>
      <c r="C23" s="340">
        <f>C17*C18</f>
        <v>3608267.4386859862</v>
      </c>
      <c r="D23" s="341" t="s">
        <v>478</v>
      </c>
      <c r="E23" s="340"/>
      <c r="F23" s="341"/>
      <c r="G23" s="342"/>
      <c r="H23" s="341"/>
      <c r="I23" s="340"/>
      <c r="J23" s="341"/>
      <c r="K23" s="334">
        <f t="shared" si="2"/>
        <v>3608267.4386859862</v>
      </c>
      <c r="L23" s="263"/>
    </row>
    <row r="24" spans="1:12">
      <c r="A24" s="323">
        <f t="shared" si="0"/>
        <v>19</v>
      </c>
      <c r="B24" s="334" t="s">
        <v>479</v>
      </c>
      <c r="C24" s="334">
        <f>C8-C19</f>
        <v>714165195.33634257</v>
      </c>
      <c r="D24" s="336" t="s">
        <v>480</v>
      </c>
      <c r="E24" s="334">
        <f>E8-E19</f>
        <v>3532000.472660312</v>
      </c>
      <c r="F24" s="336" t="s">
        <v>480</v>
      </c>
      <c r="G24" s="334">
        <f>G8-G19</f>
        <v>46633787.337567791</v>
      </c>
      <c r="H24" s="336" t="s">
        <v>480</v>
      </c>
      <c r="I24" s="334">
        <f>I8-I19</f>
        <v>0</v>
      </c>
      <c r="J24" s="336" t="s">
        <v>480</v>
      </c>
      <c r="K24" s="334">
        <f t="shared" si="2"/>
        <v>764330983.14657068</v>
      </c>
      <c r="L24" s="263"/>
    </row>
    <row r="25" spans="1:12">
      <c r="A25" s="323">
        <f t="shared" si="0"/>
        <v>20</v>
      </c>
      <c r="B25" s="334" t="s">
        <v>481</v>
      </c>
      <c r="C25" s="334">
        <f>C9-C20</f>
        <v>7266303.8188145543</v>
      </c>
      <c r="D25" s="336" t="s">
        <v>482</v>
      </c>
      <c r="E25" s="334">
        <v>0</v>
      </c>
      <c r="F25" s="336" t="s">
        <v>482</v>
      </c>
      <c r="G25" s="335">
        <f>G9-G20</f>
        <v>585725690.66243219</v>
      </c>
      <c r="H25" s="336" t="s">
        <v>482</v>
      </c>
      <c r="I25" s="334">
        <f>I9-I20</f>
        <v>178139888.31999993</v>
      </c>
      <c r="J25" s="336" t="s">
        <v>482</v>
      </c>
      <c r="K25" s="334">
        <f t="shared" ref="K25:K28" si="3">C25+E25+G25+I25</f>
        <v>771131882.80124664</v>
      </c>
      <c r="L25" s="263"/>
    </row>
    <row r="26" spans="1:12">
      <c r="A26" s="323">
        <f t="shared" si="0"/>
        <v>21</v>
      </c>
      <c r="B26" s="334" t="s">
        <v>483</v>
      </c>
      <c r="C26" s="334">
        <f>C10-C21</f>
        <v>8453525.8574448731</v>
      </c>
      <c r="D26" s="336" t="s">
        <v>484</v>
      </c>
      <c r="E26" s="334"/>
      <c r="F26" s="336"/>
      <c r="G26" s="335"/>
      <c r="H26" s="336"/>
      <c r="I26" s="334"/>
      <c r="J26" s="336"/>
      <c r="K26" s="334">
        <f t="shared" si="3"/>
        <v>8453525.8574448731</v>
      </c>
      <c r="L26" s="263"/>
    </row>
    <row r="27" spans="1:12">
      <c r="A27" s="323">
        <f t="shared" si="0"/>
        <v>22</v>
      </c>
      <c r="B27" s="334" t="s">
        <v>485</v>
      </c>
      <c r="C27" s="334">
        <f>C11-C22</f>
        <v>550199.72081312083</v>
      </c>
      <c r="D27" s="336" t="s">
        <v>486</v>
      </c>
      <c r="E27" s="334"/>
      <c r="F27" s="336"/>
      <c r="G27" s="335"/>
      <c r="H27" s="336"/>
      <c r="I27" s="334"/>
      <c r="J27" s="336"/>
      <c r="K27" s="334">
        <f t="shared" si="3"/>
        <v>550199.72081312083</v>
      </c>
      <c r="L27" s="263"/>
    </row>
    <row r="28" spans="1:12">
      <c r="A28" s="323">
        <f t="shared" si="0"/>
        <v>23</v>
      </c>
      <c r="B28" s="334" t="s">
        <v>487</v>
      </c>
      <c r="C28" s="334">
        <f>C12-C23</f>
        <v>3677785.8499140143</v>
      </c>
      <c r="D28" s="336" t="s">
        <v>488</v>
      </c>
      <c r="E28" s="334"/>
      <c r="F28" s="336"/>
      <c r="G28" s="335"/>
      <c r="H28" s="336"/>
      <c r="I28" s="334"/>
      <c r="J28" s="336"/>
      <c r="K28" s="334">
        <f t="shared" si="3"/>
        <v>3677785.8499140143</v>
      </c>
      <c r="L28" s="263"/>
    </row>
    <row r="29" spans="1:12">
      <c r="A29" s="323">
        <f t="shared" si="0"/>
        <v>24</v>
      </c>
      <c r="B29" s="334" t="s">
        <v>489</v>
      </c>
      <c r="C29" s="334"/>
      <c r="D29" s="334"/>
      <c r="E29" s="334"/>
      <c r="F29" s="334"/>
      <c r="G29" s="334"/>
      <c r="H29" s="334"/>
      <c r="I29" s="334"/>
      <c r="J29" s="334"/>
      <c r="K29" s="334"/>
      <c r="L29" s="263"/>
    </row>
    <row r="30" spans="1:12">
      <c r="A30" s="323">
        <f t="shared" si="0"/>
        <v>25</v>
      </c>
      <c r="B30" s="343" t="s">
        <v>490</v>
      </c>
      <c r="C30" s="334"/>
      <c r="D30" s="334"/>
      <c r="E30" s="334"/>
      <c r="F30" s="334"/>
      <c r="G30" s="334"/>
      <c r="H30" s="334"/>
      <c r="I30" s="334"/>
      <c r="J30" s="334"/>
      <c r="K30" s="334"/>
      <c r="L30" s="263"/>
    </row>
    <row r="31" spans="1:12">
      <c r="A31" s="323">
        <f t="shared" si="0"/>
        <v>26</v>
      </c>
      <c r="B31" s="334" t="s">
        <v>491</v>
      </c>
      <c r="C31" s="334"/>
      <c r="D31" s="334"/>
      <c r="E31" s="334"/>
      <c r="F31" s="334"/>
      <c r="G31" s="334"/>
      <c r="H31" s="334"/>
      <c r="I31" s="334"/>
      <c r="J31" s="334"/>
      <c r="K31" s="334"/>
      <c r="L31" s="263"/>
    </row>
    <row r="32" spans="1:12">
      <c r="A32" s="323">
        <f t="shared" si="0"/>
        <v>27</v>
      </c>
      <c r="B32" s="334" t="s">
        <v>492</v>
      </c>
      <c r="C32" s="334"/>
      <c r="D32" s="334"/>
      <c r="E32" s="334"/>
      <c r="F32" s="334"/>
      <c r="G32" s="334"/>
      <c r="H32" s="334"/>
      <c r="I32" s="334"/>
      <c r="J32" s="334"/>
      <c r="K32" s="334"/>
      <c r="L32" s="263"/>
    </row>
    <row r="33" spans="1:12">
      <c r="A33" s="323">
        <f t="shared" si="0"/>
        <v>28</v>
      </c>
      <c r="B33" s="334" t="s">
        <v>493</v>
      </c>
      <c r="C33" s="334"/>
      <c r="D33" s="334"/>
      <c r="E33" s="334"/>
      <c r="F33" s="334"/>
      <c r="G33" s="334"/>
      <c r="H33" s="334"/>
      <c r="I33" s="334"/>
      <c r="J33" s="334"/>
      <c r="K33" s="344"/>
      <c r="L33" s="263"/>
    </row>
    <row r="34" spans="1:12">
      <c r="A34" s="323">
        <f t="shared" si="0"/>
        <v>29</v>
      </c>
      <c r="B34" s="334" t="s">
        <v>494</v>
      </c>
      <c r="C34" s="334"/>
      <c r="D34" s="334"/>
      <c r="E34" s="334"/>
      <c r="F34" s="334"/>
      <c r="G34" s="334"/>
      <c r="H34" s="334"/>
      <c r="I34" s="334"/>
      <c r="J34" s="334"/>
      <c r="K34" s="334"/>
      <c r="L34" s="263"/>
    </row>
    <row r="35" spans="1:12">
      <c r="A35" s="323">
        <f t="shared" si="0"/>
        <v>30</v>
      </c>
      <c r="B35" s="334" t="s">
        <v>495</v>
      </c>
      <c r="C35" s="334"/>
      <c r="D35" s="334"/>
      <c r="E35" s="334"/>
      <c r="F35" s="334"/>
      <c r="G35" s="334"/>
      <c r="H35" s="334"/>
      <c r="I35" s="334"/>
      <c r="J35" s="334"/>
      <c r="K35" s="334"/>
      <c r="L35" s="263"/>
    </row>
    <row r="36" spans="1:12">
      <c r="A36" s="323">
        <f t="shared" ref="A36:A41" si="4">A35+1</f>
        <v>31</v>
      </c>
      <c r="B36" s="239" t="s">
        <v>496</v>
      </c>
      <c r="C36" s="334"/>
      <c r="D36" s="334"/>
      <c r="E36" s="334"/>
      <c r="F36" s="334"/>
      <c r="G36" s="334"/>
      <c r="H36" s="334"/>
      <c r="I36" s="334"/>
      <c r="J36" s="334"/>
      <c r="K36" s="334"/>
      <c r="L36" s="263"/>
    </row>
    <row r="37" spans="1:12">
      <c r="A37" s="323">
        <f t="shared" si="4"/>
        <v>32</v>
      </c>
      <c r="B37" s="343" t="s">
        <v>497</v>
      </c>
      <c r="C37" s="334"/>
      <c r="D37" s="334"/>
      <c r="E37" s="334"/>
      <c r="F37" s="334"/>
      <c r="G37" s="334"/>
      <c r="H37" s="334"/>
      <c r="I37" s="334"/>
      <c r="J37" s="334"/>
      <c r="K37" s="334"/>
      <c r="L37" s="263"/>
    </row>
    <row r="38" spans="1:12">
      <c r="A38" s="323">
        <f t="shared" si="4"/>
        <v>33</v>
      </c>
      <c r="B38" s="343" t="s">
        <v>498</v>
      </c>
      <c r="C38" s="334"/>
      <c r="D38" s="334"/>
      <c r="E38" s="334"/>
      <c r="F38" s="334"/>
      <c r="G38" s="334"/>
      <c r="H38" s="334"/>
      <c r="I38" s="334"/>
      <c r="J38" s="334"/>
      <c r="K38" s="334"/>
      <c r="L38" s="263"/>
    </row>
    <row r="39" spans="1:12">
      <c r="A39" s="323">
        <f t="shared" si="4"/>
        <v>34</v>
      </c>
      <c r="B39" s="334" t="s">
        <v>499</v>
      </c>
      <c r="C39" s="334"/>
      <c r="D39" s="334"/>
      <c r="E39" s="334"/>
      <c r="F39" s="334"/>
      <c r="G39" s="334"/>
      <c r="H39" s="334"/>
      <c r="I39" s="334"/>
      <c r="J39" s="334"/>
      <c r="K39" s="334"/>
      <c r="L39" s="263"/>
    </row>
    <row r="40" spans="1:12">
      <c r="A40" s="323">
        <f t="shared" si="4"/>
        <v>35</v>
      </c>
      <c r="B40" s="334" t="s">
        <v>500</v>
      </c>
      <c r="C40" s="334"/>
      <c r="D40" s="334"/>
      <c r="E40" s="334"/>
      <c r="F40" s="334"/>
      <c r="G40" s="334"/>
      <c r="H40" s="334"/>
      <c r="I40" s="334"/>
      <c r="J40" s="334"/>
      <c r="K40" s="334"/>
      <c r="L40" s="263"/>
    </row>
    <row r="41" spans="1:12" ht="13.5" thickBot="1">
      <c r="A41" s="323">
        <f t="shared" si="4"/>
        <v>36</v>
      </c>
      <c r="B41" s="334" t="s">
        <v>501</v>
      </c>
      <c r="C41" s="334"/>
      <c r="D41" s="334"/>
      <c r="E41" s="334"/>
      <c r="F41" s="334"/>
      <c r="G41" s="334"/>
      <c r="H41" s="334"/>
      <c r="I41" s="334"/>
      <c r="J41" s="334"/>
      <c r="K41" s="334"/>
      <c r="L41" s="263"/>
    </row>
    <row r="42" spans="1:12">
      <c r="A42" s="237" t="str">
        <f>A1</f>
        <v>WAPA-UGP 2020 Rate True-up Calculation</v>
      </c>
      <c r="B42" s="322"/>
      <c r="C42" s="238"/>
      <c r="D42" s="238"/>
      <c r="E42" s="238"/>
      <c r="F42" s="238"/>
      <c r="G42" s="238"/>
      <c r="H42" s="238"/>
      <c r="I42" s="238"/>
      <c r="J42" s="238"/>
      <c r="K42" s="238"/>
      <c r="L42" s="262"/>
    </row>
    <row r="43" spans="1:12">
      <c r="A43" s="323"/>
      <c r="B43" s="324"/>
      <c r="C43" s="324" t="s">
        <v>430</v>
      </c>
      <c r="D43" s="325"/>
      <c r="E43" s="324" t="s">
        <v>431</v>
      </c>
      <c r="F43" s="325"/>
      <c r="G43" s="324" t="s">
        <v>432</v>
      </c>
      <c r="H43" s="326"/>
      <c r="I43" s="324" t="s">
        <v>433</v>
      </c>
      <c r="J43" s="326"/>
      <c r="K43" s="324" t="s">
        <v>434</v>
      </c>
      <c r="L43" s="263"/>
    </row>
    <row r="44" spans="1:12" s="232" customFormat="1" ht="13.5" thickBot="1">
      <c r="A44" s="327" t="s">
        <v>49</v>
      </c>
      <c r="B44" s="245">
        <v>-1</v>
      </c>
      <c r="C44" s="328">
        <v>-2</v>
      </c>
      <c r="D44" s="329"/>
      <c r="E44" s="328">
        <v>-3</v>
      </c>
      <c r="F44" s="329"/>
      <c r="G44" s="245">
        <v>-4</v>
      </c>
      <c r="H44" s="330"/>
      <c r="I44" s="245">
        <v>-5</v>
      </c>
      <c r="J44" s="330"/>
      <c r="K44" s="245">
        <v>-6</v>
      </c>
      <c r="L44" s="331"/>
    </row>
    <row r="45" spans="1:12">
      <c r="A45" s="323">
        <f>A41+1</f>
        <v>37</v>
      </c>
      <c r="B45" s="332" t="s">
        <v>502</v>
      </c>
      <c r="C45" s="333"/>
      <c r="D45" s="333"/>
      <c r="E45" s="333"/>
      <c r="F45" s="333"/>
      <c r="G45" s="333"/>
      <c r="H45" s="333"/>
      <c r="I45" s="333"/>
      <c r="J45" s="333"/>
      <c r="K45" s="333"/>
      <c r="L45" s="263"/>
    </row>
    <row r="46" spans="1:12">
      <c r="A46" s="323">
        <f t="shared" ref="A46:A54" si="5">A45+1</f>
        <v>38</v>
      </c>
      <c r="B46" s="340" t="s">
        <v>503</v>
      </c>
      <c r="C46" s="340">
        <f>25572969.21+7471437.76</f>
        <v>33044406.969999999</v>
      </c>
      <c r="D46" s="341" t="s">
        <v>437</v>
      </c>
      <c r="E46" s="346">
        <v>18388292.57</v>
      </c>
      <c r="F46" s="347" t="s">
        <v>438</v>
      </c>
      <c r="G46" s="342">
        <f>2151270+2764420+5695982+2287158+1392214+3034217</f>
        <v>17325261</v>
      </c>
      <c r="H46" s="347" t="s">
        <v>439</v>
      </c>
      <c r="I46" s="346">
        <v>4623599.26</v>
      </c>
      <c r="J46" s="347" t="s">
        <v>442</v>
      </c>
      <c r="K46" s="340">
        <f>SUM(C46:I46)</f>
        <v>73381559.799999997</v>
      </c>
      <c r="L46" s="348"/>
    </row>
    <row r="47" spans="1:12">
      <c r="A47" s="323">
        <f t="shared" si="5"/>
        <v>39</v>
      </c>
      <c r="B47" s="334" t="s">
        <v>504</v>
      </c>
      <c r="C47" s="334">
        <f>C46*C14</f>
        <v>31412751.770091042</v>
      </c>
      <c r="D47" s="336"/>
      <c r="E47" s="334">
        <f>E46*E14</f>
        <v>164309.68881464034</v>
      </c>
      <c r="F47" s="336"/>
      <c r="G47" s="309">
        <f>G46*G14</f>
        <v>1277663.3626132777</v>
      </c>
      <c r="H47" s="336"/>
      <c r="I47" s="334">
        <f>I46*I14</f>
        <v>0</v>
      </c>
      <c r="J47" s="336"/>
      <c r="K47" s="334">
        <f>SUM(C47:I47)</f>
        <v>32854724.821518961</v>
      </c>
      <c r="L47" s="348"/>
    </row>
    <row r="48" spans="1:12">
      <c r="A48" s="323">
        <f t="shared" si="5"/>
        <v>40</v>
      </c>
      <c r="B48" s="334" t="s">
        <v>505</v>
      </c>
      <c r="C48" s="334">
        <f>C46*C13</f>
        <v>319610.36415249499</v>
      </c>
      <c r="D48" s="336"/>
      <c r="E48" s="334">
        <v>0</v>
      </c>
      <c r="F48" s="336"/>
      <c r="G48" s="335">
        <f>G46-G47</f>
        <v>16047597.637386722</v>
      </c>
      <c r="H48" s="336"/>
      <c r="I48" s="334">
        <f>I46*I13</f>
        <v>4623599.26</v>
      </c>
      <c r="J48" s="336"/>
      <c r="K48" s="334">
        <f>SUM(C48:I48)</f>
        <v>20990807.261539217</v>
      </c>
      <c r="L48" s="348"/>
    </row>
    <row r="49" spans="1:12">
      <c r="A49" s="323">
        <f t="shared" si="5"/>
        <v>41</v>
      </c>
      <c r="B49" s="334" t="s">
        <v>506</v>
      </c>
      <c r="C49" s="334">
        <f>C46*C15</f>
        <v>371830.65077387216</v>
      </c>
      <c r="D49" s="336"/>
      <c r="E49" s="334"/>
      <c r="F49" s="336"/>
      <c r="G49" s="335"/>
      <c r="H49" s="336"/>
      <c r="I49" s="334"/>
      <c r="J49" s="336"/>
      <c r="K49" s="334">
        <f>SUM(C49:I49)</f>
        <v>371830.65077387216</v>
      </c>
      <c r="L49" s="348"/>
    </row>
    <row r="50" spans="1:12">
      <c r="A50" s="323">
        <f t="shared" si="5"/>
        <v>42</v>
      </c>
      <c r="B50" s="334" t="s">
        <v>507</v>
      </c>
      <c r="C50" s="334">
        <f>C46*C16</f>
        <v>24200.685453085178</v>
      </c>
      <c r="D50" s="336"/>
      <c r="E50" s="334"/>
      <c r="F50" s="336"/>
      <c r="G50" s="335"/>
      <c r="H50" s="336"/>
      <c r="I50" s="334"/>
      <c r="J50" s="336"/>
      <c r="K50" s="334">
        <f t="shared" ref="K50:K51" si="6">SUM(C50:I50)</f>
        <v>24200.685453085178</v>
      </c>
      <c r="L50" s="348"/>
    </row>
    <row r="51" spans="1:12">
      <c r="A51" s="323">
        <f t="shared" si="5"/>
        <v>43</v>
      </c>
      <c r="B51" s="334" t="s">
        <v>508</v>
      </c>
      <c r="C51" s="334">
        <f>C46*C17</f>
        <v>161768.41817738349</v>
      </c>
      <c r="D51" s="336"/>
      <c r="E51" s="334"/>
      <c r="F51" s="336"/>
      <c r="G51" s="335"/>
      <c r="H51" s="336"/>
      <c r="I51" s="334"/>
      <c r="J51" s="336"/>
      <c r="K51" s="334">
        <f t="shared" si="6"/>
        <v>161768.41817738349</v>
      </c>
      <c r="L51" s="348"/>
    </row>
    <row r="52" spans="1:12">
      <c r="A52" s="323">
        <f t="shared" si="5"/>
        <v>44</v>
      </c>
      <c r="B52" s="349" t="s">
        <v>509</v>
      </c>
      <c r="C52" s="334"/>
      <c r="D52" s="334"/>
      <c r="E52" s="334"/>
      <c r="F52" s="334"/>
      <c r="G52" s="334"/>
      <c r="H52" s="334"/>
      <c r="I52" s="334"/>
      <c r="J52" s="334"/>
      <c r="K52" s="334"/>
      <c r="L52" s="348"/>
    </row>
    <row r="53" spans="1:12">
      <c r="A53" s="323">
        <f t="shared" si="5"/>
        <v>45</v>
      </c>
      <c r="B53" s="349" t="s">
        <v>510</v>
      </c>
      <c r="C53" s="334"/>
      <c r="D53" s="334"/>
      <c r="E53" s="334"/>
      <c r="F53" s="334"/>
      <c r="G53" s="334"/>
      <c r="H53" s="334"/>
      <c r="I53" s="334"/>
      <c r="J53" s="334"/>
      <c r="K53" s="334"/>
      <c r="L53" s="348"/>
    </row>
    <row r="54" spans="1:12">
      <c r="A54" s="323">
        <f t="shared" si="5"/>
        <v>46</v>
      </c>
      <c r="B54" s="334" t="s">
        <v>511</v>
      </c>
      <c r="C54" s="334"/>
      <c r="D54" s="334"/>
      <c r="E54" s="334"/>
      <c r="F54" s="334"/>
      <c r="G54" s="334"/>
      <c r="H54" s="334"/>
      <c r="I54" s="334"/>
      <c r="J54" s="334"/>
      <c r="K54" s="334"/>
      <c r="L54" s="348"/>
    </row>
    <row r="55" spans="1:12">
      <c r="A55" s="323">
        <f t="shared" ref="A55:A61" si="7">A54+1</f>
        <v>47</v>
      </c>
      <c r="B55" s="334" t="s">
        <v>512</v>
      </c>
      <c r="C55" s="334"/>
      <c r="D55" s="334"/>
      <c r="E55" s="334"/>
      <c r="F55" s="334"/>
      <c r="G55" s="334"/>
      <c r="H55" s="334"/>
      <c r="I55" s="334"/>
      <c r="J55" s="334"/>
      <c r="K55" s="334"/>
      <c r="L55" s="348"/>
    </row>
    <row r="56" spans="1:12">
      <c r="A56" s="323">
        <f t="shared" si="7"/>
        <v>48</v>
      </c>
      <c r="B56" s="349" t="s">
        <v>513</v>
      </c>
      <c r="C56" s="334"/>
      <c r="D56" s="334"/>
      <c r="E56" s="334"/>
      <c r="F56" s="334"/>
      <c r="G56" s="334"/>
      <c r="H56" s="334"/>
      <c r="I56" s="334"/>
      <c r="J56" s="334"/>
      <c r="K56" s="334"/>
      <c r="L56" s="348"/>
    </row>
    <row r="57" spans="1:12">
      <c r="A57" s="323">
        <f t="shared" si="7"/>
        <v>49</v>
      </c>
      <c r="B57" s="349" t="s">
        <v>514</v>
      </c>
      <c r="C57" s="334"/>
      <c r="D57" s="334"/>
      <c r="E57" s="334"/>
      <c r="F57" s="334"/>
      <c r="G57" s="334"/>
      <c r="H57" s="334"/>
      <c r="I57" s="334"/>
      <c r="J57" s="334"/>
      <c r="K57" s="334"/>
      <c r="L57" s="348"/>
    </row>
    <row r="58" spans="1:12">
      <c r="A58" s="323">
        <f t="shared" si="7"/>
        <v>50</v>
      </c>
      <c r="B58" s="349" t="s">
        <v>515</v>
      </c>
      <c r="C58" s="334"/>
      <c r="D58" s="334"/>
      <c r="E58" s="334"/>
      <c r="F58" s="334"/>
      <c r="G58" s="334"/>
      <c r="H58" s="334"/>
      <c r="I58" s="334"/>
      <c r="J58" s="334"/>
      <c r="K58" s="334"/>
      <c r="L58" s="348"/>
    </row>
    <row r="59" spans="1:12">
      <c r="A59" s="323">
        <f t="shared" si="7"/>
        <v>51</v>
      </c>
      <c r="B59" s="349" t="s">
        <v>516</v>
      </c>
      <c r="C59" s="334"/>
      <c r="D59" s="334"/>
      <c r="E59" s="334"/>
      <c r="F59" s="334"/>
      <c r="G59" s="334"/>
      <c r="H59" s="334"/>
      <c r="I59" s="334"/>
      <c r="J59" s="334"/>
      <c r="K59" s="334"/>
      <c r="L59" s="348"/>
    </row>
    <row r="60" spans="1:12">
      <c r="A60" s="323">
        <f t="shared" si="7"/>
        <v>52</v>
      </c>
      <c r="B60" s="349" t="s">
        <v>517</v>
      </c>
      <c r="C60" s="334"/>
      <c r="D60" s="334"/>
      <c r="E60" s="334"/>
      <c r="F60" s="334"/>
      <c r="G60" s="334"/>
      <c r="H60" s="334"/>
      <c r="I60" s="334"/>
      <c r="J60" s="334"/>
      <c r="K60" s="334"/>
      <c r="L60" s="348"/>
    </row>
    <row r="61" spans="1:12" ht="13.5" thickBot="1">
      <c r="A61" s="327">
        <f t="shared" si="7"/>
        <v>53</v>
      </c>
      <c r="B61" s="350" t="s">
        <v>518</v>
      </c>
      <c r="C61" s="345"/>
      <c r="D61" s="345"/>
      <c r="E61" s="345"/>
      <c r="F61" s="345"/>
      <c r="G61" s="345"/>
      <c r="H61" s="345"/>
      <c r="I61" s="345"/>
      <c r="J61" s="345"/>
      <c r="K61" s="345"/>
      <c r="L61" s="351"/>
    </row>
    <row r="62" spans="1:12">
      <c r="A62" s="237" t="str">
        <f>A1</f>
        <v>WAPA-UGP 2020 Rate True-up Calculation</v>
      </c>
      <c r="B62" s="322"/>
      <c r="C62" s="238"/>
      <c r="D62" s="238"/>
      <c r="E62" s="238"/>
      <c r="F62" s="238"/>
      <c r="G62" s="238"/>
      <c r="H62" s="238"/>
      <c r="I62" s="238"/>
      <c r="J62" s="238"/>
      <c r="K62" s="238"/>
      <c r="L62" s="262"/>
    </row>
    <row r="63" spans="1:12">
      <c r="A63" s="323"/>
      <c r="B63" s="324"/>
      <c r="C63" s="324" t="s">
        <v>430</v>
      </c>
      <c r="D63" s="325"/>
      <c r="E63" s="324" t="s">
        <v>431</v>
      </c>
      <c r="F63" s="325"/>
      <c r="G63" s="324" t="s">
        <v>432</v>
      </c>
      <c r="H63" s="326"/>
      <c r="I63" s="324" t="s">
        <v>433</v>
      </c>
      <c r="J63" s="326"/>
      <c r="K63" s="324" t="s">
        <v>434</v>
      </c>
      <c r="L63" s="263"/>
    </row>
    <row r="64" spans="1:12" s="232" customFormat="1" ht="13.5" thickBot="1">
      <c r="A64" s="327" t="s">
        <v>49</v>
      </c>
      <c r="B64" s="245">
        <v>-1</v>
      </c>
      <c r="C64" s="328">
        <v>-2</v>
      </c>
      <c r="D64" s="329"/>
      <c r="E64" s="328">
        <v>-3</v>
      </c>
      <c r="F64" s="329"/>
      <c r="G64" s="245">
        <v>-4</v>
      </c>
      <c r="H64" s="330"/>
      <c r="I64" s="245">
        <v>-5</v>
      </c>
      <c r="J64" s="330"/>
      <c r="K64" s="245">
        <v>-6</v>
      </c>
      <c r="L64" s="331"/>
    </row>
    <row r="65" spans="1:12">
      <c r="A65" s="323">
        <f>A61+1</f>
        <v>54</v>
      </c>
      <c r="B65" s="332" t="s">
        <v>519</v>
      </c>
      <c r="C65" s="333"/>
      <c r="D65" s="333"/>
      <c r="E65" s="333"/>
      <c r="F65" s="333"/>
      <c r="G65" s="333"/>
      <c r="H65" s="333"/>
      <c r="I65" s="333"/>
      <c r="J65" s="333"/>
      <c r="K65" s="333"/>
      <c r="L65" s="348"/>
    </row>
    <row r="66" spans="1:12">
      <c r="A66" s="323">
        <f t="shared" ref="A66:A87" si="8">A65+1</f>
        <v>55</v>
      </c>
      <c r="B66" s="352" t="s">
        <v>520</v>
      </c>
      <c r="C66" s="334"/>
      <c r="D66" s="334"/>
      <c r="E66" s="334"/>
      <c r="F66" s="334"/>
      <c r="G66" s="334"/>
      <c r="H66" s="334"/>
      <c r="I66" s="334"/>
      <c r="J66" s="334"/>
      <c r="K66" s="334"/>
      <c r="L66" s="348"/>
    </row>
    <row r="67" spans="1:12">
      <c r="A67" s="323">
        <f t="shared" si="8"/>
        <v>56</v>
      </c>
      <c r="B67" s="334" t="s">
        <v>521</v>
      </c>
      <c r="C67" s="334">
        <f>338925654+65723275+345597756+114363919</f>
        <v>864610604</v>
      </c>
      <c r="D67" s="336" t="s">
        <v>437</v>
      </c>
      <c r="E67" s="334">
        <f>184223078+5062592+149418974+5012074</f>
        <v>343716718</v>
      </c>
      <c r="F67" s="336" t="s">
        <v>437</v>
      </c>
      <c r="G67" s="334">
        <f>539336983+116766623</f>
        <v>656103606</v>
      </c>
      <c r="H67" s="336" t="s">
        <v>437</v>
      </c>
      <c r="I67" s="334">
        <f>165202656+59625406</f>
        <v>224828062</v>
      </c>
      <c r="J67" s="336" t="s">
        <v>437</v>
      </c>
      <c r="K67" s="334">
        <f>SUM(C67:I67)</f>
        <v>2089258990</v>
      </c>
      <c r="L67" s="348"/>
    </row>
    <row r="68" spans="1:12">
      <c r="A68" s="323">
        <f t="shared" si="8"/>
        <v>57</v>
      </c>
      <c r="B68" s="352" t="s">
        <v>522</v>
      </c>
      <c r="C68" s="334"/>
      <c r="D68" s="336"/>
      <c r="E68" s="334"/>
      <c r="F68" s="336"/>
      <c r="G68" s="334"/>
      <c r="H68" s="336"/>
      <c r="I68" s="334"/>
      <c r="J68" s="336"/>
      <c r="K68" s="334"/>
      <c r="L68" s="348"/>
    </row>
    <row r="69" spans="1:12">
      <c r="A69" s="323">
        <f t="shared" si="8"/>
        <v>58</v>
      </c>
      <c r="B69" s="334" t="s">
        <v>523</v>
      </c>
      <c r="C69" s="334">
        <f>14280469+15841916-1060464+269319.26+3158876+5704299-292537</f>
        <v>37901878.260000005</v>
      </c>
      <c r="D69" s="336" t="s">
        <v>451</v>
      </c>
      <c r="E69" s="334">
        <f>11322098+6549274-472262.41</f>
        <v>17399109.59</v>
      </c>
      <c r="F69" s="336" t="s">
        <v>451</v>
      </c>
      <c r="G69" s="334">
        <v>24235474.449999999</v>
      </c>
      <c r="H69" s="336" t="s">
        <v>438</v>
      </c>
      <c r="I69" s="334">
        <v>14436858.189999999</v>
      </c>
      <c r="J69" s="336" t="s">
        <v>438</v>
      </c>
      <c r="K69" s="334">
        <f>SUM(C69:I69)</f>
        <v>93973320.49000001</v>
      </c>
      <c r="L69" s="348"/>
    </row>
    <row r="70" spans="1:12">
      <c r="A70" s="323">
        <f t="shared" si="8"/>
        <v>59</v>
      </c>
      <c r="B70" s="334" t="s">
        <v>524</v>
      </c>
      <c r="C70" s="353">
        <f>C69/C67</f>
        <v>4.383693432008845E-2</v>
      </c>
      <c r="D70" s="354" t="s">
        <v>525</v>
      </c>
      <c r="E70" s="353">
        <f>E69/E67</f>
        <v>5.0620492629049253E-2</v>
      </c>
      <c r="F70" s="354" t="s">
        <v>525</v>
      </c>
      <c r="G70" s="353">
        <f>G69/G67</f>
        <v>3.6938486891961997E-2</v>
      </c>
      <c r="H70" s="354" t="s">
        <v>525</v>
      </c>
      <c r="I70" s="353">
        <f>I69/I67</f>
        <v>6.4212883665740975E-2</v>
      </c>
      <c r="J70" s="354" t="s">
        <v>525</v>
      </c>
      <c r="K70" s="355"/>
      <c r="L70" s="348"/>
    </row>
    <row r="71" spans="1:12">
      <c r="A71" s="323">
        <f t="shared" si="8"/>
        <v>60</v>
      </c>
      <c r="B71" s="334" t="s">
        <v>526</v>
      </c>
      <c r="C71" s="356">
        <f>C8/(C8+E8+G8)</f>
        <v>0.93297246464453709</v>
      </c>
      <c r="D71" s="338" t="s">
        <v>439</v>
      </c>
      <c r="E71" s="356">
        <f>E8/(C8+E8+G8)</f>
        <v>4.8370691299122028E-3</v>
      </c>
      <c r="F71" s="338" t="s">
        <v>442</v>
      </c>
      <c r="G71" s="356">
        <f>G8/(C8+E8+G8)</f>
        <v>6.2190466225550807E-2</v>
      </c>
      <c r="H71" s="338" t="s">
        <v>443</v>
      </c>
      <c r="I71" s="356">
        <v>0</v>
      </c>
      <c r="J71" s="338" t="s">
        <v>444</v>
      </c>
      <c r="K71" s="355"/>
      <c r="L71" s="348"/>
    </row>
    <row r="72" spans="1:12">
      <c r="A72" s="323">
        <f t="shared" si="8"/>
        <v>61</v>
      </c>
      <c r="B72" s="334" t="s">
        <v>527</v>
      </c>
      <c r="C72" s="355"/>
      <c r="D72" s="354"/>
      <c r="E72" s="355"/>
      <c r="F72" s="354"/>
      <c r="G72" s="355"/>
      <c r="H72" s="354"/>
      <c r="I72" s="355"/>
      <c r="J72" s="354"/>
      <c r="K72" s="353">
        <f>C70*C71+E70*E71+G70*G71+I70*I71</f>
        <v>4.3440729198788046E-2</v>
      </c>
      <c r="L72" s="357" t="s">
        <v>446</v>
      </c>
    </row>
    <row r="73" spans="1:12">
      <c r="A73" s="323">
        <f t="shared" si="8"/>
        <v>62</v>
      </c>
      <c r="B73" s="334" t="s">
        <v>528</v>
      </c>
      <c r="C73" s="356">
        <f>C9/(C9+E9+G9+I9)</f>
        <v>8.2184542143529746E-3</v>
      </c>
      <c r="D73" s="338" t="s">
        <v>449</v>
      </c>
      <c r="E73" s="356">
        <v>0</v>
      </c>
      <c r="F73" s="354" t="s">
        <v>464</v>
      </c>
      <c r="G73" s="356">
        <f>G9/(C9+G9+I9)</f>
        <v>0.67627578946236455</v>
      </c>
      <c r="H73" s="338" t="s">
        <v>465</v>
      </c>
      <c r="I73" s="356">
        <f>I9/(C9+G9+I9)</f>
        <v>0.31550575632328237</v>
      </c>
      <c r="J73" s="338" t="s">
        <v>466</v>
      </c>
      <c r="K73" s="355"/>
      <c r="L73" s="348"/>
    </row>
    <row r="74" spans="1:12">
      <c r="A74" s="323">
        <f t="shared" si="8"/>
        <v>63</v>
      </c>
      <c r="B74" s="334" t="s">
        <v>529</v>
      </c>
      <c r="C74" s="355"/>
      <c r="D74" s="354"/>
      <c r="E74" s="355"/>
      <c r="F74" s="355"/>
      <c r="G74" s="358"/>
      <c r="H74" s="358"/>
      <c r="I74" s="358"/>
      <c r="J74" s="354"/>
      <c r="K74" s="353">
        <f>C70*C73+E70*E73+G70*G73+I70*I73</f>
        <v>4.5600410648672603E-2</v>
      </c>
      <c r="L74" s="357" t="s">
        <v>440</v>
      </c>
    </row>
    <row r="75" spans="1:12">
      <c r="A75" s="323">
        <f t="shared" si="8"/>
        <v>64</v>
      </c>
      <c r="B75" s="334" t="s">
        <v>530</v>
      </c>
      <c r="C75" s="334"/>
      <c r="D75" s="334"/>
      <c r="E75" s="334"/>
      <c r="F75" s="334"/>
      <c r="G75" s="334"/>
      <c r="H75" s="334"/>
      <c r="I75" s="334"/>
      <c r="J75" s="334"/>
      <c r="K75" s="334"/>
      <c r="L75" s="348"/>
    </row>
    <row r="76" spans="1:12">
      <c r="A76" s="323">
        <f t="shared" si="8"/>
        <v>65</v>
      </c>
      <c r="B76" s="334" t="s">
        <v>531</v>
      </c>
      <c r="C76" s="334"/>
      <c r="D76" s="334"/>
      <c r="E76" s="334"/>
      <c r="F76" s="334"/>
      <c r="G76" s="334"/>
      <c r="H76" s="334"/>
      <c r="I76" s="334"/>
      <c r="J76" s="334"/>
      <c r="K76" s="334"/>
      <c r="L76" s="348"/>
    </row>
    <row r="77" spans="1:12">
      <c r="A77" s="323">
        <f t="shared" si="8"/>
        <v>66</v>
      </c>
      <c r="B77" s="334" t="s">
        <v>532</v>
      </c>
      <c r="C77" s="334"/>
      <c r="D77" s="334"/>
      <c r="E77" s="334"/>
      <c r="F77" s="334"/>
      <c r="G77" s="334"/>
      <c r="H77" s="334"/>
      <c r="I77" s="334"/>
      <c r="J77" s="334"/>
      <c r="K77" s="334"/>
      <c r="L77" s="348"/>
    </row>
    <row r="78" spans="1:12">
      <c r="A78" s="323">
        <f t="shared" si="8"/>
        <v>67</v>
      </c>
      <c r="B78" s="334" t="s">
        <v>533</v>
      </c>
      <c r="C78" s="334"/>
      <c r="D78" s="334"/>
      <c r="E78" s="334"/>
      <c r="F78" s="334"/>
      <c r="G78" s="334"/>
      <c r="H78" s="334"/>
      <c r="I78" s="334"/>
      <c r="J78" s="334"/>
      <c r="K78" s="334"/>
      <c r="L78" s="348"/>
    </row>
    <row r="79" spans="1:12">
      <c r="A79" s="323">
        <f t="shared" si="8"/>
        <v>68</v>
      </c>
      <c r="B79" s="334" t="s">
        <v>534</v>
      </c>
      <c r="C79" s="334"/>
      <c r="D79" s="334"/>
      <c r="E79" s="334"/>
      <c r="F79" s="334"/>
      <c r="G79" s="334"/>
      <c r="H79" s="334"/>
      <c r="I79" s="334"/>
      <c r="J79" s="334"/>
      <c r="K79" s="334"/>
      <c r="L79" s="348"/>
    </row>
    <row r="80" spans="1:12">
      <c r="A80" s="323">
        <f t="shared" si="8"/>
        <v>69</v>
      </c>
      <c r="B80" s="334" t="s">
        <v>535</v>
      </c>
      <c r="C80" s="334"/>
      <c r="D80" s="334"/>
      <c r="E80" s="334"/>
      <c r="F80" s="334"/>
      <c r="G80" s="334"/>
      <c r="H80" s="334"/>
      <c r="I80" s="334"/>
      <c r="J80" s="334"/>
      <c r="K80" s="334"/>
      <c r="L80" s="348"/>
    </row>
    <row r="81" spans="1:12">
      <c r="A81" s="323">
        <f t="shared" si="8"/>
        <v>70</v>
      </c>
      <c r="B81" s="334" t="s">
        <v>536</v>
      </c>
      <c r="C81" s="334"/>
      <c r="D81" s="334"/>
      <c r="E81" s="334"/>
      <c r="F81" s="334"/>
      <c r="G81" s="334"/>
      <c r="H81" s="334"/>
      <c r="I81" s="334"/>
      <c r="J81" s="334"/>
      <c r="K81" s="334"/>
      <c r="L81" s="348"/>
    </row>
    <row r="82" spans="1:12">
      <c r="A82" s="323">
        <f t="shared" si="8"/>
        <v>71</v>
      </c>
      <c r="B82" s="334" t="s">
        <v>537</v>
      </c>
      <c r="C82" s="334"/>
      <c r="D82" s="334"/>
      <c r="E82" s="334"/>
      <c r="F82" s="334"/>
      <c r="G82" s="334"/>
      <c r="H82" s="334"/>
      <c r="I82" s="334"/>
      <c r="J82" s="334"/>
      <c r="K82" s="334"/>
      <c r="L82" s="348"/>
    </row>
    <row r="83" spans="1:12">
      <c r="A83" s="323">
        <f t="shared" si="8"/>
        <v>72</v>
      </c>
      <c r="B83" s="334" t="s">
        <v>538</v>
      </c>
      <c r="C83" s="334"/>
      <c r="D83" s="334"/>
      <c r="E83" s="334"/>
      <c r="F83" s="334"/>
      <c r="G83" s="334"/>
      <c r="H83" s="334"/>
      <c r="I83" s="334"/>
      <c r="J83" s="334"/>
      <c r="K83" s="334"/>
      <c r="L83" s="348"/>
    </row>
    <row r="84" spans="1:12">
      <c r="A84" s="323">
        <f t="shared" si="8"/>
        <v>73</v>
      </c>
      <c r="B84" s="334" t="s">
        <v>539</v>
      </c>
      <c r="C84" s="334"/>
      <c r="D84" s="334"/>
      <c r="E84" s="334"/>
      <c r="F84" s="334"/>
      <c r="G84" s="334"/>
      <c r="H84" s="334"/>
      <c r="I84" s="334"/>
      <c r="J84" s="334"/>
      <c r="K84" s="334"/>
      <c r="L84" s="348"/>
    </row>
    <row r="85" spans="1:12">
      <c r="A85" s="323">
        <f t="shared" si="8"/>
        <v>74</v>
      </c>
      <c r="B85" s="334" t="s">
        <v>540</v>
      </c>
      <c r="C85" s="334"/>
      <c r="D85" s="334"/>
      <c r="E85" s="334"/>
      <c r="F85" s="334"/>
      <c r="G85" s="334"/>
      <c r="H85" s="334"/>
      <c r="I85" s="334"/>
      <c r="J85" s="334"/>
      <c r="K85" s="334"/>
      <c r="L85" s="348"/>
    </row>
    <row r="86" spans="1:12">
      <c r="A86" s="323">
        <f t="shared" si="8"/>
        <v>75</v>
      </c>
      <c r="B86" s="334" t="s">
        <v>541</v>
      </c>
      <c r="C86" s="334"/>
      <c r="D86" s="334"/>
      <c r="E86" s="334"/>
      <c r="F86" s="334"/>
      <c r="G86" s="334"/>
      <c r="H86" s="334"/>
      <c r="I86" s="334"/>
      <c r="J86" s="334"/>
      <c r="K86" s="334"/>
      <c r="L86" s="348"/>
    </row>
    <row r="87" spans="1:12" ht="13.5" thickBot="1">
      <c r="A87" s="323">
        <f t="shared" si="8"/>
        <v>76</v>
      </c>
      <c r="B87" s="334" t="s">
        <v>542</v>
      </c>
      <c r="C87" s="334"/>
      <c r="D87" s="334"/>
      <c r="E87" s="334"/>
      <c r="F87" s="334"/>
      <c r="G87" s="334"/>
      <c r="H87" s="334"/>
      <c r="I87" s="334"/>
      <c r="J87" s="334"/>
      <c r="K87" s="334"/>
      <c r="L87" s="348"/>
    </row>
    <row r="88" spans="1:12">
      <c r="A88" s="237" t="str">
        <f>A1</f>
        <v>WAPA-UGP 2020 Rate True-up Calculation</v>
      </c>
      <c r="B88" s="322"/>
      <c r="C88" s="238"/>
      <c r="D88" s="238"/>
      <c r="E88" s="238"/>
      <c r="F88" s="238"/>
      <c r="G88" s="238"/>
      <c r="H88" s="238"/>
      <c r="I88" s="238"/>
      <c r="J88" s="238"/>
      <c r="K88" s="238"/>
      <c r="L88" s="262"/>
    </row>
    <row r="89" spans="1:12">
      <c r="A89" s="323"/>
      <c r="B89" s="324"/>
      <c r="C89" s="324" t="s">
        <v>430</v>
      </c>
      <c r="D89" s="325"/>
      <c r="E89" s="324" t="s">
        <v>543</v>
      </c>
      <c r="F89" s="325"/>
      <c r="G89" s="324" t="s">
        <v>432</v>
      </c>
      <c r="H89" s="326"/>
      <c r="I89" s="324" t="s">
        <v>433</v>
      </c>
      <c r="J89" s="326"/>
      <c r="K89" s="324" t="s">
        <v>434</v>
      </c>
      <c r="L89" s="263"/>
    </row>
    <row r="90" spans="1:12" s="232" customFormat="1" ht="13.5" thickBot="1">
      <c r="A90" s="327" t="s">
        <v>49</v>
      </c>
      <c r="B90" s="245">
        <v>-1</v>
      </c>
      <c r="C90" s="328">
        <v>-2</v>
      </c>
      <c r="D90" s="329"/>
      <c r="E90" s="328">
        <v>-3</v>
      </c>
      <c r="F90" s="329"/>
      <c r="G90" s="245">
        <v>-4</v>
      </c>
      <c r="H90" s="330"/>
      <c r="I90" s="245">
        <v>-5</v>
      </c>
      <c r="J90" s="330"/>
      <c r="K90" s="245">
        <v>-6</v>
      </c>
      <c r="L90" s="331"/>
    </row>
    <row r="91" spans="1:12">
      <c r="A91" s="323">
        <f>A87+1</f>
        <v>77</v>
      </c>
      <c r="B91" s="332" t="s">
        <v>544</v>
      </c>
      <c r="C91" s="359"/>
      <c r="D91" s="359"/>
      <c r="E91" s="359"/>
      <c r="F91" s="359"/>
      <c r="G91" s="359"/>
      <c r="H91" s="334"/>
      <c r="I91" s="334"/>
      <c r="J91" s="334"/>
      <c r="K91" s="334"/>
      <c r="L91" s="348"/>
    </row>
    <row r="92" spans="1:12">
      <c r="A92" s="323">
        <f t="shared" ref="A92:A119" si="9">A91+1</f>
        <v>78</v>
      </c>
      <c r="B92" s="360" t="s">
        <v>545</v>
      </c>
      <c r="C92" s="360" t="s">
        <v>546</v>
      </c>
      <c r="D92" s="239"/>
      <c r="E92" s="360" t="s">
        <v>547</v>
      </c>
      <c r="F92" s="361"/>
      <c r="G92" s="360" t="s">
        <v>548</v>
      </c>
      <c r="H92" s="239"/>
      <c r="I92" s="360" t="s">
        <v>549</v>
      </c>
      <c r="J92" s="239"/>
      <c r="K92" s="360" t="s">
        <v>550</v>
      </c>
      <c r="L92" s="263"/>
    </row>
    <row r="93" spans="1:12">
      <c r="A93" s="323">
        <f t="shared" si="9"/>
        <v>79</v>
      </c>
      <c r="B93" s="362">
        <v>1411</v>
      </c>
      <c r="C93" s="309">
        <f>10471903.92+1938926.5</f>
        <v>12410830.42</v>
      </c>
      <c r="D93" s="239"/>
      <c r="E93" s="309">
        <v>8126049.9199999999</v>
      </c>
      <c r="F93" s="239"/>
      <c r="G93" s="309">
        <v>0</v>
      </c>
      <c r="H93" s="239"/>
      <c r="I93" s="309">
        <v>0</v>
      </c>
      <c r="J93" s="239"/>
      <c r="K93" s="309">
        <f>SUM(C93:I93)</f>
        <v>20536880.34</v>
      </c>
      <c r="L93" s="263"/>
    </row>
    <row r="94" spans="1:12">
      <c r="A94" s="323">
        <f t="shared" si="9"/>
        <v>80</v>
      </c>
      <c r="B94" s="362">
        <v>1412</v>
      </c>
      <c r="C94" s="309">
        <f>5026470.14+1055155.69</f>
        <v>6081625.8300000001</v>
      </c>
      <c r="D94" s="239"/>
      <c r="E94" s="309">
        <v>4543766.8499999996</v>
      </c>
      <c r="F94" s="239"/>
      <c r="G94" s="309">
        <v>0</v>
      </c>
      <c r="H94" s="239"/>
      <c r="I94" s="309">
        <v>0</v>
      </c>
      <c r="J94" s="239"/>
      <c r="K94" s="309">
        <f t="shared" ref="K94:K105" si="10">SUM(C94:I94)</f>
        <v>10625392.68</v>
      </c>
      <c r="L94" s="263"/>
    </row>
    <row r="95" spans="1:12">
      <c r="A95" s="323">
        <f t="shared" si="9"/>
        <v>81</v>
      </c>
      <c r="B95" s="362">
        <v>1415</v>
      </c>
      <c r="C95" s="309">
        <f>-147560.59-29192.18</f>
        <v>-176752.77</v>
      </c>
      <c r="D95" s="239"/>
      <c r="E95" s="309">
        <v>-136362.84</v>
      </c>
      <c r="F95" s="239"/>
      <c r="G95" s="309">
        <v>0</v>
      </c>
      <c r="H95" s="239"/>
      <c r="I95" s="309">
        <v>0</v>
      </c>
      <c r="J95" s="239"/>
      <c r="K95" s="309">
        <f t="shared" si="10"/>
        <v>-313115.61</v>
      </c>
      <c r="L95" s="263"/>
    </row>
    <row r="96" spans="1:12">
      <c r="A96" s="323">
        <f t="shared" si="9"/>
        <v>82</v>
      </c>
      <c r="B96" s="362">
        <v>1416</v>
      </c>
      <c r="C96" s="309">
        <f>-94354.15-18791.83</f>
        <v>-113145.98</v>
      </c>
      <c r="D96" s="239"/>
      <c r="E96" s="309">
        <v>-309223.17</v>
      </c>
      <c r="F96" s="239"/>
      <c r="G96" s="309">
        <v>0</v>
      </c>
      <c r="H96" s="239"/>
      <c r="I96" s="309">
        <v>0</v>
      </c>
      <c r="J96" s="239"/>
      <c r="K96" s="309">
        <f t="shared" si="10"/>
        <v>-422369.14999999997</v>
      </c>
      <c r="L96" s="263"/>
    </row>
    <row r="97" spans="1:12">
      <c r="A97" s="323">
        <f t="shared" si="9"/>
        <v>83</v>
      </c>
      <c r="B97" s="362">
        <v>1421</v>
      </c>
      <c r="C97" s="309">
        <f>996302.48+192015.71</f>
        <v>1188318.19</v>
      </c>
      <c r="D97" s="239"/>
      <c r="E97" s="309">
        <v>774031.65</v>
      </c>
      <c r="F97" s="239"/>
      <c r="G97" s="309">
        <v>0</v>
      </c>
      <c r="H97" s="239"/>
      <c r="I97" s="309">
        <v>0</v>
      </c>
      <c r="J97" s="239"/>
      <c r="K97" s="309">
        <f t="shared" si="10"/>
        <v>1962349.8399999999</v>
      </c>
      <c r="L97" s="263"/>
    </row>
    <row r="98" spans="1:12">
      <c r="A98" s="323">
        <f t="shared" si="9"/>
        <v>84</v>
      </c>
      <c r="B98" s="362">
        <v>1422</v>
      </c>
      <c r="C98" s="309">
        <f>989729.02+197156.4</f>
        <v>1186885.42</v>
      </c>
      <c r="D98" s="239"/>
      <c r="E98" s="309">
        <v>280.33</v>
      </c>
      <c r="F98" s="239"/>
      <c r="G98" s="309">
        <v>0</v>
      </c>
      <c r="H98" s="239"/>
      <c r="I98" s="309">
        <v>0</v>
      </c>
      <c r="J98" s="239"/>
      <c r="K98" s="309">
        <f t="shared" si="10"/>
        <v>1187165.75</v>
      </c>
      <c r="L98" s="263"/>
    </row>
    <row r="99" spans="1:12">
      <c r="A99" s="323">
        <f t="shared" si="9"/>
        <v>85</v>
      </c>
      <c r="B99" s="362">
        <v>1425</v>
      </c>
      <c r="C99" s="309">
        <f>-1184.3-966.36</f>
        <v>-2150.66</v>
      </c>
      <c r="D99" s="239"/>
      <c r="E99" s="309">
        <v>-3257.33</v>
      </c>
      <c r="F99" s="239"/>
      <c r="G99" s="309">
        <v>0</v>
      </c>
      <c r="H99" s="239"/>
      <c r="I99" s="309">
        <v>0</v>
      </c>
      <c r="J99" s="239"/>
      <c r="K99" s="309">
        <f t="shared" si="10"/>
        <v>-5407.99</v>
      </c>
      <c r="L99" s="263"/>
    </row>
    <row r="100" spans="1:12">
      <c r="A100" s="323">
        <f t="shared" si="9"/>
        <v>86</v>
      </c>
      <c r="B100" s="362">
        <v>1426</v>
      </c>
      <c r="C100" s="309">
        <f>51.78-598.78</f>
        <v>-547</v>
      </c>
      <c r="D100" s="239"/>
      <c r="E100" s="309">
        <v>-491.75</v>
      </c>
      <c r="F100" s="239"/>
      <c r="G100" s="309">
        <v>0</v>
      </c>
      <c r="H100" s="239"/>
      <c r="I100" s="309">
        <v>0</v>
      </c>
      <c r="J100" s="239"/>
      <c r="K100" s="309">
        <f t="shared" si="10"/>
        <v>-1038.75</v>
      </c>
      <c r="L100" s="263"/>
    </row>
    <row r="101" spans="1:12">
      <c r="A101" s="323">
        <f t="shared" si="9"/>
        <v>87</v>
      </c>
      <c r="B101" s="362">
        <v>1431</v>
      </c>
      <c r="C101" s="309">
        <v>0</v>
      </c>
      <c r="D101" s="239"/>
      <c r="E101" s="309">
        <v>0</v>
      </c>
      <c r="F101" s="239"/>
      <c r="G101" s="309">
        <v>0</v>
      </c>
      <c r="H101" s="239"/>
      <c r="I101" s="309">
        <v>0</v>
      </c>
      <c r="J101" s="239"/>
      <c r="K101" s="309">
        <f t="shared" si="10"/>
        <v>0</v>
      </c>
      <c r="L101" s="263"/>
    </row>
    <row r="102" spans="1:12">
      <c r="A102" s="323">
        <f t="shared" si="9"/>
        <v>88</v>
      </c>
      <c r="B102" s="362">
        <v>1432</v>
      </c>
      <c r="C102" s="309">
        <v>0</v>
      </c>
      <c r="D102" s="239"/>
      <c r="E102" s="309">
        <v>0</v>
      </c>
      <c r="F102" s="239"/>
      <c r="G102" s="309">
        <v>0</v>
      </c>
      <c r="H102" s="239"/>
      <c r="I102" s="309">
        <v>0</v>
      </c>
      <c r="J102" s="239"/>
      <c r="K102" s="309">
        <f t="shared" si="10"/>
        <v>0</v>
      </c>
      <c r="L102" s="263"/>
    </row>
    <row r="103" spans="1:12">
      <c r="A103" s="323">
        <f t="shared" si="9"/>
        <v>89</v>
      </c>
      <c r="B103" s="362">
        <v>1441</v>
      </c>
      <c r="C103" s="309">
        <v>0</v>
      </c>
      <c r="D103" s="239"/>
      <c r="E103" s="309">
        <v>0</v>
      </c>
      <c r="F103" s="239"/>
      <c r="G103" s="309">
        <v>0</v>
      </c>
      <c r="H103" s="239"/>
      <c r="I103" s="309">
        <v>0</v>
      </c>
      <c r="J103" s="239"/>
      <c r="K103" s="309">
        <f t="shared" si="10"/>
        <v>0</v>
      </c>
      <c r="L103" s="263"/>
    </row>
    <row r="104" spans="1:12">
      <c r="A104" s="323">
        <f t="shared" si="9"/>
        <v>90</v>
      </c>
      <c r="B104" s="362">
        <v>1442</v>
      </c>
      <c r="C104" s="309">
        <v>0</v>
      </c>
      <c r="D104" s="239"/>
      <c r="E104" s="309">
        <v>0</v>
      </c>
      <c r="F104" s="239"/>
      <c r="G104" s="309">
        <v>0</v>
      </c>
      <c r="H104" s="239"/>
      <c r="I104" s="309">
        <v>0</v>
      </c>
      <c r="J104" s="239"/>
      <c r="K104" s="309">
        <f t="shared" si="10"/>
        <v>0</v>
      </c>
      <c r="L104" s="263"/>
    </row>
    <row r="105" spans="1:12">
      <c r="A105" s="323">
        <f t="shared" si="9"/>
        <v>91</v>
      </c>
      <c r="B105" s="363">
        <v>1444</v>
      </c>
      <c r="C105" s="346">
        <v>0</v>
      </c>
      <c r="D105" s="364"/>
      <c r="E105" s="346">
        <v>0</v>
      </c>
      <c r="F105" s="364"/>
      <c r="G105" s="346">
        <v>0</v>
      </c>
      <c r="H105" s="364"/>
      <c r="I105" s="346">
        <v>0</v>
      </c>
      <c r="J105" s="364"/>
      <c r="K105" s="346">
        <f t="shared" si="10"/>
        <v>0</v>
      </c>
      <c r="L105" s="263"/>
    </row>
    <row r="106" spans="1:12">
      <c r="A106" s="323">
        <f>A105+1</f>
        <v>92</v>
      </c>
      <c r="B106" s="365" t="s">
        <v>551</v>
      </c>
      <c r="C106" s="366">
        <f>SUM(C93:C105)</f>
        <v>20575063.449999999</v>
      </c>
      <c r="D106" s="239"/>
      <c r="E106" s="366">
        <f>SUM(E93:E105)</f>
        <v>12994793.66</v>
      </c>
      <c r="F106" s="239"/>
      <c r="G106" s="366">
        <f>SUM(G93:G105)</f>
        <v>0</v>
      </c>
      <c r="H106" s="239"/>
      <c r="I106" s="366">
        <f>SUM(I93:I105)</f>
        <v>0</v>
      </c>
      <c r="J106" s="239"/>
      <c r="K106" s="366">
        <f t="shared" ref="K106:K111" si="11">SUM(C106:I106)</f>
        <v>33569857.109999999</v>
      </c>
      <c r="L106" s="263"/>
    </row>
    <row r="107" spans="1:12">
      <c r="A107" s="323">
        <f t="shared" si="9"/>
        <v>93</v>
      </c>
      <c r="B107" s="365" t="s">
        <v>552</v>
      </c>
      <c r="C107" s="366">
        <f>C106*C14</f>
        <v>19559115.144523442</v>
      </c>
      <c r="D107" s="239"/>
      <c r="E107" s="366">
        <f>E106*E14</f>
        <v>116115.75649870471</v>
      </c>
      <c r="F107" s="239"/>
      <c r="G107" s="366">
        <v>0</v>
      </c>
      <c r="H107" s="239"/>
      <c r="I107" s="366">
        <v>0</v>
      </c>
      <c r="J107" s="239"/>
      <c r="K107" s="366">
        <f t="shared" si="11"/>
        <v>19675230.901022147</v>
      </c>
      <c r="L107" s="263"/>
    </row>
    <row r="108" spans="1:12">
      <c r="A108" s="323">
        <f t="shared" si="9"/>
        <v>94</v>
      </c>
      <c r="B108" s="365" t="s">
        <v>553</v>
      </c>
      <c r="C108" s="366">
        <f>C106*C13</f>
        <v>199005.03972382803</v>
      </c>
      <c r="D108" s="239"/>
      <c r="E108" s="366">
        <v>0</v>
      </c>
      <c r="F108" s="366"/>
      <c r="G108" s="366">
        <f>I106-I107</f>
        <v>0</v>
      </c>
      <c r="H108" s="239"/>
      <c r="I108" s="239">
        <v>0</v>
      </c>
      <c r="J108" s="239"/>
      <c r="K108" s="366">
        <f t="shared" si="11"/>
        <v>199005.03972382803</v>
      </c>
      <c r="L108" s="263"/>
    </row>
    <row r="109" spans="1:12">
      <c r="A109" s="323">
        <f t="shared" si="9"/>
        <v>95</v>
      </c>
      <c r="B109" s="365" t="s">
        <v>554</v>
      </c>
      <c r="C109" s="366">
        <f>C106*C15</f>
        <v>231519.94342863557</v>
      </c>
      <c r="D109" s="239"/>
      <c r="E109" s="366">
        <v>0</v>
      </c>
      <c r="F109" s="366"/>
      <c r="G109" s="366">
        <v>0</v>
      </c>
      <c r="H109" s="239"/>
      <c r="I109" s="239">
        <v>0</v>
      </c>
      <c r="J109" s="239"/>
      <c r="K109" s="366">
        <f t="shared" si="11"/>
        <v>231519.94342863557</v>
      </c>
      <c r="L109" s="263"/>
    </row>
    <row r="110" spans="1:12">
      <c r="A110" s="323">
        <f t="shared" si="9"/>
        <v>96</v>
      </c>
      <c r="B110" s="365" t="s">
        <v>555</v>
      </c>
      <c r="C110" s="366">
        <f>C106*C16</f>
        <v>15068.53002938668</v>
      </c>
      <c r="D110" s="239"/>
      <c r="E110" s="366"/>
      <c r="F110" s="366"/>
      <c r="G110" s="366"/>
      <c r="H110" s="239"/>
      <c r="I110" s="239"/>
      <c r="J110" s="239"/>
      <c r="K110" s="366">
        <f t="shared" si="11"/>
        <v>15068.53002938668</v>
      </c>
      <c r="L110" s="263"/>
    </row>
    <row r="111" spans="1:12">
      <c r="A111" s="323">
        <f>A110+1</f>
        <v>97</v>
      </c>
      <c r="B111" s="365" t="s">
        <v>556</v>
      </c>
      <c r="C111" s="366">
        <f>C106*C17</f>
        <v>100724.92664878344</v>
      </c>
      <c r="D111" s="239"/>
      <c r="E111" s="366"/>
      <c r="F111" s="366"/>
      <c r="G111" s="366"/>
      <c r="H111" s="239"/>
      <c r="I111" s="239"/>
      <c r="J111" s="239"/>
      <c r="K111" s="366">
        <f t="shared" si="11"/>
        <v>100724.92664878344</v>
      </c>
      <c r="L111" s="263"/>
    </row>
    <row r="112" spans="1:12">
      <c r="A112" s="323">
        <f t="shared" si="9"/>
        <v>98</v>
      </c>
      <c r="B112" s="367" t="s">
        <v>557</v>
      </c>
      <c r="C112" s="366"/>
      <c r="D112" s="239"/>
      <c r="E112" s="366"/>
      <c r="F112" s="366"/>
      <c r="G112" s="366"/>
      <c r="H112" s="239"/>
      <c r="I112" s="239"/>
      <c r="J112" s="239"/>
      <c r="K112" s="366"/>
      <c r="L112" s="263"/>
    </row>
    <row r="113" spans="1:12">
      <c r="A113" s="323">
        <f t="shared" si="9"/>
        <v>99</v>
      </c>
      <c r="B113" s="367" t="s">
        <v>558</v>
      </c>
      <c r="C113" s="366"/>
      <c r="D113" s="239"/>
      <c r="E113" s="366"/>
      <c r="F113" s="366"/>
      <c r="G113" s="366"/>
      <c r="H113" s="239"/>
      <c r="I113" s="239"/>
      <c r="J113" s="239"/>
      <c r="K113" s="366"/>
      <c r="L113" s="263"/>
    </row>
    <row r="114" spans="1:12">
      <c r="A114" s="323">
        <f t="shared" si="9"/>
        <v>100</v>
      </c>
      <c r="B114" s="367" t="s">
        <v>559</v>
      </c>
      <c r="C114" s="366"/>
      <c r="D114" s="239"/>
      <c r="E114" s="366"/>
      <c r="F114" s="366"/>
      <c r="G114" s="366"/>
      <c r="H114" s="239"/>
      <c r="I114" s="239"/>
      <c r="J114" s="239"/>
      <c r="K114" s="366"/>
      <c r="L114" s="263"/>
    </row>
    <row r="115" spans="1:12">
      <c r="A115" s="323">
        <f t="shared" si="9"/>
        <v>101</v>
      </c>
      <c r="B115" s="367" t="s">
        <v>560</v>
      </c>
      <c r="C115" s="366"/>
      <c r="D115" s="239"/>
      <c r="E115" s="366"/>
      <c r="F115" s="366"/>
      <c r="G115" s="366"/>
      <c r="H115" s="239"/>
      <c r="I115" s="239"/>
      <c r="J115" s="239"/>
      <c r="K115" s="366"/>
      <c r="L115" s="263"/>
    </row>
    <row r="116" spans="1:12">
      <c r="A116" s="323">
        <f t="shared" si="9"/>
        <v>102</v>
      </c>
      <c r="B116" s="367" t="s">
        <v>561</v>
      </c>
      <c r="C116" s="366"/>
      <c r="D116" s="239"/>
      <c r="E116" s="366"/>
      <c r="F116" s="366"/>
      <c r="G116" s="366"/>
      <c r="H116" s="239"/>
      <c r="I116" s="239"/>
      <c r="J116" s="239"/>
      <c r="K116" s="366"/>
      <c r="L116" s="263"/>
    </row>
    <row r="117" spans="1:12">
      <c r="A117" s="323">
        <f t="shared" si="9"/>
        <v>103</v>
      </c>
      <c r="B117" s="367" t="s">
        <v>562</v>
      </c>
      <c r="C117" s="366"/>
      <c r="D117" s="239"/>
      <c r="E117" s="366"/>
      <c r="F117" s="366"/>
      <c r="G117" s="366"/>
      <c r="H117" s="239"/>
      <c r="I117" s="239"/>
      <c r="J117" s="239"/>
      <c r="K117" s="366"/>
      <c r="L117" s="263"/>
    </row>
    <row r="118" spans="1:12">
      <c r="A118" s="323">
        <f t="shared" si="9"/>
        <v>104</v>
      </c>
      <c r="B118" s="367" t="s">
        <v>561</v>
      </c>
      <c r="C118" s="366"/>
      <c r="D118" s="239"/>
      <c r="E118" s="366"/>
      <c r="F118" s="366"/>
      <c r="G118" s="366"/>
      <c r="H118" s="239"/>
      <c r="I118" s="239"/>
      <c r="J118" s="239"/>
      <c r="K118" s="366"/>
      <c r="L118" s="263"/>
    </row>
    <row r="119" spans="1:12" ht="13.5" thickBot="1">
      <c r="A119" s="327">
        <f t="shared" si="9"/>
        <v>105</v>
      </c>
      <c r="B119" s="745" t="s">
        <v>563</v>
      </c>
      <c r="C119" s="368"/>
      <c r="D119" s="261"/>
      <c r="E119" s="368"/>
      <c r="F119" s="368"/>
      <c r="G119" s="368"/>
      <c r="H119" s="261"/>
      <c r="I119" s="261"/>
      <c r="J119" s="261"/>
      <c r="K119" s="368"/>
      <c r="L119" s="265"/>
    </row>
    <row r="120" spans="1:12">
      <c r="A120" s="237" t="str">
        <f>A1</f>
        <v>WAPA-UGP 2020 Rate True-up Calculation</v>
      </c>
      <c r="B120" s="322"/>
      <c r="C120" s="238"/>
      <c r="D120" s="238"/>
      <c r="E120" s="238"/>
      <c r="F120" s="238"/>
      <c r="G120" s="238"/>
      <c r="H120" s="238"/>
      <c r="I120" s="238"/>
      <c r="J120" s="238"/>
      <c r="K120" s="238"/>
      <c r="L120" s="262"/>
    </row>
    <row r="121" spans="1:12">
      <c r="A121" s="323"/>
      <c r="B121" s="324"/>
      <c r="C121" s="324" t="s">
        <v>430</v>
      </c>
      <c r="D121" s="325"/>
      <c r="E121" s="324" t="s">
        <v>543</v>
      </c>
      <c r="F121" s="325"/>
      <c r="G121" s="324" t="s">
        <v>432</v>
      </c>
      <c r="H121" s="326"/>
      <c r="I121" s="324" t="s">
        <v>433</v>
      </c>
      <c r="J121" s="326"/>
      <c r="K121" s="324" t="s">
        <v>434</v>
      </c>
      <c r="L121" s="263"/>
    </row>
    <row r="122" spans="1:12" s="232" customFormat="1" ht="13.5" thickBot="1">
      <c r="A122" s="327" t="s">
        <v>49</v>
      </c>
      <c r="B122" s="245">
        <v>-1</v>
      </c>
      <c r="C122" s="328">
        <v>-2</v>
      </c>
      <c r="D122" s="329"/>
      <c r="E122" s="328">
        <v>-3</v>
      </c>
      <c r="F122" s="329"/>
      <c r="G122" s="245">
        <v>-4</v>
      </c>
      <c r="H122" s="330"/>
      <c r="I122" s="245">
        <v>-5</v>
      </c>
      <c r="J122" s="330"/>
      <c r="K122" s="245">
        <v>-6</v>
      </c>
      <c r="L122" s="331"/>
    </row>
    <row r="123" spans="1:12">
      <c r="A123" s="376">
        <f>A119+1</f>
        <v>106</v>
      </c>
      <c r="B123" s="377" t="s">
        <v>564</v>
      </c>
      <c r="C123" s="378"/>
      <c r="D123" s="378"/>
      <c r="E123" s="378"/>
      <c r="F123" s="378"/>
      <c r="G123" s="378"/>
      <c r="H123" s="238"/>
      <c r="I123" s="238"/>
      <c r="J123" s="238"/>
      <c r="K123" s="238"/>
      <c r="L123" s="262"/>
    </row>
    <row r="124" spans="1:12">
      <c r="A124" s="323">
        <f t="shared" ref="A124:A149" si="12">A123+1</f>
        <v>107</v>
      </c>
      <c r="B124" s="360"/>
      <c r="C124" s="369" t="s">
        <v>565</v>
      </c>
      <c r="D124" s="239"/>
      <c r="E124" s="369" t="s">
        <v>566</v>
      </c>
      <c r="F124" s="239"/>
      <c r="G124" s="369" t="s">
        <v>548</v>
      </c>
      <c r="H124" s="239"/>
      <c r="I124" s="369" t="s">
        <v>567</v>
      </c>
      <c r="J124" s="239"/>
      <c r="K124" s="369" t="s">
        <v>550</v>
      </c>
      <c r="L124" s="263"/>
    </row>
    <row r="125" spans="1:12">
      <c r="A125" s="323">
        <f t="shared" si="12"/>
        <v>108</v>
      </c>
      <c r="B125" s="360" t="s">
        <v>568</v>
      </c>
      <c r="C125" s="349">
        <f>176266645.64+14193949.32</f>
        <v>190460594.95999998</v>
      </c>
      <c r="D125" s="239"/>
      <c r="E125" s="349">
        <v>83256787.590000004</v>
      </c>
      <c r="F125" s="239"/>
      <c r="G125" s="349">
        <f>8422783+7634407+10820424+6120686+13327550+8178338</f>
        <v>54504188</v>
      </c>
      <c r="H125" s="239"/>
      <c r="I125" s="349">
        <v>41753359.539999999</v>
      </c>
      <c r="J125" s="239"/>
      <c r="K125" s="349">
        <f>SUM(C125:I125)</f>
        <v>369974930.08999997</v>
      </c>
      <c r="L125" s="263"/>
    </row>
    <row r="126" spans="1:12">
      <c r="A126" s="323">
        <f t="shared" si="12"/>
        <v>109</v>
      </c>
      <c r="B126" s="370" t="s">
        <v>569</v>
      </c>
      <c r="C126" s="349"/>
      <c r="D126" s="239"/>
      <c r="E126" s="349"/>
      <c r="F126" s="239"/>
      <c r="G126" s="349"/>
      <c r="H126" s="239"/>
      <c r="I126" s="349"/>
      <c r="J126" s="239"/>
      <c r="K126" s="349"/>
      <c r="L126" s="263"/>
    </row>
    <row r="127" spans="1:12">
      <c r="A127" s="323">
        <f t="shared" si="12"/>
        <v>110</v>
      </c>
      <c r="B127" s="370" t="s">
        <v>570</v>
      </c>
      <c r="C127" s="349">
        <f>9217649.32+90136321.33</f>
        <v>99353970.650000006</v>
      </c>
      <c r="D127" s="239"/>
      <c r="E127" s="349">
        <f>18153301.36+6782122.23</f>
        <v>24935423.59</v>
      </c>
      <c r="F127" s="239"/>
      <c r="G127" s="349"/>
      <c r="H127" s="239"/>
      <c r="I127" s="349"/>
      <c r="J127" s="239"/>
      <c r="K127" s="349">
        <f>SUM(C127:I127)</f>
        <v>124289394.24000001</v>
      </c>
      <c r="L127" s="263"/>
    </row>
    <row r="128" spans="1:12">
      <c r="A128" s="323">
        <f t="shared" si="12"/>
        <v>111</v>
      </c>
      <c r="B128" s="370" t="s">
        <v>571</v>
      </c>
      <c r="C128" s="656">
        <f>C106</f>
        <v>20575063.449999999</v>
      </c>
      <c r="D128" s="239"/>
      <c r="E128" s="349">
        <f>E106</f>
        <v>12994793.66</v>
      </c>
      <c r="F128" s="239"/>
      <c r="G128" s="349"/>
      <c r="H128" s="239"/>
      <c r="I128" s="349"/>
      <c r="J128" s="239"/>
      <c r="K128" s="349">
        <f>SUM(C128:I128)</f>
        <v>33569857.109999999</v>
      </c>
      <c r="L128" s="263"/>
    </row>
    <row r="129" spans="1:12">
      <c r="A129" s="323">
        <f t="shared" si="12"/>
        <v>112</v>
      </c>
      <c r="B129" s="370" t="s">
        <v>572</v>
      </c>
      <c r="C129" s="349">
        <v>10187.049999999999</v>
      </c>
      <c r="D129" s="239"/>
      <c r="E129" s="349">
        <v>0</v>
      </c>
      <c r="F129" s="239"/>
      <c r="G129" s="349"/>
      <c r="H129" s="239"/>
      <c r="I129" s="349"/>
      <c r="J129" s="239"/>
      <c r="K129" s="349">
        <f>SUM(C129:I129)</f>
        <v>10187.049999999999</v>
      </c>
      <c r="L129" s="263"/>
    </row>
    <row r="130" spans="1:12">
      <c r="A130" s="323">
        <f t="shared" si="12"/>
        <v>113</v>
      </c>
      <c r="B130" s="370" t="s">
        <v>573</v>
      </c>
      <c r="C130" s="349">
        <v>0</v>
      </c>
      <c r="D130" s="239"/>
      <c r="E130" s="349">
        <v>0</v>
      </c>
      <c r="F130" s="239"/>
      <c r="G130" s="349"/>
      <c r="H130" s="239"/>
      <c r="I130" s="349"/>
      <c r="J130" s="239"/>
      <c r="K130" s="349">
        <f>SUM(C130:I130)</f>
        <v>0</v>
      </c>
      <c r="L130" s="263"/>
    </row>
    <row r="131" spans="1:12">
      <c r="A131" s="323">
        <f t="shared" si="12"/>
        <v>114</v>
      </c>
      <c r="B131" s="370" t="s">
        <v>574</v>
      </c>
      <c r="C131" s="349"/>
      <c r="D131" s="239"/>
      <c r="E131" s="349"/>
      <c r="F131" s="239"/>
      <c r="G131" s="349"/>
      <c r="H131" s="239"/>
      <c r="I131" s="349"/>
      <c r="J131" s="239"/>
      <c r="K131" s="349"/>
      <c r="L131" s="263"/>
    </row>
    <row r="132" spans="1:12">
      <c r="A132" s="323">
        <f t="shared" si="12"/>
        <v>115</v>
      </c>
      <c r="B132" s="370" t="s">
        <v>575</v>
      </c>
      <c r="C132" s="349">
        <f>681343+202445</f>
        <v>883788</v>
      </c>
      <c r="D132" s="239"/>
      <c r="E132" s="349">
        <v>415491</v>
      </c>
      <c r="F132" s="239"/>
      <c r="G132" s="349"/>
      <c r="H132" s="239"/>
      <c r="I132" s="349"/>
      <c r="J132" s="239"/>
      <c r="K132" s="349">
        <f>SUM(C132:I132)</f>
        <v>1299279</v>
      </c>
      <c r="L132" s="263"/>
    </row>
    <row r="133" spans="1:12">
      <c r="A133" s="323">
        <f t="shared" si="12"/>
        <v>116</v>
      </c>
      <c r="B133" s="370" t="s">
        <v>576</v>
      </c>
      <c r="C133" s="349">
        <f>98854+22142</f>
        <v>120996</v>
      </c>
      <c r="D133" s="239"/>
      <c r="E133" s="349">
        <v>84753</v>
      </c>
      <c r="F133" s="239"/>
      <c r="G133" s="349"/>
      <c r="H133" s="239"/>
      <c r="I133" s="349"/>
      <c r="J133" s="239"/>
      <c r="K133" s="349">
        <f>SUM(C133:I133)</f>
        <v>205749</v>
      </c>
      <c r="L133" s="263"/>
    </row>
    <row r="134" spans="1:12">
      <c r="A134" s="323">
        <f t="shared" si="12"/>
        <v>117</v>
      </c>
      <c r="B134" s="371" t="s">
        <v>577</v>
      </c>
      <c r="C134" s="372">
        <f>8206879+2801991.79</f>
        <v>11008870.789999999</v>
      </c>
      <c r="D134" s="373"/>
      <c r="E134" s="372">
        <v>0</v>
      </c>
      <c r="F134" s="373"/>
      <c r="G134" s="372"/>
      <c r="H134" s="373"/>
      <c r="I134" s="372"/>
      <c r="J134" s="373"/>
      <c r="K134" s="372">
        <f>SUM(C134:I134)</f>
        <v>11008870.789999999</v>
      </c>
      <c r="L134" s="263"/>
    </row>
    <row r="135" spans="1:12">
      <c r="A135" s="323">
        <f t="shared" si="12"/>
        <v>118</v>
      </c>
      <c r="B135" s="374" t="s">
        <v>578</v>
      </c>
      <c r="C135" s="375">
        <f>C125-C127-C128-C129-C130+C132+C133</f>
        <v>71526157.809999973</v>
      </c>
      <c r="D135" s="239"/>
      <c r="E135" s="375">
        <f>E125-E127-E128-E129+E132+E133</f>
        <v>45826814.340000004</v>
      </c>
      <c r="F135" s="375"/>
      <c r="G135" s="375">
        <f>G125-G127-G128-G129+G132+G133</f>
        <v>54504188</v>
      </c>
      <c r="H135" s="375"/>
      <c r="I135" s="375">
        <f>I125-I127-I128-I129+I132+I133</f>
        <v>41753359.539999999</v>
      </c>
      <c r="J135" s="239"/>
      <c r="K135" s="375">
        <f>K125-K127-K128-K129-K130+K132+K133</f>
        <v>213610519.68999994</v>
      </c>
      <c r="L135" s="263"/>
    </row>
    <row r="136" spans="1:12">
      <c r="A136" s="323">
        <f t="shared" si="12"/>
        <v>119</v>
      </c>
      <c r="B136" s="374" t="s">
        <v>579</v>
      </c>
      <c r="C136" s="375">
        <f>C135*C14</f>
        <v>67994364.141372517</v>
      </c>
      <c r="D136" s="239"/>
      <c r="E136" s="375">
        <f>E135*E14</f>
        <v>409488.24231001985</v>
      </c>
      <c r="F136" s="239"/>
      <c r="G136" s="375">
        <f>G135*G14</f>
        <v>4019449.0643798248</v>
      </c>
      <c r="H136" s="239"/>
      <c r="I136" s="375">
        <f>I135*I14</f>
        <v>0</v>
      </c>
      <c r="J136" s="239"/>
      <c r="K136" s="375">
        <f>SUM(C136:I136)</f>
        <v>72423301.44806236</v>
      </c>
      <c r="L136" s="263"/>
    </row>
    <row r="137" spans="1:12">
      <c r="A137" s="323">
        <f t="shared" si="12"/>
        <v>120</v>
      </c>
      <c r="B137" s="374" t="s">
        <v>580</v>
      </c>
      <c r="C137" s="375">
        <f>C135*C13</f>
        <v>691811.51790187252</v>
      </c>
      <c r="D137" s="239"/>
      <c r="E137" s="375">
        <v>0</v>
      </c>
      <c r="F137" s="239"/>
      <c r="G137" s="349">
        <f>G135*G13</f>
        <v>50484738.935620181</v>
      </c>
      <c r="H137" s="239"/>
      <c r="I137" s="349">
        <f>I135*I13</f>
        <v>41753359.539999999</v>
      </c>
      <c r="J137" s="239"/>
      <c r="K137" s="375">
        <f>SUM(C137:I137)</f>
        <v>92929909.993522048</v>
      </c>
      <c r="L137" s="263"/>
    </row>
    <row r="138" spans="1:12">
      <c r="A138" s="323">
        <f t="shared" si="12"/>
        <v>121</v>
      </c>
      <c r="B138" s="374" t="s">
        <v>581</v>
      </c>
      <c r="C138" s="375">
        <f>C135*C16</f>
        <v>52383.510722375693</v>
      </c>
      <c r="D138" s="239"/>
      <c r="E138" s="375"/>
      <c r="F138" s="239"/>
      <c r="G138" s="349"/>
      <c r="H138" s="239"/>
      <c r="I138" s="349"/>
      <c r="J138" s="239"/>
      <c r="K138" s="375">
        <f>SUM(C138:I138)</f>
        <v>52383.510722375693</v>
      </c>
      <c r="L138" s="263"/>
    </row>
    <row r="139" spans="1:12">
      <c r="A139" s="323">
        <f t="shared" si="12"/>
        <v>122</v>
      </c>
      <c r="B139" s="374" t="s">
        <v>582</v>
      </c>
      <c r="C139" s="375">
        <f>C135*C17</f>
        <v>350155.27492244774</v>
      </c>
      <c r="D139" s="239"/>
      <c r="E139" s="375"/>
      <c r="F139" s="239"/>
      <c r="G139" s="349"/>
      <c r="H139" s="239"/>
      <c r="I139" s="349"/>
      <c r="J139" s="239"/>
      <c r="K139" s="375">
        <f>SUM(C139:I139)</f>
        <v>350155.27492244774</v>
      </c>
      <c r="L139" s="263"/>
    </row>
    <row r="140" spans="1:12">
      <c r="A140" s="323">
        <f t="shared" si="12"/>
        <v>123</v>
      </c>
      <c r="B140" s="349" t="s">
        <v>583</v>
      </c>
      <c r="C140" s="349"/>
      <c r="D140" s="349"/>
      <c r="E140" s="349"/>
      <c r="F140" s="349"/>
      <c r="G140" s="349"/>
      <c r="H140" s="239"/>
      <c r="I140" s="239"/>
      <c r="J140" s="239"/>
      <c r="K140" s="239"/>
      <c r="L140" s="263"/>
    </row>
    <row r="141" spans="1:12">
      <c r="A141" s="323">
        <f t="shared" si="12"/>
        <v>124</v>
      </c>
      <c r="B141" s="349" t="s">
        <v>584</v>
      </c>
      <c r="C141" s="349"/>
      <c r="D141" s="349"/>
      <c r="E141" s="349"/>
      <c r="F141" s="349"/>
      <c r="G141" s="349"/>
      <c r="H141" s="239"/>
      <c r="I141" s="239"/>
      <c r="J141" s="239"/>
      <c r="K141" s="239"/>
      <c r="L141" s="263"/>
    </row>
    <row r="142" spans="1:12">
      <c r="A142" s="323">
        <f t="shared" si="12"/>
        <v>125</v>
      </c>
      <c r="B142" s="349" t="s">
        <v>585</v>
      </c>
      <c r="C142" s="349"/>
      <c r="D142" s="349"/>
      <c r="E142" s="349"/>
      <c r="F142" s="349"/>
      <c r="G142" s="349"/>
      <c r="H142" s="239"/>
      <c r="I142" s="239"/>
      <c r="J142" s="239"/>
      <c r="K142" s="239"/>
      <c r="L142" s="263"/>
    </row>
    <row r="143" spans="1:12">
      <c r="A143" s="323">
        <f t="shared" si="12"/>
        <v>126</v>
      </c>
      <c r="B143" s="349" t="s">
        <v>586</v>
      </c>
      <c r="C143" s="349"/>
      <c r="D143" s="349"/>
      <c r="E143" s="349"/>
      <c r="F143" s="349"/>
      <c r="G143" s="349"/>
      <c r="H143" s="239"/>
      <c r="I143" s="239"/>
      <c r="J143" s="239"/>
      <c r="K143" s="239"/>
      <c r="L143" s="263"/>
    </row>
    <row r="144" spans="1:12">
      <c r="A144" s="323">
        <f t="shared" si="12"/>
        <v>127</v>
      </c>
      <c r="B144" s="349" t="s">
        <v>587</v>
      </c>
      <c r="C144" s="349"/>
      <c r="D144" s="349"/>
      <c r="E144" s="349"/>
      <c r="F144" s="349"/>
      <c r="G144" s="349"/>
      <c r="H144" s="239"/>
      <c r="I144" s="239"/>
      <c r="J144" s="239"/>
      <c r="K144" s="239"/>
      <c r="L144" s="263"/>
    </row>
    <row r="145" spans="1:12">
      <c r="A145" s="323">
        <f t="shared" si="12"/>
        <v>128</v>
      </c>
      <c r="B145" s="349" t="s">
        <v>588</v>
      </c>
      <c r="C145" s="349"/>
      <c r="D145" s="349"/>
      <c r="E145" s="349"/>
      <c r="F145" s="349"/>
      <c r="G145" s="349"/>
      <c r="H145" s="239"/>
      <c r="I145" s="239"/>
      <c r="J145" s="239"/>
      <c r="K145" s="239"/>
      <c r="L145" s="263"/>
    </row>
    <row r="146" spans="1:12">
      <c r="A146" s="323">
        <f t="shared" si="12"/>
        <v>129</v>
      </c>
      <c r="B146" s="349" t="s">
        <v>589</v>
      </c>
      <c r="C146" s="349"/>
      <c r="D146" s="349"/>
      <c r="E146" s="349"/>
      <c r="F146" s="349"/>
      <c r="G146" s="349"/>
      <c r="H146" s="239"/>
      <c r="I146" s="239"/>
      <c r="J146" s="239"/>
      <c r="K146" s="239"/>
      <c r="L146" s="263"/>
    </row>
    <row r="147" spans="1:12">
      <c r="A147" s="323">
        <f t="shared" si="12"/>
        <v>130</v>
      </c>
      <c r="B147" s="349" t="s">
        <v>590</v>
      </c>
      <c r="C147" s="349"/>
      <c r="D147" s="349"/>
      <c r="E147" s="349"/>
      <c r="F147" s="349"/>
      <c r="G147" s="349"/>
      <c r="H147" s="239"/>
      <c r="I147" s="239"/>
      <c r="J147" s="239"/>
      <c r="K147" s="239"/>
      <c r="L147" s="263"/>
    </row>
    <row r="148" spans="1:12">
      <c r="A148" s="323">
        <f t="shared" si="12"/>
        <v>131</v>
      </c>
      <c r="B148" s="349" t="s">
        <v>591</v>
      </c>
      <c r="C148" s="349"/>
      <c r="D148" s="349"/>
      <c r="E148" s="349"/>
      <c r="F148" s="349"/>
      <c r="G148" s="349"/>
      <c r="H148" s="239"/>
      <c r="I148" s="239"/>
      <c r="J148" s="239"/>
      <c r="K148" s="239"/>
      <c r="L148" s="263"/>
    </row>
    <row r="149" spans="1:12" ht="13.5" thickBot="1">
      <c r="A149" s="327">
        <f t="shared" si="12"/>
        <v>132</v>
      </c>
      <c r="B149" s="350" t="s">
        <v>435</v>
      </c>
      <c r="C149" s="350"/>
      <c r="D149" s="350"/>
      <c r="E149" s="350"/>
      <c r="F149" s="350"/>
      <c r="G149" s="350"/>
      <c r="H149" s="261"/>
      <c r="I149" s="261"/>
      <c r="J149" s="261"/>
      <c r="K149" s="261"/>
      <c r="L149" s="265"/>
    </row>
    <row r="150" spans="1:12">
      <c r="C150" s="233"/>
      <c r="D150" s="233"/>
      <c r="E150" s="233"/>
      <c r="F150" s="233"/>
      <c r="G150" s="233"/>
    </row>
    <row r="151" spans="1:12">
      <c r="B151" s="233"/>
      <c r="C151" s="233"/>
      <c r="D151" s="233"/>
      <c r="E151" s="233"/>
      <c r="F151" s="233"/>
      <c r="G151" s="233"/>
    </row>
    <row r="152" spans="1:12">
      <c r="C152" s="233"/>
      <c r="D152" s="233"/>
      <c r="E152" s="233"/>
      <c r="F152" s="233"/>
      <c r="G152" s="233"/>
    </row>
    <row r="153" spans="1:12">
      <c r="B153" s="233"/>
      <c r="C153" s="233"/>
      <c r="D153" s="233"/>
      <c r="E153" s="233"/>
      <c r="F153" s="233"/>
      <c r="G153" s="233"/>
    </row>
  </sheetData>
  <hyperlinks>
    <hyperlink ref="C1" location="'Cover Sheets'!A18" display="(Back to Worksheet Links)" xr:uid="{00000000-0004-0000-0500-000000000000}"/>
  </hyperlinks>
  <pageMargins left="0.7" right="0.7" top="0.75" bottom="0.75" header="0.3" footer="0.3"/>
  <pageSetup scale="73" fitToHeight="0" orientation="landscape" r:id="rId1"/>
  <headerFooter>
    <oddFooter>&amp;R&amp;A</oddFooter>
  </headerFooter>
  <rowBreaks count="4" manualBreakCount="4">
    <brk id="41" max="16383" man="1"/>
    <brk id="61" max="16383" man="1"/>
    <brk id="87"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1"/>
  <sheetViews>
    <sheetView view="pageBreakPreview" zoomScale="70" zoomScaleNormal="100" zoomScaleSheetLayoutView="70" workbookViewId="0"/>
  </sheetViews>
  <sheetFormatPr defaultColWidth="13.1796875" defaultRowHeight="14.5"/>
  <cols>
    <col min="1" max="1" width="9.7265625" style="234" customWidth="1"/>
    <col min="2" max="2" width="49.26953125" style="234" bestFit="1" customWidth="1"/>
    <col min="3" max="3" width="10" style="234" customWidth="1"/>
    <col min="4" max="4" width="15.1796875" style="234" customWidth="1"/>
    <col min="5" max="5" width="13.1796875" style="234"/>
    <col min="6" max="6" width="13.54296875" style="234" bestFit="1" customWidth="1"/>
    <col min="7" max="10" width="13.1796875" style="234"/>
    <col min="11" max="11" width="13.54296875" style="234" bestFit="1" customWidth="1"/>
    <col min="12" max="12" width="13.81640625" style="234" bestFit="1" customWidth="1"/>
    <col min="13" max="16384" width="13.1796875" style="234"/>
  </cols>
  <sheetData>
    <row r="1" spans="1:15" ht="14.65" customHeight="1">
      <c r="A1" s="237" t="str">
        <f>'Cover Sheets'!A10:D10</f>
        <v>WAPA-UGP 2020 Rate True-up Calculation</v>
      </c>
      <c r="B1" s="734"/>
      <c r="C1" s="277"/>
      <c r="D1" s="650" t="s">
        <v>97</v>
      </c>
      <c r="E1" s="277"/>
      <c r="F1" s="277"/>
      <c r="G1" s="277"/>
      <c r="H1" s="277"/>
      <c r="I1" s="277"/>
      <c r="J1" s="277"/>
      <c r="K1" s="277"/>
      <c r="L1" s="277"/>
      <c r="M1" s="277"/>
      <c r="N1" s="277"/>
      <c r="O1" s="644"/>
    </row>
    <row r="2" spans="1:15">
      <c r="A2" s="573" t="s">
        <v>592</v>
      </c>
      <c r="B2" s="735"/>
      <c r="C2" s="278"/>
      <c r="D2" s="278"/>
      <c r="E2" s="278"/>
      <c r="F2" s="278"/>
      <c r="G2" s="278"/>
      <c r="H2" s="278"/>
      <c r="I2" s="278"/>
      <c r="J2" s="278"/>
      <c r="K2" s="278"/>
      <c r="L2" s="278"/>
      <c r="M2" s="278"/>
      <c r="N2" s="278"/>
      <c r="O2" s="279"/>
    </row>
    <row r="3" spans="1:15">
      <c r="A3" s="56" t="str">
        <f>'Summary-TrueUp'!A3</f>
        <v>12 Months Ending 09/30/2020 True-up</v>
      </c>
      <c r="B3" s="736"/>
      <c r="C3" s="278"/>
      <c r="D3" s="278"/>
      <c r="E3" s="278"/>
      <c r="F3" s="278"/>
      <c r="G3" s="278"/>
      <c r="H3" s="278"/>
      <c r="I3" s="278"/>
      <c r="J3" s="278"/>
      <c r="K3" s="278"/>
      <c r="L3" s="278"/>
      <c r="M3" s="278"/>
      <c r="N3" s="278"/>
      <c r="O3" s="279"/>
    </row>
    <row r="4" spans="1:15" ht="39.5">
      <c r="A4" s="56"/>
      <c r="B4" s="241" t="s">
        <v>593</v>
      </c>
      <c r="C4" s="242" t="s">
        <v>594</v>
      </c>
      <c r="D4" s="241" t="s">
        <v>595</v>
      </c>
      <c r="E4" s="241" t="s">
        <v>596</v>
      </c>
      <c r="F4" s="241" t="s">
        <v>597</v>
      </c>
      <c r="G4" s="241" t="s">
        <v>598</v>
      </c>
      <c r="H4" s="241" t="s">
        <v>599</v>
      </c>
      <c r="I4" s="241" t="s">
        <v>600</v>
      </c>
      <c r="J4" s="241" t="s">
        <v>601</v>
      </c>
      <c r="K4" s="241" t="s">
        <v>602</v>
      </c>
      <c r="L4" s="241" t="s">
        <v>603</v>
      </c>
      <c r="M4" s="241" t="s">
        <v>604</v>
      </c>
      <c r="N4" s="241" t="s">
        <v>605</v>
      </c>
      <c r="O4" s="243" t="s">
        <v>606</v>
      </c>
    </row>
    <row r="5" spans="1:15">
      <c r="A5" s="646" t="s">
        <v>383</v>
      </c>
      <c r="B5" s="514">
        <v>-1</v>
      </c>
      <c r="C5" s="514">
        <v>-2</v>
      </c>
      <c r="D5" s="514">
        <v>-3</v>
      </c>
      <c r="E5" s="514">
        <v>-4</v>
      </c>
      <c r="F5" s="514">
        <v>-5</v>
      </c>
      <c r="G5" s="514">
        <v>-6</v>
      </c>
      <c r="H5" s="514">
        <v>-7</v>
      </c>
      <c r="I5" s="514">
        <v>-8</v>
      </c>
      <c r="J5" s="514">
        <v>-9</v>
      </c>
      <c r="K5" s="514">
        <v>-10</v>
      </c>
      <c r="L5" s="514">
        <v>-11</v>
      </c>
      <c r="M5" s="514">
        <v>-12</v>
      </c>
      <c r="N5" s="514">
        <v>-13</v>
      </c>
      <c r="O5" s="647">
        <v>-14</v>
      </c>
    </row>
    <row r="6" spans="1:15">
      <c r="A6" s="280">
        <v>1</v>
      </c>
      <c r="B6" s="515" t="str">
        <f>'WS7-BPUFac'!C5</f>
        <v>ROBERTS COUNTY 115 kV SUBSTATION, 71926</v>
      </c>
      <c r="C6" s="516" t="s">
        <v>607</v>
      </c>
      <c r="D6" s="775">
        <f>'WS7-BPUFac'!H5</f>
        <v>2212759.1386000002</v>
      </c>
      <c r="E6" s="703">
        <f>D6/D19</f>
        <v>0.30369790762608834</v>
      </c>
      <c r="F6" s="775">
        <f>'WS4-CostData'!$C$23*'WS5-BPUz'!E6</f>
        <v>1095823.2712842789</v>
      </c>
      <c r="G6" s="775">
        <f>'WS4-CostData'!$C$139*'WS5-BPUz'!E6</f>
        <v>106341.4243381851</v>
      </c>
      <c r="H6" s="775">
        <f>'WS4-CostData'!$C$51*'WS5-BPUz'!E6</f>
        <v>49128.730120453438</v>
      </c>
      <c r="I6" s="775">
        <f>'WS4-CostData'!$C$111*'WS5-BPUz'!E6</f>
        <v>30589.949469026757</v>
      </c>
      <c r="J6" s="517">
        <f>'WS2-AllocFactor'!G25</f>
        <v>4.3440729198788046E-2</v>
      </c>
      <c r="K6" s="775">
        <f>D6-F6</f>
        <v>1116935.8673157212</v>
      </c>
      <c r="L6" s="775">
        <f>J6*K6</f>
        <v>48520.508544475699</v>
      </c>
      <c r="M6" s="775">
        <f>L6+G6+I6+H6</f>
        <v>234580.61247214099</v>
      </c>
      <c r="N6" s="775">
        <f>$N$19*E6</f>
        <v>-5825.1384568037074</v>
      </c>
      <c r="O6" s="779">
        <f>M6+N6</f>
        <v>228755.47401533727</v>
      </c>
    </row>
    <row r="7" spans="1:15">
      <c r="A7" s="280">
        <f t="shared" ref="A7:A20" si="0">A6+1</f>
        <v>2</v>
      </c>
      <c r="B7" s="515" t="str">
        <f>'WS7-BPUFac'!C6</f>
        <v>ROBERTS COUNTY 115/69 kV TRANSFORMER, 71927</v>
      </c>
      <c r="C7" s="516" t="s">
        <v>607</v>
      </c>
      <c r="D7" s="775">
        <f>'WS7-BPUFac'!H6</f>
        <v>5073024.1400000006</v>
      </c>
      <c r="E7" s="703">
        <f>D7/D19</f>
        <v>0.69626503390215677</v>
      </c>
      <c r="F7" s="775">
        <f>'WS4-CostData'!$C$23*'WS5-BPUz'!E7</f>
        <v>2512310.4505247464</v>
      </c>
      <c r="G7" s="775">
        <f>'WS4-CostData'!$C$139*'WS5-BPUz'!E7</f>
        <v>243800.87436489711</v>
      </c>
      <c r="H7" s="775">
        <f>'WS4-CostData'!$C$51*'WS5-BPUz'!E7</f>
        <v>112633.69316657419</v>
      </c>
      <c r="I7" s="775">
        <f>'WS4-CostData'!$C$111*'WS5-BPUz'!E7</f>
        <v>70131.244467907454</v>
      </c>
      <c r="J7" s="517">
        <f>'WS2-AllocFactor'!G25</f>
        <v>4.3440729198788046E-2</v>
      </c>
      <c r="K7" s="775">
        <f t="shared" ref="K7" si="1">D7-F7</f>
        <v>2560713.6894752542</v>
      </c>
      <c r="L7" s="775">
        <f t="shared" ref="L7:L8" si="2">J7*K7</f>
        <v>111239.26994012394</v>
      </c>
      <c r="M7" s="775">
        <f t="shared" ref="M7" si="3">L7+G7+I7+H7</f>
        <v>537805.08193950274</v>
      </c>
      <c r="N7" s="775">
        <f t="shared" ref="N7:N8" si="4">$N$19*E7</f>
        <v>-13354.850735767086</v>
      </c>
      <c r="O7" s="779">
        <f t="shared" ref="O7:O8" si="5">M7+N7</f>
        <v>524450.23120373569</v>
      </c>
    </row>
    <row r="8" spans="1:15">
      <c r="A8" s="280">
        <f t="shared" si="0"/>
        <v>3</v>
      </c>
      <c r="B8" s="515" t="str">
        <f>'WS7-BPUFac'!C7</f>
        <v>WILLISTON SUBSTATION 115 kV TERMINAL UPGRADES, 61856</v>
      </c>
      <c r="C8" s="516" t="s">
        <v>607</v>
      </c>
      <c r="D8" s="775">
        <f>'WS7-BPUFac'!H7</f>
        <v>270.01</v>
      </c>
      <c r="E8" s="517">
        <f>D8/D19</f>
        <v>3.7058471754861653E-5</v>
      </c>
      <c r="F8" s="775">
        <f>'WS4-CostData'!$C$23*'WS5-BPUz'!E8</f>
        <v>133.71687696053161</v>
      </c>
      <c r="G8" s="775">
        <f>'WS4-CostData'!$C$139*'WS5-BPUz'!E8</f>
        <v>12.976219365529346</v>
      </c>
      <c r="H8" s="775">
        <f>'WS4-CostData'!$C$51*'WS5-BPUz'!E8</f>
        <v>5.9948903558552145</v>
      </c>
      <c r="I8" s="775">
        <f>'WS4-CostData'!$C$111*'WS5-BPUz'!E8</f>
        <v>3.7327118492244531</v>
      </c>
      <c r="J8" s="517">
        <f>'WS2-AllocFactor'!G25</f>
        <v>4.3440729198788046E-2</v>
      </c>
      <c r="K8" s="775">
        <f>D8-F8</f>
        <v>136.29312303946838</v>
      </c>
      <c r="L8" s="775">
        <f t="shared" si="2"/>
        <v>5.9206726496146462</v>
      </c>
      <c r="M8" s="775">
        <f>L8+G8+I8+H8</f>
        <v>28.62449422022366</v>
      </c>
      <c r="N8" s="775">
        <f t="shared" si="4"/>
        <v>-0.71080742918847428</v>
      </c>
      <c r="O8" s="779">
        <f t="shared" si="5"/>
        <v>27.913686791035186</v>
      </c>
    </row>
    <row r="9" spans="1:15">
      <c r="A9" s="280">
        <f t="shared" si="0"/>
        <v>4</v>
      </c>
      <c r="B9" s="519"/>
      <c r="C9" s="518"/>
      <c r="D9" s="775"/>
      <c r="E9" s="286"/>
      <c r="F9" s="775"/>
      <c r="G9" s="775"/>
      <c r="H9" s="775"/>
      <c r="I9" s="775"/>
      <c r="J9" s="286"/>
      <c r="K9" s="775"/>
      <c r="L9" s="775"/>
      <c r="M9" s="775"/>
      <c r="N9" s="775"/>
      <c r="O9" s="779"/>
    </row>
    <row r="10" spans="1:15">
      <c r="A10" s="280">
        <f t="shared" si="0"/>
        <v>5</v>
      </c>
      <c r="B10" s="519"/>
      <c r="C10" s="518"/>
      <c r="D10" s="776"/>
      <c r="E10" s="520"/>
      <c r="F10" s="776"/>
      <c r="G10" s="776"/>
      <c r="H10" s="776"/>
      <c r="I10" s="776"/>
      <c r="J10" s="520"/>
      <c r="K10" s="776"/>
      <c r="L10" s="776"/>
      <c r="M10" s="776"/>
      <c r="N10" s="776"/>
      <c r="O10" s="780"/>
    </row>
    <row r="11" spans="1:15">
      <c r="A11" s="280">
        <f t="shared" si="0"/>
        <v>6</v>
      </c>
      <c r="B11" s="519"/>
      <c r="C11" s="286"/>
      <c r="D11" s="775"/>
      <c r="E11" s="286"/>
      <c r="F11" s="775"/>
      <c r="G11" s="775"/>
      <c r="H11" s="775"/>
      <c r="I11" s="775"/>
      <c r="J11" s="286"/>
      <c r="K11" s="775"/>
      <c r="L11" s="775"/>
      <c r="M11" s="775"/>
      <c r="N11" s="775"/>
      <c r="O11" s="779"/>
    </row>
    <row r="12" spans="1:15">
      <c r="A12" s="280">
        <f t="shared" si="0"/>
        <v>7</v>
      </c>
      <c r="B12" s="515"/>
      <c r="C12" s="521"/>
      <c r="D12" s="775"/>
      <c r="E12" s="286"/>
      <c r="F12" s="775"/>
      <c r="G12" s="775"/>
      <c r="H12" s="775"/>
      <c r="I12" s="775"/>
      <c r="J12" s="286"/>
      <c r="K12" s="775"/>
      <c r="L12" s="775"/>
      <c r="M12" s="775"/>
      <c r="N12" s="775"/>
      <c r="O12" s="779"/>
    </row>
    <row r="13" spans="1:15">
      <c r="A13" s="280">
        <f t="shared" si="0"/>
        <v>8</v>
      </c>
      <c r="B13" s="515"/>
      <c r="C13" s="518"/>
      <c r="D13" s="775"/>
      <c r="E13" s="286"/>
      <c r="F13" s="775"/>
      <c r="G13" s="775"/>
      <c r="H13" s="775"/>
      <c r="I13" s="775"/>
      <c r="J13" s="286"/>
      <c r="K13" s="775"/>
      <c r="L13" s="775"/>
      <c r="M13" s="775"/>
      <c r="N13" s="775"/>
      <c r="O13" s="779"/>
    </row>
    <row r="14" spans="1:15">
      <c r="A14" s="280">
        <f t="shared" si="0"/>
        <v>9</v>
      </c>
      <c r="B14" s="515"/>
      <c r="C14" s="518"/>
      <c r="D14" s="775"/>
      <c r="E14" s="286"/>
      <c r="F14" s="775"/>
      <c r="G14" s="775"/>
      <c r="H14" s="775"/>
      <c r="I14" s="775"/>
      <c r="J14" s="286"/>
      <c r="K14" s="775"/>
      <c r="L14" s="775"/>
      <c r="M14" s="775"/>
      <c r="N14" s="775"/>
      <c r="O14" s="779"/>
    </row>
    <row r="15" spans="1:15">
      <c r="A15" s="280">
        <f t="shared" si="0"/>
        <v>10</v>
      </c>
      <c r="B15" s="519"/>
      <c r="C15" s="521"/>
      <c r="D15" s="777"/>
      <c r="E15" s="522"/>
      <c r="F15" s="777"/>
      <c r="G15" s="777"/>
      <c r="H15" s="777"/>
      <c r="I15" s="777"/>
      <c r="J15" s="522"/>
      <c r="K15" s="777"/>
      <c r="L15" s="777"/>
      <c r="M15" s="777"/>
      <c r="N15" s="777"/>
      <c r="O15" s="781"/>
    </row>
    <row r="16" spans="1:15">
      <c r="A16" s="280">
        <f t="shared" si="0"/>
        <v>11</v>
      </c>
      <c r="B16" s="515"/>
      <c r="C16" s="518"/>
      <c r="D16" s="775"/>
      <c r="E16" s="286"/>
      <c r="F16" s="775"/>
      <c r="G16" s="775"/>
      <c r="H16" s="775"/>
      <c r="I16" s="775"/>
      <c r="J16" s="286"/>
      <c r="K16" s="775"/>
      <c r="L16" s="775"/>
      <c r="M16" s="775"/>
      <c r="N16" s="775"/>
      <c r="O16" s="779"/>
    </row>
    <row r="17" spans="1:15">
      <c r="A17" s="280">
        <f t="shared" si="0"/>
        <v>12</v>
      </c>
      <c r="B17" s="523"/>
      <c r="C17" s="524"/>
      <c r="D17" s="692"/>
      <c r="E17" s="304"/>
      <c r="F17" s="692"/>
      <c r="G17" s="692"/>
      <c r="H17" s="692"/>
      <c r="I17" s="692"/>
      <c r="J17" s="304"/>
      <c r="K17" s="692"/>
      <c r="L17" s="692"/>
      <c r="M17" s="692"/>
      <c r="N17" s="692"/>
      <c r="O17" s="782"/>
    </row>
    <row r="18" spans="1:15">
      <c r="A18" s="280">
        <f t="shared" si="0"/>
        <v>13</v>
      </c>
      <c r="B18" s="523"/>
      <c r="C18" s="524"/>
      <c r="D18" s="692"/>
      <c r="E18" s="304"/>
      <c r="F18" s="692"/>
      <c r="G18" s="692"/>
      <c r="H18" s="692"/>
      <c r="I18" s="692"/>
      <c r="J18" s="304"/>
      <c r="K18" s="692"/>
      <c r="L18" s="692"/>
      <c r="M18" s="692"/>
      <c r="N18" s="692"/>
      <c r="O18" s="782"/>
    </row>
    <row r="19" spans="1:15" ht="15" thickBot="1">
      <c r="A19" s="280">
        <f t="shared" si="0"/>
        <v>14</v>
      </c>
      <c r="B19" s="727" t="s">
        <v>550</v>
      </c>
      <c r="C19" s="728"/>
      <c r="D19" s="778">
        <f>SUM(D6:D17)</f>
        <v>7286053.2886000006</v>
      </c>
      <c r="E19" s="737">
        <v>1</v>
      </c>
      <c r="F19" s="778">
        <f>SUM(F6:F17)</f>
        <v>3608267.4386859857</v>
      </c>
      <c r="G19" s="778">
        <f>SUM(G6:G17)</f>
        <v>350155.27492244774</v>
      </c>
      <c r="H19" s="778">
        <f>SUM(H6:H17)</f>
        <v>161768.41817738349</v>
      </c>
      <c r="I19" s="778">
        <f>SUM(I6:I17)</f>
        <v>100724.92664878344</v>
      </c>
      <c r="J19" s="729"/>
      <c r="K19" s="778">
        <f>SUM(K6:K17)</f>
        <v>3677785.8499140148</v>
      </c>
      <c r="L19" s="778">
        <f>SUM(L6:L17)</f>
        <v>159765.69915724924</v>
      </c>
      <c r="M19" s="778">
        <f>SUM(M6:M17)</f>
        <v>772414.31890586403</v>
      </c>
      <c r="N19" s="778">
        <f>'WS3-RevCredits'!H187</f>
        <v>-19180.699999999983</v>
      </c>
      <c r="O19" s="783">
        <f>SUM(O6:O17)</f>
        <v>753233.61890586407</v>
      </c>
    </row>
    <row r="20" spans="1:15" ht="15.5" thickTop="1" thickBot="1">
      <c r="A20" s="280">
        <f t="shared" si="0"/>
        <v>15</v>
      </c>
      <c r="B20" s="390" t="s">
        <v>608</v>
      </c>
      <c r="C20" s="390"/>
      <c r="D20" s="390"/>
      <c r="E20" s="732"/>
      <c r="F20" s="732"/>
      <c r="G20" s="732"/>
      <c r="H20" s="732"/>
      <c r="I20" s="732"/>
      <c r="J20" s="732"/>
      <c r="K20" s="732"/>
      <c r="L20" s="732"/>
      <c r="M20" s="732"/>
      <c r="N20" s="732"/>
      <c r="O20" s="733"/>
    </row>
    <row r="21" spans="1:15">
      <c r="B21" s="526"/>
      <c r="C21" s="526"/>
      <c r="D21" s="526"/>
      <c r="E21" s="526"/>
      <c r="F21" s="526"/>
      <c r="G21" s="526"/>
      <c r="H21" s="526"/>
      <c r="I21" s="526"/>
      <c r="J21" s="526"/>
      <c r="K21" s="526"/>
      <c r="L21" s="526"/>
      <c r="M21" s="526"/>
      <c r="N21" s="526"/>
      <c r="O21" s="526"/>
    </row>
  </sheetData>
  <hyperlinks>
    <hyperlink ref="D1" location="'Cover Sheets'!A18" display="(Back to Worksheet Links)" xr:uid="{00000000-0004-0000-0600-000000000000}"/>
  </hyperlinks>
  <pageMargins left="0.7" right="0.7" top="0.75" bottom="0.75" header="0.3" footer="0.3"/>
  <pageSetup scale="53"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view="pageBreakPreview" zoomScale="70" zoomScaleNormal="100" zoomScaleSheetLayoutView="70" workbookViewId="0"/>
  </sheetViews>
  <sheetFormatPr defaultColWidth="13.1796875" defaultRowHeight="14.5"/>
  <cols>
    <col min="1" max="1" width="9.7265625" style="234" customWidth="1"/>
    <col min="2" max="2" width="43.81640625" style="234" customWidth="1"/>
    <col min="3" max="3" width="10.54296875" style="234" customWidth="1"/>
    <col min="4" max="4" width="16.7265625" style="234" customWidth="1"/>
    <col min="5" max="5" width="11.7265625" style="234" customWidth="1"/>
    <col min="6" max="16384" width="13.1796875" style="234"/>
  </cols>
  <sheetData>
    <row r="1" spans="1:15">
      <c r="A1" s="237" t="str">
        <f>'Cover Sheets'!A10:D10</f>
        <v>WAPA-UGP 2020 Rate True-up Calculation</v>
      </c>
      <c r="B1" s="392"/>
      <c r="C1" s="650" t="s">
        <v>97</v>
      </c>
      <c r="D1" s="277"/>
      <c r="E1" s="277"/>
      <c r="F1" s="277"/>
      <c r="G1" s="277"/>
      <c r="H1" s="277"/>
      <c r="I1" s="277"/>
      <c r="J1" s="277"/>
      <c r="K1" s="277"/>
      <c r="L1" s="277"/>
      <c r="M1" s="604"/>
      <c r="N1" s="604"/>
      <c r="O1" s="605"/>
    </row>
    <row r="2" spans="1:15">
      <c r="A2" s="573" t="s">
        <v>609</v>
      </c>
      <c r="B2" s="513"/>
      <c r="C2" s="278"/>
      <c r="D2" s="278"/>
      <c r="E2" s="278"/>
      <c r="F2" s="278"/>
      <c r="G2" s="278"/>
      <c r="H2" s="278"/>
      <c r="I2" s="278"/>
      <c r="J2" s="278"/>
      <c r="K2" s="278"/>
      <c r="L2" s="278"/>
      <c r="M2" s="526"/>
      <c r="N2" s="526"/>
      <c r="O2" s="389"/>
    </row>
    <row r="3" spans="1:15">
      <c r="A3" s="56" t="str">
        <f>'Summary-TrueUp'!A3</f>
        <v>12 Months Ending 09/30/2020 True-up</v>
      </c>
      <c r="B3" s="278"/>
      <c r="C3" s="278"/>
      <c r="D3" s="278"/>
      <c r="E3" s="278"/>
      <c r="F3" s="278"/>
      <c r="G3" s="278"/>
      <c r="H3" s="278"/>
      <c r="I3" s="278"/>
      <c r="J3" s="278"/>
      <c r="K3" s="278"/>
      <c r="L3" s="278"/>
      <c r="M3" s="526"/>
      <c r="N3" s="526"/>
      <c r="O3" s="389"/>
    </row>
    <row r="4" spans="1:15" ht="39.5">
      <c r="A4" s="56"/>
      <c r="B4" s="241" t="s">
        <v>593</v>
      </c>
      <c r="C4" s="242" t="s">
        <v>594</v>
      </c>
      <c r="D4" s="241" t="s">
        <v>610</v>
      </c>
      <c r="E4" s="241" t="s">
        <v>596</v>
      </c>
      <c r="F4" s="241" t="s">
        <v>597</v>
      </c>
      <c r="G4" s="241" t="s">
        <v>598</v>
      </c>
      <c r="H4" s="241" t="s">
        <v>599</v>
      </c>
      <c r="I4" s="241" t="s">
        <v>600</v>
      </c>
      <c r="J4" s="241" t="s">
        <v>601</v>
      </c>
      <c r="K4" s="241" t="s">
        <v>602</v>
      </c>
      <c r="L4" s="241" t="s">
        <v>603</v>
      </c>
      <c r="M4" s="241" t="s">
        <v>604</v>
      </c>
      <c r="N4" s="241" t="s">
        <v>605</v>
      </c>
      <c r="O4" s="243" t="s">
        <v>606</v>
      </c>
    </row>
    <row r="5" spans="1:15">
      <c r="A5" s="646" t="s">
        <v>383</v>
      </c>
      <c r="B5" s="514">
        <v>-1</v>
      </c>
      <c r="C5" s="514">
        <v>-2</v>
      </c>
      <c r="D5" s="514">
        <v>-3</v>
      </c>
      <c r="E5" s="514">
        <v>-4</v>
      </c>
      <c r="F5" s="514">
        <v>-5</v>
      </c>
      <c r="G5" s="514">
        <v>-6</v>
      </c>
      <c r="H5" s="514">
        <v>-7</v>
      </c>
      <c r="I5" s="514">
        <v>-8</v>
      </c>
      <c r="J5" s="514">
        <v>-9</v>
      </c>
      <c r="K5" s="514">
        <v>-10</v>
      </c>
      <c r="L5" s="514">
        <v>-11</v>
      </c>
      <c r="M5" s="514">
        <v>-12</v>
      </c>
      <c r="N5" s="514">
        <v>-13</v>
      </c>
      <c r="O5" s="647">
        <v>-14</v>
      </c>
    </row>
    <row r="6" spans="1:15">
      <c r="A6" s="280">
        <v>1</v>
      </c>
      <c r="B6" s="515" t="s">
        <v>611</v>
      </c>
      <c r="C6" s="516" t="s">
        <v>607</v>
      </c>
      <c r="D6" s="775">
        <f>'WS7-BPUFac'!G5</f>
        <v>1089866.4414000001</v>
      </c>
      <c r="E6" s="703">
        <f>D6/D19</f>
        <v>0.99987799076204176</v>
      </c>
      <c r="F6" s="775">
        <f>'WS4-CostData'!$C$22*'WS6-BPUr'!E6</f>
        <v>539733.85003554053</v>
      </c>
      <c r="G6" s="775">
        <f>'WS4-CostData'!$C$138*'WS6-BPUr'!E6</f>
        <v>52377.11945015088</v>
      </c>
      <c r="H6" s="775">
        <f>'WS4-CostData'!$C$50*'WS6-BPUr'!E6</f>
        <v>24197.73274589498</v>
      </c>
      <c r="I6" s="775">
        <f>'WS4-CostData'!$C$110*'WS6-BPUr'!E6</f>
        <v>15066.691529520644</v>
      </c>
      <c r="J6" s="517">
        <f>'WS2-AllocFactor'!$F$25</f>
        <v>4.3440729198788046E-2</v>
      </c>
      <c r="K6" s="775">
        <f>D6-F6</f>
        <v>550132.5913644596</v>
      </c>
      <c r="L6" s="775">
        <f>J6*K6</f>
        <v>23898.160924891014</v>
      </c>
      <c r="M6" s="775">
        <f>L6+H6+G6+I6</f>
        <v>115539.70465045751</v>
      </c>
      <c r="N6" s="775">
        <f>$N$19*E6</f>
        <v>-2373.5203732508462</v>
      </c>
      <c r="O6" s="779">
        <f>M6+N6</f>
        <v>113166.18427720666</v>
      </c>
    </row>
    <row r="7" spans="1:15">
      <c r="A7" s="280">
        <f t="shared" ref="A7:A19" si="0">A6+1</f>
        <v>2</v>
      </c>
      <c r="B7" s="515" t="s">
        <v>612</v>
      </c>
      <c r="C7" s="516" t="s">
        <v>607</v>
      </c>
      <c r="D7" s="775">
        <f>'WS7-BPUFac'!G7</f>
        <v>132.99</v>
      </c>
      <c r="E7" s="517">
        <f>D7/D19</f>
        <v>1.2200923795821348E-4</v>
      </c>
      <c r="F7" s="775">
        <f>'WS4-CostData'!$C$22*'WS6-BPUr'!E7</f>
        <v>65.860551338769326</v>
      </c>
      <c r="G7" s="775">
        <f>'WS4-CostData'!$C$138*'WS6-BPUr'!E7</f>
        <v>6.3912722248129636</v>
      </c>
      <c r="H7" s="775">
        <f>'WS4-CostData'!$C$50*'WS6-BPUr'!E7</f>
        <v>2.9527071901973447</v>
      </c>
      <c r="I7" s="775">
        <f>'WS4-CostData'!$C$110*'WS6-BPUr'!E7</f>
        <v>1.8384998660359251</v>
      </c>
      <c r="J7" s="517">
        <f>'WS2-AllocFactor'!$F$25</f>
        <v>4.3440729198788046E-2</v>
      </c>
      <c r="K7" s="775">
        <f>D7-F7</f>
        <v>67.129448661230683</v>
      </c>
      <c r="L7" s="775">
        <f>J7*K7</f>
        <v>2.9161522005564668</v>
      </c>
      <c r="M7" s="775">
        <f>L7+H7+G7+I7</f>
        <v>14.0986314816027</v>
      </c>
      <c r="N7" s="775">
        <f>$N$19*E7</f>
        <v>-0.28962674915758724</v>
      </c>
      <c r="O7" s="779">
        <f>M7+N7</f>
        <v>13.809004732445112</v>
      </c>
    </row>
    <row r="8" spans="1:15">
      <c r="A8" s="280">
        <f t="shared" si="0"/>
        <v>3</v>
      </c>
      <c r="B8" s="519"/>
      <c r="C8" s="518"/>
      <c r="D8" s="775"/>
      <c r="E8" s="286"/>
      <c r="F8" s="775"/>
      <c r="G8" s="775"/>
      <c r="H8" s="775"/>
      <c r="I8" s="775"/>
      <c r="J8" s="286"/>
      <c r="K8" s="775"/>
      <c r="L8" s="775"/>
      <c r="M8" s="784"/>
      <c r="N8" s="784"/>
      <c r="O8" s="785"/>
    </row>
    <row r="9" spans="1:15">
      <c r="A9" s="280">
        <f t="shared" si="0"/>
        <v>4</v>
      </c>
      <c r="B9" s="519"/>
      <c r="C9" s="518"/>
      <c r="D9" s="775"/>
      <c r="E9" s="286"/>
      <c r="F9" s="775"/>
      <c r="G9" s="775"/>
      <c r="H9" s="775"/>
      <c r="I9" s="775"/>
      <c r="J9" s="286"/>
      <c r="K9" s="775"/>
      <c r="L9" s="775"/>
      <c r="M9" s="784"/>
      <c r="N9" s="784"/>
      <c r="O9" s="785"/>
    </row>
    <row r="10" spans="1:15">
      <c r="A10" s="280">
        <f t="shared" si="0"/>
        <v>5</v>
      </c>
      <c r="B10" s="519"/>
      <c r="C10" s="518"/>
      <c r="D10" s="776"/>
      <c r="E10" s="520"/>
      <c r="F10" s="776"/>
      <c r="G10" s="776"/>
      <c r="H10" s="776"/>
      <c r="I10" s="776"/>
      <c r="J10" s="520"/>
      <c r="K10" s="776"/>
      <c r="L10" s="776"/>
      <c r="M10" s="784"/>
      <c r="N10" s="784"/>
      <c r="O10" s="785"/>
    </row>
    <row r="11" spans="1:15">
      <c r="A11" s="280">
        <f t="shared" si="0"/>
        <v>6</v>
      </c>
      <c r="B11" s="519"/>
      <c r="C11" s="286"/>
      <c r="D11" s="775"/>
      <c r="E11" s="286"/>
      <c r="F11" s="775"/>
      <c r="G11" s="775"/>
      <c r="H11" s="775"/>
      <c r="I11" s="775"/>
      <c r="J11" s="286"/>
      <c r="K11" s="775"/>
      <c r="L11" s="775"/>
      <c r="M11" s="784"/>
      <c r="N11" s="784"/>
      <c r="O11" s="785"/>
    </row>
    <row r="12" spans="1:15">
      <c r="A12" s="280">
        <f t="shared" si="0"/>
        <v>7</v>
      </c>
      <c r="B12" s="515"/>
      <c r="C12" s="521"/>
      <c r="D12" s="775"/>
      <c r="E12" s="286"/>
      <c r="F12" s="775"/>
      <c r="G12" s="775"/>
      <c r="H12" s="775"/>
      <c r="I12" s="775"/>
      <c r="J12" s="286"/>
      <c r="K12" s="775"/>
      <c r="L12" s="775"/>
      <c r="M12" s="784"/>
      <c r="N12" s="784"/>
      <c r="O12" s="785"/>
    </row>
    <row r="13" spans="1:15">
      <c r="A13" s="280">
        <f t="shared" si="0"/>
        <v>8</v>
      </c>
      <c r="B13" s="515"/>
      <c r="C13" s="518"/>
      <c r="D13" s="775"/>
      <c r="E13" s="286"/>
      <c r="F13" s="775"/>
      <c r="G13" s="775"/>
      <c r="H13" s="775"/>
      <c r="I13" s="775"/>
      <c r="J13" s="286"/>
      <c r="K13" s="775"/>
      <c r="L13" s="775"/>
      <c r="M13" s="784"/>
      <c r="N13" s="784"/>
      <c r="O13" s="785"/>
    </row>
    <row r="14" spans="1:15">
      <c r="A14" s="280">
        <f t="shared" si="0"/>
        <v>9</v>
      </c>
      <c r="B14" s="515"/>
      <c r="C14" s="518"/>
      <c r="D14" s="775"/>
      <c r="E14" s="286"/>
      <c r="F14" s="775"/>
      <c r="G14" s="775"/>
      <c r="H14" s="775"/>
      <c r="I14" s="775"/>
      <c r="J14" s="286"/>
      <c r="K14" s="775"/>
      <c r="L14" s="775"/>
      <c r="M14" s="784"/>
      <c r="N14" s="784"/>
      <c r="O14" s="785"/>
    </row>
    <row r="15" spans="1:15">
      <c r="A15" s="280">
        <f t="shared" si="0"/>
        <v>10</v>
      </c>
      <c r="B15" s="519"/>
      <c r="C15" s="521"/>
      <c r="D15" s="777"/>
      <c r="E15" s="522"/>
      <c r="F15" s="777"/>
      <c r="G15" s="777"/>
      <c r="H15" s="777"/>
      <c r="I15" s="777"/>
      <c r="J15" s="522"/>
      <c r="K15" s="777"/>
      <c r="L15" s="777"/>
      <c r="M15" s="784"/>
      <c r="N15" s="784"/>
      <c r="O15" s="785"/>
    </row>
    <row r="16" spans="1:15">
      <c r="A16" s="280">
        <f t="shared" si="0"/>
        <v>11</v>
      </c>
      <c r="B16" s="515"/>
      <c r="C16" s="518"/>
      <c r="D16" s="775"/>
      <c r="E16" s="286"/>
      <c r="F16" s="775"/>
      <c r="G16" s="775"/>
      <c r="H16" s="775"/>
      <c r="I16" s="775"/>
      <c r="J16" s="286"/>
      <c r="K16" s="775"/>
      <c r="L16" s="775"/>
      <c r="M16" s="784"/>
      <c r="N16" s="784"/>
      <c r="O16" s="785"/>
    </row>
    <row r="17" spans="1:15">
      <c r="A17" s="280">
        <f t="shared" si="0"/>
        <v>12</v>
      </c>
      <c r="B17" s="523"/>
      <c r="C17" s="524"/>
      <c r="D17" s="692"/>
      <c r="E17" s="304"/>
      <c r="F17" s="692"/>
      <c r="G17" s="692"/>
      <c r="H17" s="692"/>
      <c r="I17" s="692"/>
      <c r="J17" s="304"/>
      <c r="K17" s="692"/>
      <c r="L17" s="692"/>
      <c r="M17" s="784"/>
      <c r="N17" s="784"/>
      <c r="O17" s="785"/>
    </row>
    <row r="18" spans="1:15">
      <c r="A18" s="280">
        <f t="shared" si="0"/>
        <v>13</v>
      </c>
      <c r="B18" s="523"/>
      <c r="C18" s="524"/>
      <c r="D18" s="692"/>
      <c r="E18" s="304"/>
      <c r="F18" s="692"/>
      <c r="G18" s="692"/>
      <c r="H18" s="692"/>
      <c r="I18" s="692"/>
      <c r="J18" s="304"/>
      <c r="K18" s="692"/>
      <c r="L18" s="692"/>
      <c r="M18" s="784"/>
      <c r="N18" s="784"/>
      <c r="O18" s="785"/>
    </row>
    <row r="19" spans="1:15" ht="15" thickBot="1">
      <c r="A19" s="730">
        <f t="shared" si="0"/>
        <v>14</v>
      </c>
      <c r="B19" s="727" t="s">
        <v>550</v>
      </c>
      <c r="C19" s="728"/>
      <c r="D19" s="778">
        <f>SUM(D6:D17)</f>
        <v>1089999.4314000001</v>
      </c>
      <c r="E19" s="737">
        <v>1</v>
      </c>
      <c r="F19" s="778">
        <f>SUM(F6:F17)</f>
        <v>539799.71058687929</v>
      </c>
      <c r="G19" s="778">
        <f>SUM(G6:G17)</f>
        <v>52383.510722375693</v>
      </c>
      <c r="H19" s="778">
        <f>SUM(H6:H17)</f>
        <v>24200.685453085178</v>
      </c>
      <c r="I19" s="778">
        <f>SUM(I6:I17)</f>
        <v>15068.53002938668</v>
      </c>
      <c r="J19" s="738"/>
      <c r="K19" s="778">
        <f>SUM(K6:K17)</f>
        <v>550199.72081312083</v>
      </c>
      <c r="L19" s="778">
        <f>SUM(L6:L17)</f>
        <v>23901.07707709157</v>
      </c>
      <c r="M19" s="778">
        <f>SUM(M6:M17)</f>
        <v>115553.80328193911</v>
      </c>
      <c r="N19" s="778">
        <f>'WS3-RevCredits'!H215</f>
        <v>-2373.810000000004</v>
      </c>
      <c r="O19" s="783">
        <f>SUM(O6:O17)</f>
        <v>113179.99328193911</v>
      </c>
    </row>
    <row r="20" spans="1:15" ht="15.5" thickTop="1" thickBot="1">
      <c r="A20" s="731" t="s">
        <v>613</v>
      </c>
      <c r="B20" s="390"/>
      <c r="C20" s="390"/>
      <c r="D20" s="390"/>
      <c r="E20" s="732"/>
      <c r="F20" s="732"/>
      <c r="G20" s="732"/>
      <c r="H20" s="732"/>
      <c r="I20" s="732"/>
      <c r="J20" s="732"/>
      <c r="K20" s="732"/>
      <c r="L20" s="732"/>
      <c r="M20" s="732"/>
      <c r="N20" s="732"/>
      <c r="O20" s="733"/>
    </row>
  </sheetData>
  <hyperlinks>
    <hyperlink ref="C1" location="'Cover Sheets'!A18" display="(Back to Worksheet Links)" xr:uid="{00000000-0004-0000-0700-000000000000}"/>
  </hyperlinks>
  <pageMargins left="0.7" right="0.7" top="0.75" bottom="0.75" header="0.3" footer="0.3"/>
  <pageSetup scale="54" fitToHeight="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612BF1E09FF47A2B6C3D4D1677B0D" ma:contentTypeVersion="4" ma:contentTypeDescription="Create a new document." ma:contentTypeScope="" ma:versionID="1ad09f207620b30ac7d69b4541729870">
  <xsd:schema xmlns:xsd="http://www.w3.org/2001/XMLSchema" xmlns:xs="http://www.w3.org/2001/XMLSchema" xmlns:p="http://schemas.microsoft.com/office/2006/metadata/properties" xmlns:ns2="486804b4-8bf7-446c-9514-b62a6521dc7d" xmlns:ns3="cd37e4ec-a4e5-4d0a-bdfa-5343415a77e2" targetNamespace="http://schemas.microsoft.com/office/2006/metadata/properties" ma:root="true" ma:fieldsID="9ee3c2ae74e6aba82ad4bd3581edfe05" ns2:_="" ns3:_="">
    <xsd:import namespace="486804b4-8bf7-446c-9514-b62a6521dc7d"/>
    <xsd:import namespace="cd37e4ec-a4e5-4d0a-bdfa-5343415a77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6804b4-8bf7-446c-9514-b62a6521dc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37e4ec-a4e5-4d0a-bdfa-5343415a77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41B724-C303-48B2-A480-4376C50EB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6804b4-8bf7-446c-9514-b62a6521dc7d"/>
    <ds:schemaRef ds:uri="cd37e4ec-a4e5-4d0a-bdfa-5343415a7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3B081-7BA3-4A85-B85D-B02FAE868C3A}">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cd37e4ec-a4e5-4d0a-bdfa-5343415a77e2"/>
    <ds:schemaRef ds:uri="http://www.w3.org/XML/1998/namespace"/>
    <ds:schemaRef ds:uri="486804b4-8bf7-446c-9514-b62a6521dc7d"/>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0CA563F-287F-4C85-86AA-779F85D14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Rev Log</vt:lpstr>
      <vt:lpstr>Cover Sheets</vt:lpstr>
      <vt:lpstr>Summary-TrueUp</vt:lpstr>
      <vt:lpstr>WS1-RateBase</vt:lpstr>
      <vt:lpstr>WS3-RevCredits</vt:lpstr>
      <vt:lpstr>WS2-AllocFactor</vt:lpstr>
      <vt:lpstr>WS4-CostData</vt:lpstr>
      <vt:lpstr>WS5-BPUz</vt:lpstr>
      <vt:lpstr>WS6-BPUr</vt:lpstr>
      <vt:lpstr>WS7-BPUFac</vt:lpstr>
      <vt:lpstr>WS8-TransFac</vt:lpstr>
      <vt:lpstr>WS9-AI-Incl</vt:lpstr>
      <vt:lpstr>WS10-AI-Excl</vt:lpstr>
      <vt:lpstr>WS11-FacChanges</vt:lpstr>
      <vt:lpstr>WS12-SSCD</vt:lpstr>
      <vt:lpstr>WS13-SSCDFac</vt:lpstr>
      <vt:lpstr>WS14-Reg</vt:lpstr>
      <vt:lpstr>WS15-Res</vt:lpstr>
      <vt:lpstr>'Cover Sheets'!Print_Area</vt:lpstr>
      <vt:lpstr>'Rev Log'!Print_Area</vt:lpstr>
      <vt:lpstr>'Summary-TrueUp'!Print_Area</vt:lpstr>
      <vt:lpstr>'WS11-FacChanges'!Print_Area</vt:lpstr>
      <vt:lpstr>'WS12-SSCD'!Print_Area</vt:lpstr>
      <vt:lpstr>'WS14-Reg'!Print_Area</vt:lpstr>
      <vt:lpstr>'WS15-Res'!Print_Area</vt:lpstr>
      <vt:lpstr>'WS1-RateBase'!Print_Area</vt:lpstr>
      <vt:lpstr>'WS2-AllocFactor'!Print_Area</vt:lpstr>
      <vt:lpstr>'WS3-RevCredits'!Print_Area</vt:lpstr>
      <vt:lpstr>'WS5-BPUz'!Print_Area</vt:lpstr>
      <vt:lpstr>'WS6-BPUr'!Print_Area</vt:lpstr>
      <vt:lpstr>'WS7-BPUFac'!Print_Area</vt:lpstr>
      <vt:lpstr>'WS8-TransFac'!Print_Area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Sara</dc:creator>
  <cp:keywords/>
  <dc:description/>
  <cp:lastModifiedBy>Steve Sanders</cp:lastModifiedBy>
  <cp:revision/>
  <dcterms:created xsi:type="dcterms:W3CDTF">2016-09-02T15:10:22Z</dcterms:created>
  <dcterms:modified xsi:type="dcterms:W3CDTF">2021-09-24T03:27:40Z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0x01010022B612BF1E09FF47A2B6C3D4D1677B0D</vt:lpwstr>
  </property>
</Properties>
</file>