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anders\Documents\Rate-Order-No-WAPA-188\"/>
    </mc:Choice>
  </mc:AlternateContent>
  <bookViews>
    <workbookView xWindow="0" yWindow="0" windowWidth="23040" windowHeight="8810" tabRatio="745"/>
  </bookViews>
  <sheets>
    <sheet name="Cover Sheets" sheetId="12" r:id="rId1"/>
    <sheet name="Summary-ATRR" sheetId="32" r:id="rId2"/>
    <sheet name="WS1-RateBase" sheetId="5" r:id="rId3"/>
    <sheet name="WS2-AllocFactor" sheetId="7" r:id="rId4"/>
    <sheet name="WS3-RevCredits" sheetId="33" r:id="rId5"/>
    <sheet name="WS4-CostData" sheetId="6" r:id="rId6"/>
    <sheet name="WS5-BPUz" sheetId="31" r:id="rId7"/>
    <sheet name="WS6-BPUr" sheetId="29" r:id="rId8"/>
    <sheet name="WS7-BPUFac" sheetId="30" r:id="rId9"/>
    <sheet name="WS8-TranFac" sheetId="13" r:id="rId10"/>
    <sheet name="WS9-AI-Incl" sheetId="27" r:id="rId11"/>
    <sheet name="WS10-AI-Excl" sheetId="28" r:id="rId12"/>
    <sheet name="WS11-FacChanges" sheetId="18" r:id="rId13"/>
    <sheet name="WS12-SSCD" sheetId="4" r:id="rId14"/>
    <sheet name="WS13-SSCDFac" sheetId="2" r:id="rId15"/>
    <sheet name="WS14-Reg" sheetId="8" r:id="rId16"/>
    <sheet name="WS15-Res" sheetId="9" r:id="rId17"/>
  </sheets>
  <externalReferences>
    <externalReference r:id="rId18"/>
  </externalReferences>
  <definedNames>
    <definedName name="Act14_ActRegRevRqmt" localSheetId="12">'[1]Input Sheet'!#REF!</definedName>
    <definedName name="Act14_ActRegRevRqmt" localSheetId="4">'[1]Input Sheet'!#REF!</definedName>
    <definedName name="Act14_ActRegRevRqmt" localSheetId="6">'[1]Input Sheet'!#REF!</definedName>
    <definedName name="Act14_ActRegRevRqmt" localSheetId="7">'[1]Input Sheet'!#REF!</definedName>
    <definedName name="Act14_ActRegRevRqmt" localSheetId="8">'[1]Input Sheet'!#REF!</definedName>
    <definedName name="Act14_ActRegRevRqmt" localSheetId="9">'[1]Input Sheet'!#REF!</definedName>
    <definedName name="Act14_ActRegRevRqmt">'[1]Input Sheet'!#REF!</definedName>
    <definedName name="Act14_AveControlAreaLoad">'[1]Input Sheet'!$H$143</definedName>
    <definedName name="Act14_BOR_AccumDepr">'[1]Input Sheet'!$H$42</definedName>
    <definedName name="Act14_BOR_DeprExp">'[1]Input Sheet'!$H$87</definedName>
    <definedName name="Act14_BOR_LTDebt">'[1]Input Sheet'!$H$96</definedName>
    <definedName name="Act14_BOR_LTInt">'[1]Input Sheet'!$H$97</definedName>
    <definedName name="Act14_BOR_OM">'[1]Input Sheet'!$H$81</definedName>
    <definedName name="Act14_BOR_Plant">'[1]Input Sheet'!$H$31</definedName>
    <definedName name="Act14_BxPS_BEFP_1411">'[1]Input Sheet'!$H$100</definedName>
    <definedName name="Act14_BxPS_BEFP_1412">'[1]Input Sheet'!$H$101</definedName>
    <definedName name="Act14_BxPS_BEFP_1415">'[1]Input Sheet'!$H$102</definedName>
    <definedName name="Act14_BxPS_BEFP_1416">'[1]Input Sheet'!$H$103</definedName>
    <definedName name="Act14_BxPS_BEFP_1421">'[1]Input Sheet'!$H$104</definedName>
    <definedName name="Act14_BxPS_BEFP_1422">'[1]Input Sheet'!$H$105</definedName>
    <definedName name="Act14_BxPS_BEFP_1425">'[1]Input Sheet'!$H$106</definedName>
    <definedName name="Act14_BxPS_BEFP_1426">'[1]Input Sheet'!$H$107</definedName>
    <definedName name="Act14_BxPS_BEFP_1431">'[1]Input Sheet'!$H$108</definedName>
    <definedName name="Act14_BxPS_BEFP_1432">'[1]Input Sheet'!$H$109</definedName>
    <definedName name="Act14_BxPS_BEFP_1441">'[1]Input Sheet'!$H$110</definedName>
    <definedName name="Act14_BxPS_BEFP_1442">'[1]Input Sheet'!$H$111</definedName>
    <definedName name="Act14_BxPS_BEFP_AccumDepr">'[1]Input Sheet'!$H$34</definedName>
    <definedName name="Act14_BxPS_BEFP_Additions">'[1]Input Sheet'!$H$45</definedName>
    <definedName name="Act14_BxPS_BEFP_AdjTrans">'[1]Input Sheet'!$H$47</definedName>
    <definedName name="Act14_BxPS_BEFP_AGExp">'[1]Input Sheet'!$H$65</definedName>
    <definedName name="Act14_BxPS_BEFP_CME">'[1]Input Sheet'!$H$69</definedName>
    <definedName name="Act14_BxPS_BEFP_DepMOVP">'[1]Input Sheet'!$H$67</definedName>
    <definedName name="Act14_BxPS_BEFP_DeprExp">'[1]Input Sheet'!$H$84</definedName>
    <definedName name="Act14_BxPS_BEFP_DispofAssets">'[1]Input Sheet'!$H$68</definedName>
    <definedName name="Act14_BxPS_BEFP_GenAccumDepr">'[1]Input Sheet'!$H$36</definedName>
    <definedName name="Act14_BxPS_BEFP_GenPlant">'[1]Input Sheet'!$H$19</definedName>
    <definedName name="Act14_BxPS_BEFP_LTDebt">'[1]Input Sheet'!$H$90</definedName>
    <definedName name="Act14_BxPS_BEFP_LTInt">'[1]Input Sheet'!$H$91</definedName>
    <definedName name="Act14_BxPS_BEFP_OtherPowerExp">'[1]Input Sheet'!$H$64</definedName>
    <definedName name="Act14_BxPS_BEFP_Plant">'[1]Input Sheet'!$H$16</definedName>
    <definedName name="Act14_BxPS_BEFP_PY_Adj">'[1]Input Sheet'!$H$66</definedName>
    <definedName name="Act14_BxPS_BEFP_Repl">'[1]Input Sheet'!$H$46</definedName>
    <definedName name="Act14_BxPS_BEFP_Retr">'[1]Input Sheet'!$H$48</definedName>
    <definedName name="Act14_BxPS_BEFP_SSCD_OpExp">'[1]Input Sheet'!$H$71</definedName>
    <definedName name="Act14_BxPS_BEFP_SSCDPlant">'[1]Input Sheet'!$H$21</definedName>
    <definedName name="Act14_BxPS_BEFP_TotalOpExpense">'[1]Input Sheet'!$H$62</definedName>
    <definedName name="Act14_BxPS_BEFP_TPlant">'[1]Input Sheet'!$H$17</definedName>
    <definedName name="Act14_BxPS_BEFP_TransAccumDepr">'[1]Input Sheet'!$H$35</definedName>
    <definedName name="Act14_BxPS_BEFP_WageSalary">'[1]Input Sheet'!$H$125</definedName>
    <definedName name="Act14_BxPS_BEFP_Warehouse_Stores">'[1]Input Sheet'!$H$70</definedName>
    <definedName name="Act14_BXPS_OM">'[1]2014 COST DATA'!$C$120</definedName>
    <definedName name="Act14_COE_AccumDepr">'[1]Input Sheet'!$H$39</definedName>
    <definedName name="Act14_COE_AccumDeprGen">'[1]Input Sheet'!$H$41</definedName>
    <definedName name="Act14_COE_AG">'[1]2014 COST DATA'!$G$95</definedName>
    <definedName name="Act14_COE_DeprExp">'[1]Input Sheet'!$H$86</definedName>
    <definedName name="Act14_COE_Gen">'[1]Input Sheet'!$H$29</definedName>
    <definedName name="Act14_COE_GenDepr">'[1]2014 COST DATA'!$G$38</definedName>
    <definedName name="Act14_COE_GenOM">'[1]2014 COST DATA'!$G$122</definedName>
    <definedName name="Act14_COE_GenPlant">'[1]2014 COST DATA'!$G$17</definedName>
    <definedName name="Act14_COE_LTDebt">'[1]Input Sheet'!$H$94</definedName>
    <definedName name="Act14_COE_LTInt">'[1]Input Sheet'!$H$95</definedName>
    <definedName name="Act14_COE_OM">'[1]Input Sheet'!$H$80</definedName>
    <definedName name="Act14_COE_Plant">'[1]Input Sheet'!$H$26</definedName>
    <definedName name="Act14_COE_TPlant">'[1]Input Sheet'!$H$27</definedName>
    <definedName name="Act14_COE_TransAccumDepr">'[1]Input Sheet'!$H$40</definedName>
    <definedName name="Act14_ControlAreaLoad">'[1]Input Sheet'!$H$146</definedName>
    <definedName name="Act14_Credit_Acct454">'[1]Input Sheet'!$H$14</definedName>
    <definedName name="Act14_Credit_ExstRev">'[1]Input Sheet'!$H$12</definedName>
    <definedName name="Act14_Credit_NFPTP">'[1]Input Sheet'!$H$11</definedName>
    <definedName name="Act14_Credit_SSCD">'[1]Input Sheet'!$H$13</definedName>
    <definedName name="Act14_Credit_STPTP">'[1]Input Sheet'!$H$10</definedName>
    <definedName name="Act14_GenAG">'[1]2014 COST DATA'!$K$95</definedName>
    <definedName name="Act14_GenCompRate">'[1]2014 COST DATA'!$K$62</definedName>
    <definedName name="Act14_GenDepr">'[1]2014 COST DATA'!$K$38</definedName>
    <definedName name="Act14_GenOM">'[1]2014 COST DATA'!$K$122</definedName>
    <definedName name="Act14_GenPlant">'[1]2014 COST DATA'!$K$17</definedName>
    <definedName name="Act14_MaxControlAreaLoad">'[1]Input Sheet'!$H$144</definedName>
    <definedName name="Act14_MaxGenControlArea">'[1]Input Sheet'!$H$145</definedName>
    <definedName name="Act14_RateLoadControlArea">'[1]Input Sheet'!$H$147</definedName>
    <definedName name="Act14_RegRateRevRqmt">'[1]Input Sheet'!$H$150</definedName>
    <definedName name="Act14_RMR_1411">'[1]Input Sheet'!$H$112</definedName>
    <definedName name="Act14_RMR_1412">'[1]Input Sheet'!$H$113</definedName>
    <definedName name="Act14_RMR_1415">'[1]Input Sheet'!$H$114</definedName>
    <definedName name="Act14_RMR_1416">'[1]Input Sheet'!$H$115</definedName>
    <definedName name="Act14_RMR_1421">'[1]Input Sheet'!$H$116</definedName>
    <definedName name="Act14_RMR_1422">'[1]Input Sheet'!$H$117</definedName>
    <definedName name="Act14_RMR_1425">'[1]Input Sheet'!$H$118</definedName>
    <definedName name="Act14_RMR_1426">'[1]Input Sheet'!$H$119</definedName>
    <definedName name="Act14_RMR_1431">'[1]Input Sheet'!$H$120</definedName>
    <definedName name="Act14_RMR_1432">'[1]Input Sheet'!$H$121</definedName>
    <definedName name="Act14_RMR_1441">'[1]Input Sheet'!$H$122</definedName>
    <definedName name="Act14_RMR_1442">'[1]Input Sheet'!$H$123</definedName>
    <definedName name="Act14_RMR_AccumDepr">'[1]Input Sheet'!$H$37</definedName>
    <definedName name="Act14_RMR_AGExp">'[1]Input Sheet'!$H$75</definedName>
    <definedName name="Act14_RMR_CME">'[1]Input Sheet'!$H$78</definedName>
    <definedName name="Act14_RMR_DeprExp">'[1]Input Sheet'!$H$85</definedName>
    <definedName name="Act14_RMR_DispofAssets">'[1]Input Sheet'!$H$77</definedName>
    <definedName name="Act14_RMR_LTDebt">'[1]Input Sheet'!$H$92</definedName>
    <definedName name="Act14_RMR_LTInt">'[1]Input Sheet'!$H$93</definedName>
    <definedName name="Act14_RMR_MOVP_Depr">'[1]Input Sheet'!$H$76</definedName>
    <definedName name="Act14_RMR_OM">'[1]2014 COST DATA'!$E$120</definedName>
    <definedName name="Act14_RMR_Other_Power_Exp">'[1]Input Sheet'!$H$74</definedName>
    <definedName name="Act14_RMR_Plant">'[1]Input Sheet'!$H$23</definedName>
    <definedName name="Act14_RMR_Total_OM">'[1]Input Sheet'!$H$73</definedName>
    <definedName name="Act14_RMR_Total_OpExp">'[1]Input Sheet'!$H$72</definedName>
    <definedName name="Act14_RMR_TPlant">'[1]Input Sheet'!$H$24</definedName>
    <definedName name="Act14_RMR_TransAccumDepr">'[1]Input Sheet'!$H$38</definedName>
    <definedName name="Act14_RMR_Warehouse_Stores">'[1]Input Sheet'!$H$79</definedName>
    <definedName name="Act14_TotalTransPlant">'[1]2014 COST DATA'!$K$6</definedName>
    <definedName name="Act14_TransAG">'[1]2014 COST DATA'!$K$94</definedName>
    <definedName name="Act14_TransCompRate">'[1]2014 COST DATA'!$K$60</definedName>
    <definedName name="Act14_TransDepr">'[1]2014 COST DATA'!$K$37</definedName>
    <definedName name="Act14_TransOM">'[1]2014 COST DATA'!$K$121</definedName>
    <definedName name="Act14_TransPlant">'[1]2014 COST DATA'!$K$16</definedName>
    <definedName name="Act15_BxPS_BEFP_Additions">'[1]Input Sheet'!$E$45</definedName>
    <definedName name="Act15_BxPS_BEFP_AdjTrans">'[1]Input Sheet'!$E$47</definedName>
    <definedName name="Act15_BxPS_BEFP_AGExp">'[1]Input Sheet'!$E$65</definedName>
    <definedName name="Act15_BxPS_BEFP_CME">'[1]Input Sheet'!$E$69</definedName>
    <definedName name="Act15_BxPS_BEFP_OtherPowerExp">'[1]Input Sheet'!$E$64</definedName>
    <definedName name="Act15_BxPS_BEFP_Plant">'[1]Input Sheet'!$E$16</definedName>
    <definedName name="Act15_BxPS_BEFP_PY_Adj">'[1]Input Sheet'!$E$66</definedName>
    <definedName name="Act15_BxPS_BEFP_Repl">'[1]Input Sheet'!$E$46</definedName>
    <definedName name="Act15_BxPS_BEFP_Retr">'[1]Input Sheet'!$E$48</definedName>
    <definedName name="Act15_BxPS_BEFP_TotalOpExpense">'[1]Input Sheet'!$E$62</definedName>
    <definedName name="Act15_BxPS_BEFP_Warehouse_Stores">'[1]Input Sheet'!$E$70</definedName>
    <definedName name="Act15_RMR_AGExp">'[1]Input Sheet'!$E$75</definedName>
    <definedName name="Act15_RMR_CME">'[1]Input Sheet'!$E$78</definedName>
    <definedName name="Act15_RMR_Other_Power_Exp">'[1]Input Sheet'!$E$74</definedName>
    <definedName name="Act15_RMR_Plant">'[1]Input Sheet'!$E$23</definedName>
    <definedName name="Act15_RMR_Total_OpExp">'[1]Input Sheet'!$E$72</definedName>
    <definedName name="Act15_RMR_Warehouse_Stores">'[1]Input Sheet'!$E$79</definedName>
    <definedName name="CUSTAR" localSheetId="0">#REF!</definedName>
    <definedName name="CUSTAR" localSheetId="12">#REF!</definedName>
    <definedName name="CUSTAR" localSheetId="13">#REF!</definedName>
    <definedName name="CUSTAR" localSheetId="15">#REF!</definedName>
    <definedName name="CUSTAR" localSheetId="16">#REF!</definedName>
    <definedName name="CUSTAR" localSheetId="2">#REF!</definedName>
    <definedName name="CUSTAR" localSheetId="3">#REF!</definedName>
    <definedName name="CUSTAR" localSheetId="4">#REF!</definedName>
    <definedName name="CUSTAR" localSheetId="5">#REF!</definedName>
    <definedName name="CUSTAR" localSheetId="6">#REF!</definedName>
    <definedName name="CUSTAR" localSheetId="7">#REF!</definedName>
    <definedName name="CUSTAR" localSheetId="8">#REF!</definedName>
    <definedName name="CUSTAR" localSheetId="9">#REF!</definedName>
    <definedName name="CUSTAR">#REF!</definedName>
    <definedName name="Custar1" localSheetId="0">#REF!</definedName>
    <definedName name="Custar1" localSheetId="12">#REF!</definedName>
    <definedName name="Custar1" localSheetId="13">#REF!</definedName>
    <definedName name="Custar1" localSheetId="15">#REF!</definedName>
    <definedName name="Custar1" localSheetId="16">#REF!</definedName>
    <definedName name="Custar1" localSheetId="2">#REF!</definedName>
    <definedName name="Custar1" localSheetId="3">#REF!</definedName>
    <definedName name="Custar1" localSheetId="4">#REF!</definedName>
    <definedName name="Custar1" localSheetId="5">#REF!</definedName>
    <definedName name="Custar1" localSheetId="6">#REF!</definedName>
    <definedName name="Custar1" localSheetId="7">#REF!</definedName>
    <definedName name="Custar1" localSheetId="8">#REF!</definedName>
    <definedName name="Custar1" localSheetId="9">#REF!</definedName>
    <definedName name="Custar1">#REF!</definedName>
    <definedName name="CUYAHOGA_FALLS" localSheetId="0">#REF!</definedName>
    <definedName name="CUYAHOGA_FALLS" localSheetId="12">#REF!</definedName>
    <definedName name="CUYAHOGA_FALLS" localSheetId="13">#REF!</definedName>
    <definedName name="CUYAHOGA_FALLS" localSheetId="15">#REF!</definedName>
    <definedName name="CUYAHOGA_FALLS" localSheetId="16">#REF!</definedName>
    <definedName name="CUYAHOGA_FALLS" localSheetId="2">#REF!</definedName>
    <definedName name="CUYAHOGA_FALLS" localSheetId="3">#REF!</definedName>
    <definedName name="CUYAHOGA_FALLS" localSheetId="4">#REF!</definedName>
    <definedName name="CUYAHOGA_FALLS" localSheetId="5">#REF!</definedName>
    <definedName name="CUYAHOGA_FALLS" localSheetId="6">#REF!</definedName>
    <definedName name="CUYAHOGA_FALLS" localSheetId="7">#REF!</definedName>
    <definedName name="CUYAHOGA_FALLS" localSheetId="8">#REF!</definedName>
    <definedName name="CUYAHOGA_FALLS" localSheetId="9">#REF!</definedName>
    <definedName name="CUYAHOGA_FALLS">#REF!</definedName>
    <definedName name="DETERMINATION_OF_PICK_SLOAN_MISSOURI_BASIN_PROGRAM__EASTERN_DIVISION" localSheetId="0">#REF!</definedName>
    <definedName name="DETERMINATION_OF_PICK_SLOAN_MISSOURI_BASIN_PROGRAM__EASTERN_DIVISION" localSheetId="12">#REF!</definedName>
    <definedName name="DETERMINATION_OF_PICK_SLOAN_MISSOURI_BASIN_PROGRAM__EASTERN_DIVISION" localSheetId="13">#REF!</definedName>
    <definedName name="DETERMINATION_OF_PICK_SLOAN_MISSOURI_BASIN_PROGRAM__EASTERN_DIVISION" localSheetId="15">#REF!</definedName>
    <definedName name="DETERMINATION_OF_PICK_SLOAN_MISSOURI_BASIN_PROGRAM__EASTERN_DIVISION" localSheetId="16">#REF!</definedName>
    <definedName name="DETERMINATION_OF_PICK_SLOAN_MISSOURI_BASIN_PROGRAM__EASTERN_DIVISION" localSheetId="2">#REF!</definedName>
    <definedName name="DETERMINATION_OF_PICK_SLOAN_MISSOURI_BASIN_PROGRAM__EASTERN_DIVISION" localSheetId="3">#REF!</definedName>
    <definedName name="DETERMINATION_OF_PICK_SLOAN_MISSOURI_BASIN_PROGRAM__EASTERN_DIVISION" localSheetId="4">#REF!</definedName>
    <definedName name="DETERMINATION_OF_PICK_SLOAN_MISSOURI_BASIN_PROGRAM__EASTERN_DIVISION" localSheetId="5">#REF!</definedName>
    <definedName name="DETERMINATION_OF_PICK_SLOAN_MISSOURI_BASIN_PROGRAM__EASTERN_DIVISION" localSheetId="6">#REF!</definedName>
    <definedName name="DETERMINATION_OF_PICK_SLOAN_MISSOURI_BASIN_PROGRAM__EASTERN_DIVISION" localSheetId="7">#REF!</definedName>
    <definedName name="DETERMINATION_OF_PICK_SLOAN_MISSOURI_BASIN_PROGRAM__EASTERN_DIVISION" localSheetId="8">#REF!</definedName>
    <definedName name="DETERMINATION_OF_PICK_SLOAN_MISSOURI_BASIN_PROGRAM__EASTERN_DIVISION" localSheetId="9">#REF!</definedName>
    <definedName name="DETERMINATION_OF_PICK_SLOAN_MISSOURI_BASIN_PROGRAM__EASTERN_DIVISION">#REF!</definedName>
    <definedName name="EDGERTON" localSheetId="0">#REF!</definedName>
    <definedName name="EDGERTON" localSheetId="12">#REF!</definedName>
    <definedName name="EDGERTON" localSheetId="13">#REF!</definedName>
    <definedName name="EDGERTON" localSheetId="15">#REF!</definedName>
    <definedName name="EDGERTON" localSheetId="16">#REF!</definedName>
    <definedName name="EDGERTON" localSheetId="2">#REF!</definedName>
    <definedName name="EDGERTON" localSheetId="3">#REF!</definedName>
    <definedName name="EDGERTON" localSheetId="4">#REF!</definedName>
    <definedName name="EDGERTON" localSheetId="5">#REF!</definedName>
    <definedName name="EDGERTON" localSheetId="6">#REF!</definedName>
    <definedName name="EDGERTON" localSheetId="7">#REF!</definedName>
    <definedName name="EDGERTON" localSheetId="8">#REF!</definedName>
    <definedName name="EDGERTON" localSheetId="9">#REF!</definedName>
    <definedName name="EDGERTON">#REF!</definedName>
    <definedName name="Ellwood_City" localSheetId="0">#REF!</definedName>
    <definedName name="Ellwood_City" localSheetId="12">#REF!</definedName>
    <definedName name="Ellwood_City" localSheetId="13">#REF!</definedName>
    <definedName name="Ellwood_City" localSheetId="15">#REF!</definedName>
    <definedName name="Ellwood_City" localSheetId="16">#REF!</definedName>
    <definedName name="Ellwood_City" localSheetId="2">#REF!</definedName>
    <definedName name="Ellwood_City" localSheetId="3">#REF!</definedName>
    <definedName name="Ellwood_City" localSheetId="4">#REF!</definedName>
    <definedName name="Ellwood_City" localSheetId="5">#REF!</definedName>
    <definedName name="Ellwood_City" localSheetId="6">#REF!</definedName>
    <definedName name="Ellwood_City" localSheetId="7">#REF!</definedName>
    <definedName name="Ellwood_City" localSheetId="8">#REF!</definedName>
    <definedName name="Ellwood_City" localSheetId="9">#REF!</definedName>
    <definedName name="Ellwood_City">#REF!</definedName>
    <definedName name="ELMORE" localSheetId="0">#REF!</definedName>
    <definedName name="ELMORE" localSheetId="12">#REF!</definedName>
    <definedName name="ELMORE" localSheetId="13">#REF!</definedName>
    <definedName name="ELMORE" localSheetId="15">#REF!</definedName>
    <definedName name="ELMORE" localSheetId="16">#REF!</definedName>
    <definedName name="ELMORE" localSheetId="2">#REF!</definedName>
    <definedName name="ELMORE" localSheetId="3">#REF!</definedName>
    <definedName name="ELMORE" localSheetId="4">#REF!</definedName>
    <definedName name="ELMORE" localSheetId="5">#REF!</definedName>
    <definedName name="ELMORE" localSheetId="6">#REF!</definedName>
    <definedName name="ELMORE" localSheetId="7">#REF!</definedName>
    <definedName name="ELMORE" localSheetId="8">#REF!</definedName>
    <definedName name="ELMORE" localSheetId="9">#REF!</definedName>
    <definedName name="ELMORE">#REF!</definedName>
    <definedName name="Est16_BOR_AccumDepr">'[1]Input Sheet'!$C$42</definedName>
    <definedName name="Est16_BOR_DeprExp">'[1]Input Sheet'!$C$87</definedName>
    <definedName name="Est16_BOR_LTDebt">'[1]Input Sheet'!$C$96</definedName>
    <definedName name="Est16_BOR_LTInt">'[1]Input Sheet'!$C$97</definedName>
    <definedName name="Est16_BOR_OM">'[1]Input Sheet'!$C$81</definedName>
    <definedName name="Est16_BOR_Plant">'[1]Input Sheet'!$C$31</definedName>
    <definedName name="Est16_BxPS_BEFP_AccumDepr">'[1]Input Sheet'!$C$34</definedName>
    <definedName name="Est16_BxPS_BEFP_AGExp">'[1]Input Sheet'!$C$65</definedName>
    <definedName name="Est16_BxPS_BEFP_CME">'[1]Input Sheet'!$C$69</definedName>
    <definedName name="Est16_BxPS_BEFP_DepMOVP">'[1]Input Sheet'!$C$67</definedName>
    <definedName name="Est16_BxPS_BEFP_DeprExp">'[1]Input Sheet'!$C$84</definedName>
    <definedName name="Est16_BxPS_BEFP_DispofAssets">'[1]Input Sheet'!$C$68</definedName>
    <definedName name="Est16_BxPS_BEFP_GenAccumDepr">'[1]Input Sheet'!$C$36</definedName>
    <definedName name="Est16_BxPS_BEFP_GenPlant">'[1]Input Sheet'!$C$19</definedName>
    <definedName name="Est16_BxPS_BEFP_LTDebt">'[1]Input Sheet'!$C$90</definedName>
    <definedName name="Est16_BxPS_BEFP_LTInt">'[1]Input Sheet'!$C$91</definedName>
    <definedName name="Est16_BxPS_BEFP_Plant">'[1]Input Sheet'!$C$16</definedName>
    <definedName name="Est16_BxPS_BEFP_SSCD_OpExp">'[1]Input Sheet'!$C$71</definedName>
    <definedName name="Est16_BxPS_BEFP_SSCDAllocator">'[1]Input Sheet'!$C$22</definedName>
    <definedName name="Est16_BxPS_BEFP_SSCDPlant">'[1]Input Sheet'!$C$21</definedName>
    <definedName name="Est16_BxPS_BEFP_TotalOM">'[1]Input Sheet'!$C$63</definedName>
    <definedName name="Est16_BxPS_BEFP_TPlant">'[1]Input Sheet'!$C$17</definedName>
    <definedName name="Est16_BxPS_BEFP_TransAccumDepr">'[1]Input Sheet'!$C$35</definedName>
    <definedName name="Est16_BxPS_BEFP_WageSalary">'[1]Input Sheet'!$C$125</definedName>
    <definedName name="Est16_BxPS_BEFP_Warehouse_Stores">'[1]Input Sheet'!$C$70</definedName>
    <definedName name="Est16_BXPS_OM">'[1]2016 EST COST DATA'!$C$119</definedName>
    <definedName name="Est16_COE_AccumDepr">'[1]Input Sheet'!$C$39</definedName>
    <definedName name="Est16_COE_AG">'[1]2016 EST COST DATA'!$G$95</definedName>
    <definedName name="Est16_COE_DeprExp">'[1]Input Sheet'!$C$86</definedName>
    <definedName name="Est16_COE_FixedChargeRate">'[1]2016 est ANNUAL COSTS'!$E$34</definedName>
    <definedName name="Est16_COE_Gen">'[1]Input Sheet'!$C$29</definedName>
    <definedName name="Est16_COE_GenAccumDepr">'[1]Input Sheet'!$C$41</definedName>
    <definedName name="Est16_COE_GenDepr">'[1]2016 EST COST DATA'!$G$38</definedName>
    <definedName name="Est16_COE_GenOM">'[1]2016 EST COST DATA'!$G$121</definedName>
    <definedName name="Est16_COE_GenPlant">'[1]2016 EST COST DATA'!$G$17</definedName>
    <definedName name="Est16_COE_LTDebt">'[1]Input Sheet'!$C$94</definedName>
    <definedName name="Est16_COE_LTInt">'[1]Input Sheet'!$C$95</definedName>
    <definedName name="Est16_COE_NetPlantInvest">'[1]2016 est ANNUAL COSTS'!$E$35</definedName>
    <definedName name="Est16_COE_OM">'[1]Input Sheet'!$C$80</definedName>
    <definedName name="Est16_COE_Plant">'[1]Input Sheet'!$C$26</definedName>
    <definedName name="Est16_COE_TPlant">'[1]Input Sheet'!$C$27</definedName>
    <definedName name="Est16_COE_TransAccumDepr">'[1]Input Sheet'!$C$40</definedName>
    <definedName name="Est16_Credit_Acct454">'[1]Input Sheet'!$C$14</definedName>
    <definedName name="Est16_Credit_ExstRev">'[1]Input Sheet'!$C$12</definedName>
    <definedName name="Est16_Credit_NFPTP">'[1]Input Sheet'!$C$11</definedName>
    <definedName name="Est16_Credit_STPTP">'[1]Input Sheet'!$C$10</definedName>
    <definedName name="Est16_GenAG">'[1]2016 EST COST DATA'!$K$95</definedName>
    <definedName name="Est16_GenCompRate">'[1]2016 EST COST DATA'!$K$62</definedName>
    <definedName name="Est16_GenDepr">'[1]2016 EST COST DATA'!$K$38</definedName>
    <definedName name="Est16_GenOM">'[1]2016 EST COST DATA'!$K$121</definedName>
    <definedName name="Est16_GenPlant">'[1]2016 EST COST DATA'!$K$17</definedName>
    <definedName name="Est16_PlantCapacity">'[1]Input Sheet'!$C$148</definedName>
    <definedName name="Est16_RegCapacity">'[1]Input Sheet'!$C$149</definedName>
    <definedName name="Est16_RMR_AccumDepr">'[1]Input Sheet'!$C$37</definedName>
    <definedName name="Est16_RMR_AGExp">'[1]Input Sheet'!$C$75</definedName>
    <definedName name="Est16_RMR_CME">'[1]Input Sheet'!$C$78</definedName>
    <definedName name="Est16_RMR_DeprExp">'[1]Input Sheet'!$C$85</definedName>
    <definedName name="Est16_RMR_LTDebt">'[1]Input Sheet'!$C$92</definedName>
    <definedName name="Est16_RMR_LTInt">'[1]Input Sheet'!$C$93</definedName>
    <definedName name="Est16_RMR_OM">'[1]2016 EST COST DATA'!$E$119</definedName>
    <definedName name="Est16_RMR_Plant">'[1]Input Sheet'!$C$23</definedName>
    <definedName name="Est16_RMR_Total_OM">'[1]Input Sheet'!$C$73</definedName>
    <definedName name="Est16_RMR_TPlant">'[1]Input Sheet'!$C$24</definedName>
    <definedName name="Est16_RMR_TransAccumDepr">'[1]Input Sheet'!$C$38</definedName>
    <definedName name="Est16_RMR_Warehouse_Stores">'[1]Input Sheet'!$C$79</definedName>
    <definedName name="Est16_SSCD_Other_Revenue">'[1]Input Sheet'!$C$142</definedName>
    <definedName name="Est16_SSCD_RevRqmt">'[1]WAUGP-AS1 2016 est'!$C$17</definedName>
    <definedName name="Est16_Trans_Composite_IntRate">'[1]2016 EST COST DATA'!$K$60</definedName>
    <definedName name="Est16_TransAG">'[1]2016 EST COST DATA'!$K$94</definedName>
    <definedName name="Est16_TransDepr">'[1]2016 EST COST DATA'!$K$37</definedName>
    <definedName name="Est16_TransOM">'[1]2016 EST COST DATA'!$K$120</definedName>
    <definedName name="Est16_TransPlant">'[1]2016 EST COST DATA'!$K$16</definedName>
    <definedName name="Est17_BOR_OM">'[1]Input Sheet'!$B$81</definedName>
    <definedName name="Est17_BxPS_BEFP_AccumDepr">'[1]Input Sheet'!$B$34</definedName>
    <definedName name="Est17_BxPS_BEFP_AGExp">'[1]Input Sheet'!$B$65</definedName>
    <definedName name="Est17_BxPS_BEFP_CME">'[1]Input Sheet'!$B$69</definedName>
    <definedName name="Est17_BxPS_BEFP_DepMOVP">'[1]Input Sheet'!$B$67</definedName>
    <definedName name="Est17_BxPS_BEFP_DeprExp">'[1]Input Sheet'!$B$84</definedName>
    <definedName name="Est17_BxPS_BEFP_DispofAssets">'[1]Input Sheet'!$B$68</definedName>
    <definedName name="Est17_BxPS_BEFP_GenAccumDepr">'[1]Input Sheet'!$B$36</definedName>
    <definedName name="Est17_BxPS_BEFP_GenPlant">'[1]Input Sheet'!$B$19</definedName>
    <definedName name="Est17_BxPS_BEFP_Plant">'[1]Input Sheet'!$B$16</definedName>
    <definedName name="Est17_BxPS_BEFP_TotalOM">'[1]Input Sheet'!$B$63</definedName>
    <definedName name="Est17_BxPS_BEFP_TPlant">'[1]Input Sheet'!$B$17</definedName>
    <definedName name="Est17_BxPS_BEFP_TransAccumDepr">'[1]Input Sheet'!$B$35</definedName>
    <definedName name="Est17_BxPS_BEFP_WageSalary">'[1]Input Sheet'!$B$125</definedName>
    <definedName name="Est17_BxPS_BEFP_Warehouse_Stores">'[1]Input Sheet'!$B$70</definedName>
    <definedName name="Est17_BXPS_OM">'[1]2017 EST COST DATA'!$C$119</definedName>
    <definedName name="Est17_COE_AccumDeprGen">'[1]Input Sheet'!$B$41</definedName>
    <definedName name="Est17_COE_DeprExp">'[1]Input Sheet'!$B$86</definedName>
    <definedName name="Est17_COE_Gen">'[1]Input Sheet'!$B$29</definedName>
    <definedName name="Est17_COE_OM">'[1]Input Sheet'!$B$80</definedName>
    <definedName name="Est17_COE_Plant">'[1]Input Sheet'!$B$26</definedName>
    <definedName name="Est17_COE_TPlant">'[1]Input Sheet'!$B$27</definedName>
    <definedName name="Est17_COE_TransAccumDepr">'[1]Input Sheet'!$B$40</definedName>
    <definedName name="Est17_Credit_Acct454">'[1]Input Sheet'!$B$14</definedName>
    <definedName name="Est17_Credit_ExstRev">'[1]Input Sheet'!$B$12</definedName>
    <definedName name="Est17_Credit_NFPTP">'[1]Input Sheet'!$B$11</definedName>
    <definedName name="Est17_Credit_SSCD">'[1]Input Sheet'!$B$13</definedName>
    <definedName name="Est17_Credit_STPTP">'[1]Input Sheet'!$B$10</definedName>
    <definedName name="Est17_RMR_AGExp">'[1]Input Sheet'!$B$75</definedName>
    <definedName name="Est17_RMR_CME">'[1]Input Sheet'!$B$78</definedName>
    <definedName name="Est17_RMR_DeprExp">'[1]Input Sheet'!$B$85</definedName>
    <definedName name="Est17_RMR_OM">'[1]2017 EST COST DATA'!$E$119</definedName>
    <definedName name="Est17_RMR_Plant">'[1]Input Sheet'!$B$23</definedName>
    <definedName name="Est17_RMR_Total_OM">'[1]Input Sheet'!$B$73</definedName>
    <definedName name="Est17_RMR_TPlant">'[1]Input Sheet'!$B$24</definedName>
    <definedName name="Est17_RMR_TransAccumDepr">'[1]Input Sheet'!$B$38</definedName>
    <definedName name="Est17_RMR_Warehouse_Stores">'[1]Input Sheet'!$B$79</definedName>
    <definedName name="GALION" localSheetId="0">#REF!</definedName>
    <definedName name="GALION" localSheetId="12">#REF!</definedName>
    <definedName name="GALION" localSheetId="13">#REF!</definedName>
    <definedName name="GALION" localSheetId="15">#REF!</definedName>
    <definedName name="GALION" localSheetId="16">#REF!</definedName>
    <definedName name="GALION" localSheetId="2">#REF!</definedName>
    <definedName name="GALION" localSheetId="3">#REF!</definedName>
    <definedName name="GALION" localSheetId="4">#REF!</definedName>
    <definedName name="GALION" localSheetId="5">#REF!</definedName>
    <definedName name="GALION" localSheetId="6">#REF!</definedName>
    <definedName name="GALION" localSheetId="7">#REF!</definedName>
    <definedName name="GALION" localSheetId="8">#REF!</definedName>
    <definedName name="GALION" localSheetId="9">#REF!</definedName>
    <definedName name="GALION">#REF!</definedName>
    <definedName name="GENOA" localSheetId="0">#REF!</definedName>
    <definedName name="GENOA" localSheetId="12">#REF!</definedName>
    <definedName name="GENOA" localSheetId="13">#REF!</definedName>
    <definedName name="GENOA" localSheetId="15">#REF!</definedName>
    <definedName name="GENOA" localSheetId="16">#REF!</definedName>
    <definedName name="GENOA" localSheetId="2">#REF!</definedName>
    <definedName name="GENOA" localSheetId="3">#REF!</definedName>
    <definedName name="GENOA" localSheetId="4">#REF!</definedName>
    <definedName name="GENOA" localSheetId="5">#REF!</definedName>
    <definedName name="GENOA" localSheetId="6">#REF!</definedName>
    <definedName name="GENOA" localSheetId="7">#REF!</definedName>
    <definedName name="GENOA" localSheetId="8">#REF!</definedName>
    <definedName name="GENOA" localSheetId="9">#REF!</definedName>
    <definedName name="GENOA">#REF!</definedName>
    <definedName name="GENOA_NORTH" localSheetId="0">#REF!</definedName>
    <definedName name="GENOA_NORTH" localSheetId="12">#REF!</definedName>
    <definedName name="GENOA_NORTH" localSheetId="13">#REF!</definedName>
    <definedName name="GENOA_NORTH" localSheetId="15">#REF!</definedName>
    <definedName name="GENOA_NORTH" localSheetId="16">#REF!</definedName>
    <definedName name="GENOA_NORTH" localSheetId="2">#REF!</definedName>
    <definedName name="GENOA_NORTH" localSheetId="3">#REF!</definedName>
    <definedName name="GENOA_NORTH" localSheetId="4">#REF!</definedName>
    <definedName name="GENOA_NORTH" localSheetId="5">#REF!</definedName>
    <definedName name="GENOA_NORTH" localSheetId="6">#REF!</definedName>
    <definedName name="GENOA_NORTH" localSheetId="7">#REF!</definedName>
    <definedName name="GENOA_NORTH" localSheetId="8">#REF!</definedName>
    <definedName name="GENOA_NORTH" localSheetId="9">#REF!</definedName>
    <definedName name="GENOA_NORTH">#REF!</definedName>
    <definedName name="GENOA_SOUTH" localSheetId="0">#REF!</definedName>
    <definedName name="GENOA_SOUTH" localSheetId="12">#REF!</definedName>
    <definedName name="GENOA_SOUTH" localSheetId="13">#REF!</definedName>
    <definedName name="GENOA_SOUTH" localSheetId="15">#REF!</definedName>
    <definedName name="GENOA_SOUTH" localSheetId="16">#REF!</definedName>
    <definedName name="GENOA_SOUTH" localSheetId="2">#REF!</definedName>
    <definedName name="GENOA_SOUTH" localSheetId="3">#REF!</definedName>
    <definedName name="GENOA_SOUTH" localSheetId="4">#REF!</definedName>
    <definedName name="GENOA_SOUTH" localSheetId="5">#REF!</definedName>
    <definedName name="GENOA_SOUTH" localSheetId="6">#REF!</definedName>
    <definedName name="GENOA_SOUTH" localSheetId="7">#REF!</definedName>
    <definedName name="GENOA_SOUTH" localSheetId="8">#REF!</definedName>
    <definedName name="GENOA_SOUTH" localSheetId="9">#REF!</definedName>
    <definedName name="GENOA_SOUTH">#REF!</definedName>
    <definedName name="GRAFTON" localSheetId="0">#REF!</definedName>
    <definedName name="GRAFTON" localSheetId="12">#REF!</definedName>
    <definedName name="GRAFTON" localSheetId="13">#REF!</definedName>
    <definedName name="GRAFTON" localSheetId="15">#REF!</definedName>
    <definedName name="GRAFTON" localSheetId="16">#REF!</definedName>
    <definedName name="GRAFTON" localSheetId="2">#REF!</definedName>
    <definedName name="GRAFTON" localSheetId="3">#REF!</definedName>
    <definedName name="GRAFTON" localSheetId="4">#REF!</definedName>
    <definedName name="GRAFTON" localSheetId="5">#REF!</definedName>
    <definedName name="GRAFTON" localSheetId="6">#REF!</definedName>
    <definedName name="GRAFTON" localSheetId="7">#REF!</definedName>
    <definedName name="GRAFTON" localSheetId="8">#REF!</definedName>
    <definedName name="GRAFTON" localSheetId="9">#REF!</definedName>
    <definedName name="GRAFTON">#REF!</definedName>
    <definedName name="Grove_City" localSheetId="0">#REF!</definedName>
    <definedName name="Grove_City" localSheetId="12">#REF!</definedName>
    <definedName name="Grove_City" localSheetId="13">#REF!</definedName>
    <definedName name="Grove_City" localSheetId="15">#REF!</definedName>
    <definedName name="Grove_City" localSheetId="16">#REF!</definedName>
    <definedName name="Grove_City" localSheetId="2">#REF!</definedName>
    <definedName name="Grove_City" localSheetId="3">#REF!</definedName>
    <definedName name="Grove_City" localSheetId="4">#REF!</definedName>
    <definedName name="Grove_City" localSheetId="5">#REF!</definedName>
    <definedName name="Grove_City" localSheetId="6">#REF!</definedName>
    <definedName name="Grove_City" localSheetId="7">#REF!</definedName>
    <definedName name="Grove_City" localSheetId="8">#REF!</definedName>
    <definedName name="Grove_City" localSheetId="9">#REF!</definedName>
    <definedName name="Grove_City">#REF!</definedName>
    <definedName name="HASKINS" localSheetId="0">#REF!</definedName>
    <definedName name="HASKINS" localSheetId="12">#REF!</definedName>
    <definedName name="HASKINS" localSheetId="13">#REF!</definedName>
    <definedName name="HASKINS" localSheetId="15">#REF!</definedName>
    <definedName name="HASKINS" localSheetId="16">#REF!</definedName>
    <definedName name="HASKINS" localSheetId="2">#REF!</definedName>
    <definedName name="HASKINS" localSheetId="3">#REF!</definedName>
    <definedName name="HASKINS" localSheetId="4">#REF!</definedName>
    <definedName name="HASKINS" localSheetId="5">#REF!</definedName>
    <definedName name="HASKINS" localSheetId="6">#REF!</definedName>
    <definedName name="HASKINS" localSheetId="7">#REF!</definedName>
    <definedName name="HASKINS" localSheetId="8">#REF!</definedName>
    <definedName name="HASKINS" localSheetId="9">#REF!</definedName>
    <definedName name="HASKINS">#REF!</definedName>
    <definedName name="hourending" localSheetId="0">#REF!</definedName>
    <definedName name="hourending" localSheetId="12">#REF!</definedName>
    <definedName name="hourending" localSheetId="13">#REF!</definedName>
    <definedName name="hourending" localSheetId="15">#REF!</definedName>
    <definedName name="hourending" localSheetId="16">#REF!</definedName>
    <definedName name="hourending" localSheetId="2">#REF!</definedName>
    <definedName name="hourending" localSheetId="3">#REF!</definedName>
    <definedName name="hourending" localSheetId="4">#REF!</definedName>
    <definedName name="hourending" localSheetId="5">#REF!</definedName>
    <definedName name="hourending" localSheetId="6">#REF!</definedName>
    <definedName name="hourending" localSheetId="7">#REF!</definedName>
    <definedName name="hourending" localSheetId="8">#REF!</definedName>
    <definedName name="hourending" localSheetId="9">#REF!</definedName>
    <definedName name="hourending">#REF!</definedName>
    <definedName name="HUBBARD" localSheetId="0">#REF!</definedName>
    <definedName name="HUBBARD" localSheetId="12">#REF!</definedName>
    <definedName name="HUBBARD" localSheetId="13">#REF!</definedName>
    <definedName name="HUBBARD" localSheetId="15">#REF!</definedName>
    <definedName name="HUBBARD" localSheetId="16">#REF!</definedName>
    <definedName name="HUBBARD" localSheetId="2">#REF!</definedName>
    <definedName name="HUBBARD" localSheetId="3">#REF!</definedName>
    <definedName name="HUBBARD" localSheetId="4">#REF!</definedName>
    <definedName name="HUBBARD" localSheetId="5">#REF!</definedName>
    <definedName name="HUBBARD" localSheetId="6">#REF!</definedName>
    <definedName name="HUBBARD" localSheetId="7">#REF!</definedName>
    <definedName name="HUBBARD" localSheetId="8">#REF!</definedName>
    <definedName name="HUBBARD" localSheetId="9">#REF!</definedName>
    <definedName name="HUBBARD">#REF!</definedName>
    <definedName name="HUBBARD1" localSheetId="0">#REF!</definedName>
    <definedName name="HUBBARD1" localSheetId="12">#REF!</definedName>
    <definedName name="HUBBARD1" localSheetId="13">#REF!</definedName>
    <definedName name="HUBBARD1" localSheetId="15">#REF!</definedName>
    <definedName name="HUBBARD1" localSheetId="16">#REF!</definedName>
    <definedName name="HUBBARD1" localSheetId="2">#REF!</definedName>
    <definedName name="HUBBARD1" localSheetId="3">#REF!</definedName>
    <definedName name="HUBBARD1" localSheetId="4">#REF!</definedName>
    <definedName name="HUBBARD1" localSheetId="5">#REF!</definedName>
    <definedName name="HUBBARD1" localSheetId="6">#REF!</definedName>
    <definedName name="HUBBARD1" localSheetId="7">#REF!</definedName>
    <definedName name="HUBBARD1" localSheetId="8">#REF!</definedName>
    <definedName name="HUBBARD1" localSheetId="9">#REF!</definedName>
    <definedName name="HUBBARD1">#REF!</definedName>
    <definedName name="LODI" localSheetId="0">#REF!</definedName>
    <definedName name="LODI" localSheetId="12">#REF!</definedName>
    <definedName name="LODI" localSheetId="13">#REF!</definedName>
    <definedName name="LODI" localSheetId="15">#REF!</definedName>
    <definedName name="LODI" localSheetId="16">#REF!</definedName>
    <definedName name="LODI" localSheetId="2">#REF!</definedName>
    <definedName name="LODI" localSheetId="3">#REF!</definedName>
    <definedName name="LODI" localSheetId="4">#REF!</definedName>
    <definedName name="LODI" localSheetId="5">#REF!</definedName>
    <definedName name="LODI" localSheetId="6">#REF!</definedName>
    <definedName name="LODI" localSheetId="7">#REF!</definedName>
    <definedName name="LODI" localSheetId="8">#REF!</definedName>
    <definedName name="LODI" localSheetId="9">#REF!</definedName>
    <definedName name="LODI">#REF!</definedName>
    <definedName name="LUCAS" localSheetId="0">#REF!</definedName>
    <definedName name="LUCAS" localSheetId="12">#REF!</definedName>
    <definedName name="LUCAS" localSheetId="13">#REF!</definedName>
    <definedName name="LUCAS" localSheetId="15">#REF!</definedName>
    <definedName name="LUCAS" localSheetId="16">#REF!</definedName>
    <definedName name="LUCAS" localSheetId="2">#REF!</definedName>
    <definedName name="LUCAS" localSheetId="3">#REF!</definedName>
    <definedName name="LUCAS" localSheetId="4">#REF!</definedName>
    <definedName name="LUCAS" localSheetId="5">#REF!</definedName>
    <definedName name="LUCAS" localSheetId="6">#REF!</definedName>
    <definedName name="LUCAS" localSheetId="7">#REF!</definedName>
    <definedName name="LUCAS" localSheetId="8">#REF!</definedName>
    <definedName name="LUCAS" localSheetId="9">#REF!</definedName>
    <definedName name="LUCAS">#REF!</definedName>
    <definedName name="MILAN" localSheetId="0">#REF!</definedName>
    <definedName name="MILAN" localSheetId="12">#REF!</definedName>
    <definedName name="MILAN" localSheetId="13">#REF!</definedName>
    <definedName name="MILAN" localSheetId="15">#REF!</definedName>
    <definedName name="MILAN" localSheetId="16">#REF!</definedName>
    <definedName name="MILAN" localSheetId="2">#REF!</definedName>
    <definedName name="MILAN" localSheetId="3">#REF!</definedName>
    <definedName name="MILAN" localSheetId="4">#REF!</definedName>
    <definedName name="MILAN" localSheetId="5">#REF!</definedName>
    <definedName name="MILAN" localSheetId="6">#REF!</definedName>
    <definedName name="MILAN" localSheetId="7">#REF!</definedName>
    <definedName name="MILAN" localSheetId="8">#REF!</definedName>
    <definedName name="MILAN" localSheetId="9">#REF!</definedName>
    <definedName name="MILAN">#REF!</definedName>
    <definedName name="MONROEVILLE" localSheetId="0">#REF!</definedName>
    <definedName name="MONROEVILLE" localSheetId="12">#REF!</definedName>
    <definedName name="MONROEVILLE" localSheetId="13">#REF!</definedName>
    <definedName name="MONROEVILLE" localSheetId="15">#REF!</definedName>
    <definedName name="MONROEVILLE" localSheetId="16">#REF!</definedName>
    <definedName name="MONROEVILLE" localSheetId="2">#REF!</definedName>
    <definedName name="MONROEVILLE" localSheetId="3">#REF!</definedName>
    <definedName name="MONROEVILLE" localSheetId="4">#REF!</definedName>
    <definedName name="MONROEVILLE" localSheetId="5">#REF!</definedName>
    <definedName name="MONROEVILLE" localSheetId="6">#REF!</definedName>
    <definedName name="MONROEVILLE" localSheetId="7">#REF!</definedName>
    <definedName name="MONROEVILLE" localSheetId="8">#REF!</definedName>
    <definedName name="MONROEVILLE" localSheetId="9">#REF!</definedName>
    <definedName name="MONROEVILLE">#REF!</definedName>
    <definedName name="NAPOLEON" localSheetId="0">#REF!</definedName>
    <definedName name="NAPOLEON" localSheetId="12">#REF!</definedName>
    <definedName name="NAPOLEON" localSheetId="13">#REF!</definedName>
    <definedName name="NAPOLEON" localSheetId="15">#REF!</definedName>
    <definedName name="NAPOLEON" localSheetId="16">#REF!</definedName>
    <definedName name="NAPOLEON" localSheetId="2">#REF!</definedName>
    <definedName name="NAPOLEON" localSheetId="3">#REF!</definedName>
    <definedName name="NAPOLEON" localSheetId="4">#REF!</definedName>
    <definedName name="NAPOLEON" localSheetId="5">#REF!</definedName>
    <definedName name="NAPOLEON" localSheetId="6">#REF!</definedName>
    <definedName name="NAPOLEON" localSheetId="7">#REF!</definedName>
    <definedName name="NAPOLEON" localSheetId="8">#REF!</definedName>
    <definedName name="NAPOLEON" localSheetId="9">#REF!</definedName>
    <definedName name="NAPOLEON">#REF!</definedName>
    <definedName name="NEASG" localSheetId="0">#REF!</definedName>
    <definedName name="NEASG" localSheetId="12">#REF!</definedName>
    <definedName name="NEASG" localSheetId="13">#REF!</definedName>
    <definedName name="NEASG" localSheetId="15">#REF!</definedName>
    <definedName name="NEASG" localSheetId="16">#REF!</definedName>
    <definedName name="NEASG" localSheetId="2">#REF!</definedName>
    <definedName name="NEASG" localSheetId="3">#REF!</definedName>
    <definedName name="NEASG" localSheetId="4">#REF!</definedName>
    <definedName name="NEASG" localSheetId="5">#REF!</definedName>
    <definedName name="NEASG" localSheetId="6">#REF!</definedName>
    <definedName name="NEASG" localSheetId="7">#REF!</definedName>
    <definedName name="NEASG" localSheetId="8">#REF!</definedName>
    <definedName name="NEASG" localSheetId="9">#REF!</definedName>
    <definedName name="NEASG">#REF!</definedName>
    <definedName name="New_Wilmington" localSheetId="0">#REF!</definedName>
    <definedName name="New_Wilmington" localSheetId="12">#REF!</definedName>
    <definedName name="New_Wilmington" localSheetId="13">#REF!</definedName>
    <definedName name="New_Wilmington" localSheetId="15">#REF!</definedName>
    <definedName name="New_Wilmington" localSheetId="16">#REF!</definedName>
    <definedName name="New_Wilmington" localSheetId="2">#REF!</definedName>
    <definedName name="New_Wilmington" localSheetId="3">#REF!</definedName>
    <definedName name="New_Wilmington" localSheetId="4">#REF!</definedName>
    <definedName name="New_Wilmington" localSheetId="5">#REF!</definedName>
    <definedName name="New_Wilmington" localSheetId="6">#REF!</definedName>
    <definedName name="New_Wilmington" localSheetId="7">#REF!</definedName>
    <definedName name="New_Wilmington" localSheetId="8">#REF!</definedName>
    <definedName name="New_Wilmington" localSheetId="9">#REF!</definedName>
    <definedName name="New_Wilmington">#REF!</definedName>
    <definedName name="NEWTON_FALLS" localSheetId="0">#REF!</definedName>
    <definedName name="NEWTON_FALLS" localSheetId="12">#REF!</definedName>
    <definedName name="NEWTON_FALLS" localSheetId="13">#REF!</definedName>
    <definedName name="NEWTON_FALLS" localSheetId="15">#REF!</definedName>
    <definedName name="NEWTON_FALLS" localSheetId="16">#REF!</definedName>
    <definedName name="NEWTON_FALLS" localSheetId="2">#REF!</definedName>
    <definedName name="NEWTON_FALLS" localSheetId="3">#REF!</definedName>
    <definedName name="NEWTON_FALLS" localSheetId="4">#REF!</definedName>
    <definedName name="NEWTON_FALLS" localSheetId="5">#REF!</definedName>
    <definedName name="NEWTON_FALLS" localSheetId="6">#REF!</definedName>
    <definedName name="NEWTON_FALLS" localSheetId="7">#REF!</definedName>
    <definedName name="NEWTON_FALLS" localSheetId="8">#REF!</definedName>
    <definedName name="NEWTON_FALLS" localSheetId="9">#REF!</definedName>
    <definedName name="NEWTON_FALLS">#REF!</definedName>
    <definedName name="NILES" localSheetId="0">#REF!</definedName>
    <definedName name="NILES" localSheetId="12">#REF!</definedName>
    <definedName name="NILES" localSheetId="13">#REF!</definedName>
    <definedName name="NILES" localSheetId="15">#REF!</definedName>
    <definedName name="NILES" localSheetId="16">#REF!</definedName>
    <definedName name="NILES" localSheetId="2">#REF!</definedName>
    <definedName name="NILES" localSheetId="3">#REF!</definedName>
    <definedName name="NILES" localSheetId="4">#REF!</definedName>
    <definedName name="NILES" localSheetId="5">#REF!</definedName>
    <definedName name="NILES" localSheetId="6">#REF!</definedName>
    <definedName name="NILES" localSheetId="7">#REF!</definedName>
    <definedName name="NILES" localSheetId="8">#REF!</definedName>
    <definedName name="NILES" localSheetId="9">#REF!</definedName>
    <definedName name="NILES">#REF!</definedName>
    <definedName name="NWASG" localSheetId="0">#REF!</definedName>
    <definedName name="NWASG" localSheetId="12">#REF!</definedName>
    <definedName name="NWASG" localSheetId="13">#REF!</definedName>
    <definedName name="NWASG" localSheetId="15">#REF!</definedName>
    <definedName name="NWASG" localSheetId="16">#REF!</definedName>
    <definedName name="NWASG" localSheetId="2">#REF!</definedName>
    <definedName name="NWASG" localSheetId="3">#REF!</definedName>
    <definedName name="NWASG" localSheetId="4">#REF!</definedName>
    <definedName name="NWASG" localSheetId="5">#REF!</definedName>
    <definedName name="NWASG" localSheetId="6">#REF!</definedName>
    <definedName name="NWASG" localSheetId="7">#REF!</definedName>
    <definedName name="NWASG" localSheetId="8">#REF!</definedName>
    <definedName name="NWASG" localSheetId="9">#REF!</definedName>
    <definedName name="NWASG">#REF!</definedName>
    <definedName name="OAK_HARBOR" localSheetId="0">#REF!</definedName>
    <definedName name="OAK_HARBOR" localSheetId="12">#REF!</definedName>
    <definedName name="OAK_HARBOR" localSheetId="13">#REF!</definedName>
    <definedName name="OAK_HARBOR" localSheetId="15">#REF!</definedName>
    <definedName name="OAK_HARBOR" localSheetId="16">#REF!</definedName>
    <definedName name="OAK_HARBOR" localSheetId="2">#REF!</definedName>
    <definedName name="OAK_HARBOR" localSheetId="3">#REF!</definedName>
    <definedName name="OAK_HARBOR" localSheetId="4">#REF!</definedName>
    <definedName name="OAK_HARBOR" localSheetId="5">#REF!</definedName>
    <definedName name="OAK_HARBOR" localSheetId="6">#REF!</definedName>
    <definedName name="OAK_HARBOR" localSheetId="7">#REF!</definedName>
    <definedName name="OAK_HARBOR" localSheetId="8">#REF!</definedName>
    <definedName name="OAK_HARBOR" localSheetId="9">#REF!</definedName>
    <definedName name="OAK_HARBOR">#REF!</definedName>
    <definedName name="OBERLIN" localSheetId="0">#REF!</definedName>
    <definedName name="OBERLIN" localSheetId="12">#REF!</definedName>
    <definedName name="OBERLIN" localSheetId="13">#REF!</definedName>
    <definedName name="OBERLIN" localSheetId="15">#REF!</definedName>
    <definedName name="OBERLIN" localSheetId="16">#REF!</definedName>
    <definedName name="OBERLIN" localSheetId="2">#REF!</definedName>
    <definedName name="OBERLIN" localSheetId="3">#REF!</definedName>
    <definedName name="OBERLIN" localSheetId="4">#REF!</definedName>
    <definedName name="OBERLIN" localSheetId="5">#REF!</definedName>
    <definedName name="OBERLIN" localSheetId="6">#REF!</definedName>
    <definedName name="OBERLIN" localSheetId="7">#REF!</definedName>
    <definedName name="OBERLIN" localSheetId="8">#REF!</definedName>
    <definedName name="OBERLIN" localSheetId="9">#REF!</definedName>
    <definedName name="OBERLIN">#REF!</definedName>
    <definedName name="PEMBERVILLE" localSheetId="0">#REF!</definedName>
    <definedName name="PEMBERVILLE" localSheetId="12">#REF!</definedName>
    <definedName name="PEMBERVILLE" localSheetId="13">#REF!</definedName>
    <definedName name="PEMBERVILLE" localSheetId="15">#REF!</definedName>
    <definedName name="PEMBERVILLE" localSheetId="16">#REF!</definedName>
    <definedName name="PEMBERVILLE" localSheetId="2">#REF!</definedName>
    <definedName name="PEMBERVILLE" localSheetId="3">#REF!</definedName>
    <definedName name="PEMBERVILLE" localSheetId="4">#REF!</definedName>
    <definedName name="PEMBERVILLE" localSheetId="5">#REF!</definedName>
    <definedName name="PEMBERVILLE" localSheetId="6">#REF!</definedName>
    <definedName name="PEMBERVILLE" localSheetId="7">#REF!</definedName>
    <definedName name="PEMBERVILLE" localSheetId="8">#REF!</definedName>
    <definedName name="PEMBERVILLE" localSheetId="9">#REF!</definedName>
    <definedName name="PEMBERVILLE">#REF!</definedName>
    <definedName name="PIONEER" localSheetId="0">#REF!</definedName>
    <definedName name="PIONEER" localSheetId="12">#REF!</definedName>
    <definedName name="PIONEER" localSheetId="13">#REF!</definedName>
    <definedName name="PIONEER" localSheetId="15">#REF!</definedName>
    <definedName name="PIONEER" localSheetId="16">#REF!</definedName>
    <definedName name="PIONEER" localSheetId="2">#REF!</definedName>
    <definedName name="PIONEER" localSheetId="3">#REF!</definedName>
    <definedName name="PIONEER" localSheetId="4">#REF!</definedName>
    <definedName name="PIONEER" localSheetId="5">#REF!</definedName>
    <definedName name="PIONEER" localSheetId="6">#REF!</definedName>
    <definedName name="PIONEER" localSheetId="7">#REF!</definedName>
    <definedName name="PIONEER" localSheetId="8">#REF!</definedName>
    <definedName name="PIONEER" localSheetId="9">#REF!</definedName>
    <definedName name="PIONEER">#REF!</definedName>
    <definedName name="_xlnm.Print_Area" localSheetId="12">'WS11-FacChanges'!$A$1:$B$5</definedName>
    <definedName name="_xlnm.Print_Area" localSheetId="13">'WS12-SSCD'!$A$1:$D$19</definedName>
    <definedName name="_xlnm.Print_Area" localSheetId="15">'WS14-Reg'!$A$1:$D$32</definedName>
    <definedName name="_xlnm.Print_Area" localSheetId="16">'WS15-Res'!$A$1:$D$25</definedName>
    <definedName name="_xlnm.Print_Area" localSheetId="2">'WS1-RateBase'!$A$1:$I$173</definedName>
    <definedName name="_xlnm.Print_Area" localSheetId="6">'WS5-BPUz'!$A$1:$M$19</definedName>
    <definedName name="_xlnm.Print_Area" localSheetId="7">'WS6-BPUr'!$A$1:$M$19</definedName>
    <definedName name="_xlnm.Print_Area" localSheetId="8">'WS7-BPUFac'!$A$1:$I$31</definedName>
    <definedName name="_xlnm.Print_Area" localSheetId="9">'WS8-TranFac'!$A$1:$K$507</definedName>
    <definedName name="PROSPECT" localSheetId="0">#REF!</definedName>
    <definedName name="PROSPECT" localSheetId="12">#REF!</definedName>
    <definedName name="PROSPECT" localSheetId="13">#REF!</definedName>
    <definedName name="PROSPECT" localSheetId="15">#REF!</definedName>
    <definedName name="PROSPECT" localSheetId="16">#REF!</definedName>
    <definedName name="PROSPECT" localSheetId="2">#REF!</definedName>
    <definedName name="PROSPECT" localSheetId="3">#REF!</definedName>
    <definedName name="PROSPECT" localSheetId="4">#REF!</definedName>
    <definedName name="PROSPECT" localSheetId="5">#REF!</definedName>
    <definedName name="PROSPECT" localSheetId="6">#REF!</definedName>
    <definedName name="PROSPECT" localSheetId="7">#REF!</definedName>
    <definedName name="PROSPECT" localSheetId="8">#REF!</definedName>
    <definedName name="PROSPECT" localSheetId="9">#REF!</definedName>
    <definedName name="PROSPECT">#REF!</definedName>
    <definedName name="revreq" localSheetId="0">#REF!</definedName>
    <definedName name="revreq" localSheetId="12">#REF!</definedName>
    <definedName name="revreq" localSheetId="13">#REF!</definedName>
    <definedName name="revreq" localSheetId="15">#REF!</definedName>
    <definedName name="revreq" localSheetId="16">#REF!</definedName>
    <definedName name="revreq" localSheetId="2">#REF!</definedName>
    <definedName name="revreq" localSheetId="3">#REF!</definedName>
    <definedName name="revreq" localSheetId="4">#REF!</definedName>
    <definedName name="revreq" localSheetId="5">#REF!</definedName>
    <definedName name="revreq" localSheetId="6">#REF!</definedName>
    <definedName name="revreq" localSheetId="7">#REF!</definedName>
    <definedName name="revreq" localSheetId="8">#REF!</definedName>
    <definedName name="revreq" localSheetId="9">#REF!</definedName>
    <definedName name="revreq">#REF!</definedName>
    <definedName name="SEVILLE" localSheetId="0">#REF!</definedName>
    <definedName name="SEVILLE" localSheetId="12">#REF!</definedName>
    <definedName name="SEVILLE" localSheetId="13">#REF!</definedName>
    <definedName name="SEVILLE" localSheetId="15">#REF!</definedName>
    <definedName name="SEVILLE" localSheetId="16">#REF!</definedName>
    <definedName name="SEVILLE" localSheetId="2">#REF!</definedName>
    <definedName name="SEVILLE" localSheetId="3">#REF!</definedName>
    <definedName name="SEVILLE" localSheetId="4">#REF!</definedName>
    <definedName name="SEVILLE" localSheetId="5">#REF!</definedName>
    <definedName name="SEVILLE" localSheetId="6">#REF!</definedName>
    <definedName name="SEVILLE" localSheetId="7">#REF!</definedName>
    <definedName name="SEVILLE" localSheetId="8">#REF!</definedName>
    <definedName name="SEVILLE" localSheetId="9">#REF!</definedName>
    <definedName name="SEVILLE">#REF!</definedName>
    <definedName name="SOUTH_VIENNA" localSheetId="0">#REF!</definedName>
    <definedName name="SOUTH_VIENNA" localSheetId="12">#REF!</definedName>
    <definedName name="SOUTH_VIENNA" localSheetId="13">#REF!</definedName>
    <definedName name="SOUTH_VIENNA" localSheetId="15">#REF!</definedName>
    <definedName name="SOUTH_VIENNA" localSheetId="16">#REF!</definedName>
    <definedName name="SOUTH_VIENNA" localSheetId="2">#REF!</definedName>
    <definedName name="SOUTH_VIENNA" localSheetId="3">#REF!</definedName>
    <definedName name="SOUTH_VIENNA" localSheetId="4">#REF!</definedName>
    <definedName name="SOUTH_VIENNA" localSheetId="5">#REF!</definedName>
    <definedName name="SOUTH_VIENNA" localSheetId="6">#REF!</definedName>
    <definedName name="SOUTH_VIENNA" localSheetId="7">#REF!</definedName>
    <definedName name="SOUTH_VIENNA" localSheetId="8">#REF!</definedName>
    <definedName name="SOUTH_VIENNA" localSheetId="9">#REF!</definedName>
    <definedName name="SOUTH_VIENNA">#REF!</definedName>
    <definedName name="TOTAL_COLUMBIANA" localSheetId="0">#REF!</definedName>
    <definedName name="TOTAL_COLUMBIANA" localSheetId="12">#REF!</definedName>
    <definedName name="TOTAL_COLUMBIANA" localSheetId="13">#REF!</definedName>
    <definedName name="TOTAL_COLUMBIANA" localSheetId="15">#REF!</definedName>
    <definedName name="TOTAL_COLUMBIANA" localSheetId="16">#REF!</definedName>
    <definedName name="TOTAL_COLUMBIANA" localSheetId="2">#REF!</definedName>
    <definedName name="TOTAL_COLUMBIANA" localSheetId="3">#REF!</definedName>
    <definedName name="TOTAL_COLUMBIANA" localSheetId="4">#REF!</definedName>
    <definedName name="TOTAL_COLUMBIANA" localSheetId="5">#REF!</definedName>
    <definedName name="TOTAL_COLUMBIANA" localSheetId="6">#REF!</definedName>
    <definedName name="TOTAL_COLUMBIANA" localSheetId="7">#REF!</definedName>
    <definedName name="TOTAL_COLUMBIANA" localSheetId="8">#REF!</definedName>
    <definedName name="TOTAL_COLUMBIANA" localSheetId="9">#REF!</definedName>
    <definedName name="TOTAL_COLUMBIANA">#REF!</definedName>
    <definedName name="Total_Grove_City" localSheetId="0">#REF!</definedName>
    <definedName name="Total_Grove_City" localSheetId="12">#REF!</definedName>
    <definedName name="Total_Grove_City" localSheetId="13">#REF!</definedName>
    <definedName name="Total_Grove_City" localSheetId="15">#REF!</definedName>
    <definedName name="Total_Grove_City" localSheetId="16">#REF!</definedName>
    <definedName name="Total_Grove_City" localSheetId="2">#REF!</definedName>
    <definedName name="Total_Grove_City" localSheetId="3">#REF!</definedName>
    <definedName name="Total_Grove_City" localSheetId="4">#REF!</definedName>
    <definedName name="Total_Grove_City" localSheetId="5">#REF!</definedName>
    <definedName name="Total_Grove_City" localSheetId="6">#REF!</definedName>
    <definedName name="Total_Grove_City" localSheetId="7">#REF!</definedName>
    <definedName name="Total_Grove_City" localSheetId="8">#REF!</definedName>
    <definedName name="Total_Grove_City" localSheetId="9">#REF!</definedName>
    <definedName name="Total_Grove_City">#REF!</definedName>
    <definedName name="TOTAL_HUDSON" localSheetId="0">#REF!</definedName>
    <definedName name="TOTAL_HUDSON" localSheetId="12">#REF!</definedName>
    <definedName name="TOTAL_HUDSON" localSheetId="13">#REF!</definedName>
    <definedName name="TOTAL_HUDSON" localSheetId="15">#REF!</definedName>
    <definedName name="TOTAL_HUDSON" localSheetId="16">#REF!</definedName>
    <definedName name="TOTAL_HUDSON" localSheetId="2">#REF!</definedName>
    <definedName name="TOTAL_HUDSON" localSheetId="3">#REF!</definedName>
    <definedName name="TOTAL_HUDSON" localSheetId="4">#REF!</definedName>
    <definedName name="TOTAL_HUDSON" localSheetId="5">#REF!</definedName>
    <definedName name="TOTAL_HUDSON" localSheetId="6">#REF!</definedName>
    <definedName name="TOTAL_HUDSON" localSheetId="7">#REF!</definedName>
    <definedName name="TOTAL_HUDSON" localSheetId="8">#REF!</definedName>
    <definedName name="TOTAL_HUDSON" localSheetId="9">#REF!</definedName>
    <definedName name="TOTAL_HUDSON">#REF!</definedName>
    <definedName name="TOTAL_MONTPELIER" localSheetId="0">#REF!</definedName>
    <definedName name="TOTAL_MONTPELIER" localSheetId="12">#REF!</definedName>
    <definedName name="TOTAL_MONTPELIER" localSheetId="13">#REF!</definedName>
    <definedName name="TOTAL_MONTPELIER" localSheetId="15">#REF!</definedName>
    <definedName name="TOTAL_MONTPELIER" localSheetId="16">#REF!</definedName>
    <definedName name="TOTAL_MONTPELIER" localSheetId="2">#REF!</definedName>
    <definedName name="TOTAL_MONTPELIER" localSheetId="3">#REF!</definedName>
    <definedName name="TOTAL_MONTPELIER" localSheetId="4">#REF!</definedName>
    <definedName name="TOTAL_MONTPELIER" localSheetId="5">#REF!</definedName>
    <definedName name="TOTAL_MONTPELIER" localSheetId="6">#REF!</definedName>
    <definedName name="TOTAL_MONTPELIER" localSheetId="7">#REF!</definedName>
    <definedName name="TOTAL_MONTPELIER" localSheetId="8">#REF!</definedName>
    <definedName name="TOTAL_MONTPELIER" localSheetId="9">#REF!</definedName>
    <definedName name="TOTAL_MONTPELIER">#REF!</definedName>
    <definedName name="TOTAL_WOODVILLE" localSheetId="0">#REF!</definedName>
    <definedName name="TOTAL_WOODVILLE" localSheetId="12">#REF!</definedName>
    <definedName name="TOTAL_WOODVILLE" localSheetId="13">#REF!</definedName>
    <definedName name="TOTAL_WOODVILLE" localSheetId="15">#REF!</definedName>
    <definedName name="TOTAL_WOODVILLE" localSheetId="16">#REF!</definedName>
    <definedName name="TOTAL_WOODVILLE" localSheetId="2">#REF!</definedName>
    <definedName name="TOTAL_WOODVILLE" localSheetId="3">#REF!</definedName>
    <definedName name="TOTAL_WOODVILLE" localSheetId="4">#REF!</definedName>
    <definedName name="TOTAL_WOODVILLE" localSheetId="5">#REF!</definedName>
    <definedName name="TOTAL_WOODVILLE" localSheetId="6">#REF!</definedName>
    <definedName name="TOTAL_WOODVILLE" localSheetId="7">#REF!</definedName>
    <definedName name="TOTAL_WOODVILLE" localSheetId="8">#REF!</definedName>
    <definedName name="TOTAL_WOODVILLE" localSheetId="9">#REF!</definedName>
    <definedName name="TOTAL_WOODVILLE">#REF!</definedName>
    <definedName name="WADSWORTH" localSheetId="0">#REF!</definedName>
    <definedName name="WADSWORTH" localSheetId="12">#REF!</definedName>
    <definedName name="WADSWORTH" localSheetId="13">#REF!</definedName>
    <definedName name="WADSWORTH" localSheetId="15">#REF!</definedName>
    <definedName name="WADSWORTH" localSheetId="16">#REF!</definedName>
    <definedName name="WADSWORTH" localSheetId="2">#REF!</definedName>
    <definedName name="WADSWORTH" localSheetId="3">#REF!</definedName>
    <definedName name="WADSWORTH" localSheetId="4">#REF!</definedName>
    <definedName name="WADSWORTH" localSheetId="5">#REF!</definedName>
    <definedName name="WADSWORTH" localSheetId="6">#REF!</definedName>
    <definedName name="WADSWORTH" localSheetId="7">#REF!</definedName>
    <definedName name="WADSWORTH" localSheetId="8">#REF!</definedName>
    <definedName name="WADSWORTH" localSheetId="9">#REF!</definedName>
    <definedName name="WADSWORTH">#REF!</definedName>
    <definedName name="wrn.Ancillary._.Services._.1996." localSheetId="0" hidden="1">{#N/A,#N/A,FALSE,"FXCH-GEN Net";#N/A,#N/A,FALSE,"S&amp;D-net";#N/A,#N/A,FALSE,"Reactive-net";#N/A,#N/A,FALSE,"Reactive-IS-net";#N/A,#N/A,FALSE,"Regulation-net";#N/A,#N/A,FALSE,"Reserves-net";#N/A,#N/A,FALSE,"FXCH-COE Net"}</definedName>
    <definedName name="wrn.Ancillary._.Services._.1996." localSheetId="12" hidden="1">{#N/A,#N/A,FALSE,"FXCH-GEN Net";#N/A,#N/A,FALSE,"S&amp;D-net";#N/A,#N/A,FALSE,"Reactive-net";#N/A,#N/A,FALSE,"Reactive-IS-net";#N/A,#N/A,FALSE,"Regulation-net";#N/A,#N/A,FALSE,"Reserves-net";#N/A,#N/A,FALSE,"FXCH-COE Net"}</definedName>
    <definedName name="wrn.Ancillary._.Services._.1996." localSheetId="13" hidden="1">{#N/A,#N/A,FALSE,"FXCH-GEN Net";#N/A,#N/A,FALSE,"S&amp;D-net";#N/A,#N/A,FALSE,"Reactive-net";#N/A,#N/A,FALSE,"Reactive-IS-net";#N/A,#N/A,FALSE,"Regulation-net";#N/A,#N/A,FALSE,"Reserves-net";#N/A,#N/A,FALSE,"FXCH-COE Net"}</definedName>
    <definedName name="wrn.Ancillary._.Services._.1996." localSheetId="14" hidden="1">{#N/A,#N/A,FALSE,"FXCH-GEN Net";#N/A,#N/A,FALSE,"S&amp;D-net";#N/A,#N/A,FALSE,"Reactive-net";#N/A,#N/A,FALSE,"Reactive-IS-net";#N/A,#N/A,FALSE,"Regulation-net";#N/A,#N/A,FALSE,"Reserves-net";#N/A,#N/A,FALSE,"FXCH-COE Net"}</definedName>
    <definedName name="wrn.Ancillary._.Services._.1996." localSheetId="15" hidden="1">{#N/A,#N/A,FALSE,"FXCH-GEN Net";#N/A,#N/A,FALSE,"S&amp;D-net";#N/A,#N/A,FALSE,"Reactive-net";#N/A,#N/A,FALSE,"Reactive-IS-net";#N/A,#N/A,FALSE,"Regulation-net";#N/A,#N/A,FALSE,"Reserves-net";#N/A,#N/A,FALSE,"FXCH-COE Net"}</definedName>
    <definedName name="wrn.Ancillary._.Services._.1996." localSheetId="16" hidden="1">{#N/A,#N/A,FALSE,"FXCH-GEN Net";#N/A,#N/A,FALSE,"S&amp;D-net";#N/A,#N/A,FALSE,"Reactive-net";#N/A,#N/A,FALSE,"Reactive-IS-net";#N/A,#N/A,FALSE,"Regulation-net";#N/A,#N/A,FALSE,"Reserves-net";#N/A,#N/A,FALSE,"FXCH-COE Net"}</definedName>
    <definedName name="wrn.Ancillary._.Services._.1996." localSheetId="2" hidden="1">{#N/A,#N/A,FALSE,"FXCH-GEN Net";#N/A,#N/A,FALSE,"S&amp;D-net";#N/A,#N/A,FALSE,"Reactive-net";#N/A,#N/A,FALSE,"Reactive-IS-net";#N/A,#N/A,FALSE,"Regulation-net";#N/A,#N/A,FALSE,"Reserves-net";#N/A,#N/A,FALSE,"FXCH-COE Net"}</definedName>
    <definedName name="wrn.Ancillary._.Services._.1996." localSheetId="3" hidden="1">{#N/A,#N/A,FALSE,"FXCH-GEN Net";#N/A,#N/A,FALSE,"S&amp;D-net";#N/A,#N/A,FALSE,"Reactive-net";#N/A,#N/A,FALSE,"Reactive-IS-net";#N/A,#N/A,FALSE,"Regulation-net";#N/A,#N/A,FALSE,"Reserves-net";#N/A,#N/A,FALSE,"FXCH-COE Net"}</definedName>
    <definedName name="wrn.Ancillary._.Services._.1996." localSheetId="4" hidden="1">{#N/A,#N/A,FALSE,"FXCH-GEN Net";#N/A,#N/A,FALSE,"S&amp;D-net";#N/A,#N/A,FALSE,"Reactive-net";#N/A,#N/A,FALSE,"Reactive-IS-net";#N/A,#N/A,FALSE,"Regulation-net";#N/A,#N/A,FALSE,"Reserves-net";#N/A,#N/A,FALSE,"FXCH-COE Net"}</definedName>
    <definedName name="wrn.Ancillary._.Services._.1996." localSheetId="5" hidden="1">{#N/A,#N/A,FALSE,"FXCH-GEN Net";#N/A,#N/A,FALSE,"S&amp;D-net";#N/A,#N/A,FALSE,"Reactive-net";#N/A,#N/A,FALSE,"Reactive-IS-net";#N/A,#N/A,FALSE,"Regulation-net";#N/A,#N/A,FALSE,"Reserves-net";#N/A,#N/A,FALSE,"FXCH-COE Net"}</definedName>
    <definedName name="wrn.Ancillary._.Services._.1996." localSheetId="6" hidden="1">{#N/A,#N/A,FALSE,"FXCH-GEN Net";#N/A,#N/A,FALSE,"S&amp;D-net";#N/A,#N/A,FALSE,"Reactive-net";#N/A,#N/A,FALSE,"Reactive-IS-net";#N/A,#N/A,FALSE,"Regulation-net";#N/A,#N/A,FALSE,"Reserves-net";#N/A,#N/A,FALSE,"FXCH-COE Net"}</definedName>
    <definedName name="wrn.Ancillary._.Services._.1996." localSheetId="7" hidden="1">{#N/A,#N/A,FALSE,"FXCH-GEN Net";#N/A,#N/A,FALSE,"S&amp;D-net";#N/A,#N/A,FALSE,"Reactive-net";#N/A,#N/A,FALSE,"Reactive-IS-net";#N/A,#N/A,FALSE,"Regulation-net";#N/A,#N/A,FALSE,"Reserves-net";#N/A,#N/A,FALSE,"FXCH-COE Net"}</definedName>
    <definedName name="wrn.Ancillary._.Services._.1996." localSheetId="8" hidden="1">{#N/A,#N/A,FALSE,"FXCH-GEN Net";#N/A,#N/A,FALSE,"S&amp;D-net";#N/A,#N/A,FALSE,"Reactive-net";#N/A,#N/A,FALSE,"Reactive-IS-net";#N/A,#N/A,FALSE,"Regulation-net";#N/A,#N/A,FALSE,"Reserves-net";#N/A,#N/A,FALSE,"FXCH-COE Net"}</definedName>
    <definedName name="wrn.Ancillary._.Services._.1996." localSheetId="9" hidden="1">{#N/A,#N/A,FALSE,"FXCH-GEN Net";#N/A,#N/A,FALSE,"S&amp;D-net";#N/A,#N/A,FALSE,"Reactive-net";#N/A,#N/A,FALSE,"Reactive-IS-net";#N/A,#N/A,FALSE,"Regulation-net";#N/A,#N/A,FALSE,"Reserves-net";#N/A,#N/A,FALSE,"FXCH-COE Net"}</definedName>
    <definedName name="wrn.Ancillary._.Services._.1996." hidden="1">{#N/A,#N/A,FALSE,"FXCH-GEN Net";#N/A,#N/A,FALSE,"S&amp;D-net";#N/A,#N/A,FALSE,"Reactive-net";#N/A,#N/A,FALSE,"Reactive-IS-net";#N/A,#N/A,FALSE,"Regulation-net";#N/A,#N/A,FALSE,"Reserves-net";#N/A,#N/A,FALSE,"FXCH-COE Net"}</definedName>
    <definedName name="wrn.Ancillary._.Services._.1996._1" localSheetId="0" hidden="1">{#N/A,#N/A,FALSE,"FXCH-GEN Net";#N/A,#N/A,FALSE,"S&amp;D-net";#N/A,#N/A,FALSE,"Reactive-net";#N/A,#N/A,FALSE,"Reactive-IS-net";#N/A,#N/A,FALSE,"Regulation-net";#N/A,#N/A,FALSE,"Reserves-net";#N/A,#N/A,FALSE,"FXCH-COE Net"}</definedName>
    <definedName name="wrn.Ancillary._.Services._.1996._1" localSheetId="12" hidden="1">{#N/A,#N/A,FALSE,"FXCH-GEN Net";#N/A,#N/A,FALSE,"S&amp;D-net";#N/A,#N/A,FALSE,"Reactive-net";#N/A,#N/A,FALSE,"Reactive-IS-net";#N/A,#N/A,FALSE,"Regulation-net";#N/A,#N/A,FALSE,"Reserves-net";#N/A,#N/A,FALSE,"FXCH-COE Net"}</definedName>
    <definedName name="wrn.Ancillary._.Services._.1996._1" localSheetId="13" hidden="1">{#N/A,#N/A,FALSE,"FXCH-GEN Net";#N/A,#N/A,FALSE,"S&amp;D-net";#N/A,#N/A,FALSE,"Reactive-net";#N/A,#N/A,FALSE,"Reactive-IS-net";#N/A,#N/A,FALSE,"Regulation-net";#N/A,#N/A,FALSE,"Reserves-net";#N/A,#N/A,FALSE,"FXCH-COE Net"}</definedName>
    <definedName name="wrn.Ancillary._.Services._.1996._1" localSheetId="14" hidden="1">{#N/A,#N/A,FALSE,"FXCH-GEN Net";#N/A,#N/A,FALSE,"S&amp;D-net";#N/A,#N/A,FALSE,"Reactive-net";#N/A,#N/A,FALSE,"Reactive-IS-net";#N/A,#N/A,FALSE,"Regulation-net";#N/A,#N/A,FALSE,"Reserves-net";#N/A,#N/A,FALSE,"FXCH-COE Net"}</definedName>
    <definedName name="wrn.Ancillary._.Services._.1996._1" localSheetId="15" hidden="1">{#N/A,#N/A,FALSE,"FXCH-GEN Net";#N/A,#N/A,FALSE,"S&amp;D-net";#N/A,#N/A,FALSE,"Reactive-net";#N/A,#N/A,FALSE,"Reactive-IS-net";#N/A,#N/A,FALSE,"Regulation-net";#N/A,#N/A,FALSE,"Reserves-net";#N/A,#N/A,FALSE,"FXCH-COE Net"}</definedName>
    <definedName name="wrn.Ancillary._.Services._.1996._1" localSheetId="16" hidden="1">{#N/A,#N/A,FALSE,"FXCH-GEN Net";#N/A,#N/A,FALSE,"S&amp;D-net";#N/A,#N/A,FALSE,"Reactive-net";#N/A,#N/A,FALSE,"Reactive-IS-net";#N/A,#N/A,FALSE,"Regulation-net";#N/A,#N/A,FALSE,"Reserves-net";#N/A,#N/A,FALSE,"FXCH-COE Net"}</definedName>
    <definedName name="wrn.Ancillary._.Services._.1996._1" localSheetId="2" hidden="1">{#N/A,#N/A,FALSE,"FXCH-GEN Net";#N/A,#N/A,FALSE,"S&amp;D-net";#N/A,#N/A,FALSE,"Reactive-net";#N/A,#N/A,FALSE,"Reactive-IS-net";#N/A,#N/A,FALSE,"Regulation-net";#N/A,#N/A,FALSE,"Reserves-net";#N/A,#N/A,FALSE,"FXCH-COE Net"}</definedName>
    <definedName name="wrn.Ancillary._.Services._.1996._1" localSheetId="3" hidden="1">{#N/A,#N/A,FALSE,"FXCH-GEN Net";#N/A,#N/A,FALSE,"S&amp;D-net";#N/A,#N/A,FALSE,"Reactive-net";#N/A,#N/A,FALSE,"Reactive-IS-net";#N/A,#N/A,FALSE,"Regulation-net";#N/A,#N/A,FALSE,"Reserves-net";#N/A,#N/A,FALSE,"FXCH-COE Net"}</definedName>
    <definedName name="wrn.Ancillary._.Services._.1996._1" localSheetId="4" hidden="1">{#N/A,#N/A,FALSE,"FXCH-GEN Net";#N/A,#N/A,FALSE,"S&amp;D-net";#N/A,#N/A,FALSE,"Reactive-net";#N/A,#N/A,FALSE,"Reactive-IS-net";#N/A,#N/A,FALSE,"Regulation-net";#N/A,#N/A,FALSE,"Reserves-net";#N/A,#N/A,FALSE,"FXCH-COE Net"}</definedName>
    <definedName name="wrn.Ancillary._.Services._.1996._1" localSheetId="5" hidden="1">{#N/A,#N/A,FALSE,"FXCH-GEN Net";#N/A,#N/A,FALSE,"S&amp;D-net";#N/A,#N/A,FALSE,"Reactive-net";#N/A,#N/A,FALSE,"Reactive-IS-net";#N/A,#N/A,FALSE,"Regulation-net";#N/A,#N/A,FALSE,"Reserves-net";#N/A,#N/A,FALSE,"FXCH-COE Net"}</definedName>
    <definedName name="wrn.Ancillary._.Services._.1996._1" localSheetId="6" hidden="1">{#N/A,#N/A,FALSE,"FXCH-GEN Net";#N/A,#N/A,FALSE,"S&amp;D-net";#N/A,#N/A,FALSE,"Reactive-net";#N/A,#N/A,FALSE,"Reactive-IS-net";#N/A,#N/A,FALSE,"Regulation-net";#N/A,#N/A,FALSE,"Reserves-net";#N/A,#N/A,FALSE,"FXCH-COE Net"}</definedName>
    <definedName name="wrn.Ancillary._.Services._.1996._1" localSheetId="7" hidden="1">{#N/A,#N/A,FALSE,"FXCH-GEN Net";#N/A,#N/A,FALSE,"S&amp;D-net";#N/A,#N/A,FALSE,"Reactive-net";#N/A,#N/A,FALSE,"Reactive-IS-net";#N/A,#N/A,FALSE,"Regulation-net";#N/A,#N/A,FALSE,"Reserves-net";#N/A,#N/A,FALSE,"FXCH-COE Net"}</definedName>
    <definedName name="wrn.Ancillary._.Services._.1996._1" localSheetId="8" hidden="1">{#N/A,#N/A,FALSE,"FXCH-GEN Net";#N/A,#N/A,FALSE,"S&amp;D-net";#N/A,#N/A,FALSE,"Reactive-net";#N/A,#N/A,FALSE,"Reactive-IS-net";#N/A,#N/A,FALSE,"Regulation-net";#N/A,#N/A,FALSE,"Reserves-net";#N/A,#N/A,FALSE,"FXCH-COE Net"}</definedName>
    <definedName name="wrn.Ancillary._.Services._.1996._1" localSheetId="9" hidden="1">{#N/A,#N/A,FALSE,"FXCH-GEN Net";#N/A,#N/A,FALSE,"S&amp;D-net";#N/A,#N/A,FALSE,"Reactive-net";#N/A,#N/A,FALSE,"Reactive-IS-net";#N/A,#N/A,FALSE,"Regulation-net";#N/A,#N/A,FALSE,"Reserves-net";#N/A,#N/A,FALSE,"FXCH-COE Net"}</definedName>
    <definedName name="wrn.Ancillary._.Services._.1996._1" hidden="1">{#N/A,#N/A,FALSE,"FXCH-GEN Net";#N/A,#N/A,FALSE,"S&amp;D-net";#N/A,#N/A,FALSE,"Reactive-net";#N/A,#N/A,FALSE,"Reactive-IS-net";#N/A,#N/A,FALSE,"Regulation-net";#N/A,#N/A,FALSE,"Reserves-net";#N/A,#N/A,FALSE,"FXCH-COE Net"}</definedName>
  </definedNames>
  <calcPr calcId="152511"/>
</workbook>
</file>

<file path=xl/calcChain.xml><?xml version="1.0" encoding="utf-8"?>
<calcChain xmlns="http://schemas.openxmlformats.org/spreadsheetml/2006/main">
  <c r="D15" i="32" l="1"/>
  <c r="C18" i="9" l="1"/>
  <c r="G15" i="32" l="1"/>
  <c r="H144" i="5"/>
  <c r="B171" i="5"/>
  <c r="A1" i="32" l="1"/>
  <c r="K117" i="6" l="1"/>
  <c r="A115" i="6"/>
  <c r="A116" i="6" s="1"/>
  <c r="A117" i="6" s="1"/>
  <c r="A118" i="6" s="1"/>
  <c r="C123" i="6"/>
  <c r="D13" i="32"/>
  <c r="D12" i="32"/>
  <c r="D11" i="32"/>
  <c r="D10" i="32"/>
  <c r="D9" i="32"/>
  <c r="D8" i="32"/>
  <c r="A3" i="9" l="1"/>
  <c r="A1" i="9"/>
  <c r="A3" i="8"/>
  <c r="A1" i="8"/>
  <c r="A1" i="2"/>
  <c r="A3" i="4"/>
  <c r="A1" i="4"/>
  <c r="A3" i="18"/>
  <c r="A1" i="18"/>
  <c r="A1" i="28"/>
  <c r="A3" i="28"/>
  <c r="B3" i="27"/>
  <c r="A3" i="13" l="1"/>
  <c r="A1" i="13"/>
  <c r="A3" i="30"/>
  <c r="A1" i="30"/>
  <c r="A3" i="29"/>
  <c r="A1" i="29"/>
  <c r="A3" i="31"/>
  <c r="A1" i="31"/>
  <c r="A3" i="6"/>
  <c r="A1" i="6"/>
  <c r="A3" i="33" l="1"/>
  <c r="A1" i="33"/>
  <c r="A1" i="7"/>
  <c r="A1" i="5"/>
  <c r="I285" i="13" l="1"/>
  <c r="I284" i="13"/>
  <c r="I283" i="13"/>
  <c r="I122" i="6"/>
  <c r="G122" i="6"/>
  <c r="F262" i="13" l="1"/>
  <c r="D6" i="29" l="1"/>
  <c r="D7" i="29" l="1"/>
  <c r="G25" i="30"/>
  <c r="G26" i="30"/>
  <c r="I26" i="30"/>
  <c r="C10" i="5"/>
  <c r="A10" i="5"/>
  <c r="E38" i="33" l="1"/>
  <c r="H37" i="33"/>
  <c r="H36" i="33"/>
  <c r="H38" i="33" s="1"/>
  <c r="E35" i="33" l="1"/>
  <c r="H34" i="33"/>
  <c r="H33" i="33"/>
  <c r="E32" i="33"/>
  <c r="H31" i="33"/>
  <c r="H30" i="33"/>
  <c r="E29" i="33"/>
  <c r="H28" i="33"/>
  <c r="H27" i="33"/>
  <c r="E26" i="33"/>
  <c r="H25" i="33"/>
  <c r="H24" i="33"/>
  <c r="E23" i="33"/>
  <c r="H22" i="33"/>
  <c r="H21" i="33"/>
  <c r="E20" i="33"/>
  <c r="H19" i="33"/>
  <c r="H18" i="33"/>
  <c r="H20" i="33" s="1"/>
  <c r="H16" i="33"/>
  <c r="E14" i="33"/>
  <c r="H13" i="33"/>
  <c r="H12" i="33"/>
  <c r="E11" i="33"/>
  <c r="H10" i="33"/>
  <c r="H9" i="33"/>
  <c r="H7" i="33"/>
  <c r="H6" i="33"/>
  <c r="E8" i="33"/>
  <c r="H8" i="33" l="1"/>
  <c r="H11" i="33"/>
  <c r="E17" i="33"/>
  <c r="H14" i="33"/>
  <c r="H15" i="33"/>
  <c r="H17" i="33" s="1"/>
  <c r="H35" i="33"/>
  <c r="H32" i="33"/>
  <c r="H23" i="33"/>
  <c r="H26" i="33"/>
  <c r="H29" i="33"/>
  <c r="A507" i="13" l="1"/>
  <c r="A500" i="13"/>
  <c r="A501" i="13" s="1"/>
  <c r="A502" i="13" s="1"/>
  <c r="A503" i="13" s="1"/>
  <c r="A504" i="13" s="1"/>
  <c r="A505" i="13" s="1"/>
  <c r="A506" i="13" s="1"/>
  <c r="A357" i="13"/>
  <c r="A358" i="13"/>
  <c r="A359" i="13" s="1"/>
  <c r="A360" i="13" s="1"/>
  <c r="A361" i="13" s="1"/>
  <c r="A362" i="13" s="1"/>
  <c r="A363" i="13" s="1"/>
  <c r="A364" i="13" s="1"/>
  <c r="A365" i="13" s="1"/>
  <c r="A366" i="13" s="1"/>
  <c r="A367" i="13" s="1"/>
  <c r="A368" i="13" s="1"/>
  <c r="K489" i="13" l="1"/>
  <c r="K490" i="13"/>
  <c r="K491" i="13"/>
  <c r="K492" i="13"/>
  <c r="K493" i="13"/>
  <c r="K494" i="13"/>
  <c r="K495" i="13"/>
  <c r="K488" i="13"/>
  <c r="K476" i="13"/>
  <c r="K477" i="13"/>
  <c r="K478" i="13"/>
  <c r="K479" i="13"/>
  <c r="K480" i="13"/>
  <c r="K481" i="13"/>
  <c r="K482" i="13"/>
  <c r="K483" i="13"/>
  <c r="K484" i="13"/>
  <c r="K485" i="13"/>
  <c r="K486" i="13"/>
  <c r="K471" i="13"/>
  <c r="K472" i="13"/>
  <c r="K473" i="13"/>
  <c r="K474" i="13"/>
  <c r="K475" i="13"/>
  <c r="K470" i="13"/>
  <c r="K468" i="13"/>
  <c r="K467" i="13"/>
  <c r="K445" i="13"/>
  <c r="K446" i="13"/>
  <c r="K447" i="13"/>
  <c r="K448" i="13"/>
  <c r="K449" i="13"/>
  <c r="K450" i="13"/>
  <c r="K451" i="13"/>
  <c r="K452" i="13"/>
  <c r="K453" i="13"/>
  <c r="K454" i="13"/>
  <c r="K455" i="13"/>
  <c r="K456" i="13"/>
  <c r="K457" i="13"/>
  <c r="K458" i="13"/>
  <c r="K459" i="13"/>
  <c r="K460" i="13"/>
  <c r="K461" i="13"/>
  <c r="K462" i="13"/>
  <c r="K463" i="13"/>
  <c r="K464" i="13"/>
  <c r="K465" i="13"/>
  <c r="K427" i="13"/>
  <c r="K428" i="13"/>
  <c r="K429" i="13"/>
  <c r="K430" i="13"/>
  <c r="K431" i="13"/>
  <c r="K432" i="13"/>
  <c r="K433" i="13"/>
  <c r="K434" i="13"/>
  <c r="K435" i="13"/>
  <c r="K436" i="13"/>
  <c r="K437" i="13"/>
  <c r="K438" i="13"/>
  <c r="K439" i="13"/>
  <c r="K440" i="13"/>
  <c r="K441" i="13"/>
  <c r="K442" i="13"/>
  <c r="K443" i="13"/>
  <c r="K444" i="13"/>
  <c r="K411" i="13"/>
  <c r="K412" i="13"/>
  <c r="K413" i="13"/>
  <c r="K414" i="13"/>
  <c r="K415" i="13"/>
  <c r="K416" i="13"/>
  <c r="K417" i="13"/>
  <c r="K418" i="13"/>
  <c r="K419" i="13"/>
  <c r="K420" i="13"/>
  <c r="K421" i="13"/>
  <c r="K422" i="13"/>
  <c r="K423" i="13"/>
  <c r="K424" i="13"/>
  <c r="K425" i="13"/>
  <c r="K426" i="13"/>
  <c r="K397" i="13"/>
  <c r="K398" i="13"/>
  <c r="K399" i="13"/>
  <c r="K400" i="13"/>
  <c r="K401" i="13"/>
  <c r="K402" i="13"/>
  <c r="K403" i="13"/>
  <c r="K404" i="13"/>
  <c r="K405" i="13"/>
  <c r="K406" i="13"/>
  <c r="K407" i="13"/>
  <c r="K408" i="13"/>
  <c r="K409" i="13"/>
  <c r="K410" i="13"/>
  <c r="K383" i="13"/>
  <c r="K384" i="13"/>
  <c r="K385" i="13"/>
  <c r="K386" i="13"/>
  <c r="K387" i="13"/>
  <c r="K388" i="13"/>
  <c r="K389" i="13"/>
  <c r="K390" i="13"/>
  <c r="K391" i="13"/>
  <c r="K392" i="13"/>
  <c r="K393" i="13"/>
  <c r="K394" i="13"/>
  <c r="K395" i="13"/>
  <c r="K396" i="13"/>
  <c r="K371" i="13"/>
  <c r="K372" i="13"/>
  <c r="K373" i="13"/>
  <c r="K374" i="13"/>
  <c r="K375" i="13"/>
  <c r="K376" i="13"/>
  <c r="K377" i="13"/>
  <c r="K378" i="13"/>
  <c r="K379" i="13"/>
  <c r="K380" i="13"/>
  <c r="K381" i="13"/>
  <c r="K382" i="13"/>
  <c r="K361" i="13"/>
  <c r="K362" i="13"/>
  <c r="K363" i="13"/>
  <c r="K364" i="13"/>
  <c r="K365" i="13"/>
  <c r="K366" i="13"/>
  <c r="K367" i="13"/>
  <c r="K368" i="13"/>
  <c r="K369" i="13"/>
  <c r="K370" i="13"/>
  <c r="K343" i="13"/>
  <c r="K344" i="13"/>
  <c r="K345" i="13"/>
  <c r="K346" i="13"/>
  <c r="K347" i="13"/>
  <c r="K348" i="13"/>
  <c r="K349" i="13"/>
  <c r="K350" i="13"/>
  <c r="K351" i="13"/>
  <c r="K352" i="13"/>
  <c r="K353" i="13"/>
  <c r="K354" i="13"/>
  <c r="K355" i="13"/>
  <c r="K356" i="13"/>
  <c r="K357" i="13"/>
  <c r="K358" i="13"/>
  <c r="K359" i="13"/>
  <c r="K360" i="13"/>
  <c r="K333" i="13"/>
  <c r="K334" i="13"/>
  <c r="K335" i="13"/>
  <c r="K336" i="13"/>
  <c r="K337" i="13"/>
  <c r="K338" i="13"/>
  <c r="K339" i="13"/>
  <c r="K340" i="13"/>
  <c r="K341" i="13"/>
  <c r="K342" i="13"/>
  <c r="K329" i="13"/>
  <c r="K330" i="13"/>
  <c r="K331" i="13"/>
  <c r="K332" i="13"/>
  <c r="K323" i="13"/>
  <c r="K324" i="13"/>
  <c r="K325" i="13"/>
  <c r="K326" i="13"/>
  <c r="K327" i="13"/>
  <c r="K328" i="13"/>
  <c r="K319" i="13"/>
  <c r="K320" i="13"/>
  <c r="K321" i="13"/>
  <c r="K322" i="13"/>
  <c r="K314" i="13"/>
  <c r="K315" i="13"/>
  <c r="K316" i="13"/>
  <c r="K317" i="13"/>
  <c r="K318" i="13"/>
  <c r="K311" i="13"/>
  <c r="K312" i="13"/>
  <c r="K313" i="13"/>
  <c r="K308" i="13"/>
  <c r="K309" i="13"/>
  <c r="K310" i="13"/>
  <c r="K307" i="13"/>
  <c r="K303" i="13"/>
  <c r="K304" i="13"/>
  <c r="K305" i="13"/>
  <c r="K302" i="13"/>
  <c r="K293" i="13"/>
  <c r="K294" i="13"/>
  <c r="K295" i="13"/>
  <c r="K296" i="13"/>
  <c r="K297" i="13"/>
  <c r="K298" i="13"/>
  <c r="K299" i="13"/>
  <c r="K300" i="13"/>
  <c r="K288" i="13"/>
  <c r="K289" i="13"/>
  <c r="K290" i="13"/>
  <c r="K291" i="13"/>
  <c r="K292" i="13"/>
  <c r="K287" i="13"/>
  <c r="K283" i="13"/>
  <c r="K270" i="13"/>
  <c r="K271" i="13"/>
  <c r="K272" i="13"/>
  <c r="K273" i="13"/>
  <c r="K274" i="13"/>
  <c r="K275" i="13"/>
  <c r="K276" i="13"/>
  <c r="K277" i="13"/>
  <c r="K278" i="13"/>
  <c r="K279" i="13"/>
  <c r="K280" i="13"/>
  <c r="K281" i="13"/>
  <c r="K264" i="13"/>
  <c r="K265" i="13"/>
  <c r="K266" i="13"/>
  <c r="K267" i="13"/>
  <c r="K268" i="13"/>
  <c r="K269" i="13"/>
  <c r="K263" i="13"/>
  <c r="K259" i="13"/>
  <c r="K260" i="13"/>
  <c r="K261" i="13"/>
  <c r="K249" i="13"/>
  <c r="K250" i="13"/>
  <c r="K251" i="13"/>
  <c r="K252" i="13"/>
  <c r="K253" i="13"/>
  <c r="K254" i="13"/>
  <c r="K255" i="13"/>
  <c r="K256" i="13"/>
  <c r="K257" i="13"/>
  <c r="K258" i="13"/>
  <c r="K236" i="13"/>
  <c r="K237" i="13"/>
  <c r="K238" i="13"/>
  <c r="K239" i="13"/>
  <c r="K240" i="13"/>
  <c r="K241" i="13"/>
  <c r="K242" i="13"/>
  <c r="K243" i="13"/>
  <c r="K244" i="13"/>
  <c r="K245" i="13"/>
  <c r="K246" i="13"/>
  <c r="K247" i="13"/>
  <c r="K248" i="13"/>
  <c r="K232" i="13"/>
  <c r="K233" i="13"/>
  <c r="K234" i="13"/>
  <c r="K235" i="13"/>
  <c r="K225" i="13"/>
  <c r="K226" i="13"/>
  <c r="K227" i="13"/>
  <c r="K228" i="13"/>
  <c r="K229" i="13"/>
  <c r="K230" i="13"/>
  <c r="K231" i="13"/>
  <c r="K219" i="13"/>
  <c r="K220" i="13"/>
  <c r="K221" i="13"/>
  <c r="K222" i="13"/>
  <c r="K223" i="13"/>
  <c r="K224" i="13"/>
  <c r="K218" i="13"/>
  <c r="K206" i="13"/>
  <c r="K207" i="13"/>
  <c r="K208" i="13"/>
  <c r="K209" i="13"/>
  <c r="K210" i="13"/>
  <c r="K211" i="13"/>
  <c r="K212" i="13"/>
  <c r="K213" i="13"/>
  <c r="K214" i="13"/>
  <c r="K215" i="13"/>
  <c r="K216" i="13"/>
  <c r="K197" i="13"/>
  <c r="K198" i="13"/>
  <c r="K199" i="13"/>
  <c r="K200" i="13"/>
  <c r="K201" i="13"/>
  <c r="K202" i="13"/>
  <c r="K203" i="13"/>
  <c r="K204" i="13"/>
  <c r="K205" i="13"/>
  <c r="K191" i="13"/>
  <c r="K192" i="13"/>
  <c r="K193" i="13"/>
  <c r="K194" i="13"/>
  <c r="K195" i="13"/>
  <c r="K196" i="13"/>
  <c r="K179" i="13"/>
  <c r="K180" i="13"/>
  <c r="K181" i="13"/>
  <c r="K182" i="13"/>
  <c r="K183" i="13"/>
  <c r="K184" i="13"/>
  <c r="K185" i="13"/>
  <c r="K186" i="13"/>
  <c r="K187" i="13"/>
  <c r="K188" i="13"/>
  <c r="K189" i="13"/>
  <c r="K190" i="13"/>
  <c r="K167" i="13"/>
  <c r="K168" i="13"/>
  <c r="K169" i="13"/>
  <c r="K170" i="13"/>
  <c r="K171" i="13"/>
  <c r="K172" i="13"/>
  <c r="K173" i="13"/>
  <c r="K174" i="13"/>
  <c r="K175" i="13"/>
  <c r="K176" i="13"/>
  <c r="K177" i="13"/>
  <c r="K178" i="13"/>
  <c r="K155" i="13"/>
  <c r="K156" i="13"/>
  <c r="K157" i="13"/>
  <c r="K158" i="13"/>
  <c r="K159" i="13"/>
  <c r="K160" i="13"/>
  <c r="K161" i="13"/>
  <c r="K162" i="13"/>
  <c r="K163" i="13"/>
  <c r="K164" i="13"/>
  <c r="K165" i="13"/>
  <c r="K166" i="13"/>
  <c r="K146" i="13"/>
  <c r="K147" i="13"/>
  <c r="K148" i="13"/>
  <c r="K149" i="13"/>
  <c r="K150" i="13"/>
  <c r="K151" i="13"/>
  <c r="K152" i="13"/>
  <c r="K153" i="13"/>
  <c r="K154" i="13"/>
  <c r="K134" i="13"/>
  <c r="K135" i="13"/>
  <c r="K136" i="13"/>
  <c r="K137" i="13"/>
  <c r="K138" i="13"/>
  <c r="K139" i="13"/>
  <c r="K140" i="13"/>
  <c r="K141" i="13"/>
  <c r="K142" i="13"/>
  <c r="K143" i="13"/>
  <c r="K144" i="13"/>
  <c r="K145" i="13"/>
  <c r="K127" i="13"/>
  <c r="K128" i="13"/>
  <c r="K129" i="13"/>
  <c r="K130" i="13"/>
  <c r="K131" i="13"/>
  <c r="K132" i="13"/>
  <c r="K133" i="13"/>
  <c r="K121" i="13"/>
  <c r="K122" i="13"/>
  <c r="K123" i="13"/>
  <c r="K124" i="13"/>
  <c r="K125" i="13"/>
  <c r="K126" i="13"/>
  <c r="K120" i="13"/>
  <c r="K119" i="13"/>
  <c r="K6" i="13"/>
  <c r="K7" i="13"/>
  <c r="K8" i="13"/>
  <c r="K9" i="13"/>
  <c r="K10" i="13"/>
  <c r="K11" i="13"/>
  <c r="K12" i="13"/>
  <c r="K13" i="13"/>
  <c r="K14" i="13"/>
  <c r="K15" i="13"/>
  <c r="K16" i="13"/>
  <c r="K17" i="13"/>
  <c r="K18" i="13"/>
  <c r="K19" i="13"/>
  <c r="K20" i="13"/>
  <c r="K21" i="13"/>
  <c r="K22" i="13"/>
  <c r="K23" i="13"/>
  <c r="K24" i="13"/>
  <c r="K25" i="13"/>
  <c r="K26" i="13"/>
  <c r="K27" i="13"/>
  <c r="K28" i="13"/>
  <c r="K29" i="13"/>
  <c r="K30" i="13"/>
  <c r="K31" i="13"/>
  <c r="K32" i="13"/>
  <c r="K33" i="13"/>
  <c r="K34" i="13"/>
  <c r="K35" i="13"/>
  <c r="K36" i="13"/>
  <c r="K37" i="13"/>
  <c r="K38" i="13"/>
  <c r="K39" i="13"/>
  <c r="K40" i="13"/>
  <c r="K41" i="13"/>
  <c r="K42" i="13"/>
  <c r="K43" i="13"/>
  <c r="K44" i="13"/>
  <c r="K45" i="13"/>
  <c r="K46" i="13"/>
  <c r="K47" i="13"/>
  <c r="K48" i="13"/>
  <c r="K49" i="13"/>
  <c r="K50" i="13"/>
  <c r="K51" i="13"/>
  <c r="K52" i="13"/>
  <c r="K53" i="13"/>
  <c r="K54" i="13"/>
  <c r="K55" i="13"/>
  <c r="K56" i="13"/>
  <c r="K57" i="13"/>
  <c r="K58" i="13"/>
  <c r="K59" i="13"/>
  <c r="K60" i="13"/>
  <c r="K61" i="13"/>
  <c r="K62" i="13"/>
  <c r="K63" i="13"/>
  <c r="K64" i="13"/>
  <c r="K65" i="13"/>
  <c r="K66" i="13"/>
  <c r="K67" i="13"/>
  <c r="K68" i="13"/>
  <c r="K69" i="13"/>
  <c r="K70" i="13"/>
  <c r="K71" i="13"/>
  <c r="K72" i="13"/>
  <c r="K73" i="13"/>
  <c r="K74" i="13"/>
  <c r="K75" i="13"/>
  <c r="K76" i="13"/>
  <c r="K77" i="13"/>
  <c r="K78" i="13"/>
  <c r="K79" i="13"/>
  <c r="K80" i="13"/>
  <c r="K81" i="13"/>
  <c r="K82" i="13"/>
  <c r="K83" i="13"/>
  <c r="K84" i="13"/>
  <c r="K85" i="13"/>
  <c r="K86" i="13"/>
  <c r="K87" i="13"/>
  <c r="K88" i="13"/>
  <c r="K89" i="13"/>
  <c r="K90" i="13"/>
  <c r="K91" i="13"/>
  <c r="K92" i="13"/>
  <c r="K93" i="13"/>
  <c r="K94" i="13"/>
  <c r="K95" i="13"/>
  <c r="K96" i="13"/>
  <c r="K97" i="13"/>
  <c r="K98" i="13"/>
  <c r="K99" i="13"/>
  <c r="K100" i="13"/>
  <c r="K101" i="13"/>
  <c r="K102" i="13"/>
  <c r="K103" i="13"/>
  <c r="K104" i="13"/>
  <c r="K105" i="13"/>
  <c r="K106" i="13"/>
  <c r="K107" i="13"/>
  <c r="K108" i="13"/>
  <c r="K109" i="13"/>
  <c r="K110" i="13"/>
  <c r="K111" i="13"/>
  <c r="K112" i="13"/>
  <c r="K113" i="13"/>
  <c r="K114" i="13"/>
  <c r="K115" i="13"/>
  <c r="K116" i="13"/>
  <c r="K117" i="13"/>
  <c r="K118" i="13"/>
  <c r="K5" i="13"/>
  <c r="G79" i="13"/>
  <c r="I10" i="30"/>
  <c r="I9" i="30"/>
  <c r="G10" i="30"/>
  <c r="G9" i="30"/>
  <c r="E11" i="30"/>
  <c r="E26" i="30" s="1"/>
  <c r="A79" i="13"/>
  <c r="A80" i="13" s="1"/>
  <c r="A81" i="13" s="1"/>
  <c r="A82" i="13" s="1"/>
  <c r="A83" i="13" s="1"/>
  <c r="E7" i="30"/>
  <c r="E6" i="30"/>
  <c r="I11" i="30" l="1"/>
  <c r="H6" i="30" s="1"/>
  <c r="G11" i="30"/>
  <c r="D6" i="31" l="1"/>
  <c r="G6" i="30"/>
  <c r="I6" i="30" l="1"/>
  <c r="A8" i="5"/>
  <c r="E67" i="6"/>
  <c r="C121" i="6" l="1"/>
  <c r="G12" i="32" l="1"/>
  <c r="G13" i="32"/>
  <c r="G10" i="32" l="1"/>
  <c r="G9" i="32"/>
  <c r="G8" i="32"/>
  <c r="A7" i="31"/>
  <c r="A8" i="31" s="1"/>
  <c r="A9" i="31" s="1"/>
  <c r="A10" i="31" s="1"/>
  <c r="A11" i="31" s="1"/>
  <c r="A12" i="31" s="1"/>
  <c r="A13" i="31" s="1"/>
  <c r="A14" i="31" s="1"/>
  <c r="A15" i="31" s="1"/>
  <c r="A16" i="31" s="1"/>
  <c r="A17" i="31" s="1"/>
  <c r="A18" i="31" s="1"/>
  <c r="A19" i="31" s="1"/>
  <c r="I286" i="13" l="1"/>
  <c r="K284" i="13"/>
  <c r="K285" i="13"/>
  <c r="J286" i="13"/>
  <c r="K286" i="13" l="1"/>
  <c r="C46" i="6"/>
  <c r="A7" i="29" l="1"/>
  <c r="A8" i="29" s="1"/>
  <c r="A9" i="29" s="1"/>
  <c r="A10" i="29" s="1"/>
  <c r="A11" i="29" s="1"/>
  <c r="A12" i="29" s="1"/>
  <c r="A13" i="29" s="1"/>
  <c r="A14" i="29" s="1"/>
  <c r="A15" i="29" s="1"/>
  <c r="A16" i="29" s="1"/>
  <c r="A17" i="29" s="1"/>
  <c r="A18" i="29" s="1"/>
  <c r="A19" i="29" s="1"/>
  <c r="I24" i="30" l="1"/>
  <c r="I22" i="30"/>
  <c r="I21" i="30"/>
  <c r="I20" i="30"/>
  <c r="I19" i="30"/>
  <c r="I18" i="30"/>
  <c r="I17" i="30"/>
  <c r="I15" i="30"/>
  <c r="I14" i="30"/>
  <c r="I13" i="30"/>
  <c r="G18" i="30" l="1"/>
  <c r="G21" i="30"/>
  <c r="G14" i="30"/>
  <c r="G13" i="30"/>
  <c r="G17" i="30"/>
  <c r="G20" i="30"/>
  <c r="G24" i="30"/>
  <c r="E25" i="30"/>
  <c r="I12" i="30"/>
  <c r="G12" i="30"/>
  <c r="G16" i="30"/>
  <c r="I16" i="30"/>
  <c r="G23" i="30"/>
  <c r="I23" i="30"/>
  <c r="G15" i="30"/>
  <c r="G19" i="30"/>
  <c r="G22" i="30"/>
  <c r="I25" i="30" l="1"/>
  <c r="D7" i="31" l="1"/>
  <c r="D19" i="31" s="1"/>
  <c r="H5" i="30"/>
  <c r="H7" i="30" s="1"/>
  <c r="C12" i="6" s="1"/>
  <c r="G5" i="30"/>
  <c r="E69" i="6"/>
  <c r="G69" i="6"/>
  <c r="I69" i="6"/>
  <c r="I67" i="6"/>
  <c r="G67" i="6"/>
  <c r="C69" i="6"/>
  <c r="C67" i="6"/>
  <c r="G46" i="6"/>
  <c r="E46" i="6"/>
  <c r="E18" i="6"/>
  <c r="G18" i="6"/>
  <c r="I7" i="6"/>
  <c r="K12" i="6" l="1"/>
  <c r="E7" i="31"/>
  <c r="E6" i="31"/>
  <c r="I5" i="30"/>
  <c r="I7" i="30" s="1"/>
  <c r="K217" i="13" s="1"/>
  <c r="G7" i="30"/>
  <c r="C11" i="6" s="1"/>
  <c r="C9" i="9"/>
  <c r="C22" i="8"/>
  <c r="J262" i="13" l="1"/>
  <c r="J504" i="13" s="1"/>
  <c r="J505" i="13" s="1"/>
  <c r="D19" i="29"/>
  <c r="K11" i="6"/>
  <c r="A6" i="28"/>
  <c r="A7" i="28" s="1"/>
  <c r="A8" i="28" s="1"/>
  <c r="A9" i="28" s="1"/>
  <c r="A10" i="28" s="1"/>
  <c r="A11" i="28" s="1"/>
  <c r="A12" i="28" s="1"/>
  <c r="A13" i="28" s="1"/>
  <c r="A14" i="28" s="1"/>
  <c r="A15" i="28" s="1"/>
  <c r="A16" i="28" s="1"/>
  <c r="A17" i="28" s="1"/>
  <c r="A18" i="28" s="1"/>
  <c r="A19" i="28" s="1"/>
  <c r="A20" i="28" s="1"/>
  <c r="A21" i="28" s="1"/>
  <c r="A22" i="28" s="1"/>
  <c r="A23" i="28" s="1"/>
  <c r="A24" i="28" s="1"/>
  <c r="A25" i="28" s="1"/>
  <c r="A26" i="28" s="1"/>
  <c r="A27" i="28" s="1"/>
  <c r="A28" i="28" s="1"/>
  <c r="A29" i="28" s="1"/>
  <c r="A30" i="28" s="1"/>
  <c r="A31" i="28" s="1"/>
  <c r="A32" i="28" s="1"/>
  <c r="A33" i="28" s="1"/>
  <c r="A34" i="28" s="1"/>
  <c r="A35" i="28" s="1"/>
  <c r="A36" i="28" s="1"/>
  <c r="A37" i="28" s="1"/>
  <c r="A38" i="28" s="1"/>
  <c r="A39" i="28" s="1"/>
  <c r="A40" i="28" s="1"/>
  <c r="A41" i="28" s="1"/>
  <c r="A42" i="28" s="1"/>
  <c r="A43" i="28" s="1"/>
  <c r="A44" i="28" s="1"/>
  <c r="A45" i="28" s="1"/>
  <c r="A46" i="28" s="1"/>
  <c r="A47" i="28" s="1"/>
  <c r="A48" i="28" s="1"/>
  <c r="A49" i="28" s="1"/>
  <c r="A50" i="28" s="1"/>
  <c r="A51" i="28" s="1"/>
  <c r="A52" i="28" s="1"/>
  <c r="A53" i="28" s="1"/>
  <c r="A54" i="28" s="1"/>
  <c r="A55" i="28" s="1"/>
  <c r="A56" i="28" s="1"/>
  <c r="A57" i="28" s="1"/>
  <c r="A58" i="28" s="1"/>
  <c r="A59" i="28" s="1"/>
  <c r="A60" i="28" s="1"/>
  <c r="A61" i="28" s="1"/>
  <c r="A62" i="28" s="1"/>
  <c r="A63" i="28" s="1"/>
  <c r="A64" i="28" s="1"/>
  <c r="A65" i="28" s="1"/>
  <c r="A66" i="28" s="1"/>
  <c r="A67" i="28" s="1"/>
  <c r="A68" i="28" s="1"/>
  <c r="A69" i="28" s="1"/>
  <c r="A70" i="28" s="1"/>
  <c r="A71" i="28" s="1"/>
  <c r="A72" i="28" s="1"/>
  <c r="A73" i="28" s="1"/>
  <c r="A74" i="28" s="1"/>
  <c r="A75" i="28" s="1"/>
  <c r="A76" i="28" s="1"/>
  <c r="A77" i="28" s="1"/>
  <c r="A78" i="28" s="1"/>
  <c r="A79" i="28" s="1"/>
  <c r="A80" i="28" s="1"/>
  <c r="A81" i="28" s="1"/>
  <c r="A82" i="28" s="1"/>
  <c r="A83" i="28" s="1"/>
  <c r="A84" i="28" s="1"/>
  <c r="A85" i="28" s="1"/>
  <c r="A86" i="28" s="1"/>
  <c r="A87" i="28" s="1"/>
  <c r="A88" i="28" s="1"/>
  <c r="A89" i="28" s="1"/>
  <c r="A90" i="28" s="1"/>
  <c r="A91" i="28" s="1"/>
  <c r="A92" i="28" s="1"/>
  <c r="A93" i="28" s="1"/>
  <c r="A94" i="28" s="1"/>
  <c r="A96" i="28" s="1"/>
  <c r="A97" i="28" s="1"/>
  <c r="A98" i="28" s="1"/>
  <c r="A99" i="28" s="1"/>
  <c r="A100" i="28" s="1"/>
  <c r="A101" i="28" s="1"/>
  <c r="A102" i="28" s="1"/>
  <c r="A103" i="28" s="1"/>
  <c r="A104" i="28" s="1"/>
  <c r="A105" i="28" s="1"/>
  <c r="A106" i="28" s="1"/>
  <c r="A107" i="28" s="1"/>
  <c r="A108" i="28" s="1"/>
  <c r="A109" i="28" s="1"/>
  <c r="A110" i="28" s="1"/>
  <c r="A111" i="28" s="1"/>
  <c r="A112" i="28" s="1"/>
  <c r="A113" i="28" s="1"/>
  <c r="A114" i="28" s="1"/>
  <c r="A115" i="28" s="1"/>
  <c r="A116" i="28" s="1"/>
  <c r="A117" i="28" s="1"/>
  <c r="A119" i="28" s="1"/>
  <c r="A120" i="28" s="1"/>
  <c r="A121" i="28" s="1"/>
  <c r="A122" i="28" s="1"/>
  <c r="A123" i="28" s="1"/>
  <c r="A124" i="28" s="1"/>
  <c r="A125" i="28" s="1"/>
  <c r="A126" i="28" s="1"/>
  <c r="A127" i="28" s="1"/>
  <c r="A128" i="28" s="1"/>
  <c r="A129" i="28" s="1"/>
  <c r="A130" i="28" s="1"/>
  <c r="A131" i="28" s="1"/>
  <c r="A132" i="28" s="1"/>
  <c r="A133" i="28" s="1"/>
  <c r="A134" i="28" s="1"/>
  <c r="A135" i="28" s="1"/>
  <c r="A136" i="28" s="1"/>
  <c r="A137" i="28" s="1"/>
  <c r="A138" i="28" s="1"/>
  <c r="A139" i="28" s="1"/>
  <c r="A140" i="28" s="1"/>
  <c r="A141" i="28" s="1"/>
  <c r="A142" i="28" s="1"/>
  <c r="A143" i="28" s="1"/>
  <c r="A145" i="28" s="1"/>
  <c r="A146" i="28" s="1"/>
  <c r="A147" i="28" s="1"/>
  <c r="A148" i="28" s="1"/>
  <c r="A149" i="28" s="1"/>
  <c r="A150" i="28" s="1"/>
  <c r="A151" i="28" s="1"/>
  <c r="A152" i="28" s="1"/>
  <c r="A153" i="28" s="1"/>
  <c r="A154" i="28" s="1"/>
  <c r="A155" i="28" s="1"/>
  <c r="A156" i="28" s="1"/>
  <c r="A157" i="28" s="1"/>
  <c r="A158" i="28" s="1"/>
  <c r="A159" i="28" s="1"/>
  <c r="A160" i="28" s="1"/>
  <c r="A161" i="28" s="1"/>
  <c r="A162" i="28" s="1"/>
  <c r="A163" i="28" s="1"/>
  <c r="A164" i="28" s="1"/>
  <c r="A165" i="28" s="1"/>
  <c r="A166" i="28" s="1"/>
  <c r="A167" i="28" s="1"/>
  <c r="A168" i="28" s="1"/>
  <c r="A169" i="28" s="1"/>
  <c r="A170" i="28" s="1"/>
  <c r="A171" i="28" s="1"/>
  <c r="A172" i="28" s="1"/>
  <c r="A173" i="28" s="1"/>
  <c r="A174" i="28" s="1"/>
  <c r="A175" i="28" s="1"/>
  <c r="A176" i="28" s="1"/>
  <c r="A177" i="28" s="1"/>
  <c r="A178" i="28" s="1"/>
  <c r="A179" i="28" s="1"/>
  <c r="B8" i="27"/>
  <c r="B9" i="27" s="1"/>
  <c r="B10" i="27" s="1"/>
  <c r="B11" i="27" s="1"/>
  <c r="B12" i="27" s="1"/>
  <c r="B13" i="27" s="1"/>
  <c r="B14" i="27" s="1"/>
  <c r="B15" i="27" s="1"/>
  <c r="B16" i="27" s="1"/>
  <c r="B17" i="27" s="1"/>
  <c r="B18" i="27" s="1"/>
  <c r="B19" i="27" s="1"/>
  <c r="B20" i="27" s="1"/>
  <c r="B21" i="27" s="1"/>
  <c r="B22" i="27" s="1"/>
  <c r="B23" i="27" s="1"/>
  <c r="B24" i="27" s="1"/>
  <c r="B25" i="27" s="1"/>
  <c r="B26" i="27" s="1"/>
  <c r="B27" i="27" s="1"/>
  <c r="B28" i="27" s="1"/>
  <c r="B29" i="27" s="1"/>
  <c r="B30" i="27" s="1"/>
  <c r="B31" i="27" s="1"/>
  <c r="B32" i="27" s="1"/>
  <c r="B33" i="27" s="1"/>
  <c r="B34" i="27" s="1"/>
  <c r="B35" i="27" s="1"/>
  <c r="B36" i="27" s="1"/>
  <c r="B37" i="27" s="1"/>
  <c r="B38" i="27" s="1"/>
  <c r="B39" i="27" s="1"/>
  <c r="B40" i="27" s="1"/>
  <c r="B41" i="27" s="1"/>
  <c r="B42" i="27" s="1"/>
  <c r="B43" i="27" s="1"/>
  <c r="B44" i="27" s="1"/>
  <c r="B45" i="27" s="1"/>
  <c r="B46" i="27" s="1"/>
  <c r="B47" i="27" s="1"/>
  <c r="B48" i="27" s="1"/>
  <c r="B49" i="27" s="1"/>
  <c r="B50" i="27" s="1"/>
  <c r="B51" i="27" s="1"/>
  <c r="B52" i="27" s="1"/>
  <c r="B53" i="27" s="1"/>
  <c r="B54" i="27" s="1"/>
  <c r="B55" i="27" s="1"/>
  <c r="B56" i="27" s="1"/>
  <c r="B57" i="27" s="1"/>
  <c r="B58" i="27" s="1"/>
  <c r="B59" i="27" s="1"/>
  <c r="B60" i="27" s="1"/>
  <c r="B61" i="27" s="1"/>
  <c r="B62" i="27" s="1"/>
  <c r="B63" i="27" s="1"/>
  <c r="B64" i="27" s="1"/>
  <c r="B65" i="27" s="1"/>
  <c r="B66" i="27" s="1"/>
  <c r="B67" i="27" s="1"/>
  <c r="B68" i="27" s="1"/>
  <c r="B69" i="27" s="1"/>
  <c r="B70" i="27" s="1"/>
  <c r="B71" i="27" s="1"/>
  <c r="B72" i="27" s="1"/>
  <c r="B73" i="27" s="1"/>
  <c r="B74" i="27" s="1"/>
  <c r="B75" i="27" s="1"/>
  <c r="B76" i="27" s="1"/>
  <c r="B77" i="27" s="1"/>
  <c r="B78" i="27" s="1"/>
  <c r="B79" i="27" s="1"/>
  <c r="B80" i="27" s="1"/>
  <c r="B81" i="27" s="1"/>
  <c r="B82" i="27" s="1"/>
  <c r="B83" i="27" s="1"/>
  <c r="B84" i="27" s="1"/>
  <c r="B85" i="27" s="1"/>
  <c r="B86" i="27" s="1"/>
  <c r="B87" i="27" s="1"/>
  <c r="B88" i="27" s="1"/>
  <c r="B89" i="27" s="1"/>
  <c r="B90" i="27" s="1"/>
  <c r="B91" i="27" s="1"/>
  <c r="B92" i="27" s="1"/>
  <c r="B93" i="27" s="1"/>
  <c r="B94" i="27" s="1"/>
  <c r="B95" i="27" s="1"/>
  <c r="B96" i="27" s="1"/>
  <c r="B97" i="27" s="1"/>
  <c r="B98" i="27" s="1"/>
  <c r="B99" i="27" s="1"/>
  <c r="B100" i="27" s="1"/>
  <c r="B101" i="27" s="1"/>
  <c r="B102" i="27" s="1"/>
  <c r="B103" i="27" s="1"/>
  <c r="B104" i="27" s="1"/>
  <c r="B105" i="27" s="1"/>
  <c r="B106" i="27" s="1"/>
  <c r="B107" i="27" s="1"/>
  <c r="B108" i="27" s="1"/>
  <c r="B109" i="27" s="1"/>
  <c r="B110" i="27" s="1"/>
  <c r="B111" i="27" s="1"/>
  <c r="B112" i="27" s="1"/>
  <c r="B113" i="27" s="1"/>
  <c r="B114" i="27" s="1"/>
  <c r="B115" i="27" s="1"/>
  <c r="B116" i="27" s="1"/>
  <c r="B117" i="27" s="1"/>
  <c r="B118" i="27" s="1"/>
  <c r="B119" i="27" s="1"/>
  <c r="B120" i="27" s="1"/>
  <c r="B121" i="27" s="1"/>
  <c r="B122" i="27" s="1"/>
  <c r="B123" i="27" s="1"/>
  <c r="B124" i="27" s="1"/>
  <c r="B125" i="27" s="1"/>
  <c r="B126" i="27" s="1"/>
  <c r="B127" i="27" s="1"/>
  <c r="B128" i="27" s="1"/>
  <c r="B129" i="27" s="1"/>
  <c r="B130" i="27" s="1"/>
  <c r="B131" i="27" s="1"/>
  <c r="B132" i="27" s="1"/>
  <c r="B133" i="27" s="1"/>
  <c r="B134" i="27" s="1"/>
  <c r="B135" i="27" s="1"/>
  <c r="B136" i="27" s="1"/>
  <c r="B137" i="27" s="1"/>
  <c r="B138" i="27" s="1"/>
  <c r="B139" i="27" s="1"/>
  <c r="B140" i="27" s="1"/>
  <c r="B141" i="27" s="1"/>
  <c r="B142" i="27" s="1"/>
  <c r="B143" i="27" s="1"/>
  <c r="B144" i="27" s="1"/>
  <c r="B145" i="27" s="1"/>
  <c r="B146" i="27" s="1"/>
  <c r="B147" i="27" s="1"/>
  <c r="B148" i="27" s="1"/>
  <c r="B149" i="27" s="1"/>
  <c r="B150" i="27" s="1"/>
  <c r="B151" i="27" s="1"/>
  <c r="B152" i="27" s="1"/>
  <c r="B153" i="27" s="1"/>
  <c r="B154" i="27" s="1"/>
  <c r="B155" i="27" s="1"/>
  <c r="B156" i="27" s="1"/>
  <c r="B157" i="27" s="1"/>
  <c r="B158" i="27" s="1"/>
  <c r="B159" i="27" s="1"/>
  <c r="B160" i="27" s="1"/>
  <c r="B161" i="27" s="1"/>
  <c r="B162" i="27" s="1"/>
  <c r="B163" i="27" s="1"/>
  <c r="B164" i="27" s="1"/>
  <c r="B165" i="27" s="1"/>
  <c r="B166" i="27" s="1"/>
  <c r="B167" i="27" s="1"/>
  <c r="B168" i="27" s="1"/>
  <c r="B169" i="27" s="1"/>
  <c r="B170" i="27" s="1"/>
  <c r="B171" i="27" s="1"/>
  <c r="B172" i="27" s="1"/>
  <c r="B173" i="27" s="1"/>
  <c r="B174" i="27" s="1"/>
  <c r="B175" i="27" s="1"/>
  <c r="B176" i="27" s="1"/>
  <c r="B177" i="27" s="1"/>
  <c r="B178" i="27" s="1"/>
  <c r="B179" i="27" s="1"/>
  <c r="B180" i="27" s="1"/>
  <c r="B181" i="27" s="1"/>
  <c r="B182" i="27" s="1"/>
  <c r="B183" i="27" s="1"/>
  <c r="B184" i="27" s="1"/>
  <c r="B185" i="27" s="1"/>
  <c r="B186" i="27" s="1"/>
  <c r="B187" i="27" s="1"/>
  <c r="B188" i="27" s="1"/>
  <c r="B189" i="27" s="1"/>
  <c r="B190" i="27" s="1"/>
  <c r="B191" i="27" s="1"/>
  <c r="B192" i="27" s="1"/>
  <c r="B193" i="27" s="1"/>
  <c r="B194" i="27" s="1"/>
  <c r="B195" i="27" s="1"/>
  <c r="B196" i="27" s="1"/>
  <c r="B197" i="27" s="1"/>
  <c r="B198" i="27" s="1"/>
  <c r="B199" i="27" s="1"/>
  <c r="B200" i="27" s="1"/>
  <c r="B201" i="27" s="1"/>
  <c r="B202" i="27" s="1"/>
  <c r="B203" i="27" s="1"/>
  <c r="B204" i="27" s="1"/>
  <c r="B205" i="27" s="1"/>
  <c r="B206" i="27" s="1"/>
  <c r="B207" i="27" s="1"/>
  <c r="B208" i="27" s="1"/>
  <c r="B209" i="27" s="1"/>
  <c r="B210" i="27" s="1"/>
  <c r="B211" i="27" s="1"/>
  <c r="B212" i="27" s="1"/>
  <c r="B213" i="27" s="1"/>
  <c r="B214" i="27" s="1"/>
  <c r="B215" i="27" s="1"/>
  <c r="B216" i="27" s="1"/>
  <c r="B217" i="27" s="1"/>
  <c r="B218" i="27" s="1"/>
  <c r="B219" i="27" s="1"/>
  <c r="B220" i="27" s="1"/>
  <c r="B221" i="27" s="1"/>
  <c r="B222" i="27" s="1"/>
  <c r="B223" i="27" s="1"/>
  <c r="B224" i="27" s="1"/>
  <c r="B225" i="27" s="1"/>
  <c r="B226" i="27" s="1"/>
  <c r="B227" i="27" s="1"/>
  <c r="B228" i="27" s="1"/>
  <c r="B229" i="27" s="1"/>
  <c r="B230" i="27" s="1"/>
  <c r="B231" i="27" s="1"/>
  <c r="B232" i="27" s="1"/>
  <c r="B233" i="27" s="1"/>
  <c r="B234" i="27" s="1"/>
  <c r="B235" i="27" s="1"/>
  <c r="B236" i="27" s="1"/>
  <c r="B237" i="27" s="1"/>
  <c r="B238" i="27" s="1"/>
  <c r="B239" i="27" s="1"/>
  <c r="B240" i="27" s="1"/>
  <c r="B241" i="27" s="1"/>
  <c r="B242" i="27" s="1"/>
  <c r="B243" i="27" s="1"/>
  <c r="B244" i="27" s="1"/>
  <c r="B245" i="27" s="1"/>
  <c r="B246" i="27" s="1"/>
  <c r="B247" i="27" s="1"/>
  <c r="B248" i="27" s="1"/>
  <c r="B249" i="27" s="1"/>
  <c r="B250" i="27" s="1"/>
  <c r="B251" i="27" s="1"/>
  <c r="B252" i="27" s="1"/>
  <c r="B253" i="27" s="1"/>
  <c r="B254" i="27" s="1"/>
  <c r="B255" i="27" s="1"/>
  <c r="B256" i="27" s="1"/>
  <c r="B257" i="27" s="1"/>
  <c r="B258" i="27" s="1"/>
  <c r="B259" i="27" s="1"/>
  <c r="B260" i="27" s="1"/>
  <c r="B261" i="27" s="1"/>
  <c r="B262" i="27" s="1"/>
  <c r="B263" i="27" s="1"/>
  <c r="B264" i="27" s="1"/>
  <c r="B265" i="27" s="1"/>
  <c r="B266" i="27" s="1"/>
  <c r="B267" i="27" s="1"/>
  <c r="B268" i="27" s="1"/>
  <c r="B269" i="27" s="1"/>
  <c r="B270" i="27" s="1"/>
  <c r="B271" i="27" s="1"/>
  <c r="B272" i="27" s="1"/>
  <c r="B273" i="27" s="1"/>
  <c r="B274" i="27" s="1"/>
  <c r="B275" i="27" s="1"/>
  <c r="B276" i="27" s="1"/>
  <c r="B277" i="27" s="1"/>
  <c r="B278" i="27" s="1"/>
  <c r="B279" i="27" s="1"/>
  <c r="B280" i="27" s="1"/>
  <c r="B281" i="27" s="1"/>
  <c r="B282" i="27" s="1"/>
  <c r="B283" i="27" s="1"/>
  <c r="B284" i="27" s="1"/>
  <c r="B285" i="27" s="1"/>
  <c r="B286" i="27" s="1"/>
  <c r="B287" i="27" s="1"/>
  <c r="B288" i="27" s="1"/>
  <c r="B289" i="27" s="1"/>
  <c r="B290" i="27" s="1"/>
  <c r="B291" i="27" s="1"/>
  <c r="B292" i="27" s="1"/>
  <c r="B293" i="27" s="1"/>
  <c r="B294" i="27" s="1"/>
  <c r="B295" i="27" s="1"/>
  <c r="B296" i="27" s="1"/>
  <c r="B300" i="27" s="1"/>
  <c r="B301" i="27" s="1"/>
  <c r="B302" i="27" s="1"/>
  <c r="B303" i="27" s="1"/>
  <c r="B304" i="27" s="1"/>
  <c r="B305" i="27" s="1"/>
  <c r="B306" i="27" s="1"/>
  <c r="B307" i="27" s="1"/>
  <c r="B308" i="27" s="1"/>
  <c r="B309" i="27" s="1"/>
  <c r="B310" i="27" s="1"/>
  <c r="B311" i="27" s="1"/>
  <c r="B312" i="27" s="1"/>
  <c r="B313" i="27" s="1"/>
  <c r="B314" i="27" s="1"/>
  <c r="B315" i="27" s="1"/>
  <c r="B316" i="27" s="1"/>
  <c r="B317" i="27" s="1"/>
  <c r="B318" i="27" s="1"/>
  <c r="B319" i="27" s="1"/>
  <c r="B320" i="27" s="1"/>
  <c r="B321" i="27" s="1"/>
  <c r="B322" i="27" s="1"/>
  <c r="B323" i="27" s="1"/>
  <c r="B324" i="27" s="1"/>
  <c r="B325" i="27" s="1"/>
  <c r="B326" i="27" s="1"/>
  <c r="B327" i="27" s="1"/>
  <c r="B328" i="27" s="1"/>
  <c r="B329" i="27" s="1"/>
  <c r="B330" i="27" s="1"/>
  <c r="B331" i="27" s="1"/>
  <c r="B332" i="27" s="1"/>
  <c r="B333" i="27" s="1"/>
  <c r="B334" i="27" s="1"/>
  <c r="B335" i="27" s="1"/>
  <c r="B336" i="27" s="1"/>
  <c r="B337" i="27" s="1"/>
  <c r="B338" i="27" s="1"/>
  <c r="B339" i="27" s="1"/>
  <c r="B340" i="27" s="1"/>
  <c r="B341" i="27" s="1"/>
  <c r="B342" i="27" s="1"/>
  <c r="B344" i="27" s="1"/>
  <c r="B345" i="27" s="1"/>
  <c r="B346" i="27" s="1"/>
  <c r="B347" i="27" s="1"/>
  <c r="B348" i="27" s="1"/>
  <c r="B349" i="27" s="1"/>
  <c r="B350" i="27" s="1"/>
  <c r="B351" i="27" s="1"/>
  <c r="B352" i="27" s="1"/>
  <c r="B353" i="27" s="1"/>
  <c r="B354" i="27" s="1"/>
  <c r="B355" i="27" s="1"/>
  <c r="B359" i="27" s="1"/>
  <c r="B360" i="27" s="1"/>
  <c r="B361" i="27" s="1"/>
  <c r="B362" i="27" s="1"/>
  <c r="B363" i="27" s="1"/>
  <c r="B364" i="27" s="1"/>
  <c r="B365" i="27" s="1"/>
  <c r="B366" i="27" s="1"/>
  <c r="B367" i="27" s="1"/>
  <c r="B368" i="27" s="1"/>
  <c r="B369" i="27" s="1"/>
  <c r="B370" i="27" s="1"/>
  <c r="B371" i="27" s="1"/>
  <c r="B372" i="27" s="1"/>
  <c r="B373" i="27" s="1"/>
  <c r="B374" i="27" s="1"/>
  <c r="B375" i="27" s="1"/>
  <c r="B376" i="27" s="1"/>
  <c r="B377" i="27" s="1"/>
  <c r="B378" i="27" s="1"/>
  <c r="B379" i="27" s="1"/>
  <c r="B380" i="27" s="1"/>
  <c r="B381" i="27" s="1"/>
  <c r="B382" i="27" s="1"/>
  <c r="B383" i="27" s="1"/>
  <c r="B384" i="27" s="1"/>
  <c r="B385" i="27" s="1"/>
  <c r="B386" i="27" s="1"/>
  <c r="B387" i="27" s="1"/>
  <c r="B388" i="27" s="1"/>
  <c r="B389" i="27" s="1"/>
  <c r="B390" i="27" s="1"/>
  <c r="B391" i="27" s="1"/>
  <c r="B392" i="27" s="1"/>
  <c r="B393" i="27" s="1"/>
  <c r="B394" i="27" s="1"/>
  <c r="B395" i="27" s="1"/>
  <c r="B396" i="27" s="1"/>
  <c r="B397" i="27" s="1"/>
  <c r="B398" i="27" s="1"/>
  <c r="B399" i="27" s="1"/>
  <c r="B400" i="27" s="1"/>
  <c r="B401" i="27" s="1"/>
  <c r="B403" i="27" s="1"/>
  <c r="B404" i="27" s="1"/>
  <c r="B405" i="27" s="1"/>
  <c r="B406" i="27" s="1"/>
  <c r="B407" i="27" s="1"/>
  <c r="B408" i="27" s="1"/>
  <c r="B409" i="27" s="1"/>
  <c r="B410" i="27" s="1"/>
  <c r="B411" i="27" s="1"/>
  <c r="B412" i="27" s="1"/>
  <c r="B413" i="27" s="1"/>
  <c r="B414" i="27" s="1"/>
  <c r="B415" i="27" s="1"/>
  <c r="B416" i="27" s="1"/>
  <c r="B417" i="27" s="1"/>
  <c r="B418" i="27" s="1"/>
  <c r="B419" i="27" s="1"/>
  <c r="B420" i="27" s="1"/>
  <c r="B421" i="27" s="1"/>
  <c r="B422" i="27" s="1"/>
  <c r="B423" i="27" s="1"/>
  <c r="B424" i="27" s="1"/>
  <c r="B425" i="27" s="1"/>
  <c r="B426" i="27" s="1"/>
  <c r="B427" i="27" s="1"/>
  <c r="B428" i="27" s="1"/>
  <c r="B429" i="27" s="1"/>
  <c r="B430" i="27" s="1"/>
  <c r="B431" i="27" s="1"/>
  <c r="B432" i="27" s="1"/>
  <c r="B433" i="27" s="1"/>
  <c r="B434" i="27" s="1"/>
  <c r="B435" i="27" s="1"/>
  <c r="B436" i="27" s="1"/>
  <c r="B437" i="27" s="1"/>
  <c r="B438" i="27" s="1"/>
  <c r="B439" i="27" s="1"/>
  <c r="B440" i="27" s="1"/>
  <c r="B441" i="27" s="1"/>
  <c r="B442" i="27" s="1"/>
  <c r="B443" i="27" s="1"/>
  <c r="B444" i="27" s="1"/>
  <c r="B445" i="27" s="1"/>
  <c r="B446" i="27" s="1"/>
  <c r="B447" i="27" s="1"/>
  <c r="B448" i="27" s="1"/>
  <c r="B449" i="27" s="1"/>
  <c r="B450" i="27" s="1"/>
  <c r="B451" i="27" s="1"/>
  <c r="B452" i="27" s="1"/>
  <c r="B453" i="27" s="1"/>
  <c r="B454" i="27" s="1"/>
  <c r="B455" i="27" s="1"/>
  <c r="B456" i="27" s="1"/>
  <c r="B457" i="27" s="1"/>
  <c r="B458" i="27" s="1"/>
  <c r="B459" i="27" s="1"/>
  <c r="B460" i="27" s="1"/>
  <c r="B461" i="27" s="1"/>
  <c r="B462" i="27" s="1"/>
  <c r="B463" i="27" s="1"/>
  <c r="B464" i="27" s="1"/>
  <c r="B465" i="27" s="1"/>
  <c r="B466" i="27" s="1"/>
  <c r="B467" i="27" s="1"/>
  <c r="B468" i="27" s="1"/>
  <c r="B469" i="27" s="1"/>
  <c r="B470" i="27" s="1"/>
  <c r="B471" i="27" s="1"/>
  <c r="B472" i="27" s="1"/>
  <c r="B473" i="27" s="1"/>
  <c r="B474" i="27" s="1"/>
  <c r="B475" i="27" s="1"/>
  <c r="B476" i="27" s="1"/>
  <c r="B477" i="27" s="1"/>
  <c r="B478" i="27" s="1"/>
  <c r="B479" i="27" s="1"/>
  <c r="B480" i="27" s="1"/>
  <c r="B481" i="27" s="1"/>
  <c r="B482" i="27" s="1"/>
  <c r="B483" i="27" s="1"/>
  <c r="B484" i="27" s="1"/>
  <c r="B485" i="27" s="1"/>
  <c r="B486" i="27" s="1"/>
  <c r="B487" i="27" s="1"/>
  <c r="B488" i="27" s="1"/>
  <c r="B489" i="27" s="1"/>
  <c r="B490" i="27" s="1"/>
  <c r="B491" i="27" s="1"/>
  <c r="B492" i="27" s="1"/>
  <c r="B493" i="27" s="1"/>
  <c r="B494" i="27" s="1"/>
  <c r="B495" i="27" s="1"/>
  <c r="B496" i="27" s="1"/>
  <c r="B497" i="27" s="1"/>
  <c r="B498" i="27" s="1"/>
  <c r="B499" i="27" s="1"/>
  <c r="B500" i="27" s="1"/>
  <c r="B501" i="27" s="1"/>
  <c r="B502" i="27" s="1"/>
  <c r="B503" i="27" s="1"/>
  <c r="B504" i="27" s="1"/>
  <c r="B505" i="27" s="1"/>
  <c r="B506" i="27" s="1"/>
  <c r="B507" i="27" s="1"/>
  <c r="B508" i="27" s="1"/>
  <c r="B509" i="27" s="1"/>
  <c r="B510" i="27" s="1"/>
  <c r="B511" i="27" s="1"/>
  <c r="B512" i="27" s="1"/>
  <c r="B513" i="27" s="1"/>
  <c r="B514" i="27" s="1"/>
  <c r="B515" i="27" s="1"/>
  <c r="B516" i="27" s="1"/>
  <c r="B517" i="27" s="1"/>
  <c r="B518" i="27" s="1"/>
  <c r="B519" i="27" s="1"/>
  <c r="B520" i="27" s="1"/>
  <c r="B521" i="27" s="1"/>
  <c r="B522" i="27" s="1"/>
  <c r="B523" i="27" s="1"/>
  <c r="B524" i="27" s="1"/>
  <c r="B525" i="27" s="1"/>
  <c r="B526" i="27" s="1"/>
  <c r="B527" i="27" s="1"/>
  <c r="B528" i="27" s="1"/>
  <c r="B529" i="27" s="1"/>
  <c r="B530" i="27" s="1"/>
  <c r="B531" i="27" s="1"/>
  <c r="B532" i="27" s="1"/>
  <c r="B533" i="27" s="1"/>
  <c r="B534" i="27" s="1"/>
  <c r="B535" i="27" s="1"/>
  <c r="B536" i="27" s="1"/>
  <c r="B537" i="27" s="1"/>
  <c r="B538" i="27" s="1"/>
  <c r="B539" i="27" s="1"/>
  <c r="B540" i="27" s="1"/>
  <c r="B541" i="27" s="1"/>
  <c r="B542" i="27" s="1"/>
  <c r="B543" i="27" s="1"/>
  <c r="B544" i="27" s="1"/>
  <c r="B545" i="27" s="1"/>
  <c r="B546" i="27" s="1"/>
  <c r="B547" i="27" s="1"/>
  <c r="B548" i="27" s="1"/>
  <c r="B549" i="27" s="1"/>
  <c r="B550" i="27" s="1"/>
  <c r="B551" i="27" s="1"/>
  <c r="B552" i="27" s="1"/>
  <c r="B553" i="27" s="1"/>
  <c r="B554" i="27" s="1"/>
  <c r="B555" i="27" s="1"/>
  <c r="B556" i="27" s="1"/>
  <c r="B557" i="27" s="1"/>
  <c r="B558" i="27" s="1"/>
  <c r="B559" i="27" s="1"/>
  <c r="B560" i="27" s="1"/>
  <c r="B561" i="27" s="1"/>
  <c r="B562" i="27" s="1"/>
  <c r="B563" i="27" s="1"/>
  <c r="B564" i="27" s="1"/>
  <c r="B565" i="27" s="1"/>
  <c r="B566" i="27" s="1"/>
  <c r="B567" i="27" s="1"/>
  <c r="B568" i="27" s="1"/>
  <c r="B569" i="27" s="1"/>
  <c r="B570" i="27" s="1"/>
  <c r="B571" i="27" s="1"/>
  <c r="B572" i="27" s="1"/>
  <c r="B573" i="27" s="1"/>
  <c r="B574" i="27" s="1"/>
  <c r="B575" i="27" s="1"/>
  <c r="B576" i="27" s="1"/>
  <c r="B577" i="27" s="1"/>
  <c r="B578" i="27" s="1"/>
  <c r="B579" i="27" s="1"/>
  <c r="B580" i="27" s="1"/>
  <c r="B581" i="27" s="1"/>
  <c r="B582" i="27" s="1"/>
  <c r="B583" i="27" s="1"/>
  <c r="B584" i="27" s="1"/>
  <c r="B585" i="27" s="1"/>
  <c r="B586" i="27" s="1"/>
  <c r="B587" i="27" s="1"/>
  <c r="B588" i="27" s="1"/>
  <c r="B589" i="27" s="1"/>
  <c r="B590" i="27" s="1"/>
  <c r="B591" i="27" s="1"/>
  <c r="B592" i="27" s="1"/>
  <c r="B593" i="27" s="1"/>
  <c r="B594" i="27" s="1"/>
  <c r="B595" i="27" s="1"/>
  <c r="B596" i="27" s="1"/>
  <c r="B597" i="27" s="1"/>
  <c r="B598" i="27" s="1"/>
  <c r="B599" i="27" s="1"/>
  <c r="B600" i="27" s="1"/>
  <c r="B601" i="27" s="1"/>
  <c r="B602" i="27" s="1"/>
  <c r="B603" i="27" s="1"/>
  <c r="B604" i="27" s="1"/>
  <c r="B605" i="27" s="1"/>
  <c r="B606" i="27" s="1"/>
  <c r="B607" i="27" s="1"/>
  <c r="B608" i="27" s="1"/>
  <c r="B609" i="27" s="1"/>
  <c r="B610" i="27" s="1"/>
  <c r="B611" i="27" s="1"/>
  <c r="B612" i="27" s="1"/>
  <c r="B613" i="27" s="1"/>
  <c r="B614" i="27" s="1"/>
  <c r="B615" i="27" s="1"/>
  <c r="B616" i="27" s="1"/>
  <c r="B617" i="27" s="1"/>
  <c r="B618" i="27" s="1"/>
  <c r="B619" i="27" s="1"/>
  <c r="B620" i="27" s="1"/>
  <c r="B621" i="27" s="1"/>
  <c r="B622" i="27" s="1"/>
  <c r="B623" i="27" s="1"/>
  <c r="B624" i="27" s="1"/>
  <c r="B625" i="27" s="1"/>
  <c r="B626" i="27" s="1"/>
  <c r="B627" i="27" s="1"/>
  <c r="B628" i="27" s="1"/>
  <c r="B629" i="27" s="1"/>
  <c r="B630" i="27" s="1"/>
  <c r="B631" i="27" s="1"/>
  <c r="B632" i="27" s="1"/>
  <c r="B633" i="27" s="1"/>
  <c r="B634" i="27" s="1"/>
  <c r="B635" i="27" s="1"/>
  <c r="B636" i="27" s="1"/>
  <c r="B637" i="27" s="1"/>
  <c r="B638" i="27" s="1"/>
  <c r="B639" i="27" s="1"/>
  <c r="B640" i="27" s="1"/>
  <c r="B641" i="27" s="1"/>
  <c r="B642" i="27" s="1"/>
  <c r="B643" i="27" s="1"/>
  <c r="B644" i="27" s="1"/>
  <c r="B645" i="27" s="1"/>
  <c r="B646" i="27" s="1"/>
  <c r="B647" i="27" s="1"/>
  <c r="B648" i="27" s="1"/>
  <c r="B649" i="27" s="1"/>
  <c r="B650" i="27" s="1"/>
  <c r="B651" i="27" s="1"/>
  <c r="B652" i="27" s="1"/>
  <c r="B653" i="27" s="1"/>
  <c r="B654" i="27" s="1"/>
  <c r="B655" i="27" s="1"/>
  <c r="B656" i="27" s="1"/>
  <c r="B657" i="27" s="1"/>
  <c r="B658" i="27" s="1"/>
  <c r="B659" i="27" s="1"/>
  <c r="B660" i="27" s="1"/>
  <c r="B661" i="27" s="1"/>
  <c r="B662" i="27" s="1"/>
  <c r="B663" i="27" s="1"/>
  <c r="B664" i="27" s="1"/>
  <c r="B665" i="27" s="1"/>
  <c r="B666" i="27" s="1"/>
  <c r="B667" i="27" s="1"/>
  <c r="B668" i="27" s="1"/>
  <c r="B669" i="27" s="1"/>
  <c r="B670" i="27" s="1"/>
  <c r="B671" i="27" s="1"/>
  <c r="B672" i="27" s="1"/>
  <c r="B673" i="27" s="1"/>
  <c r="B674" i="27" s="1"/>
  <c r="B675" i="27" s="1"/>
  <c r="B676" i="27" s="1"/>
  <c r="B677" i="27" s="1"/>
  <c r="B678" i="27" s="1"/>
  <c r="B679" i="27" s="1"/>
  <c r="B680" i="27" s="1"/>
  <c r="B681" i="27" s="1"/>
  <c r="B682" i="27" s="1"/>
  <c r="B683" i="27" s="1"/>
  <c r="B684" i="27" s="1"/>
  <c r="B685" i="27" s="1"/>
  <c r="B686" i="27" s="1"/>
  <c r="B687" i="27" s="1"/>
  <c r="B688" i="27" s="1"/>
  <c r="B689" i="27" s="1"/>
  <c r="B690" i="27" s="1"/>
  <c r="B691" i="27" s="1"/>
  <c r="B692" i="27" s="1"/>
  <c r="B693" i="27" s="1"/>
  <c r="B694" i="27" s="1"/>
  <c r="B695" i="27" s="1"/>
  <c r="B696" i="27" s="1"/>
  <c r="B697" i="27" s="1"/>
  <c r="B698" i="27" s="1"/>
  <c r="B699" i="27" s="1"/>
  <c r="B700" i="27" s="1"/>
  <c r="B701" i="27" s="1"/>
  <c r="B702" i="27" s="1"/>
  <c r="B703" i="27" s="1"/>
  <c r="B704" i="27" s="1"/>
  <c r="B705" i="27" s="1"/>
  <c r="B706" i="27" s="1"/>
  <c r="B707" i="27" s="1"/>
  <c r="B708" i="27" s="1"/>
  <c r="B709" i="27" s="1"/>
  <c r="B710" i="27" s="1"/>
  <c r="B711" i="27" s="1"/>
  <c r="B712" i="27" s="1"/>
  <c r="B713" i="27" s="1"/>
  <c r="B714" i="27" s="1"/>
  <c r="B715" i="27" s="1"/>
  <c r="B716" i="27" s="1"/>
  <c r="B717" i="27" s="1"/>
  <c r="B718" i="27" s="1"/>
  <c r="B719" i="27" s="1"/>
  <c r="B720" i="27" s="1"/>
  <c r="B721" i="27" s="1"/>
  <c r="B722" i="27" s="1"/>
  <c r="B723" i="27" s="1"/>
  <c r="B724" i="27" s="1"/>
  <c r="B725" i="27" s="1"/>
  <c r="B726" i="27" s="1"/>
  <c r="B727" i="27" s="1"/>
  <c r="B728" i="27" s="1"/>
  <c r="B729" i="27" s="1"/>
  <c r="B730" i="27" s="1"/>
  <c r="B731" i="27" s="1"/>
  <c r="B732" i="27" s="1"/>
  <c r="B733" i="27" s="1"/>
  <c r="B734" i="27" s="1"/>
  <c r="B735" i="27" s="1"/>
  <c r="B736" i="27" s="1"/>
  <c r="B737" i="27" s="1"/>
  <c r="B738" i="27" s="1"/>
  <c r="B739" i="27" s="1"/>
  <c r="B740" i="27" s="1"/>
  <c r="B741" i="27" s="1"/>
  <c r="B742" i="27" s="1"/>
  <c r="B743" i="27" s="1"/>
  <c r="B744" i="27" s="1"/>
  <c r="B745" i="27" s="1"/>
  <c r="B746" i="27" s="1"/>
  <c r="B747" i="27" s="1"/>
  <c r="B748" i="27" s="1"/>
  <c r="B749" i="27" s="1"/>
  <c r="B750" i="27" s="1"/>
  <c r="B751" i="27" s="1"/>
  <c r="B752" i="27" s="1"/>
  <c r="B753" i="27" s="1"/>
  <c r="B754" i="27" s="1"/>
  <c r="B755" i="27" s="1"/>
  <c r="B756" i="27" s="1"/>
  <c r="B757" i="27" s="1"/>
  <c r="B758" i="27" s="1"/>
  <c r="B759" i="27" s="1"/>
  <c r="B760" i="27" s="1"/>
  <c r="B761" i="27" s="1"/>
  <c r="B762" i="27" s="1"/>
  <c r="B763" i="27" s="1"/>
  <c r="B764" i="27" s="1"/>
  <c r="B765" i="27" s="1"/>
  <c r="B766" i="27" s="1"/>
  <c r="B767" i="27" s="1"/>
  <c r="B768" i="27" s="1"/>
  <c r="B769" i="27" s="1"/>
  <c r="B770" i="27" s="1"/>
  <c r="B771" i="27" s="1"/>
  <c r="B772" i="27" s="1"/>
  <c r="B773" i="27" s="1"/>
  <c r="B774" i="27" s="1"/>
  <c r="B775" i="27" s="1"/>
  <c r="B776" i="27" s="1"/>
  <c r="B777" i="27" s="1"/>
  <c r="B778" i="27" s="1"/>
  <c r="B779" i="27" s="1"/>
  <c r="B780" i="27" s="1"/>
  <c r="B781" i="27" s="1"/>
  <c r="B782" i="27" s="1"/>
  <c r="B783" i="27" s="1"/>
  <c r="B784" i="27" s="1"/>
  <c r="B785" i="27" s="1"/>
  <c r="B786" i="27" s="1"/>
  <c r="B787" i="27" s="1"/>
  <c r="B788" i="27" s="1"/>
  <c r="B789" i="27" s="1"/>
  <c r="B790" i="27" s="1"/>
  <c r="B791" i="27" s="1"/>
  <c r="B7" i="27"/>
  <c r="E6" i="29" l="1"/>
  <c r="E465" i="13"/>
  <c r="E318" i="13"/>
  <c r="G367" i="13"/>
  <c r="I367" i="13"/>
  <c r="G359" i="13"/>
  <c r="I359" i="13" s="1"/>
  <c r="E291" i="13"/>
  <c r="E283" i="13"/>
  <c r="E215" i="13"/>
  <c r="E199" i="13"/>
  <c r="E182" i="13"/>
  <c r="E180" i="13"/>
  <c r="E174" i="13"/>
  <c r="E136" i="13"/>
  <c r="G363" i="13"/>
  <c r="E7" i="29" l="1"/>
  <c r="I363" i="13"/>
  <c r="E503" i="13" l="1"/>
  <c r="I503" i="13" l="1"/>
  <c r="H503" i="13"/>
  <c r="F503" i="13"/>
  <c r="G498" i="13"/>
  <c r="K498" i="13" s="1"/>
  <c r="G499" i="13"/>
  <c r="K499" i="13" s="1"/>
  <c r="G500" i="13"/>
  <c r="K500" i="13" s="1"/>
  <c r="G501" i="13"/>
  <c r="K501" i="13" s="1"/>
  <c r="G502" i="13"/>
  <c r="K502" i="13" s="1"/>
  <c r="G497" i="13"/>
  <c r="K497" i="13" s="1"/>
  <c r="K503" i="13" l="1"/>
  <c r="G503" i="13"/>
  <c r="E127" i="2"/>
  <c r="E126" i="2"/>
  <c r="E125" i="2"/>
  <c r="E124" i="2"/>
  <c r="E123" i="2"/>
  <c r="E122" i="2"/>
  <c r="E121" i="2"/>
  <c r="E120" i="2"/>
  <c r="E119" i="2"/>
  <c r="E118" i="2"/>
  <c r="E117" i="2"/>
  <c r="E116" i="2"/>
  <c r="E115" i="2"/>
  <c r="E114" i="2"/>
  <c r="E113" i="2"/>
  <c r="E112" i="2"/>
  <c r="E111" i="2"/>
  <c r="E110" i="2"/>
  <c r="E109" i="2"/>
  <c r="E108" i="2"/>
  <c r="E107" i="2"/>
  <c r="E106" i="2"/>
  <c r="E105" i="2"/>
  <c r="E104" i="2"/>
  <c r="E103" i="2"/>
  <c r="E102" i="2"/>
  <c r="E101" i="2"/>
  <c r="E100"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7" i="2"/>
  <c r="E46" i="2"/>
  <c r="E45" i="2"/>
  <c r="E44" i="2"/>
  <c r="E43" i="2"/>
  <c r="E42"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C13" i="9"/>
  <c r="C9" i="8"/>
  <c r="C8" i="8"/>
  <c r="E48" i="2" l="1"/>
  <c r="C12" i="9" l="1"/>
  <c r="C24" i="8"/>
  <c r="E41" i="2" l="1"/>
  <c r="E99" i="2"/>
  <c r="I96" i="2" l="1"/>
  <c r="G96" i="2"/>
  <c r="I95" i="2"/>
  <c r="G95" i="2"/>
  <c r="E6" i="2"/>
  <c r="E5" i="2"/>
  <c r="I46" i="2" l="1"/>
  <c r="I45" i="2"/>
  <c r="G46" i="2"/>
  <c r="G45" i="2"/>
  <c r="I31" i="2"/>
  <c r="G31" i="2"/>
  <c r="I18" i="2"/>
  <c r="G18" i="2"/>
  <c r="G7" i="6" l="1"/>
  <c r="G317" i="13" l="1"/>
  <c r="G98" i="13" l="1"/>
  <c r="G379" i="13"/>
  <c r="G8" i="13"/>
  <c r="G10" i="13"/>
  <c r="G12" i="13"/>
  <c r="G30" i="13"/>
  <c r="G38" i="13"/>
  <c r="G39" i="13"/>
  <c r="G46" i="13"/>
  <c r="G48" i="13"/>
  <c r="G52" i="13"/>
  <c r="G54" i="13"/>
  <c r="G55" i="13"/>
  <c r="G56" i="13"/>
  <c r="G57" i="13"/>
  <c r="I379" i="13" l="1"/>
  <c r="G179" i="13"/>
  <c r="I262" i="13" l="1"/>
  <c r="E262" i="13"/>
  <c r="E128" i="2" l="1"/>
  <c r="E7" i="2" s="1"/>
  <c r="E8" i="2" s="1"/>
  <c r="I98" i="2"/>
  <c r="I97" i="2"/>
  <c r="G98" i="2"/>
  <c r="G97" i="2"/>
  <c r="I47" i="2"/>
  <c r="I44" i="2"/>
  <c r="G47" i="2"/>
  <c r="G44" i="2"/>
  <c r="I40" i="2"/>
  <c r="I39" i="2"/>
  <c r="G40" i="2"/>
  <c r="G39" i="2"/>
  <c r="E496" i="13" l="1"/>
  <c r="G491" i="13"/>
  <c r="G495" i="13"/>
  <c r="H493" i="13" l="1"/>
  <c r="H492" i="13"/>
  <c r="G493" i="13"/>
  <c r="G492" i="13"/>
  <c r="G234" i="13" l="1"/>
  <c r="G237" i="13" l="1"/>
  <c r="G200" i="13" l="1"/>
  <c r="I16" i="2" l="1"/>
  <c r="I15" i="2"/>
  <c r="G16" i="2"/>
  <c r="G15" i="2"/>
  <c r="F496" i="13" l="1"/>
  <c r="G489" i="13"/>
  <c r="G490" i="13"/>
  <c r="G494" i="13"/>
  <c r="G488" i="13"/>
  <c r="F487" i="13"/>
  <c r="G471" i="13"/>
  <c r="G472" i="13"/>
  <c r="G473" i="13"/>
  <c r="G474" i="13"/>
  <c r="G475" i="13"/>
  <c r="G476" i="13"/>
  <c r="G477" i="13"/>
  <c r="G478" i="13"/>
  <c r="G479" i="13"/>
  <c r="G480" i="13"/>
  <c r="G481" i="13"/>
  <c r="G482" i="13"/>
  <c r="G483" i="13"/>
  <c r="G484" i="13"/>
  <c r="G485" i="13"/>
  <c r="G486" i="13"/>
  <c r="G470" i="13"/>
  <c r="F469" i="13"/>
  <c r="G468" i="13"/>
  <c r="G467" i="13"/>
  <c r="F466" i="13"/>
  <c r="G456" i="13"/>
  <c r="I456" i="13" s="1"/>
  <c r="G457" i="13"/>
  <c r="I457" i="13" s="1"/>
  <c r="G458" i="13"/>
  <c r="G459" i="13"/>
  <c r="G460" i="13"/>
  <c r="I460" i="13" s="1"/>
  <c r="G461" i="13"/>
  <c r="I461" i="13" s="1"/>
  <c r="G462" i="13"/>
  <c r="I462" i="13" s="1"/>
  <c r="G463" i="13"/>
  <c r="I463" i="13" s="1"/>
  <c r="G464" i="13"/>
  <c r="G465" i="13"/>
  <c r="I465" i="13" s="1"/>
  <c r="G440" i="13"/>
  <c r="I440" i="13" s="1"/>
  <c r="G441" i="13"/>
  <c r="G442" i="13"/>
  <c r="G443" i="13"/>
  <c r="I443" i="13" s="1"/>
  <c r="G444" i="13"/>
  <c r="I444" i="13" s="1"/>
  <c r="G445" i="13"/>
  <c r="I445" i="13" s="1"/>
  <c r="G446" i="13"/>
  <c r="I446" i="13" s="1"/>
  <c r="G447" i="13"/>
  <c r="I447" i="13" s="1"/>
  <c r="G448" i="13"/>
  <c r="I448" i="13" s="1"/>
  <c r="G449" i="13"/>
  <c r="I449" i="13" s="1"/>
  <c r="G450" i="13"/>
  <c r="I450" i="13" s="1"/>
  <c r="G451" i="13"/>
  <c r="I451" i="13" s="1"/>
  <c r="G452" i="13"/>
  <c r="I452" i="13" s="1"/>
  <c r="G453" i="13"/>
  <c r="I453" i="13" s="1"/>
  <c r="G454" i="13"/>
  <c r="I454" i="13" s="1"/>
  <c r="G455" i="13"/>
  <c r="G422" i="13"/>
  <c r="I422" i="13" s="1"/>
  <c r="G423" i="13"/>
  <c r="I423" i="13" s="1"/>
  <c r="G424" i="13"/>
  <c r="I424" i="13" s="1"/>
  <c r="G425" i="13"/>
  <c r="I425" i="13" s="1"/>
  <c r="G426" i="13"/>
  <c r="I426" i="13" s="1"/>
  <c r="G427" i="13"/>
  <c r="I427" i="13" s="1"/>
  <c r="G428" i="13"/>
  <c r="G429" i="13"/>
  <c r="G430" i="13"/>
  <c r="I430" i="13" s="1"/>
  <c r="G431" i="13"/>
  <c r="I431" i="13" s="1"/>
  <c r="G432" i="13"/>
  <c r="I432" i="13" s="1"/>
  <c r="G433" i="13"/>
  <c r="I433" i="13" s="1"/>
  <c r="G434" i="13"/>
  <c r="I434" i="13" s="1"/>
  <c r="G435" i="13"/>
  <c r="I435" i="13" s="1"/>
  <c r="G436" i="13"/>
  <c r="G437" i="13"/>
  <c r="I437" i="13" s="1"/>
  <c r="G438" i="13"/>
  <c r="I438" i="13" s="1"/>
  <c r="G439" i="13"/>
  <c r="I439" i="13" s="1"/>
  <c r="G399" i="13"/>
  <c r="I399" i="13" s="1"/>
  <c r="G400" i="13"/>
  <c r="G401" i="13"/>
  <c r="I401" i="13" s="1"/>
  <c r="G402" i="13"/>
  <c r="G403" i="13"/>
  <c r="G404" i="13"/>
  <c r="I404" i="13" s="1"/>
  <c r="G405" i="13"/>
  <c r="I405" i="13" s="1"/>
  <c r="G406" i="13"/>
  <c r="I406" i="13" s="1"/>
  <c r="G407" i="13"/>
  <c r="I407" i="13" s="1"/>
  <c r="G408" i="13"/>
  <c r="I408" i="13" s="1"/>
  <c r="G409" i="13"/>
  <c r="I409" i="13" s="1"/>
  <c r="G410" i="13"/>
  <c r="I410" i="13" s="1"/>
  <c r="G411" i="13"/>
  <c r="I411" i="13" s="1"/>
  <c r="G412" i="13"/>
  <c r="G413" i="13"/>
  <c r="G414" i="13"/>
  <c r="I414" i="13" s="1"/>
  <c r="G415" i="13"/>
  <c r="I415" i="13" s="1"/>
  <c r="G416" i="13"/>
  <c r="I416" i="13" s="1"/>
  <c r="G417" i="13"/>
  <c r="I417" i="13" s="1"/>
  <c r="G418" i="13"/>
  <c r="G419" i="13"/>
  <c r="I419" i="13" s="1"/>
  <c r="G420" i="13"/>
  <c r="G421" i="13"/>
  <c r="G382" i="13"/>
  <c r="I382" i="13" s="1"/>
  <c r="G383" i="13"/>
  <c r="I383" i="13" s="1"/>
  <c r="G384" i="13"/>
  <c r="I384" i="13" s="1"/>
  <c r="G385" i="13"/>
  <c r="I385" i="13" s="1"/>
  <c r="G386" i="13"/>
  <c r="I386" i="13" s="1"/>
  <c r="G387" i="13"/>
  <c r="G388" i="13"/>
  <c r="I388" i="13" s="1"/>
  <c r="G389" i="13"/>
  <c r="I389" i="13" s="1"/>
  <c r="G390" i="13"/>
  <c r="G391" i="13"/>
  <c r="I391" i="13" s="1"/>
  <c r="G392" i="13"/>
  <c r="I392" i="13" s="1"/>
  <c r="G393" i="13"/>
  <c r="I393" i="13" s="1"/>
  <c r="G394" i="13"/>
  <c r="I394" i="13" s="1"/>
  <c r="G395" i="13"/>
  <c r="I395" i="13" s="1"/>
  <c r="G396" i="13"/>
  <c r="G397" i="13"/>
  <c r="I397" i="13" s="1"/>
  <c r="G398" i="13"/>
  <c r="I398" i="13" s="1"/>
  <c r="G374" i="13"/>
  <c r="I374" i="13" s="1"/>
  <c r="G375" i="13"/>
  <c r="I375" i="13" s="1"/>
  <c r="G376" i="13"/>
  <c r="I376" i="13" s="1"/>
  <c r="G377" i="13"/>
  <c r="I377" i="13" s="1"/>
  <c r="G378" i="13"/>
  <c r="G380" i="13"/>
  <c r="G381" i="13"/>
  <c r="I381" i="13" s="1"/>
  <c r="G350" i="13"/>
  <c r="I350" i="13" s="1"/>
  <c r="G351" i="13"/>
  <c r="G352" i="13"/>
  <c r="I352" i="13" s="1"/>
  <c r="G353" i="13"/>
  <c r="I353" i="13" s="1"/>
  <c r="G354" i="13"/>
  <c r="I354" i="13" s="1"/>
  <c r="G355" i="13"/>
  <c r="I355" i="13" s="1"/>
  <c r="G356" i="13"/>
  <c r="I356" i="13" s="1"/>
  <c r="G357" i="13"/>
  <c r="I357" i="13" s="1"/>
  <c r="G358" i="13"/>
  <c r="I358" i="13" s="1"/>
  <c r="G360" i="13"/>
  <c r="I360" i="13" s="1"/>
  <c r="G361" i="13"/>
  <c r="I361" i="13" s="1"/>
  <c r="G362" i="13"/>
  <c r="I362" i="13" s="1"/>
  <c r="G364" i="13"/>
  <c r="I364" i="13" s="1"/>
  <c r="G365" i="13"/>
  <c r="I365" i="13" s="1"/>
  <c r="G366" i="13"/>
  <c r="I366" i="13" s="1"/>
  <c r="G368" i="13"/>
  <c r="I368" i="13" s="1"/>
  <c r="G369" i="13"/>
  <c r="I369" i="13" s="1"/>
  <c r="G370" i="13"/>
  <c r="G371" i="13"/>
  <c r="I371" i="13" s="1"/>
  <c r="G372" i="13"/>
  <c r="G373" i="13"/>
  <c r="G334" i="13"/>
  <c r="G335" i="13"/>
  <c r="I335" i="13" s="1"/>
  <c r="G336" i="13"/>
  <c r="I336" i="13" s="1"/>
  <c r="G337" i="13"/>
  <c r="G338" i="13"/>
  <c r="G339" i="13"/>
  <c r="I339" i="13" s="1"/>
  <c r="G340" i="13"/>
  <c r="I340" i="13" s="1"/>
  <c r="G341" i="13"/>
  <c r="I341" i="13" s="1"/>
  <c r="G342" i="13"/>
  <c r="G343" i="13"/>
  <c r="I343" i="13" s="1"/>
  <c r="G344" i="13"/>
  <c r="G345" i="13"/>
  <c r="I345" i="13" s="1"/>
  <c r="G346" i="13"/>
  <c r="I346" i="13" s="1"/>
  <c r="G347" i="13"/>
  <c r="G348" i="13"/>
  <c r="G349" i="13"/>
  <c r="I349" i="13" s="1"/>
  <c r="G319" i="13"/>
  <c r="G320" i="13"/>
  <c r="I320" i="13" s="1"/>
  <c r="G321" i="13"/>
  <c r="I321" i="13" s="1"/>
  <c r="G322" i="13"/>
  <c r="I322" i="13" s="1"/>
  <c r="G323" i="13"/>
  <c r="G324" i="13"/>
  <c r="I324" i="13" s="1"/>
  <c r="G325" i="13"/>
  <c r="G326" i="13"/>
  <c r="I326" i="13" s="1"/>
  <c r="G327" i="13"/>
  <c r="I327" i="13" s="1"/>
  <c r="G328" i="13"/>
  <c r="I328" i="13" s="1"/>
  <c r="G329" i="13"/>
  <c r="G330" i="13"/>
  <c r="I330" i="13" s="1"/>
  <c r="G331" i="13"/>
  <c r="I331" i="13" s="1"/>
  <c r="G332" i="13"/>
  <c r="G333" i="13"/>
  <c r="G308" i="13"/>
  <c r="I308" i="13" s="1"/>
  <c r="G309" i="13"/>
  <c r="I309" i="13" s="1"/>
  <c r="G310" i="13"/>
  <c r="I310" i="13" s="1"/>
  <c r="G311" i="13"/>
  <c r="G312" i="13"/>
  <c r="I312" i="13" s="1"/>
  <c r="G313" i="13"/>
  <c r="G314" i="13"/>
  <c r="I314" i="13" s="1"/>
  <c r="G315" i="13"/>
  <c r="G316" i="13"/>
  <c r="I316" i="13" s="1"/>
  <c r="G318" i="13"/>
  <c r="G307" i="13"/>
  <c r="I307" i="13" s="1"/>
  <c r="F306" i="13"/>
  <c r="G303" i="13"/>
  <c r="G304" i="13"/>
  <c r="G305" i="13"/>
  <c r="G302" i="13"/>
  <c r="F301" i="13"/>
  <c r="G288" i="13"/>
  <c r="G289" i="13"/>
  <c r="G290" i="13"/>
  <c r="G292" i="13"/>
  <c r="G293" i="13"/>
  <c r="G294" i="13"/>
  <c r="G295" i="13"/>
  <c r="G296" i="13"/>
  <c r="G297" i="13"/>
  <c r="G298" i="13"/>
  <c r="G299" i="13"/>
  <c r="G300" i="13"/>
  <c r="G287" i="13"/>
  <c r="F286" i="13"/>
  <c r="G284" i="13"/>
  <c r="G285" i="13"/>
  <c r="G283" i="13"/>
  <c r="F282" i="13"/>
  <c r="G277" i="13"/>
  <c r="G278" i="13"/>
  <c r="G279" i="13"/>
  <c r="G280" i="13"/>
  <c r="G281" i="13"/>
  <c r="G264" i="13"/>
  <c r="G265" i="13"/>
  <c r="G266" i="13"/>
  <c r="G267" i="13"/>
  <c r="G268" i="13"/>
  <c r="G269" i="13"/>
  <c r="G270" i="13"/>
  <c r="G271" i="13"/>
  <c r="G272" i="13"/>
  <c r="G273" i="13"/>
  <c r="G274" i="13"/>
  <c r="G275" i="13"/>
  <c r="G276" i="13"/>
  <c r="G263" i="13"/>
  <c r="G249" i="13"/>
  <c r="G250" i="13"/>
  <c r="G251" i="13"/>
  <c r="G252" i="13"/>
  <c r="G253" i="13"/>
  <c r="G254" i="13"/>
  <c r="G255" i="13"/>
  <c r="G256" i="13"/>
  <c r="G257" i="13"/>
  <c r="G258" i="13"/>
  <c r="G259" i="13"/>
  <c r="G260" i="13"/>
  <c r="G261" i="13"/>
  <c r="G231" i="13"/>
  <c r="G232" i="13"/>
  <c r="G233" i="13"/>
  <c r="G235" i="13"/>
  <c r="G236" i="13"/>
  <c r="G238" i="13"/>
  <c r="G239" i="13"/>
  <c r="G240" i="13"/>
  <c r="G241" i="13"/>
  <c r="G242" i="13"/>
  <c r="G243" i="13"/>
  <c r="G244" i="13"/>
  <c r="G245" i="13"/>
  <c r="G246" i="13"/>
  <c r="G247" i="13"/>
  <c r="G248" i="13"/>
  <c r="G211" i="13"/>
  <c r="G212" i="13"/>
  <c r="G213" i="13"/>
  <c r="G214" i="13"/>
  <c r="G215" i="13"/>
  <c r="G216" i="13"/>
  <c r="G218" i="13"/>
  <c r="G219" i="13"/>
  <c r="G220" i="13"/>
  <c r="G221" i="13"/>
  <c r="G222" i="13"/>
  <c r="G223" i="13"/>
  <c r="G224" i="13"/>
  <c r="G225" i="13"/>
  <c r="G226" i="13"/>
  <c r="G227" i="13"/>
  <c r="G228" i="13"/>
  <c r="G229" i="13"/>
  <c r="G230" i="13"/>
  <c r="G191" i="13"/>
  <c r="G192" i="13"/>
  <c r="G193" i="13"/>
  <c r="G194" i="13"/>
  <c r="G195" i="13"/>
  <c r="G196" i="13"/>
  <c r="G197" i="13"/>
  <c r="G198" i="13"/>
  <c r="G199" i="13"/>
  <c r="G201" i="13"/>
  <c r="G202" i="13"/>
  <c r="G203" i="13"/>
  <c r="G204" i="13"/>
  <c r="G205" i="13"/>
  <c r="G206" i="13"/>
  <c r="G207" i="13"/>
  <c r="G208" i="13"/>
  <c r="G209" i="13"/>
  <c r="G210" i="13"/>
  <c r="G173" i="13"/>
  <c r="G174" i="13"/>
  <c r="G175" i="13"/>
  <c r="G176" i="13"/>
  <c r="G177" i="13"/>
  <c r="G178" i="13"/>
  <c r="G180" i="13"/>
  <c r="G181" i="13"/>
  <c r="G182" i="13"/>
  <c r="G183" i="13"/>
  <c r="G184" i="13"/>
  <c r="G185" i="13"/>
  <c r="G186" i="13"/>
  <c r="G187" i="13"/>
  <c r="G188" i="13"/>
  <c r="G189" i="13"/>
  <c r="G190" i="13"/>
  <c r="G155" i="13"/>
  <c r="G156" i="13"/>
  <c r="G157" i="13"/>
  <c r="G158" i="13"/>
  <c r="G159" i="13"/>
  <c r="G160" i="13"/>
  <c r="G161" i="13"/>
  <c r="G162" i="13"/>
  <c r="G163" i="13"/>
  <c r="G164" i="13"/>
  <c r="G165" i="13"/>
  <c r="G166" i="13"/>
  <c r="G167" i="13"/>
  <c r="G168" i="13"/>
  <c r="G169" i="13"/>
  <c r="G170" i="13"/>
  <c r="G171" i="13"/>
  <c r="G172" i="13"/>
  <c r="G135" i="13"/>
  <c r="G136" i="13"/>
  <c r="G137" i="13"/>
  <c r="G138" i="13"/>
  <c r="G139" i="13"/>
  <c r="G140" i="13"/>
  <c r="G141" i="13"/>
  <c r="G142" i="13"/>
  <c r="G143" i="13"/>
  <c r="G144" i="13"/>
  <c r="G145" i="13"/>
  <c r="G146" i="13"/>
  <c r="G147" i="13"/>
  <c r="G148" i="13"/>
  <c r="G149" i="13"/>
  <c r="G150" i="13"/>
  <c r="G151" i="13"/>
  <c r="G152" i="13"/>
  <c r="G153" i="13"/>
  <c r="G154" i="13"/>
  <c r="G121" i="13"/>
  <c r="G122" i="13"/>
  <c r="G123" i="13"/>
  <c r="G124" i="13"/>
  <c r="G125" i="13"/>
  <c r="G126" i="13"/>
  <c r="G127" i="13"/>
  <c r="G128" i="13"/>
  <c r="G129" i="13"/>
  <c r="G130" i="13"/>
  <c r="G131" i="13"/>
  <c r="G132" i="13"/>
  <c r="G133" i="13"/>
  <c r="G134" i="13"/>
  <c r="G120" i="13"/>
  <c r="F119" i="13"/>
  <c r="G103" i="13"/>
  <c r="G104" i="13"/>
  <c r="G105" i="13"/>
  <c r="G106" i="13"/>
  <c r="G107" i="13"/>
  <c r="G108" i="13"/>
  <c r="G109" i="13"/>
  <c r="G110" i="13"/>
  <c r="G111" i="13"/>
  <c r="G112" i="13"/>
  <c r="G113" i="13"/>
  <c r="G114" i="13"/>
  <c r="G115" i="13"/>
  <c r="G116" i="13"/>
  <c r="G117" i="13"/>
  <c r="G118" i="13"/>
  <c r="G82" i="13"/>
  <c r="G83" i="13"/>
  <c r="G84" i="13"/>
  <c r="G85" i="13"/>
  <c r="G86" i="13"/>
  <c r="G87" i="13"/>
  <c r="G88" i="13"/>
  <c r="G89" i="13"/>
  <c r="G90" i="13"/>
  <c r="G91" i="13"/>
  <c r="G92" i="13"/>
  <c r="G93" i="13"/>
  <c r="G94" i="13"/>
  <c r="G95" i="13"/>
  <c r="G96" i="13"/>
  <c r="G97" i="13"/>
  <c r="G99" i="13"/>
  <c r="G100" i="13"/>
  <c r="G101" i="13"/>
  <c r="G102" i="13"/>
  <c r="G61" i="13"/>
  <c r="G62" i="13"/>
  <c r="G63" i="13"/>
  <c r="G64" i="13"/>
  <c r="G65" i="13"/>
  <c r="G66" i="13"/>
  <c r="G67" i="13"/>
  <c r="G68" i="13"/>
  <c r="G69" i="13"/>
  <c r="G70" i="13"/>
  <c r="G71" i="13"/>
  <c r="G72" i="13"/>
  <c r="G73" i="13"/>
  <c r="G74" i="13"/>
  <c r="G75" i="13"/>
  <c r="G76" i="13"/>
  <c r="G77" i="13"/>
  <c r="G78" i="13"/>
  <c r="G80" i="13"/>
  <c r="G81" i="13"/>
  <c r="G37" i="13"/>
  <c r="G40" i="13"/>
  <c r="G41" i="13"/>
  <c r="G42" i="13"/>
  <c r="G43" i="13"/>
  <c r="G44" i="13"/>
  <c r="G45" i="13"/>
  <c r="G47" i="13"/>
  <c r="G49" i="13"/>
  <c r="G50" i="13"/>
  <c r="G51" i="13"/>
  <c r="G53" i="13"/>
  <c r="G58" i="13"/>
  <c r="G59" i="13"/>
  <c r="G60" i="13"/>
  <c r="G17" i="13"/>
  <c r="G18" i="13"/>
  <c r="G19" i="13"/>
  <c r="G21" i="13"/>
  <c r="G22" i="13"/>
  <c r="G23" i="13"/>
  <c r="G24" i="13"/>
  <c r="G25" i="13"/>
  <c r="G26" i="13"/>
  <c r="G27" i="13"/>
  <c r="G28" i="13"/>
  <c r="G29" i="13"/>
  <c r="G31" i="13"/>
  <c r="G32" i="13"/>
  <c r="G33" i="13"/>
  <c r="G34" i="13"/>
  <c r="G35" i="13"/>
  <c r="G36" i="13"/>
  <c r="G6" i="13"/>
  <c r="G7" i="13"/>
  <c r="G9" i="13"/>
  <c r="G11" i="13"/>
  <c r="G13" i="13"/>
  <c r="G14" i="13"/>
  <c r="G15" i="13"/>
  <c r="G16" i="13"/>
  <c r="G5" i="13"/>
  <c r="I496" i="13"/>
  <c r="H494" i="13"/>
  <c r="I487" i="13"/>
  <c r="H487" i="13"/>
  <c r="E487" i="13"/>
  <c r="I469" i="13"/>
  <c r="H469" i="13"/>
  <c r="E469" i="13"/>
  <c r="H466" i="13"/>
  <c r="E466" i="13"/>
  <c r="I306" i="13"/>
  <c r="H306" i="13"/>
  <c r="E306" i="13"/>
  <c r="I301" i="13"/>
  <c r="H301" i="13"/>
  <c r="E301" i="13"/>
  <c r="H286" i="13"/>
  <c r="E286" i="13"/>
  <c r="I282" i="13"/>
  <c r="H282" i="13"/>
  <c r="E282" i="13"/>
  <c r="I119" i="13"/>
  <c r="H119" i="13"/>
  <c r="E20" i="13"/>
  <c r="E119" i="13" s="1"/>
  <c r="A6" i="13"/>
  <c r="A7" i="13" s="1"/>
  <c r="A8" i="13" s="1"/>
  <c r="A9" i="13" s="1"/>
  <c r="A10" i="13" s="1"/>
  <c r="A11" i="13" s="1"/>
  <c r="A12" i="13" s="1"/>
  <c r="A13" i="13" s="1"/>
  <c r="A14" i="13" s="1"/>
  <c r="A15" i="13" s="1"/>
  <c r="A16" i="13" s="1"/>
  <c r="A17" i="13" s="1"/>
  <c r="A18" i="13" s="1"/>
  <c r="A19" i="13" s="1"/>
  <c r="A20" i="13" s="1"/>
  <c r="A21" i="13" s="1"/>
  <c r="A22" i="13" s="1"/>
  <c r="A23" i="13" s="1"/>
  <c r="A24" i="13" s="1"/>
  <c r="A25" i="13" s="1"/>
  <c r="A26" i="13" s="1"/>
  <c r="A27" i="13" s="1"/>
  <c r="A28" i="13" s="1"/>
  <c r="A29" i="13" s="1"/>
  <c r="A30" i="13" s="1"/>
  <c r="A31" i="13" s="1"/>
  <c r="A32" i="13" s="1"/>
  <c r="A33" i="13" s="1"/>
  <c r="A34" i="13" s="1"/>
  <c r="A35" i="13" s="1"/>
  <c r="A36" i="13" s="1"/>
  <c r="A37" i="13" s="1"/>
  <c r="A38" i="13" s="1"/>
  <c r="A39" i="13" s="1"/>
  <c r="A40" i="13" s="1"/>
  <c r="A41" i="13" s="1"/>
  <c r="A42" i="13" s="1"/>
  <c r="A43" i="13" s="1"/>
  <c r="A44" i="13" s="1"/>
  <c r="A45" i="13" s="1"/>
  <c r="A46" i="13" s="1"/>
  <c r="A47" i="13" s="1"/>
  <c r="A48" i="13" s="1"/>
  <c r="A49" i="13" s="1"/>
  <c r="A50" i="13" s="1"/>
  <c r="A51" i="13" s="1"/>
  <c r="A52" i="13" s="1"/>
  <c r="A53" i="13" s="1"/>
  <c r="A54" i="13" s="1"/>
  <c r="A55" i="13" s="1"/>
  <c r="A56" i="13" s="1"/>
  <c r="A57" i="13" s="1"/>
  <c r="A58" i="13" s="1"/>
  <c r="A59" i="13" s="1"/>
  <c r="A60" i="13" s="1"/>
  <c r="A61" i="13" s="1"/>
  <c r="A62" i="13" s="1"/>
  <c r="A63" i="13" s="1"/>
  <c r="A64" i="13" s="1"/>
  <c r="A65" i="13" s="1"/>
  <c r="A66" i="13" s="1"/>
  <c r="A67" i="13" s="1"/>
  <c r="A68" i="13" s="1"/>
  <c r="A69" i="13" s="1"/>
  <c r="A70" i="13" s="1"/>
  <c r="A71" i="13" s="1"/>
  <c r="A72" i="13" s="1"/>
  <c r="A73" i="13" s="1"/>
  <c r="A74" i="13" s="1"/>
  <c r="A75" i="13" s="1"/>
  <c r="A76" i="13" s="1"/>
  <c r="A77" i="13" s="1"/>
  <c r="A78" i="13" s="1"/>
  <c r="A84" i="13" s="1"/>
  <c r="A85" i="13" s="1"/>
  <c r="A86" i="13" s="1"/>
  <c r="A87" i="13" s="1"/>
  <c r="A88" i="13" s="1"/>
  <c r="A89" i="13" s="1"/>
  <c r="A90" i="13" s="1"/>
  <c r="A91" i="13" s="1"/>
  <c r="A92" i="13" s="1"/>
  <c r="A93" i="13" s="1"/>
  <c r="A94" i="13" s="1"/>
  <c r="A95" i="13" s="1"/>
  <c r="A96" i="13" s="1"/>
  <c r="A97" i="13" s="1"/>
  <c r="E504" i="13" l="1"/>
  <c r="E505" i="13" s="1"/>
  <c r="G291" i="13"/>
  <c r="I334" i="13"/>
  <c r="I318" i="13"/>
  <c r="A98" i="13"/>
  <c r="A99" i="13" s="1"/>
  <c r="A100" i="13" s="1"/>
  <c r="A101" i="13" s="1"/>
  <c r="A102" i="13" s="1"/>
  <c r="A103" i="13" s="1"/>
  <c r="A104" i="13" s="1"/>
  <c r="A105" i="13" s="1"/>
  <c r="A106" i="13" s="1"/>
  <c r="A107" i="13" s="1"/>
  <c r="A108" i="13" s="1"/>
  <c r="A109" i="13" s="1"/>
  <c r="A110" i="13" s="1"/>
  <c r="A111" i="13" s="1"/>
  <c r="A112" i="13" s="1"/>
  <c r="A113" i="13" s="1"/>
  <c r="A114" i="13" s="1"/>
  <c r="A115" i="13" s="1"/>
  <c r="A116" i="13" s="1"/>
  <c r="A117" i="13" s="1"/>
  <c r="A118" i="13" s="1"/>
  <c r="A119" i="13" s="1"/>
  <c r="A120" i="13" s="1"/>
  <c r="A121" i="13" s="1"/>
  <c r="A122" i="13" s="1"/>
  <c r="A123" i="13" s="1"/>
  <c r="A124" i="13" s="1"/>
  <c r="A125" i="13" s="1"/>
  <c r="A126" i="13" s="1"/>
  <c r="A127" i="13" s="1"/>
  <c r="A128" i="13" s="1"/>
  <c r="A129" i="13" s="1"/>
  <c r="A130" i="13" s="1"/>
  <c r="A131" i="13" s="1"/>
  <c r="A132" i="13" s="1"/>
  <c r="A133" i="13" s="1"/>
  <c r="A134" i="13" s="1"/>
  <c r="A135" i="13" s="1"/>
  <c r="A136" i="13" s="1"/>
  <c r="A137" i="13" s="1"/>
  <c r="A138" i="13" s="1"/>
  <c r="A139" i="13" s="1"/>
  <c r="A140" i="13" s="1"/>
  <c r="A141" i="13" s="1"/>
  <c r="A142" i="13" s="1"/>
  <c r="A143" i="13" s="1"/>
  <c r="A144" i="13" s="1"/>
  <c r="A145" i="13" s="1"/>
  <c r="A146" i="13" s="1"/>
  <c r="A147" i="13" s="1"/>
  <c r="A148" i="13" s="1"/>
  <c r="A149" i="13" s="1"/>
  <c r="A150" i="13" s="1"/>
  <c r="A151" i="13" s="1"/>
  <c r="A152" i="13" s="1"/>
  <c r="A153" i="13" s="1"/>
  <c r="A154" i="13" s="1"/>
  <c r="A155" i="13" s="1"/>
  <c r="A156" i="13" s="1"/>
  <c r="A157" i="13" s="1"/>
  <c r="A158" i="13" s="1"/>
  <c r="A159" i="13" s="1"/>
  <c r="A160" i="13" s="1"/>
  <c r="A161" i="13" s="1"/>
  <c r="A162" i="13" s="1"/>
  <c r="A163" i="13" s="1"/>
  <c r="A164" i="13" s="1"/>
  <c r="A165" i="13" s="1"/>
  <c r="A166" i="13" s="1"/>
  <c r="A167" i="13" s="1"/>
  <c r="H262" i="13"/>
  <c r="G20" i="13"/>
  <c r="I380" i="13"/>
  <c r="G496" i="13"/>
  <c r="K496" i="13"/>
  <c r="E8" i="6" s="1"/>
  <c r="G469" i="13"/>
  <c r="K262" i="13"/>
  <c r="G487" i="13"/>
  <c r="I347" i="13"/>
  <c r="I390" i="13"/>
  <c r="I400" i="13"/>
  <c r="I418" i="13"/>
  <c r="I396" i="13"/>
  <c r="I373" i="13"/>
  <c r="G286" i="13"/>
  <c r="K306" i="13"/>
  <c r="G306" i="13"/>
  <c r="K487" i="13"/>
  <c r="I319" i="13"/>
  <c r="I342" i="13"/>
  <c r="I387" i="13"/>
  <c r="I403" i="13"/>
  <c r="I436" i="13"/>
  <c r="I428" i="13"/>
  <c r="I442" i="13"/>
  <c r="I464" i="13"/>
  <c r="I315" i="13"/>
  <c r="I311" i="13"/>
  <c r="I333" i="13"/>
  <c r="I329" i="13"/>
  <c r="I325" i="13"/>
  <c r="I348" i="13"/>
  <c r="I344" i="13"/>
  <c r="I372" i="13"/>
  <c r="I323" i="13"/>
  <c r="I338" i="13"/>
  <c r="I378" i="13"/>
  <c r="I313" i="13"/>
  <c r="I370" i="13"/>
  <c r="I351" i="13"/>
  <c r="G466" i="13"/>
  <c r="I429" i="13"/>
  <c r="I421" i="13"/>
  <c r="I413" i="13"/>
  <c r="I459" i="13"/>
  <c r="I455" i="13"/>
  <c r="I332" i="13"/>
  <c r="I337" i="13"/>
  <c r="I402" i="13"/>
  <c r="I420" i="13"/>
  <c r="I412" i="13"/>
  <c r="I441" i="13"/>
  <c r="I458" i="13"/>
  <c r="G282" i="13"/>
  <c r="K469" i="13"/>
  <c r="K282" i="13"/>
  <c r="H496" i="13"/>
  <c r="A111" i="6"/>
  <c r="A112" i="6" s="1"/>
  <c r="A113" i="6" s="1"/>
  <c r="A114" i="6" s="1"/>
  <c r="A119" i="6" s="1"/>
  <c r="A120" i="6" s="1"/>
  <c r="K301" i="13" l="1"/>
  <c r="K504" i="13"/>
  <c r="K505" i="13" s="1"/>
  <c r="G119" i="13"/>
  <c r="A168" i="13"/>
  <c r="A169" i="13" s="1"/>
  <c r="A170" i="13" s="1"/>
  <c r="A171" i="13" s="1"/>
  <c r="A172" i="13" s="1"/>
  <c r="A173" i="13" s="1"/>
  <c r="A174" i="13" s="1"/>
  <c r="A175" i="13" s="1"/>
  <c r="A176" i="13" s="1"/>
  <c r="A177" i="13" s="1"/>
  <c r="A178" i="13" s="1"/>
  <c r="A179" i="13" s="1"/>
  <c r="A180" i="13" s="1"/>
  <c r="A181" i="13" s="1"/>
  <c r="A182" i="13" s="1"/>
  <c r="A183" i="13" s="1"/>
  <c r="A184" i="13" s="1"/>
  <c r="A185" i="13" s="1"/>
  <c r="A186" i="13" s="1"/>
  <c r="A187" i="13" s="1"/>
  <c r="A188" i="13" s="1"/>
  <c r="A189" i="13" s="1"/>
  <c r="A190" i="13" s="1"/>
  <c r="A191" i="13" s="1"/>
  <c r="A192" i="13" s="1"/>
  <c r="A193" i="13" s="1"/>
  <c r="A194" i="13" s="1"/>
  <c r="A195" i="13" s="1"/>
  <c r="A196" i="13" s="1"/>
  <c r="A197" i="13" s="1"/>
  <c r="A198" i="13" s="1"/>
  <c r="A199" i="13" s="1"/>
  <c r="A200" i="13" s="1"/>
  <c r="A201" i="13" s="1"/>
  <c r="A202" i="13" s="1"/>
  <c r="A203" i="13" s="1"/>
  <c r="A204" i="13" s="1"/>
  <c r="A205" i="13" s="1"/>
  <c r="A206" i="13" s="1"/>
  <c r="A207" i="13" s="1"/>
  <c r="A208" i="13" s="1"/>
  <c r="A209" i="13" s="1"/>
  <c r="A210" i="13" s="1"/>
  <c r="A211" i="13" s="1"/>
  <c r="A212" i="13" s="1"/>
  <c r="A213" i="13" s="1"/>
  <c r="A214" i="13" s="1"/>
  <c r="A215" i="13" s="1"/>
  <c r="H504" i="13"/>
  <c r="H505" i="13" s="1"/>
  <c r="G301" i="13"/>
  <c r="G8" i="6"/>
  <c r="I466" i="13"/>
  <c r="K466" i="13"/>
  <c r="A216" i="13" l="1"/>
  <c r="A217" i="13" s="1"/>
  <c r="A218" i="13" s="1"/>
  <c r="A219" i="13" s="1"/>
  <c r="A220" i="13" s="1"/>
  <c r="A221" i="13" s="1"/>
  <c r="A222" i="13" s="1"/>
  <c r="A223" i="13" s="1"/>
  <c r="A224" i="13" s="1"/>
  <c r="A225" i="13" s="1"/>
  <c r="A226" i="13" s="1"/>
  <c r="A227" i="13" s="1"/>
  <c r="A228" i="13" s="1"/>
  <c r="A229" i="13" s="1"/>
  <c r="A230" i="13" s="1"/>
  <c r="A231" i="13" s="1"/>
  <c r="A232" i="13" s="1"/>
  <c r="H508" i="13"/>
  <c r="A233" i="13" l="1"/>
  <c r="A234" i="13" s="1"/>
  <c r="A235" i="13" s="1"/>
  <c r="A236" i="13" s="1"/>
  <c r="A237" i="13" s="1"/>
  <c r="A238" i="13" s="1"/>
  <c r="A239" i="13" s="1"/>
  <c r="A240" i="13" s="1"/>
  <c r="A241" i="13" s="1"/>
  <c r="A242" i="13" s="1"/>
  <c r="A243" i="13" s="1"/>
  <c r="A244" i="13" s="1"/>
  <c r="A245" i="13" s="1"/>
  <c r="A246" i="13" s="1"/>
  <c r="A247" i="13" s="1"/>
  <c r="A248" i="13" s="1"/>
  <c r="A249" i="13" s="1"/>
  <c r="A250" i="13" s="1"/>
  <c r="A251" i="13" s="1"/>
  <c r="A252" i="13" s="1"/>
  <c r="A253" i="13" s="1"/>
  <c r="A254" i="13" s="1"/>
  <c r="A255" i="13" s="1"/>
  <c r="A256" i="13" s="1"/>
  <c r="A257" i="13" s="1"/>
  <c r="A258" i="13" s="1"/>
  <c r="A259" i="13" s="1"/>
  <c r="A260" i="13" s="1"/>
  <c r="A261" i="13" s="1"/>
  <c r="A262" i="13" s="1"/>
  <c r="A263" i="13" s="1"/>
  <c r="A264" i="13" s="1"/>
  <c r="A265" i="13" s="1"/>
  <c r="A266" i="13" s="1"/>
  <c r="A267" i="13" s="1"/>
  <c r="A268" i="13" s="1"/>
  <c r="A269" i="13" s="1"/>
  <c r="A270" i="13" s="1"/>
  <c r="A271" i="13" s="1"/>
  <c r="A272" i="13" s="1"/>
  <c r="A273" i="13" s="1"/>
  <c r="A274" i="13" s="1"/>
  <c r="A275" i="13" s="1"/>
  <c r="A276" i="13" s="1"/>
  <c r="A277" i="13" s="1"/>
  <c r="A278" i="13" s="1"/>
  <c r="A279" i="13" s="1"/>
  <c r="A280" i="13" s="1"/>
  <c r="A281" i="13" s="1"/>
  <c r="A282" i="13" s="1"/>
  <c r="A283" i="13" s="1"/>
  <c r="A284" i="13" s="1"/>
  <c r="A285" i="13" s="1"/>
  <c r="A286" i="13" s="1"/>
  <c r="A287" i="13" s="1"/>
  <c r="A288" i="13" s="1"/>
  <c r="A289" i="13" s="1"/>
  <c r="A290" i="13" s="1"/>
  <c r="A291" i="13" s="1"/>
  <c r="A292" i="13" s="1"/>
  <c r="A293" i="13" s="1"/>
  <c r="A294" i="13" s="1"/>
  <c r="A295" i="13" s="1"/>
  <c r="A296" i="13" s="1"/>
  <c r="A297" i="13" s="1"/>
  <c r="A298" i="13" s="1"/>
  <c r="A299" i="13" s="1"/>
  <c r="A300" i="13" s="1"/>
  <c r="A301" i="13" s="1"/>
  <c r="A302" i="13" s="1"/>
  <c r="A303" i="13" s="1"/>
  <c r="A304" i="13" s="1"/>
  <c r="A305" i="13" s="1"/>
  <c r="A306" i="13" s="1"/>
  <c r="A307" i="13" s="1"/>
  <c r="A308" i="13" s="1"/>
  <c r="A309" i="13" s="1"/>
  <c r="A310" i="13" s="1"/>
  <c r="A311" i="13" s="1"/>
  <c r="A312" i="13" s="1"/>
  <c r="A313" i="13" s="1"/>
  <c r="A314" i="13" s="1"/>
  <c r="A315" i="13" s="1"/>
  <c r="A316" i="13" s="1"/>
  <c r="A317" i="13" s="1"/>
  <c r="A318" i="13" s="1"/>
  <c r="A319" i="13" s="1"/>
  <c r="A320" i="13" s="1"/>
  <c r="A321" i="13" s="1"/>
  <c r="A322" i="13" s="1"/>
  <c r="A323" i="13" s="1"/>
  <c r="A324" i="13" s="1"/>
  <c r="A325" i="13" s="1"/>
  <c r="A326" i="13" s="1"/>
  <c r="A327" i="13" s="1"/>
  <c r="A328" i="13" s="1"/>
  <c r="A329" i="13" s="1"/>
  <c r="A330" i="13" s="1"/>
  <c r="A331" i="13" s="1"/>
  <c r="A332" i="13" s="1"/>
  <c r="A333" i="13" s="1"/>
  <c r="A334" i="13" s="1"/>
  <c r="A335" i="13" s="1"/>
  <c r="A336" i="13" s="1"/>
  <c r="A337" i="13" s="1"/>
  <c r="A338" i="13" s="1"/>
  <c r="A339" i="13" s="1"/>
  <c r="A340" i="13" s="1"/>
  <c r="A341" i="13" s="1"/>
  <c r="A342" i="13" s="1"/>
  <c r="A343" i="13" s="1"/>
  <c r="A344" i="13" s="1"/>
  <c r="A345" i="13" s="1"/>
  <c r="A346" i="13" s="1"/>
  <c r="A347" i="13" s="1"/>
  <c r="A348" i="13" s="1"/>
  <c r="A349" i="13" s="1"/>
  <c r="A350" i="13" s="1"/>
  <c r="A351" i="13" s="1"/>
  <c r="A352" i="13" s="1"/>
  <c r="A353" i="13" s="1"/>
  <c r="A354" i="13" s="1"/>
  <c r="A355" i="13" s="1"/>
  <c r="A356" i="13" s="1"/>
  <c r="F8" i="2"/>
  <c r="G8" i="2"/>
  <c r="A369" i="13" l="1"/>
  <c r="A370" i="13" s="1"/>
  <c r="A371" i="13" s="1"/>
  <c r="A372" i="13" s="1"/>
  <c r="A373" i="13" s="1"/>
  <c r="A374" i="13" s="1"/>
  <c r="A375" i="13" s="1"/>
  <c r="A376" i="13" s="1"/>
  <c r="A377" i="13" s="1"/>
  <c r="A378" i="13" s="1"/>
  <c r="A379" i="13" s="1"/>
  <c r="A380" i="13" s="1"/>
  <c r="A381" i="13" s="1"/>
  <c r="A382" i="13" s="1"/>
  <c r="A383" i="13" s="1"/>
  <c r="A384" i="13" s="1"/>
  <c r="A385" i="13" s="1"/>
  <c r="A386" i="13" s="1"/>
  <c r="A387" i="13" s="1"/>
  <c r="A388" i="13" s="1"/>
  <c r="A389" i="13" s="1"/>
  <c r="A390" i="13" s="1"/>
  <c r="A391" i="13" s="1"/>
  <c r="A392" i="13" s="1"/>
  <c r="A393" i="13" s="1"/>
  <c r="A394" i="13" s="1"/>
  <c r="A395" i="13" s="1"/>
  <c r="A396" i="13" s="1"/>
  <c r="A397" i="13" s="1"/>
  <c r="A398" i="13" s="1"/>
  <c r="A399" i="13" s="1"/>
  <c r="A400" i="13" s="1"/>
  <c r="A401" i="13" s="1"/>
  <c r="A402" i="13" s="1"/>
  <c r="A403" i="13" s="1"/>
  <c r="A404" i="13" s="1"/>
  <c r="A405" i="13" s="1"/>
  <c r="A406" i="13" s="1"/>
  <c r="A407" i="13" s="1"/>
  <c r="A408" i="13" s="1"/>
  <c r="A409" i="13" s="1"/>
  <c r="A410" i="13" s="1"/>
  <c r="A411" i="13" s="1"/>
  <c r="A412" i="13" s="1"/>
  <c r="A413" i="13" s="1"/>
  <c r="A414" i="13" s="1"/>
  <c r="A415" i="13" s="1"/>
  <c r="A416" i="13" s="1"/>
  <c r="A417" i="13" s="1"/>
  <c r="A418" i="13" s="1"/>
  <c r="A419" i="13" s="1"/>
  <c r="A420" i="13" s="1"/>
  <c r="A421" i="13" s="1"/>
  <c r="A422" i="13" s="1"/>
  <c r="A423" i="13" s="1"/>
  <c r="A424" i="13" s="1"/>
  <c r="A425" i="13" s="1"/>
  <c r="A426" i="13" s="1"/>
  <c r="A427" i="13" s="1"/>
  <c r="A428" i="13" s="1"/>
  <c r="A429" i="13" s="1"/>
  <c r="A430" i="13" s="1"/>
  <c r="A431" i="13" s="1"/>
  <c r="A432" i="13" s="1"/>
  <c r="A433" i="13" s="1"/>
  <c r="A434" i="13" s="1"/>
  <c r="A435" i="13" s="1"/>
  <c r="A436" i="13" s="1"/>
  <c r="A437" i="13" s="1"/>
  <c r="A438" i="13" s="1"/>
  <c r="A439" i="13" s="1"/>
  <c r="A440" i="13" s="1"/>
  <c r="A441" i="13" s="1"/>
  <c r="A442" i="13" s="1"/>
  <c r="A443" i="13" s="1"/>
  <c r="A444" i="13" s="1"/>
  <c r="A445" i="13" s="1"/>
  <c r="A446" i="13" s="1"/>
  <c r="A447" i="13" s="1"/>
  <c r="A448" i="13" s="1"/>
  <c r="A449" i="13" s="1"/>
  <c r="A450" i="13" s="1"/>
  <c r="A451" i="13" s="1"/>
  <c r="A452" i="13" s="1"/>
  <c r="A453" i="13" s="1"/>
  <c r="A454" i="13" s="1"/>
  <c r="A455" i="13" s="1"/>
  <c r="A456" i="13" s="1"/>
  <c r="A457" i="13" s="1"/>
  <c r="A458" i="13" s="1"/>
  <c r="A459" i="13" s="1"/>
  <c r="A460" i="13" s="1"/>
  <c r="A461" i="13" s="1"/>
  <c r="A462" i="13" s="1"/>
  <c r="A463" i="13" s="1"/>
  <c r="A464" i="13" s="1"/>
  <c r="A465" i="13" s="1"/>
  <c r="A466" i="13" s="1"/>
  <c r="A467" i="13" s="1"/>
  <c r="A468" i="13" s="1"/>
  <c r="A469" i="13" s="1"/>
  <c r="A470" i="13" s="1"/>
  <c r="A471" i="13" s="1"/>
  <c r="A472" i="13" s="1"/>
  <c r="A473" i="13" s="1"/>
  <c r="A474" i="13" s="1"/>
  <c r="A475" i="13" s="1"/>
  <c r="A476" i="13" s="1"/>
  <c r="A477" i="13" s="1"/>
  <c r="A478" i="13" s="1"/>
  <c r="A479" i="13" s="1"/>
  <c r="A480" i="13" s="1"/>
  <c r="A481" i="13" s="1"/>
  <c r="A482" i="13" s="1"/>
  <c r="A483" i="13" s="1"/>
  <c r="A484" i="13" s="1"/>
  <c r="A485" i="13" s="1"/>
  <c r="A486" i="13" s="1"/>
  <c r="A487" i="13" s="1"/>
  <c r="A488" i="13" s="1"/>
  <c r="A489" i="13" s="1"/>
  <c r="A490" i="13" s="1"/>
  <c r="A491" i="13" s="1"/>
  <c r="A492" i="13" s="1"/>
  <c r="A493" i="13" s="1"/>
  <c r="A494" i="13" s="1"/>
  <c r="A495" i="13" s="1"/>
  <c r="A496" i="13" s="1"/>
  <c r="A497" i="13" s="1"/>
  <c r="A498" i="13" s="1"/>
  <c r="A499" i="13" s="1"/>
  <c r="D66" i="5"/>
  <c r="D65" i="5"/>
  <c r="D64" i="5"/>
  <c r="E213" i="5" l="1"/>
  <c r="D213" i="5"/>
  <c r="C213" i="5"/>
  <c r="E204" i="5"/>
  <c r="D205" i="5"/>
  <c r="C204" i="5"/>
  <c r="D188" i="5"/>
  <c r="D55" i="5" s="1"/>
  <c r="C188" i="5"/>
  <c r="D54" i="5" s="1"/>
  <c r="D176" i="5"/>
  <c r="D186" i="5" s="1"/>
  <c r="D50" i="5" s="1"/>
  <c r="D204" i="5"/>
  <c r="C14" i="9"/>
  <c r="C10" i="8"/>
  <c r="A6" i="7"/>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7" i="6"/>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I14" i="6"/>
  <c r="E13" i="6"/>
  <c r="K18" i="6"/>
  <c r="A42" i="6"/>
  <c r="A46" i="6"/>
  <c r="A47" i="6" s="1"/>
  <c r="A48" i="6" s="1"/>
  <c r="K46" i="6"/>
  <c r="A62" i="6"/>
  <c r="A66" i="6"/>
  <c r="A67" i="6" s="1"/>
  <c r="A68" i="6" s="1"/>
  <c r="A69" i="6" s="1"/>
  <c r="A70" i="6" s="1"/>
  <c r="A71" i="6" s="1"/>
  <c r="A72" i="6" s="1"/>
  <c r="A73" i="6" s="1"/>
  <c r="A74" i="6" s="1"/>
  <c r="A75" i="6" s="1"/>
  <c r="A76" i="6" s="1"/>
  <c r="A77" i="6" s="1"/>
  <c r="A78" i="6" s="1"/>
  <c r="A79" i="6" s="1"/>
  <c r="A80" i="6" s="1"/>
  <c r="A81" i="6" s="1"/>
  <c r="A82" i="6" s="1"/>
  <c r="A83" i="6" s="1"/>
  <c r="A84" i="6" s="1"/>
  <c r="A85" i="6" s="1"/>
  <c r="A86" i="6" s="1"/>
  <c r="A87" i="6" s="1"/>
  <c r="K67" i="6"/>
  <c r="K69" i="6"/>
  <c r="C70" i="6"/>
  <c r="E70" i="6"/>
  <c r="G70" i="6"/>
  <c r="I70" i="6"/>
  <c r="A88" i="6"/>
  <c r="A92" i="6"/>
  <c r="E12" i="7"/>
  <c r="A107" i="6"/>
  <c r="A121" i="6"/>
  <c r="A122" i="6" s="1"/>
  <c r="A123" i="6" s="1"/>
  <c r="A124" i="6" s="1"/>
  <c r="A125" i="6" s="1"/>
  <c r="K112" i="6"/>
  <c r="K114" i="6"/>
  <c r="C115" i="6"/>
  <c r="K116" i="6"/>
  <c r="K119" i="6"/>
  <c r="K120" i="6"/>
  <c r="K121" i="6"/>
  <c r="C6" i="4" s="1"/>
  <c r="K122" i="6"/>
  <c r="G123" i="6"/>
  <c r="I123" i="6"/>
  <c r="B20" i="5"/>
  <c r="E20" i="5"/>
  <c r="F20" i="5"/>
  <c r="B21" i="5"/>
  <c r="B28" i="5" s="1"/>
  <c r="E21" i="5"/>
  <c r="E40" i="5" s="1"/>
  <c r="B22" i="5"/>
  <c r="E22" i="5"/>
  <c r="F22" i="5"/>
  <c r="B23" i="5"/>
  <c r="B30" i="5" s="1"/>
  <c r="E23" i="5"/>
  <c r="B24" i="5"/>
  <c r="B31" i="5" s="1"/>
  <c r="E24" i="5"/>
  <c r="B27" i="5"/>
  <c r="B29" i="5"/>
  <c r="D30" i="5"/>
  <c r="D31" i="5"/>
  <c r="E37" i="5"/>
  <c r="D39" i="5"/>
  <c r="H52" i="5"/>
  <c r="E54" i="5"/>
  <c r="E55" i="5"/>
  <c r="E57" i="5"/>
  <c r="H60" i="5"/>
  <c r="B63" i="5"/>
  <c r="E64" i="5"/>
  <c r="E65" i="5"/>
  <c r="B68" i="5"/>
  <c r="D69" i="5"/>
  <c r="E73" i="5"/>
  <c r="E77" i="5"/>
  <c r="D79" i="5"/>
  <c r="D81" i="5"/>
  <c r="D84" i="5" s="1"/>
  <c r="D87" i="5" s="1"/>
  <c r="H101" i="5"/>
  <c r="H102" i="5"/>
  <c r="F107" i="5"/>
  <c r="F109" i="5"/>
  <c r="F110" i="5"/>
  <c r="D128" i="5"/>
  <c r="F126" i="5" s="1"/>
  <c r="F134" i="5"/>
  <c r="H143" i="5"/>
  <c r="B148" i="5"/>
  <c r="H148" i="5"/>
  <c r="F177" i="5"/>
  <c r="F178" i="5"/>
  <c r="F179" i="5"/>
  <c r="F180" i="5"/>
  <c r="F181" i="5"/>
  <c r="F182" i="5"/>
  <c r="F183" i="5"/>
  <c r="F184" i="5"/>
  <c r="F185" i="5"/>
  <c r="D195" i="5"/>
  <c r="E195" i="5"/>
  <c r="D121" i="5" s="1"/>
  <c r="F199" i="5"/>
  <c r="F200" i="5"/>
  <c r="F201" i="5"/>
  <c r="E228" i="5"/>
  <c r="D230" i="5"/>
  <c r="C232" i="5"/>
  <c r="C234" i="5" s="1"/>
  <c r="C249" i="5"/>
  <c r="D249" i="5"/>
  <c r="E249" i="5"/>
  <c r="F249" i="5"/>
  <c r="A7" i="4"/>
  <c r="A8" i="4" s="1"/>
  <c r="A9" i="4" s="1"/>
  <c r="A10" i="4" s="1"/>
  <c r="A11" i="4" s="1"/>
  <c r="A12" i="4" s="1"/>
  <c r="A13" i="4" s="1"/>
  <c r="A14" i="4" s="1"/>
  <c r="A15" i="4" s="1"/>
  <c r="A16" i="4" s="1"/>
  <c r="A17" i="4" s="1"/>
  <c r="A18" i="4" s="1"/>
  <c r="A19" i="4" s="1"/>
  <c r="I127" i="2"/>
  <c r="G127" i="2"/>
  <c r="I126" i="2"/>
  <c r="G126" i="2"/>
  <c r="I125" i="2"/>
  <c r="G125" i="2"/>
  <c r="I124" i="2"/>
  <c r="G124" i="2"/>
  <c r="I123" i="2"/>
  <c r="G123" i="2"/>
  <c r="I122" i="2"/>
  <c r="G122" i="2"/>
  <c r="I121" i="2"/>
  <c r="G121" i="2"/>
  <c r="I120" i="2"/>
  <c r="G120" i="2"/>
  <c r="I119" i="2"/>
  <c r="G119" i="2"/>
  <c r="I118" i="2"/>
  <c r="G118" i="2"/>
  <c r="I117" i="2"/>
  <c r="G117" i="2"/>
  <c r="I116" i="2"/>
  <c r="G116" i="2"/>
  <c r="I115" i="2"/>
  <c r="G115" i="2"/>
  <c r="I114" i="2"/>
  <c r="G114" i="2"/>
  <c r="I113" i="2"/>
  <c r="G113" i="2"/>
  <c r="I112" i="2"/>
  <c r="G112" i="2"/>
  <c r="I111" i="2"/>
  <c r="G111" i="2"/>
  <c r="I110" i="2"/>
  <c r="G110" i="2"/>
  <c r="I109" i="2"/>
  <c r="G109" i="2"/>
  <c r="I108" i="2"/>
  <c r="G108" i="2"/>
  <c r="I107" i="2"/>
  <c r="G107" i="2"/>
  <c r="I106" i="2"/>
  <c r="G106" i="2"/>
  <c r="I105" i="2"/>
  <c r="G105" i="2"/>
  <c r="I104" i="2"/>
  <c r="G104" i="2"/>
  <c r="I103" i="2"/>
  <c r="G103" i="2"/>
  <c r="I102" i="2"/>
  <c r="G102" i="2"/>
  <c r="I101" i="2"/>
  <c r="G101" i="2"/>
  <c r="I100" i="2"/>
  <c r="G100" i="2"/>
  <c r="I94" i="2"/>
  <c r="G94" i="2"/>
  <c r="I93" i="2"/>
  <c r="G93" i="2"/>
  <c r="I92" i="2"/>
  <c r="G92" i="2"/>
  <c r="I91" i="2"/>
  <c r="G91" i="2"/>
  <c r="I90" i="2"/>
  <c r="G90" i="2"/>
  <c r="I89" i="2"/>
  <c r="G89" i="2"/>
  <c r="I88" i="2"/>
  <c r="G88" i="2"/>
  <c r="I87" i="2"/>
  <c r="G87" i="2"/>
  <c r="I86" i="2"/>
  <c r="G86" i="2"/>
  <c r="I85" i="2"/>
  <c r="G85" i="2"/>
  <c r="I84" i="2"/>
  <c r="G84" i="2"/>
  <c r="I83" i="2"/>
  <c r="G83" i="2"/>
  <c r="I82" i="2"/>
  <c r="G82" i="2"/>
  <c r="I81" i="2"/>
  <c r="G81" i="2"/>
  <c r="I80" i="2"/>
  <c r="G80" i="2"/>
  <c r="I79" i="2"/>
  <c r="G79" i="2"/>
  <c r="I78" i="2"/>
  <c r="G78" i="2"/>
  <c r="I77" i="2"/>
  <c r="G77" i="2"/>
  <c r="I76" i="2"/>
  <c r="G76" i="2"/>
  <c r="I75" i="2"/>
  <c r="G75" i="2"/>
  <c r="I74" i="2"/>
  <c r="G74" i="2"/>
  <c r="I73" i="2"/>
  <c r="G73" i="2"/>
  <c r="I72" i="2"/>
  <c r="G72" i="2"/>
  <c r="I71" i="2"/>
  <c r="G71" i="2"/>
  <c r="I70" i="2"/>
  <c r="G70" i="2"/>
  <c r="I69" i="2"/>
  <c r="G69" i="2"/>
  <c r="I68" i="2"/>
  <c r="G68" i="2"/>
  <c r="I67" i="2"/>
  <c r="G67" i="2"/>
  <c r="I66" i="2"/>
  <c r="G66" i="2"/>
  <c r="I65" i="2"/>
  <c r="G65" i="2"/>
  <c r="I64" i="2"/>
  <c r="G64" i="2"/>
  <c r="I63" i="2"/>
  <c r="G63" i="2"/>
  <c r="I62" i="2"/>
  <c r="G62" i="2"/>
  <c r="I61" i="2"/>
  <c r="G61" i="2"/>
  <c r="I60" i="2"/>
  <c r="G60" i="2"/>
  <c r="I59" i="2"/>
  <c r="G59" i="2"/>
  <c r="I58" i="2"/>
  <c r="G58" i="2"/>
  <c r="I57" i="2"/>
  <c r="G57" i="2"/>
  <c r="I56" i="2"/>
  <c r="G56" i="2"/>
  <c r="I55" i="2"/>
  <c r="G55" i="2"/>
  <c r="I54" i="2"/>
  <c r="G54" i="2"/>
  <c r="I53" i="2"/>
  <c r="G53" i="2"/>
  <c r="I52" i="2"/>
  <c r="G52" i="2"/>
  <c r="I50" i="2"/>
  <c r="G50" i="2"/>
  <c r="I49" i="2"/>
  <c r="G49" i="2"/>
  <c r="I43" i="2"/>
  <c r="G43" i="2"/>
  <c r="I42" i="2"/>
  <c r="G42" i="2"/>
  <c r="I38" i="2"/>
  <c r="G38" i="2"/>
  <c r="I37" i="2"/>
  <c r="G37" i="2"/>
  <c r="I36" i="2"/>
  <c r="G36" i="2"/>
  <c r="I35" i="2"/>
  <c r="G35" i="2"/>
  <c r="I34" i="2"/>
  <c r="G34" i="2"/>
  <c r="I33" i="2"/>
  <c r="G33" i="2"/>
  <c r="I32" i="2"/>
  <c r="G32" i="2"/>
  <c r="I30" i="2"/>
  <c r="G30" i="2"/>
  <c r="I29" i="2"/>
  <c r="G29" i="2"/>
  <c r="I28" i="2"/>
  <c r="G28" i="2"/>
  <c r="I27" i="2"/>
  <c r="G27" i="2"/>
  <c r="I26" i="2"/>
  <c r="G26" i="2"/>
  <c r="I25" i="2"/>
  <c r="G25" i="2"/>
  <c r="I24" i="2"/>
  <c r="G24" i="2"/>
  <c r="I23" i="2"/>
  <c r="G23" i="2"/>
  <c r="I22" i="2"/>
  <c r="G22" i="2"/>
  <c r="I21" i="2"/>
  <c r="G21" i="2"/>
  <c r="I20" i="2"/>
  <c r="G20" i="2"/>
  <c r="I19" i="2"/>
  <c r="G19" i="2"/>
  <c r="I17" i="2"/>
  <c r="G17" i="2"/>
  <c r="I14" i="2"/>
  <c r="G14" i="2"/>
  <c r="I13" i="2"/>
  <c r="G13" i="2"/>
  <c r="I12" i="2"/>
  <c r="G12" i="2"/>
  <c r="I11" i="2"/>
  <c r="G11" i="2"/>
  <c r="I10" i="2"/>
  <c r="G10" i="2"/>
  <c r="A93" i="6" l="1"/>
  <c r="A94" i="6" s="1"/>
  <c r="A95" i="6" s="1"/>
  <c r="A96" i="6" s="1"/>
  <c r="A97" i="6" s="1"/>
  <c r="A98" i="6" s="1"/>
  <c r="A99" i="6" s="1"/>
  <c r="A100" i="6" s="1"/>
  <c r="A101" i="6" s="1"/>
  <c r="A102" i="6" s="1"/>
  <c r="A103" i="6" s="1"/>
  <c r="A104" i="6" s="1"/>
  <c r="A105" i="6" s="1"/>
  <c r="A106" i="6" s="1"/>
  <c r="A126" i="6"/>
  <c r="A127" i="6" s="1"/>
  <c r="A128" i="6" s="1"/>
  <c r="A129" i="6" s="1"/>
  <c r="A130" i="6" s="1"/>
  <c r="A131" i="6" s="1"/>
  <c r="A132" i="6" s="1"/>
  <c r="A133" i="6" s="1"/>
  <c r="A134" i="6" s="1"/>
  <c r="A135" i="6" s="1"/>
  <c r="A136" i="6" s="1"/>
  <c r="E176" i="5"/>
  <c r="E186" i="5" s="1"/>
  <c r="D51" i="5" s="1"/>
  <c r="I51" i="2"/>
  <c r="I48" i="2"/>
  <c r="I6" i="2" s="1"/>
  <c r="H6" i="2" s="1"/>
  <c r="G128" i="2"/>
  <c r="I99" i="2"/>
  <c r="I41" i="2"/>
  <c r="I5" i="2" s="1"/>
  <c r="G51" i="2"/>
  <c r="G48" i="2"/>
  <c r="G99" i="2"/>
  <c r="I128" i="2"/>
  <c r="G41" i="2"/>
  <c r="I124" i="6"/>
  <c r="K115" i="6"/>
  <c r="K123" i="6" s="1"/>
  <c r="K93" i="6"/>
  <c r="F188" i="5"/>
  <c r="F204" i="5"/>
  <c r="F213" i="5"/>
  <c r="F250" i="5"/>
  <c r="G250" i="5" s="1"/>
  <c r="D108" i="5" s="1"/>
  <c r="D111" i="5" s="1"/>
  <c r="A49" i="6"/>
  <c r="A50" i="6" s="1"/>
  <c r="A51" i="6" s="1"/>
  <c r="A52" i="6" s="1"/>
  <c r="A53" i="6" s="1"/>
  <c r="A54" i="6" s="1"/>
  <c r="A55" i="6" s="1"/>
  <c r="A56" i="6" s="1"/>
  <c r="A57" i="6" s="1"/>
  <c r="A58" i="6" s="1"/>
  <c r="A59" i="6" s="1"/>
  <c r="A60" i="6" s="1"/>
  <c r="A61" i="6" s="1"/>
  <c r="A30" i="6"/>
  <c r="A31" i="6" s="1"/>
  <c r="A32" i="6" s="1"/>
  <c r="A33" i="6" s="1"/>
  <c r="A34" i="6" s="1"/>
  <c r="A35" i="6" s="1"/>
  <c r="A36" i="6" s="1"/>
  <c r="A37" i="6" s="1"/>
  <c r="A38" i="6" s="1"/>
  <c r="A39" i="6" s="1"/>
  <c r="A40" i="6" s="1"/>
  <c r="A41" i="6" s="1"/>
  <c r="I19" i="6"/>
  <c r="I24" i="6" s="1"/>
  <c r="I47" i="6"/>
  <c r="I9" i="6"/>
  <c r="E215" i="5"/>
  <c r="D118" i="5"/>
  <c r="D215" i="5"/>
  <c r="C176" i="5" l="1"/>
  <c r="C186" i="5" s="1"/>
  <c r="D49" i="5" s="1"/>
  <c r="D61" i="5" s="1"/>
  <c r="F191" i="5" s="1"/>
  <c r="I7" i="2"/>
  <c r="H7" i="2" s="1"/>
  <c r="H5" i="2"/>
  <c r="E14" i="6"/>
  <c r="D197" i="5"/>
  <c r="C10" i="6"/>
  <c r="G9" i="6"/>
  <c r="E197" i="5"/>
  <c r="G14" i="6"/>
  <c r="I13" i="6"/>
  <c r="A9" i="5"/>
  <c r="K10" i="6" l="1"/>
  <c r="F176" i="5"/>
  <c r="F186" i="5" s="1"/>
  <c r="F189" i="5" s="1"/>
  <c r="I8" i="2"/>
  <c r="D42" i="5"/>
  <c r="D45" i="5" s="1"/>
  <c r="H8" i="2"/>
  <c r="D217" i="5"/>
  <c r="D220" i="5" s="1"/>
  <c r="D202" i="5"/>
  <c r="D117" i="5"/>
  <c r="H119" i="5" s="1"/>
  <c r="F50" i="5" s="1"/>
  <c r="E94" i="6"/>
  <c r="E47" i="6"/>
  <c r="E124" i="6"/>
  <c r="E19" i="6"/>
  <c r="E217" i="5"/>
  <c r="E220" i="5" s="1"/>
  <c r="D120" i="5"/>
  <c r="H122" i="5" s="1"/>
  <c r="F51" i="5" s="1"/>
  <c r="G13" i="6"/>
  <c r="G125" i="6" s="1"/>
  <c r="E6" i="7" s="1"/>
  <c r="E8" i="7" s="1"/>
  <c r="E196" i="5"/>
  <c r="G47" i="6"/>
  <c r="G48" i="6" s="1"/>
  <c r="E16" i="7" s="1"/>
  <c r="G124" i="6"/>
  <c r="G19" i="6"/>
  <c r="I20" i="6"/>
  <c r="I48" i="6"/>
  <c r="I125" i="6"/>
  <c r="A13" i="5" l="1"/>
  <c r="A14" i="5" s="1"/>
  <c r="I504" i="13"/>
  <c r="D222" i="5"/>
  <c r="D236" i="5"/>
  <c r="F55" i="5"/>
  <c r="H55" i="5" s="1"/>
  <c r="H50" i="5"/>
  <c r="F65" i="5"/>
  <c r="H65" i="5" s="1"/>
  <c r="D206" i="5"/>
  <c r="E24" i="6"/>
  <c r="E216" i="5"/>
  <c r="H51" i="5"/>
  <c r="F66" i="5"/>
  <c r="H66" i="5" s="1"/>
  <c r="E206" i="5"/>
  <c r="G24" i="6"/>
  <c r="G20" i="6"/>
  <c r="E236" i="5"/>
  <c r="E222" i="5"/>
  <c r="E198" i="5"/>
  <c r="E202" i="5" s="1"/>
  <c r="I25" i="6"/>
  <c r="A15" i="5"/>
  <c r="C93" i="5"/>
  <c r="I505" i="13" l="1"/>
  <c r="G25" i="6"/>
  <c r="E9" i="7" s="1"/>
  <c r="E205" i="5"/>
  <c r="E208" i="5" s="1"/>
  <c r="A16" i="5"/>
  <c r="C9" i="6" l="1"/>
  <c r="E10" i="7"/>
  <c r="E26" i="7" s="1"/>
  <c r="E13" i="7"/>
  <c r="E35" i="7"/>
  <c r="A17" i="5"/>
  <c r="K9" i="6" l="1"/>
  <c r="I73" i="6"/>
  <c r="C196" i="5"/>
  <c r="C216" i="5" s="1"/>
  <c r="F216" i="5" s="1"/>
  <c r="C73" i="6"/>
  <c r="G73" i="6"/>
  <c r="C7" i="9"/>
  <c r="C20" i="8"/>
  <c r="E17" i="7"/>
  <c r="E18" i="7" s="1"/>
  <c r="E28" i="7" s="1"/>
  <c r="E14" i="7"/>
  <c r="E27" i="7" s="1"/>
  <c r="A18" i="5"/>
  <c r="C18" i="5"/>
  <c r="F196" i="5" l="1"/>
  <c r="D13" i="5" s="1"/>
  <c r="K74" i="6"/>
  <c r="E24" i="7" s="1"/>
  <c r="E31" i="7" s="1"/>
  <c r="E32" i="7" s="1"/>
  <c r="E34" i="7" s="1"/>
  <c r="E36" i="7" s="1"/>
  <c r="G202" i="5"/>
  <c r="A20" i="5"/>
  <c r="D24" i="7" l="1"/>
  <c r="C6" i="9"/>
  <c r="C8" i="9" s="1"/>
  <c r="C10" i="9" s="1"/>
  <c r="C19" i="8"/>
  <c r="C21" i="8" s="1"/>
  <c r="C23" i="8" s="1"/>
  <c r="C25" i="8" s="1"/>
  <c r="C27" i="8" s="1"/>
  <c r="C6" i="8" s="1"/>
  <c r="C12" i="8" s="1"/>
  <c r="A21" i="5"/>
  <c r="C27" i="5"/>
  <c r="D31" i="7" l="1"/>
  <c r="C11" i="9"/>
  <c r="C15" i="9"/>
  <c r="A22" i="5"/>
  <c r="C28" i="5"/>
  <c r="A23" i="5" l="1"/>
  <c r="C29" i="5"/>
  <c r="A24" i="5" l="1"/>
  <c r="C30" i="5"/>
  <c r="A25" i="5" l="1"/>
  <c r="C31" i="5"/>
  <c r="C25" i="5"/>
  <c r="A27" i="5" l="1"/>
  <c r="E210" i="5"/>
  <c r="A28" i="5" l="1"/>
  <c r="A29" i="5" s="1"/>
  <c r="A30" i="5" s="1"/>
  <c r="A31" i="5" s="1"/>
  <c r="A32" i="5" s="1"/>
  <c r="C32" i="5" l="1"/>
  <c r="A34" i="5"/>
  <c r="A35" i="5" l="1"/>
  <c r="A36" i="5" s="1"/>
  <c r="A37" i="5" s="1"/>
  <c r="A38" i="5" s="1"/>
  <c r="A39" i="5" s="1"/>
  <c r="C39" i="5" l="1"/>
  <c r="A40" i="5"/>
  <c r="A42" i="5" s="1"/>
  <c r="A43" i="5" l="1"/>
  <c r="A44" i="5" s="1"/>
  <c r="A45" i="5" s="1"/>
  <c r="C45" i="5" l="1"/>
  <c r="A46" i="5"/>
  <c r="C46" i="5"/>
  <c r="A49" i="5" l="1"/>
  <c r="A50" i="5" l="1"/>
  <c r="A51" i="5" s="1"/>
  <c r="A52" i="5" s="1"/>
  <c r="A54" i="5" s="1"/>
  <c r="A55" i="5" s="1"/>
  <c r="A56" i="5" s="1"/>
  <c r="A57" i="5" s="1"/>
  <c r="A58" i="5" l="1"/>
  <c r="C99" i="5"/>
  <c r="A59" i="5" l="1"/>
  <c r="A60" i="5" s="1"/>
  <c r="A61" i="5" s="1"/>
  <c r="B157" i="5"/>
  <c r="C61" i="5" l="1"/>
  <c r="A63" i="5"/>
  <c r="E191" i="5"/>
  <c r="B154" i="5"/>
  <c r="A64" i="5" l="1"/>
  <c r="A65" i="5" s="1"/>
  <c r="A66" i="5" s="1"/>
  <c r="A67" i="5" s="1"/>
  <c r="A68" i="5" s="1"/>
  <c r="A69" i="5" s="1"/>
  <c r="C69" i="5" l="1"/>
  <c r="A72" i="5"/>
  <c r="A73" i="5" l="1"/>
  <c r="A75" i="5" s="1"/>
  <c r="A76" i="5" s="1"/>
  <c r="A77" i="5" s="1"/>
  <c r="A78" i="5" s="1"/>
  <c r="A79" i="5" s="1"/>
  <c r="C79" i="5" l="1"/>
  <c r="A81" i="5"/>
  <c r="A82" i="5" l="1"/>
  <c r="B84" i="5"/>
  <c r="A84" i="5" l="1"/>
  <c r="A85" i="5" l="1"/>
  <c r="A86" i="5" s="1"/>
  <c r="C87" i="5"/>
  <c r="A87" i="5" l="1"/>
  <c r="A88" i="5" s="1"/>
  <c r="A89" i="5" l="1"/>
  <c r="C90" i="5" s="1"/>
  <c r="C88" i="5"/>
  <c r="A90" i="5" l="1"/>
  <c r="A93" i="5" s="1"/>
  <c r="A94" i="5" s="1"/>
  <c r="A95" i="5" s="1"/>
  <c r="A96" i="5" s="1"/>
  <c r="C86" i="5"/>
  <c r="C7" i="5" l="1"/>
  <c r="C96" i="5" l="1"/>
  <c r="C97" i="5"/>
  <c r="A97" i="5"/>
  <c r="A99" i="5" l="1"/>
  <c r="C103" i="5"/>
  <c r="A100" i="5" l="1"/>
  <c r="A101" i="5" s="1"/>
  <c r="C101" i="5"/>
  <c r="A102" i="5" l="1"/>
  <c r="A103" i="5" s="1"/>
  <c r="C102" i="5"/>
  <c r="A104" i="5" l="1"/>
  <c r="A107" i="5" s="1"/>
  <c r="C104" i="5"/>
  <c r="A108" i="5" l="1"/>
  <c r="A109" i="5" s="1"/>
  <c r="A110" i="5" s="1"/>
  <c r="A111" i="5" s="1"/>
  <c r="C111" i="5" l="1"/>
  <c r="H125" i="5"/>
  <c r="A114" i="5"/>
  <c r="A115" i="5" l="1"/>
  <c r="A116" i="5" s="1"/>
  <c r="A117" i="5" s="1"/>
  <c r="C116" i="5" l="1"/>
  <c r="A118" i="5"/>
  <c r="A119" i="5" s="1"/>
  <c r="A120" i="5" s="1"/>
  <c r="A121" i="5" l="1"/>
  <c r="A122" i="5" s="1"/>
  <c r="A125" i="5" s="1"/>
  <c r="C119" i="5"/>
  <c r="A126" i="5" l="1"/>
  <c r="A127" i="5" s="1"/>
  <c r="A128" i="5" s="1"/>
  <c r="A130" i="5" s="1"/>
  <c r="C122" i="5"/>
  <c r="A133" i="5" l="1"/>
  <c r="B168" i="5" s="1"/>
  <c r="F223" i="5"/>
  <c r="C89" i="5"/>
  <c r="F125" i="5"/>
  <c r="C128" i="5"/>
  <c r="G236" i="5" l="1"/>
  <c r="A134" i="5"/>
  <c r="A135" i="5" s="1"/>
  <c r="A136" i="5" s="1"/>
  <c r="A137" i="5" s="1"/>
  <c r="A141" i="5" s="1"/>
  <c r="A142" i="5" l="1"/>
  <c r="A143" i="5" s="1"/>
  <c r="A144" i="5" s="1"/>
  <c r="B169" i="5"/>
  <c r="B83" i="5"/>
  <c r="C135" i="5"/>
  <c r="A145" i="5" l="1"/>
  <c r="A146" i="5" s="1"/>
  <c r="A147" i="5" s="1"/>
  <c r="A148" i="5" s="1"/>
  <c r="F504" i="13"/>
  <c r="F505" i="13" s="1"/>
  <c r="F5" i="30"/>
  <c r="F7" i="30" s="1"/>
  <c r="G217" i="13"/>
  <c r="G262" i="13" l="1"/>
  <c r="G504" i="13" s="1"/>
  <c r="G505" i="13" l="1"/>
  <c r="C7" i="6" s="1"/>
  <c r="C17" i="6" s="1"/>
  <c r="C13" i="6" l="1"/>
  <c r="C20" i="6" s="1"/>
  <c r="K7" i="6"/>
  <c r="C195" i="5"/>
  <c r="C215" i="5" s="1"/>
  <c r="F215" i="5" s="1"/>
  <c r="C16" i="6"/>
  <c r="C126" i="6" s="1"/>
  <c r="F6" i="7" s="1"/>
  <c r="C15" i="6"/>
  <c r="C96" i="6" s="1"/>
  <c r="K508" i="13"/>
  <c r="C8" i="6"/>
  <c r="C14" i="6" s="1"/>
  <c r="C21" i="6" l="1"/>
  <c r="C26" i="6" s="1"/>
  <c r="C49" i="6"/>
  <c r="C8" i="4" s="1"/>
  <c r="C48" i="6"/>
  <c r="K48" i="6" s="1"/>
  <c r="D16" i="7" s="1"/>
  <c r="C95" i="6"/>
  <c r="K95" i="6" s="1"/>
  <c r="D12" i="7" s="1"/>
  <c r="C97" i="6"/>
  <c r="F12" i="7" s="1"/>
  <c r="C22" i="6"/>
  <c r="C125" i="6"/>
  <c r="K125" i="6" s="1"/>
  <c r="D6" i="7" s="1"/>
  <c r="D8" i="7" s="1"/>
  <c r="K126" i="6"/>
  <c r="G7" i="29"/>
  <c r="G6" i="29"/>
  <c r="C50" i="6"/>
  <c r="D115" i="5"/>
  <c r="F195" i="5"/>
  <c r="C23" i="6"/>
  <c r="C51" i="6"/>
  <c r="C98" i="6"/>
  <c r="C127" i="6"/>
  <c r="F8" i="7"/>
  <c r="C21" i="4"/>
  <c r="K20" i="6"/>
  <c r="C205" i="5"/>
  <c r="C25" i="6"/>
  <c r="C197" i="5"/>
  <c r="C71" i="6"/>
  <c r="E71" i="6"/>
  <c r="G71" i="6"/>
  <c r="K8" i="6"/>
  <c r="K96" i="6"/>
  <c r="C7" i="4"/>
  <c r="K49" i="6" l="1"/>
  <c r="K21" i="6"/>
  <c r="F7" i="29"/>
  <c r="K7" i="29" s="1"/>
  <c r="C27" i="6"/>
  <c r="K51" i="6"/>
  <c r="G16" i="7" s="1"/>
  <c r="H7" i="31"/>
  <c r="H6" i="31"/>
  <c r="I7" i="29"/>
  <c r="K22" i="6"/>
  <c r="K97" i="6"/>
  <c r="I6" i="31"/>
  <c r="K27" i="6"/>
  <c r="F9" i="7" s="1"/>
  <c r="F35" i="7" s="1"/>
  <c r="I6" i="29"/>
  <c r="F6" i="29"/>
  <c r="K6" i="29" s="1"/>
  <c r="G19" i="29"/>
  <c r="K98" i="6"/>
  <c r="G12" i="7" s="1"/>
  <c r="I7" i="31"/>
  <c r="F7" i="31"/>
  <c r="K7" i="31" s="1"/>
  <c r="F6" i="31"/>
  <c r="K6" i="31" s="1"/>
  <c r="K127" i="6"/>
  <c r="G6" i="7" s="1"/>
  <c r="G8" i="7" s="1"/>
  <c r="G7" i="31"/>
  <c r="G6" i="31"/>
  <c r="K50" i="6"/>
  <c r="F16" i="7" s="1"/>
  <c r="H7" i="29"/>
  <c r="H6" i="29"/>
  <c r="C28" i="6"/>
  <c r="K23" i="6"/>
  <c r="F10" i="7"/>
  <c r="F26" i="7" s="1"/>
  <c r="K25" i="6"/>
  <c r="D9" i="7" s="1"/>
  <c r="D10" i="7" s="1"/>
  <c r="D26" i="7" s="1"/>
  <c r="F197" i="5"/>
  <c r="D14" i="5" s="1"/>
  <c r="D114" i="5"/>
  <c r="H116" i="5" s="1"/>
  <c r="F49" i="5" s="1"/>
  <c r="C217" i="5"/>
  <c r="C198" i="5"/>
  <c r="C202" i="5" s="1"/>
  <c r="F202" i="5" s="1"/>
  <c r="F205" i="5"/>
  <c r="K26" i="6"/>
  <c r="C13" i="4"/>
  <c r="C124" i="6"/>
  <c r="K124" i="6" s="1"/>
  <c r="C6" i="7" s="1"/>
  <c r="C8" i="7" s="1"/>
  <c r="C19" i="6"/>
  <c r="C94" i="6"/>
  <c r="K94" i="6" s="1"/>
  <c r="C12" i="7" s="1"/>
  <c r="C47" i="6"/>
  <c r="K47" i="6" s="1"/>
  <c r="C16" i="7" s="1"/>
  <c r="K72" i="6"/>
  <c r="F13" i="7" l="1"/>
  <c r="I19" i="29"/>
  <c r="K19" i="29"/>
  <c r="I19" i="31"/>
  <c r="H19" i="29"/>
  <c r="F19" i="29"/>
  <c r="G19" i="31"/>
  <c r="F19" i="31"/>
  <c r="K19" i="31"/>
  <c r="H19" i="31"/>
  <c r="K28" i="6"/>
  <c r="G9" i="7" s="1"/>
  <c r="D35" i="7"/>
  <c r="F17" i="7"/>
  <c r="F18" i="7" s="1"/>
  <c r="F14" i="7"/>
  <c r="D13" i="7"/>
  <c r="D17" i="7" s="1"/>
  <c r="D18" i="7" s="1"/>
  <c r="D28" i="7" s="1"/>
  <c r="F217" i="5"/>
  <c r="C220" i="5"/>
  <c r="D20" i="5"/>
  <c r="H49" i="5"/>
  <c r="F54" i="5"/>
  <c r="H54" i="5" s="1"/>
  <c r="F64" i="5"/>
  <c r="H64" i="5" s="1"/>
  <c r="C24" i="7"/>
  <c r="C12" i="4"/>
  <c r="C14" i="4" s="1"/>
  <c r="C16" i="4" s="1"/>
  <c r="C206" i="5"/>
  <c r="K19" i="6"/>
  <c r="C24" i="6"/>
  <c r="K24" i="6" s="1"/>
  <c r="C9" i="7" s="1"/>
  <c r="C218" i="5"/>
  <c r="F218" i="5" s="1"/>
  <c r="F198" i="5"/>
  <c r="D15" i="5" s="1"/>
  <c r="D18" i="5" s="1"/>
  <c r="H93" i="5"/>
  <c r="G10" i="7" l="1"/>
  <c r="G13" i="7"/>
  <c r="G35" i="7"/>
  <c r="F27" i="7"/>
  <c r="F28" i="7"/>
  <c r="D14" i="32"/>
  <c r="D8" i="5" s="1"/>
  <c r="G11" i="32"/>
  <c r="G14" i="32" s="1"/>
  <c r="H8" i="5" s="1"/>
  <c r="D14" i="7"/>
  <c r="C31" i="7"/>
  <c r="F24" i="7"/>
  <c r="C35" i="7"/>
  <c r="C13" i="7"/>
  <c r="C10" i="7"/>
  <c r="C26" i="7" s="1"/>
  <c r="H96" i="5"/>
  <c r="H97" i="5" s="1"/>
  <c r="H103" i="5" s="1"/>
  <c r="C17" i="4"/>
  <c r="C19" i="4" s="1"/>
  <c r="D27" i="5"/>
  <c r="F206" i="5"/>
  <c r="C207" i="5"/>
  <c r="F207" i="5" s="1"/>
  <c r="D22" i="5" s="1"/>
  <c r="D29" i="5" s="1"/>
  <c r="C222" i="5"/>
  <c r="F222" i="5" s="1"/>
  <c r="C236" i="5"/>
  <c r="F236" i="5" s="1"/>
  <c r="D133" i="5" s="1"/>
  <c r="D135" i="5" s="1"/>
  <c r="J7" i="29" l="1"/>
  <c r="J6" i="29"/>
  <c r="L6" i="29" s="1"/>
  <c r="M6" i="29" s="1"/>
  <c r="J7" i="31"/>
  <c r="L7" i="31" s="1"/>
  <c r="M7" i="31" s="1"/>
  <c r="D27" i="7"/>
  <c r="D32" i="7" s="1"/>
  <c r="D34" i="7" s="1"/>
  <c r="D36" i="7" s="1"/>
  <c r="G14" i="7"/>
  <c r="G27" i="7" s="1"/>
  <c r="G17" i="7"/>
  <c r="G18" i="7" s="1"/>
  <c r="G28" i="7" s="1"/>
  <c r="G26" i="7"/>
  <c r="J6" i="31"/>
  <c r="L6" i="31" s="1"/>
  <c r="M6" i="31" s="1"/>
  <c r="F31" i="7"/>
  <c r="F32" i="7" s="1"/>
  <c r="G24" i="7"/>
  <c r="G31" i="7" s="1"/>
  <c r="C208" i="5"/>
  <c r="E135" i="5"/>
  <c r="E134" i="5"/>
  <c r="H134" i="5" s="1"/>
  <c r="E133" i="5"/>
  <c r="H104" i="5"/>
  <c r="E108" i="5"/>
  <c r="F108" i="5" s="1"/>
  <c r="F111" i="5" s="1"/>
  <c r="H111" i="5" s="1"/>
  <c r="F21" i="5"/>
  <c r="F14" i="5"/>
  <c r="H14" i="5" s="1"/>
  <c r="C17" i="7"/>
  <c r="C18" i="7" s="1"/>
  <c r="C28" i="7" s="1"/>
  <c r="C14" i="7"/>
  <c r="C27" i="7" s="1"/>
  <c r="F238" i="5"/>
  <c r="D130" i="5"/>
  <c r="F133" i="5" s="1"/>
  <c r="D21" i="5"/>
  <c r="F208" i="5"/>
  <c r="M19" i="31" l="1"/>
  <c r="L7" i="29"/>
  <c r="M7" i="29" s="1"/>
  <c r="F34" i="7"/>
  <c r="F36" i="7" s="1"/>
  <c r="L19" i="31"/>
  <c r="G32" i="7"/>
  <c r="C32" i="7"/>
  <c r="C34" i="7" s="1"/>
  <c r="C36" i="7" s="1"/>
  <c r="F16" i="5"/>
  <c r="F57" i="5"/>
  <c r="H57" i="5" s="1"/>
  <c r="F56" i="5"/>
  <c r="H56" i="5" s="1"/>
  <c r="H126" i="5"/>
  <c r="I124" i="5" s="1"/>
  <c r="F67" i="5"/>
  <c r="F40" i="5"/>
  <c r="H40" i="5" s="1"/>
  <c r="H21" i="5"/>
  <c r="D28" i="5"/>
  <c r="D32" i="5" s="1"/>
  <c r="D46" i="5" s="1"/>
  <c r="D25" i="5"/>
  <c r="F210" i="5" s="1"/>
  <c r="H133" i="5"/>
  <c r="H135" i="5" s="1"/>
  <c r="F43" i="5"/>
  <c r="H43" i="5" s="1"/>
  <c r="F58" i="5"/>
  <c r="H58" i="5" s="1"/>
  <c r="L19" i="29" l="1"/>
  <c r="M19" i="29"/>
  <c r="D26" i="32" s="1"/>
  <c r="G34" i="7"/>
  <c r="G36" i="7" s="1"/>
  <c r="D19" i="32"/>
  <c r="G19" i="32" s="1"/>
  <c r="F72" i="5"/>
  <c r="H67" i="5"/>
  <c r="F23" i="5"/>
  <c r="H23" i="5" s="1"/>
  <c r="H16" i="5"/>
  <c r="F59" i="5"/>
  <c r="F17" i="5"/>
  <c r="D89" i="5"/>
  <c r="H137" i="5"/>
  <c r="D82" i="5"/>
  <c r="H28" i="5"/>
  <c r="F22" i="32" l="1"/>
  <c r="G22" i="32" s="1"/>
  <c r="G24" i="32" s="1"/>
  <c r="G26" i="32"/>
  <c r="F29" i="32" s="1"/>
  <c r="G29" i="32" s="1"/>
  <c r="G31" i="32" s="1"/>
  <c r="D86" i="5"/>
  <c r="D88" i="5" s="1"/>
  <c r="D90" i="5" s="1"/>
  <c r="H17" i="5"/>
  <c r="H18" i="5" s="1"/>
  <c r="F18" i="5" s="1"/>
  <c r="F24" i="5"/>
  <c r="H24" i="5" s="1"/>
  <c r="H25" i="5" s="1"/>
  <c r="H30" i="5"/>
  <c r="H59" i="5"/>
  <c r="H61" i="5" s="1"/>
  <c r="F68" i="5"/>
  <c r="H68" i="5" s="1"/>
  <c r="H69" i="5" s="1"/>
  <c r="F73" i="5"/>
  <c r="H73" i="5" s="1"/>
  <c r="H72" i="5"/>
  <c r="G33" i="32" l="1"/>
  <c r="H31" i="5"/>
  <c r="H32" i="5" s="1"/>
  <c r="F32" i="5" s="1"/>
  <c r="F87" i="5" s="1"/>
  <c r="H87" i="5" s="1"/>
  <c r="F75" i="5"/>
  <c r="F44" i="5"/>
  <c r="H44" i="5" s="1"/>
  <c r="H45" i="5" s="1"/>
  <c r="F35" i="5" l="1"/>
  <c r="F36" i="5" s="1"/>
  <c r="H75" i="5"/>
  <c r="F77" i="5"/>
  <c r="H35" i="5" l="1"/>
  <c r="H36" i="5"/>
  <c r="F38" i="5"/>
  <c r="H38" i="5" s="1"/>
  <c r="F37" i="5"/>
  <c r="H37" i="5" s="1"/>
  <c r="H77" i="5"/>
  <c r="F78" i="5"/>
  <c r="H78" i="5" s="1"/>
  <c r="H79" i="5" l="1"/>
  <c r="H39" i="5"/>
  <c r="H46" i="5" s="1"/>
  <c r="H89" i="5" s="1"/>
  <c r="H86" i="5" s="1"/>
  <c r="H88" i="5" s="1"/>
  <c r="H90" i="5" l="1"/>
  <c r="H7" i="5" l="1"/>
  <c r="D7" i="5"/>
  <c r="D10" i="5" s="1"/>
  <c r="H10" i="5" l="1"/>
  <c r="G6" i="32"/>
  <c r="G16" i="32"/>
</calcChain>
</file>

<file path=xl/comments1.xml><?xml version="1.0" encoding="utf-8"?>
<comments xmlns="http://schemas.openxmlformats.org/spreadsheetml/2006/main">
  <authors>
    <author>Baker, Sara</author>
    <author>Linda Cady-Hoffman</author>
  </authors>
  <commentList>
    <comment ref="I18" authorId="0" shapeId="0">
      <text>
        <r>
          <rPr>
            <b/>
            <sz val="9"/>
            <color indexed="81"/>
            <rFont val="Tahoma"/>
            <family val="2"/>
          </rPr>
          <t>Baker, Sara:</t>
        </r>
        <r>
          <rPr>
            <sz val="9"/>
            <color indexed="81"/>
            <rFont val="Tahoma"/>
            <family val="2"/>
          </rPr>
          <t xml:space="preserve">
Per call 4/1/19 w/ CSO Finance, using Combos for BOR data</t>
        </r>
      </text>
    </comment>
    <comment ref="C119" authorId="1" shapeId="0">
      <text>
        <r>
          <rPr>
            <sz val="8"/>
            <color indexed="81"/>
            <rFont val="Tahoma"/>
            <family val="2"/>
          </rPr>
          <t>Estimates from budget tables</t>
        </r>
      </text>
    </comment>
  </commentList>
</comments>
</file>

<file path=xl/comments2.xml><?xml version="1.0" encoding="utf-8"?>
<comments xmlns="http://schemas.openxmlformats.org/spreadsheetml/2006/main">
  <authors>
    <author>Baker, Sara</author>
  </authors>
  <commentList>
    <comment ref="F52" authorId="0" shapeId="0">
      <text>
        <r>
          <rPr>
            <b/>
            <sz val="9"/>
            <color indexed="81"/>
            <rFont val="Tahoma"/>
            <family val="2"/>
          </rPr>
          <t>Baker, Sara:</t>
        </r>
        <r>
          <rPr>
            <sz val="9"/>
            <color indexed="81"/>
            <rFont val="Tahoma"/>
            <family val="2"/>
          </rPr>
          <t xml:space="preserve">
This is listed as SDMO HU FR and also has fiber optic, so may not be on correct line for estimate, unable to tell at this time.</t>
        </r>
      </text>
    </comment>
  </commentList>
</comments>
</file>

<file path=xl/sharedStrings.xml><?xml version="1.0" encoding="utf-8"?>
<sst xmlns="http://schemas.openxmlformats.org/spreadsheetml/2006/main" count="6021" uniqueCount="2644">
  <si>
    <t>Line No.</t>
  </si>
  <si>
    <t>FID</t>
  </si>
  <si>
    <t>DESCRIPTION</t>
  </si>
  <si>
    <t>NOTES</t>
  </si>
  <si>
    <t>TL</t>
  </si>
  <si>
    <t>AUR BR</t>
  </si>
  <si>
    <t>AURORA- BROOKINGS 115-KV T/L</t>
  </si>
  <si>
    <t>E</t>
  </si>
  <si>
    <t>AUR FL</t>
  </si>
  <si>
    <t>AURORA-FLANDREAU 115-KV T/L</t>
  </si>
  <si>
    <t>BK HET</t>
  </si>
  <si>
    <t>BAKER-HETTINGER</t>
  </si>
  <si>
    <t>BU GA</t>
  </si>
  <si>
    <t>BEULAH-GARRISON</t>
  </si>
  <si>
    <t>BS GH</t>
  </si>
  <si>
    <t>BISMARCK-GLENHAM</t>
  </si>
  <si>
    <t>BS JT 1</t>
  </si>
  <si>
    <t>BISMARCK-JAMESTOWN NO. 1</t>
  </si>
  <si>
    <t>BS JT 2</t>
  </si>
  <si>
    <t>BISMARCK-JAMESTOWN NO. 2</t>
  </si>
  <si>
    <t>BS MDR</t>
  </si>
  <si>
    <t>BISMARCK-MEDORA</t>
  </si>
  <si>
    <t>BR SF</t>
  </si>
  <si>
    <t>BROOKINGS-SIOUX FALLS</t>
  </si>
  <si>
    <t>BR WT 1</t>
  </si>
  <si>
    <t>BROOKINGS-WATERTOWN NO. 1</t>
  </si>
  <si>
    <t>BR WT 2</t>
  </si>
  <si>
    <t>BROOKINGS-WATERTOWN NO. 2</t>
  </si>
  <si>
    <t>BR WHT</t>
  </si>
  <si>
    <t>BROOKINGS-WHITE 115/230KV</t>
  </si>
  <si>
    <t>CF EH A</t>
  </si>
  <si>
    <t>CANYON FERRY-EAST HELENA "A"</t>
  </si>
  <si>
    <t>W</t>
  </si>
  <si>
    <t>CF EH B</t>
  </si>
  <si>
    <t>CANYON FERRY-EAST HELENA "B"</t>
  </si>
  <si>
    <t>CA JT</t>
  </si>
  <si>
    <t>CARRINGTON-JAMESTOWN</t>
  </si>
  <si>
    <t>WC BU</t>
  </si>
  <si>
    <t>CHARLIE CREEK - WATFORD CITY</t>
  </si>
  <si>
    <t>CCRBEF</t>
  </si>
  <si>
    <t>CHARLIE CREEK-BELFIELD</t>
  </si>
  <si>
    <t>CONSH2</t>
  </si>
  <si>
    <t>CONRAD-SHELBY #2</t>
  </si>
  <si>
    <t>CS MY</t>
  </si>
  <si>
    <t>CRESTON-MARYVILLE</t>
  </si>
  <si>
    <t>DC MC</t>
  </si>
  <si>
    <t>DAWSON COUNTY - MILES CITY</t>
  </si>
  <si>
    <t>DC GL</t>
  </si>
  <si>
    <t>DAWSON-GLENDIVE</t>
  </si>
  <si>
    <t>DC MDR</t>
  </si>
  <si>
    <t>DAWSON-MEDORA</t>
  </si>
  <si>
    <t>DC OF</t>
  </si>
  <si>
    <t>DAWSON-O'FALLON CREEK</t>
  </si>
  <si>
    <t>DC WN</t>
  </si>
  <si>
    <t>DAWSON-WILLISTON</t>
  </si>
  <si>
    <t>DN CS</t>
  </si>
  <si>
    <t>DENISON-CRESTON</t>
  </si>
  <si>
    <t xml:space="preserve">DL CA </t>
  </si>
  <si>
    <t>DEVILS LAKE-CARRINGTON</t>
  </si>
  <si>
    <t>DL LA</t>
  </si>
  <si>
    <t>DEVILS LAKE-LAKOTA</t>
  </si>
  <si>
    <t>ED FO</t>
  </si>
  <si>
    <t>EDGELEY-FORMAN</t>
  </si>
  <si>
    <t>ED GR</t>
  </si>
  <si>
    <t>EDGELEY-GROTON</t>
  </si>
  <si>
    <t>ELCMA</t>
  </si>
  <si>
    <t>ELK CREEK-NEWELL-MAURINE 115-kV T/L</t>
  </si>
  <si>
    <t>FA GK</t>
  </si>
  <si>
    <t>FARGO-GRAND FORKS</t>
  </si>
  <si>
    <t>FA MO</t>
  </si>
  <si>
    <t>FARGO-MORRIS</t>
  </si>
  <si>
    <t>FO SU D</t>
  </si>
  <si>
    <t>FORMAN-SUMMIT (BISMARCK)</t>
  </si>
  <si>
    <t>FO SU C</t>
  </si>
  <si>
    <t>FORMAN-SUMMIT (HURON)</t>
  </si>
  <si>
    <t>FP DC 1</t>
  </si>
  <si>
    <t>FORT PECK-DAWSON 1</t>
  </si>
  <si>
    <t>FP DC 2</t>
  </si>
  <si>
    <t>FORT PECK-DAWSON 2</t>
  </si>
  <si>
    <t>FP HV</t>
  </si>
  <si>
    <t>FORT PECK-HAVRE</t>
  </si>
  <si>
    <t>FP WH</t>
  </si>
  <si>
    <t>FORT PECK-WHATELY</t>
  </si>
  <si>
    <t>FP WN</t>
  </si>
  <si>
    <t>FORT PECK-WILLISTON</t>
  </si>
  <si>
    <t>FP WP 2</t>
  </si>
  <si>
    <t>FORT PECK-WOLF POINT #2</t>
  </si>
  <si>
    <t>FR FT D</t>
  </si>
  <si>
    <t>FORT RANDALL-FORT THOMPSON 1&amp;2</t>
  </si>
  <si>
    <t>FR GP</t>
  </si>
  <si>
    <t>FORT RANDALL-GAVIN'S POINT</t>
  </si>
  <si>
    <t>FR GY</t>
  </si>
  <si>
    <t>FORT RANDALL-GREGORY</t>
  </si>
  <si>
    <t>FR MV</t>
  </si>
  <si>
    <t>FORT RANDALL-MT VERNON</t>
  </si>
  <si>
    <t>FR ON</t>
  </si>
  <si>
    <t>FORT RANDALL-O'NEILL</t>
  </si>
  <si>
    <t>FR SC D</t>
  </si>
  <si>
    <t>FORT RANDALL-SIOUX CITY 1&amp;2</t>
  </si>
  <si>
    <t>FT GI</t>
  </si>
  <si>
    <t>FORT THOMPSON-GRAND ISLAND</t>
  </si>
  <si>
    <t>FT HU D</t>
  </si>
  <si>
    <t>FORT THOMPSON-HURON 230-KV 1&amp;2</t>
  </si>
  <si>
    <t>FT SF D</t>
  </si>
  <si>
    <t>FORT THOMPSON-SIOUX FALLS 1&amp;2</t>
  </si>
  <si>
    <t>GA BS D</t>
  </si>
  <si>
    <t>GARRISON-BISMARCK 230KV 1&amp;2</t>
  </si>
  <si>
    <t>GA JT</t>
  </si>
  <si>
    <t>GARRISON-JAMESTOWN</t>
  </si>
  <si>
    <t>GA ML</t>
  </si>
  <si>
    <t>GARRISON-MALLARD</t>
  </si>
  <si>
    <t>GA WJ</t>
  </si>
  <si>
    <t>GARRISON-WM. J. NEAL</t>
  </si>
  <si>
    <t>GP BN</t>
  </si>
  <si>
    <t>GAVINS POINT-BELDEN</t>
  </si>
  <si>
    <t xml:space="preserve">GP SF </t>
  </si>
  <si>
    <t>GAVINS POINT-SIOUX FALLS</t>
  </si>
  <si>
    <t>GF MO</t>
  </si>
  <si>
    <t>GRANITE FALLS- MORRIS</t>
  </si>
  <si>
    <t>GF MNV</t>
  </si>
  <si>
    <t>GRANITE FALLS-MINNESOTA VALLEY</t>
  </si>
  <si>
    <t>GTFCON</t>
  </si>
  <si>
    <t>GREAT FALLS-CONRAD</t>
  </si>
  <si>
    <t>GY MS</t>
  </si>
  <si>
    <t>GREGORY-MISSION</t>
  </si>
  <si>
    <t>GR HU</t>
  </si>
  <si>
    <t>GROTON-HURON</t>
  </si>
  <si>
    <t>GR SU</t>
  </si>
  <si>
    <t>GROTON-SUMMIT</t>
  </si>
  <si>
    <t>HV RB</t>
  </si>
  <si>
    <t>HAVRE-RAINBOW</t>
  </si>
  <si>
    <t>HV SH2</t>
  </si>
  <si>
    <t>HAVRE-SHELBY#2</t>
  </si>
  <si>
    <t>HE DV</t>
  </si>
  <si>
    <t>HESKETT-DEVAUL</t>
  </si>
  <si>
    <t>HETNU</t>
  </si>
  <si>
    <t>HETTINGER-NEW UNDERWOOD</t>
  </si>
  <si>
    <t>HU MV</t>
  </si>
  <si>
    <t>HURON-MT VERNON</t>
  </si>
  <si>
    <t>HU WT D</t>
  </si>
  <si>
    <t>HURON-WATERTOWN 230KV 1&amp;3</t>
  </si>
  <si>
    <t>JT ED</t>
  </si>
  <si>
    <t>JAMESTOWN-EDGELEY</t>
  </si>
  <si>
    <t xml:space="preserve">JT FA 1 </t>
  </si>
  <si>
    <t>JAMESTOWN-FARGO NO. 1</t>
  </si>
  <si>
    <t>JT FA 2</t>
  </si>
  <si>
    <t>JAMESTOWN-FARGO NO. 2</t>
  </si>
  <si>
    <t>JT GK</t>
  </si>
  <si>
    <t>JAMESTOWN-GRAND FORKS</t>
  </si>
  <si>
    <t>JT VC</t>
  </si>
  <si>
    <t>JAMESTOWN-VALLEY CITY</t>
  </si>
  <si>
    <t>LE DL</t>
  </si>
  <si>
    <t>LEEDS-DEVILS LAKE</t>
  </si>
  <si>
    <t xml:space="preserve">LE RL </t>
  </si>
  <si>
    <t>LEEDS-ROLLA</t>
  </si>
  <si>
    <t>ML RG</t>
  </si>
  <si>
    <t>MALLARD-RUGBY</t>
  </si>
  <si>
    <t>MR MS</t>
  </si>
  <si>
    <t>MARTIN-MISSION</t>
  </si>
  <si>
    <t>MR PL</t>
  </si>
  <si>
    <t>MARTIN-PHILIP</t>
  </si>
  <si>
    <t>MA RC</t>
  </si>
  <si>
    <t>MAURINE-RAPID CITY</t>
  </si>
  <si>
    <t>MC BK</t>
  </si>
  <si>
    <t>MILES CITY-BAKER</t>
  </si>
  <si>
    <t>MC CU</t>
  </si>
  <si>
    <t>MILES CITY-CUSTER</t>
  </si>
  <si>
    <t>NU PL</t>
  </si>
  <si>
    <t>NEW UNDERWOOD-PHILIP</t>
  </si>
  <si>
    <t>NU RC 1</t>
  </si>
  <si>
    <t>NEW UNDERWOOD-RAPID CITY NO. 1</t>
  </si>
  <si>
    <t>NU RC 2</t>
  </si>
  <si>
    <t>NEW UNDERWOOD-RAPID CITY NO. 2</t>
  </si>
  <si>
    <t>NU SG C</t>
  </si>
  <si>
    <t>NEW UNDERWOOD-STEGALL (HURON)</t>
  </si>
  <si>
    <t>OA FT N</t>
  </si>
  <si>
    <t>OAHE-FORT THOMPSON 230KV 1&amp;2</t>
  </si>
  <si>
    <t>OA FT S</t>
  </si>
  <si>
    <t>OAHE-FORT THOMPSON 230KV 3&amp;4</t>
  </si>
  <si>
    <t>OA GH</t>
  </si>
  <si>
    <t>OAHE-GLENHAM</t>
  </si>
  <si>
    <t>OA MA</t>
  </si>
  <si>
    <t>OAHE-MAURINE</t>
  </si>
  <si>
    <t>OA NU</t>
  </si>
  <si>
    <t>OAHE-NEW UNDERWOOD</t>
  </si>
  <si>
    <t>OA PI</t>
  </si>
  <si>
    <t>OAHE-PIERRE</t>
  </si>
  <si>
    <t>OF MC</t>
  </si>
  <si>
    <t>O'FALLON CREEK-MILES CITY</t>
  </si>
  <si>
    <t>PI PL</t>
  </si>
  <si>
    <t>PIERRE-PHILIP</t>
  </si>
  <si>
    <t>ELCRC</t>
  </si>
  <si>
    <t>RAPID CITY-ELK CREEK 115-kV T/L</t>
  </si>
  <si>
    <t>RG LE</t>
  </si>
  <si>
    <t>RUGBY-LEEDS</t>
  </si>
  <si>
    <t>SHELBY-SHELBY #2</t>
  </si>
  <si>
    <t>SC DN</t>
  </si>
  <si>
    <t>SIOUX CITY-DENISON</t>
  </si>
  <si>
    <t>SC SP</t>
  </si>
  <si>
    <t>SIOUX CITY-SPENCER</t>
  </si>
  <si>
    <t>SC SF</t>
  </si>
  <si>
    <t>SIOUX FALLS- SIOUX CITY</t>
  </si>
  <si>
    <t>SF VFO</t>
  </si>
  <si>
    <t>SIOUX FALLS-VIRGIL FODNESS 230KV T-LINE</t>
  </si>
  <si>
    <t>SU WT</t>
  </si>
  <si>
    <t>SUMMIT-WATERTOWN</t>
  </si>
  <si>
    <t>TT TI</t>
  </si>
  <si>
    <t>TIBER TAP-TIBER</t>
  </si>
  <si>
    <t>UJ SF</t>
  </si>
  <si>
    <t>UTICA JCT-SIOUX FALLS</t>
  </si>
  <si>
    <t>VC FO</t>
  </si>
  <si>
    <t>VALLEY CITY-FORMAN</t>
  </si>
  <si>
    <t>VR GTF</t>
  </si>
  <si>
    <t>VERONA GREAT FALLS 161-kV LINE</t>
  </si>
  <si>
    <t>UJ VFO</t>
  </si>
  <si>
    <t>VIRGIL FODNESS-UTICA JUNCTION-FT RANDALL/RASMUS</t>
  </si>
  <si>
    <t>WT GF D</t>
  </si>
  <si>
    <t>WATERTOWN-GRANITE FALLS 1&amp;2</t>
  </si>
  <si>
    <t>WT SC</t>
  </si>
  <si>
    <t>WATERTOWN-SIOUX CITY</t>
  </si>
  <si>
    <t>WATFORD CITY-BEULAH</t>
  </si>
  <si>
    <t>WN WC</t>
  </si>
  <si>
    <t>WILLISTON-WATFORD CITY</t>
  </si>
  <si>
    <t>WP CR</t>
  </si>
  <si>
    <t>WOLF POINT-CIRCLE</t>
  </si>
  <si>
    <t>WJ RG</t>
  </si>
  <si>
    <t>WM. J. NEAL-RUGBY</t>
  </si>
  <si>
    <t>YT CU</t>
  </si>
  <si>
    <t>YELLOWTAIL-CUSTER</t>
  </si>
  <si>
    <t>TL Total</t>
  </si>
  <si>
    <t>TRANSMISSION LINES</t>
  </si>
  <si>
    <t>SUB</t>
  </si>
  <si>
    <t>APD</t>
  </si>
  <si>
    <t>APPELDORN SUBSTATION</t>
  </si>
  <si>
    <t>AR</t>
  </si>
  <si>
    <t>ARMOUR SUBSTATION</t>
  </si>
  <si>
    <t xml:space="preserve"> </t>
  </si>
  <si>
    <t>AHS</t>
  </si>
  <si>
    <t>ASH SUBSTATION</t>
  </si>
  <si>
    <t>AUR</t>
  </si>
  <si>
    <t>AURORA SUBSTATION</t>
  </si>
  <si>
    <t>BN</t>
  </si>
  <si>
    <t>BELDEN SUBSTATION</t>
  </si>
  <si>
    <t>BEF</t>
  </si>
  <si>
    <t>BELFIELD SUBSTATION</t>
  </si>
  <si>
    <t xml:space="preserve">BE </t>
  </si>
  <si>
    <t>BERESFORD SUBSTATION</t>
  </si>
  <si>
    <t>BB</t>
  </si>
  <si>
    <t>BISBEE SUBSTATION</t>
  </si>
  <si>
    <t>BS</t>
  </si>
  <si>
    <t>BISMARK SUBSTATION</t>
  </si>
  <si>
    <t>BI</t>
  </si>
  <si>
    <t xml:space="preserve">BISON  </t>
  </si>
  <si>
    <t>BOL</t>
  </si>
  <si>
    <t>BOLE SUB</t>
  </si>
  <si>
    <t xml:space="preserve">BO </t>
  </si>
  <si>
    <t>BONESTEEL SUBSTATION</t>
  </si>
  <si>
    <t>BR</t>
  </si>
  <si>
    <t>BROOKINGS SUBSTATION</t>
  </si>
  <si>
    <t>CRP</t>
  </si>
  <si>
    <t>CARPENTER SUBSTATION</t>
  </si>
  <si>
    <t xml:space="preserve">CA </t>
  </si>
  <si>
    <t>CARRINGTON SUBSTATION</t>
  </si>
  <si>
    <t>CR</t>
  </si>
  <si>
    <t>CIRCLE SUBSTATION</t>
  </si>
  <si>
    <t>CON</t>
  </si>
  <si>
    <t>CONRAD SUB</t>
  </si>
  <si>
    <t>CS</t>
  </si>
  <si>
    <t>CRESTON SUBSTATION</t>
  </si>
  <si>
    <t>CRO</t>
  </si>
  <si>
    <t>CROSSOVER SUB</t>
  </si>
  <si>
    <t>CQE</t>
  </si>
  <si>
    <t>CULBERTSON EAST SWITCHING STATION</t>
  </si>
  <si>
    <t>CU</t>
  </si>
  <si>
    <t>CUSTER SUBSTATION</t>
  </si>
  <si>
    <t>CT</t>
  </si>
  <si>
    <t>CUSTER TRAIL SUBSTATION</t>
  </si>
  <si>
    <t>DC</t>
  </si>
  <si>
    <t>DAWSON COUNTY SUBSTATION</t>
  </si>
  <si>
    <t>DN</t>
  </si>
  <si>
    <t>DENISON SUBSTATION</t>
  </si>
  <si>
    <t>DV</t>
  </si>
  <si>
    <t>DEVAUL SUBSTATION</t>
  </si>
  <si>
    <t>DL</t>
  </si>
  <si>
    <t>DEVILS LAKE SUBSTATION</t>
  </si>
  <si>
    <t>EB</t>
  </si>
  <si>
    <t>EAGLE BUTTE SUBSTATION</t>
  </si>
  <si>
    <t>ED</t>
  </si>
  <si>
    <t>EDGELEY SUBSTATION</t>
  </si>
  <si>
    <t>ELC</t>
  </si>
  <si>
    <t>ELK CREEK SUBSTATION</t>
  </si>
  <si>
    <t xml:space="preserve">EL </t>
  </si>
  <si>
    <t>ELLENDALE SUBSTATION</t>
  </si>
  <si>
    <t>ELI</t>
  </si>
  <si>
    <t>ELLIOTT SWITCHING STATION</t>
  </si>
  <si>
    <t>END</t>
  </si>
  <si>
    <t>ENDERLIN TAP STATION</t>
  </si>
  <si>
    <t>EXI</t>
  </si>
  <si>
    <t>EXIRA SWITCHING STATION</t>
  </si>
  <si>
    <t>FVW</t>
  </si>
  <si>
    <t>FAIRVIEW WEST SWITCHING STATION</t>
  </si>
  <si>
    <t>FH</t>
  </si>
  <si>
    <t>FAITH SUBSTATION</t>
  </si>
  <si>
    <t>FA</t>
  </si>
  <si>
    <t>FARGO SUBSTATION</t>
  </si>
  <si>
    <t>FL</t>
  </si>
  <si>
    <t>FLANDREAU SUBSTATION</t>
  </si>
  <si>
    <t>FO</t>
  </si>
  <si>
    <t>FORMAN SUBSTATION</t>
  </si>
  <si>
    <t>FR</t>
  </si>
  <si>
    <t>FORT RANDALL</t>
  </si>
  <si>
    <t>FT2</t>
  </si>
  <si>
    <t>FORT THOMPSON #2</t>
  </si>
  <si>
    <t>FT</t>
  </si>
  <si>
    <t>FORT THOMPSON SUBSTATION</t>
  </si>
  <si>
    <t>GL</t>
  </si>
  <si>
    <t>GLENDIVE SUBSTATION</t>
  </si>
  <si>
    <t>GK</t>
  </si>
  <si>
    <t>GRAND FORKS SUBSTATION</t>
  </si>
  <si>
    <t>GI</t>
  </si>
  <si>
    <t>GRAND ISLAND SUBSTATION</t>
  </si>
  <si>
    <t>GF</t>
  </si>
  <si>
    <t>GRANITE FALLS SUBSTATION</t>
  </si>
  <si>
    <t>GTF</t>
  </si>
  <si>
    <t xml:space="preserve">GREAT FALLS SUB </t>
  </si>
  <si>
    <t>GY</t>
  </si>
  <si>
    <t>GREGORY SUBSTATION</t>
  </si>
  <si>
    <t>GR</t>
  </si>
  <si>
    <t>GROTON SUBSTATION</t>
  </si>
  <si>
    <t>HV</t>
  </si>
  <si>
    <t>HAVRE SUBSTATION</t>
  </si>
  <si>
    <t>HLK</t>
  </si>
  <si>
    <t>HILKEN SUSTATION</t>
  </si>
  <si>
    <t>HU</t>
  </si>
  <si>
    <t>HURON SUBSTATION</t>
  </si>
  <si>
    <t xml:space="preserve">JT </t>
  </si>
  <si>
    <t>JAMESTOWN SUBSTATION</t>
  </si>
  <si>
    <t>KD</t>
  </si>
  <si>
    <t>KILLDEER SUBSTATION</t>
  </si>
  <si>
    <t>LA</t>
  </si>
  <si>
    <t>LAKOTA SUBSTATION</t>
  </si>
  <si>
    <t>LE</t>
  </si>
  <si>
    <t>LEEDS SUBSTATION</t>
  </si>
  <si>
    <t>LET</t>
  </si>
  <si>
    <t>LETCHER SUBSTATION</t>
  </si>
  <si>
    <t>MDN</t>
  </si>
  <si>
    <t>MANDAN SUBSTATION</t>
  </si>
  <si>
    <t>MR</t>
  </si>
  <si>
    <t>MARTIN SUBSTATION</t>
  </si>
  <si>
    <t>MA</t>
  </si>
  <si>
    <t>MAURINE SUBSTATION</t>
  </si>
  <si>
    <t>MD</t>
  </si>
  <si>
    <t>MIDLAND SUBSTATION</t>
  </si>
  <si>
    <t>MC2</t>
  </si>
  <si>
    <t>MILES CITY SUB #2</t>
  </si>
  <si>
    <t>MC3</t>
  </si>
  <si>
    <t>MILES CITY SUB #3</t>
  </si>
  <si>
    <t>MC</t>
  </si>
  <si>
    <t>MILES CITY SUBSTATION</t>
  </si>
  <si>
    <t>MS</t>
  </si>
  <si>
    <t>MISSION SUBSTATION</t>
  </si>
  <si>
    <t>MO</t>
  </si>
  <si>
    <t>MORRIS SUBSTATION</t>
  </si>
  <si>
    <t>MV</t>
  </si>
  <si>
    <t>MT VERNON SUBSTATION</t>
  </si>
  <si>
    <t>NEL</t>
  </si>
  <si>
    <t>NELSON SUBSTATION</t>
  </si>
  <si>
    <t>NU</t>
  </si>
  <si>
    <t>NEW UNDERWOOD SUBSTATION</t>
  </si>
  <si>
    <t>NL</t>
  </si>
  <si>
    <t>NEWELL SUBSTATION</t>
  </si>
  <si>
    <t>OF</t>
  </si>
  <si>
    <t>O'FALLON CREEK SUBSTATION</t>
  </si>
  <si>
    <t>PL</t>
  </si>
  <si>
    <t>PHILIP SUBSTATION</t>
  </si>
  <si>
    <t>PI</t>
  </si>
  <si>
    <t>PIERRE SUBSTATION</t>
  </si>
  <si>
    <t>RB</t>
  </si>
  <si>
    <t>RAINBOW SUBSTATION</t>
  </si>
  <si>
    <t>RC</t>
  </si>
  <si>
    <t>RAPID CITY SUBSTATION</t>
  </si>
  <si>
    <t>RH</t>
  </si>
  <si>
    <t>RICHLAND SUBSTATION</t>
  </si>
  <si>
    <t>RL</t>
  </si>
  <si>
    <t>ROLLA SUBSTATION</t>
  </si>
  <si>
    <t>RY</t>
  </si>
  <si>
    <t>RUDYARD SUBSTATION</t>
  </si>
  <si>
    <t>RG</t>
  </si>
  <si>
    <t>RUGBY SUBSTATION</t>
  </si>
  <si>
    <t>SA</t>
  </si>
  <si>
    <t>SAVAGE SUB</t>
  </si>
  <si>
    <t>SH</t>
  </si>
  <si>
    <t>SHELBY SUBSTATION</t>
  </si>
  <si>
    <t>SH2</t>
  </si>
  <si>
    <t>SHELBY SUBSTATION #2</t>
  </si>
  <si>
    <t>SC2</t>
  </si>
  <si>
    <t>SIOUX CITY #2</t>
  </si>
  <si>
    <t xml:space="preserve">SC </t>
  </si>
  <si>
    <t>SIOUX CITY SUBSTATION</t>
  </si>
  <si>
    <t>SF</t>
  </si>
  <si>
    <t>SIOUX FALLS SUBSTATION</t>
  </si>
  <si>
    <t>SP</t>
  </si>
  <si>
    <t>SPENCER</t>
  </si>
  <si>
    <t>SB</t>
  </si>
  <si>
    <t>SULLY BUTTES</t>
  </si>
  <si>
    <t>SU</t>
  </si>
  <si>
    <t>SUMMIT SUBSTATION</t>
  </si>
  <si>
    <t>TY</t>
  </si>
  <si>
    <t>TYNDALL SUBSTATION</t>
  </si>
  <si>
    <t>UJ</t>
  </si>
  <si>
    <t>UTICA JCT.</t>
  </si>
  <si>
    <t>VC</t>
  </si>
  <si>
    <t>VALLEY CITY SUBSTATION</t>
  </si>
  <si>
    <t>VR</t>
  </si>
  <si>
    <t>VERONA</t>
  </si>
  <si>
    <t>VFO</t>
  </si>
  <si>
    <t>VIRGIL FODNESS SUBSTATION</t>
  </si>
  <si>
    <t>WL</t>
  </si>
  <si>
    <t>WALL SUBSTATION</t>
  </si>
  <si>
    <t>WDD</t>
  </si>
  <si>
    <t>WARD SUBSTATION</t>
  </si>
  <si>
    <t>WB</t>
  </si>
  <si>
    <t>WASHBURN SUBSTATION</t>
  </si>
  <si>
    <t>WT2</t>
  </si>
  <si>
    <t>WATERTOWN #2</t>
  </si>
  <si>
    <t>WTS</t>
  </si>
  <si>
    <t>WATERTOWN STATIC VAR SYSTEM</t>
  </si>
  <si>
    <t>WT</t>
  </si>
  <si>
    <t>WATERTOWN SUBSTATION</t>
  </si>
  <si>
    <t>WC</t>
  </si>
  <si>
    <t>WATFORD CITY SUB</t>
  </si>
  <si>
    <t>WSG</t>
  </si>
  <si>
    <t>WESSINGTON SPRINGS SUBSTATION</t>
  </si>
  <si>
    <t>WH2</t>
  </si>
  <si>
    <t>WHATELY (NORTHERN)</t>
  </si>
  <si>
    <t xml:space="preserve">WH </t>
  </si>
  <si>
    <t>WHATELY SUBSTATION</t>
  </si>
  <si>
    <t>WHT</t>
  </si>
  <si>
    <t>WHITE 345/115 SUB</t>
  </si>
  <si>
    <t>WV</t>
  </si>
  <si>
    <t>WICKSVILLE SUBSTATION</t>
  </si>
  <si>
    <t>WN2</t>
  </si>
  <si>
    <t>WILLISTON 2 SUBSTATION</t>
  </si>
  <si>
    <t>WN</t>
  </si>
  <si>
    <t>WILLISTON SUBSTATION</t>
  </si>
  <si>
    <t>WI</t>
  </si>
  <si>
    <t>WINNER SUBSTATION</t>
  </si>
  <si>
    <t>WP</t>
  </si>
  <si>
    <t>WOLF POINT SUBSTATION</t>
  </si>
  <si>
    <t>WO</t>
  </si>
  <si>
    <t>WOONSOCKET SUBSTATION</t>
  </si>
  <si>
    <t>YA</t>
  </si>
  <si>
    <t>YANKTON SUBSTATION</t>
  </si>
  <si>
    <t>SUB Total</t>
  </si>
  <si>
    <t>SUBSTATIONS</t>
  </si>
  <si>
    <t>AN</t>
  </si>
  <si>
    <t>ANITA</t>
  </si>
  <si>
    <t>AB</t>
  </si>
  <si>
    <t>ASSINNIBOINE</t>
  </si>
  <si>
    <t>BK</t>
  </si>
  <si>
    <t xml:space="preserve">BAKER </t>
  </si>
  <si>
    <t>CF</t>
  </si>
  <si>
    <t>CANYON FERRY</t>
  </si>
  <si>
    <t>CCR</t>
  </si>
  <si>
    <t>CHARLIE CREEK</t>
  </si>
  <si>
    <t>DNT</t>
  </si>
  <si>
    <t>DENBIGH TAP</t>
  </si>
  <si>
    <t>DK</t>
  </si>
  <si>
    <t>DICKINSON</t>
  </si>
  <si>
    <t>EJ</t>
  </si>
  <si>
    <t>E. J. MANNING</t>
  </si>
  <si>
    <t>EA</t>
  </si>
  <si>
    <t>EAGLE</t>
  </si>
  <si>
    <t>FTH</t>
  </si>
  <si>
    <t>FORSYTH</t>
  </si>
  <si>
    <t>HA</t>
  </si>
  <si>
    <t>HARLEM</t>
  </si>
  <si>
    <t>HET</t>
  </si>
  <si>
    <t>HETTINGER</t>
  </si>
  <si>
    <t>ML</t>
  </si>
  <si>
    <t>MALLARD</t>
  </si>
  <si>
    <t>MT</t>
  </si>
  <si>
    <t>MALTA</t>
  </si>
  <si>
    <t>NA</t>
  </si>
  <si>
    <t>NASHUA SUB</t>
  </si>
  <si>
    <t>ON</t>
  </si>
  <si>
    <t>O'NEILL SUB (NPP)</t>
  </si>
  <si>
    <t>PET</t>
  </si>
  <si>
    <t>PENN TAP</t>
  </si>
  <si>
    <t>PLL</t>
  </si>
  <si>
    <t>PLEASANT LAKE TAP</t>
  </si>
  <si>
    <t>SL</t>
  </si>
  <si>
    <t>SHIRLEY TAP</t>
  </si>
  <si>
    <t>SNY</t>
  </si>
  <si>
    <t>STANLEY</t>
  </si>
  <si>
    <t>TR</t>
  </si>
  <si>
    <t>TERRY TAP</t>
  </si>
  <si>
    <t>TT</t>
  </si>
  <si>
    <t>TIBER TAP</t>
  </si>
  <si>
    <t>VE</t>
  </si>
  <si>
    <t>VETAL TAP</t>
  </si>
  <si>
    <t>VH</t>
  </si>
  <si>
    <t>V. T. HANLON</t>
  </si>
  <si>
    <t>WJ</t>
  </si>
  <si>
    <t>WM. J. NEAL</t>
  </si>
  <si>
    <t>YJ</t>
  </si>
  <si>
    <t>YANKTON JCT.</t>
  </si>
  <si>
    <t>O&amp;M</t>
  </si>
  <si>
    <t>ARC</t>
  </si>
  <si>
    <t>ARMOUR O&amp;M SER. CEN.</t>
  </si>
  <si>
    <t>BSM</t>
  </si>
  <si>
    <t>BISMARCK O&amp;M SER. CEN.</t>
  </si>
  <si>
    <t>DCF</t>
  </si>
  <si>
    <t>DAWSON SER. CEN.</t>
  </si>
  <si>
    <t>DLM</t>
  </si>
  <si>
    <t>DEVILS LAKE O&amp;M SER. CEN.</t>
  </si>
  <si>
    <t>FAO</t>
  </si>
  <si>
    <t>FARGO LINE MAINTENANCE FACILITY</t>
  </si>
  <si>
    <t>FAM</t>
  </si>
  <si>
    <t>FARGO O&amp;M SER. CEN.</t>
  </si>
  <si>
    <t>FPM</t>
  </si>
  <si>
    <t>FORT PECK SER. CEN.</t>
  </si>
  <si>
    <t>FTM</t>
  </si>
  <si>
    <t>FORT THOMPSON O&amp;M S. C.</t>
  </si>
  <si>
    <t>HVM</t>
  </si>
  <si>
    <t>HAVRE SERVICE CENTER</t>
  </si>
  <si>
    <t>HUM</t>
  </si>
  <si>
    <t>HURON O&amp;M SER. CEN.</t>
  </si>
  <si>
    <t>JTM</t>
  </si>
  <si>
    <t>JAMESTOWN O&amp;M SER. CEN.</t>
  </si>
  <si>
    <t>MCM</t>
  </si>
  <si>
    <t>MILES CITY MTCE FAC.</t>
  </si>
  <si>
    <t xml:space="preserve">NUM </t>
  </si>
  <si>
    <t>NEW UNDERWOOD SER. CEN.</t>
  </si>
  <si>
    <t>PLM</t>
  </si>
  <si>
    <t>PHILIP O&amp;M SER. CENT.</t>
  </si>
  <si>
    <t>PIM</t>
  </si>
  <si>
    <t>PIERRE O&amp;M SER. CEN.</t>
  </si>
  <si>
    <t>RCM</t>
  </si>
  <si>
    <t>RAPID CITY GARAGE &amp; STOR.</t>
  </si>
  <si>
    <t>SCM</t>
  </si>
  <si>
    <t>SIOUX CITY O&amp;M SER. CEN.</t>
  </si>
  <si>
    <t>SFC</t>
  </si>
  <si>
    <t>SIOUX FALLS O&amp;M SER. CEN.</t>
  </si>
  <si>
    <t>WTM</t>
  </si>
  <si>
    <t>WATERTOWN MAINT. CEN.</t>
  </si>
  <si>
    <t>O&amp;M Total</t>
  </si>
  <si>
    <t>O&amp;M SERVICE &amp; MAINT. CENTERS</t>
  </si>
  <si>
    <t>OPS</t>
  </si>
  <si>
    <t>WAO</t>
  </si>
  <si>
    <t>WATERTOWN ALTERNATE OPERATIONS CENTER</t>
  </si>
  <si>
    <t>WTO</t>
  </si>
  <si>
    <t>WATERTOWN OPERATIONS CENT</t>
  </si>
  <si>
    <t xml:space="preserve">WATERTOWN OPER CTR (BFPS) </t>
  </si>
  <si>
    <t>OPS Total</t>
  </si>
  <si>
    <t>OPERATION CENTERS</t>
  </si>
  <si>
    <t>MOB</t>
  </si>
  <si>
    <t>MOBW2</t>
  </si>
  <si>
    <t>MOB 115KV SWITCH TRAILER</t>
  </si>
  <si>
    <t>MOBT13</t>
  </si>
  <si>
    <t>MOB TRANSF 111KV 15MVA</t>
  </si>
  <si>
    <t>MOBT2</t>
  </si>
  <si>
    <t>MOB TRANSF 115KV 10MVA</t>
  </si>
  <si>
    <t>MOBT12</t>
  </si>
  <si>
    <t>MOB TRANSF 115KV 25MVA</t>
  </si>
  <si>
    <t>MOBT4</t>
  </si>
  <si>
    <t>MOB TRANSF 115KV 40MVA</t>
  </si>
  <si>
    <t>MOBT6</t>
  </si>
  <si>
    <t>MOB TRANSF 230KV 1-33MVA</t>
  </si>
  <si>
    <t>MOBB2</t>
  </si>
  <si>
    <t>MOBILE BY PASS KIT (BISMARCK)</t>
  </si>
  <si>
    <t>MOBB1</t>
  </si>
  <si>
    <t>MOBILE BY PASS KIT (HURON)</t>
  </si>
  <si>
    <t>MOBC4</t>
  </si>
  <si>
    <t>MOBILE CAPACITOR BANK</t>
  </si>
  <si>
    <t>MOBS6</t>
  </si>
  <si>
    <t>MOBILE SUB 110KV</t>
  </si>
  <si>
    <t>MOBS9</t>
  </si>
  <si>
    <t>MOBILE SUB 115KV 20MVA</t>
  </si>
  <si>
    <t>MOBS7</t>
  </si>
  <si>
    <t>MOBILE SUB 41.8 KV</t>
  </si>
  <si>
    <t>MOBS5</t>
  </si>
  <si>
    <t>MOBILE SUB 69KV</t>
  </si>
  <si>
    <t>MOBR2</t>
  </si>
  <si>
    <t>MOB SH.REACTOR</t>
  </si>
  <si>
    <t>MOB Total</t>
  </si>
  <si>
    <t>MOBILE EQUIPMENT</t>
  </si>
  <si>
    <t>GEN</t>
  </si>
  <si>
    <t>BG FT L</t>
  </si>
  <si>
    <t>BIG BEND-FORT THOMPSON (LOW VOLTAGE)</t>
  </si>
  <si>
    <t>FP</t>
  </si>
  <si>
    <t>FORT PECK POWERPLANT (COE)</t>
  </si>
  <si>
    <t>FT BG 1</t>
  </si>
  <si>
    <t>FORT THOMPSON-BIG BEND NO. 1</t>
  </si>
  <si>
    <t>FT BG 2</t>
  </si>
  <si>
    <t>FORT THOMPSON-BIG BEND NO. 2</t>
  </si>
  <si>
    <t>GEN Total</t>
  </si>
  <si>
    <t>TRANSMISSION-RELATED GEN. FACILITIES</t>
  </si>
  <si>
    <t>COM</t>
  </si>
  <si>
    <t>ATC</t>
  </si>
  <si>
    <t>ATLANTIC COMMUNICATION SITE</t>
  </si>
  <si>
    <t>BK2</t>
  </si>
  <si>
    <t>BAKER RELAY</t>
  </si>
  <si>
    <t>BTY</t>
  </si>
  <si>
    <t>BANTRY</t>
  </si>
  <si>
    <t>BAE</t>
  </si>
  <si>
    <t>BARRETT</t>
  </si>
  <si>
    <t>BMW</t>
  </si>
  <si>
    <t>BATTLE MT. MICROWAVE</t>
  </si>
  <si>
    <t>BPR</t>
  </si>
  <si>
    <t>BELLE PRAIRIE</t>
  </si>
  <si>
    <t>BET</t>
  </si>
  <si>
    <t>BENEDICT</t>
  </si>
  <si>
    <t>BU</t>
  </si>
  <si>
    <t>BEULAH</t>
  </si>
  <si>
    <t>BG</t>
  </si>
  <si>
    <t>BIG BEND</t>
  </si>
  <si>
    <t>BJR</t>
  </si>
  <si>
    <t>BIJOU REPEATER</t>
  </si>
  <si>
    <t>BSR</t>
  </si>
  <si>
    <t>BISMARCK REPEATER</t>
  </si>
  <si>
    <t>BIR</t>
  </si>
  <si>
    <t>BISON REPEATER</t>
  </si>
  <si>
    <t>BON</t>
  </si>
  <si>
    <t>BOLE NORTH REPEATER</t>
  </si>
  <si>
    <t>BRI</t>
  </si>
  <si>
    <t>BRINSMADE</t>
  </si>
  <si>
    <t>BSL</t>
  </si>
  <si>
    <t>BRISTOL</t>
  </si>
  <si>
    <t>BRV</t>
  </si>
  <si>
    <t>BRUNSVILLE REPEATER</t>
  </si>
  <si>
    <t>BFF</t>
  </si>
  <si>
    <t>BUFFALO</t>
  </si>
  <si>
    <t>CAH</t>
  </si>
  <si>
    <t>CAHOON</t>
  </si>
  <si>
    <t>CAZ</t>
  </si>
  <si>
    <t>CARRINGTON REPEATER</t>
  </si>
  <si>
    <t>CHK</t>
  </si>
  <si>
    <t>CHARTER OAK REPEATER</t>
  </si>
  <si>
    <t>CHINOOK (BEFP)</t>
  </si>
  <si>
    <t>CHR</t>
  </si>
  <si>
    <t>CHINOOK REPEATER</t>
  </si>
  <si>
    <t>CKR</t>
  </si>
  <si>
    <t>CLARK MW REPEATER</t>
  </si>
  <si>
    <t>CLV</t>
  </si>
  <si>
    <t>CLEVELAND REPEATER, N.D.</t>
  </si>
  <si>
    <t>CMR</t>
  </si>
  <si>
    <t>COLEMAN REPEATER</t>
  </si>
  <si>
    <t>CME</t>
  </si>
  <si>
    <t>COLOME REPEATER</t>
  </si>
  <si>
    <t>CBR</t>
  </si>
  <si>
    <t>CONRAD BUTTE REPEATER</t>
  </si>
  <si>
    <t>CNN</t>
  </si>
  <si>
    <t>COTTON</t>
  </si>
  <si>
    <t>CSR</t>
  </si>
  <si>
    <t>CRESTON REPEATER</t>
  </si>
  <si>
    <t>CLR</t>
  </si>
  <si>
    <t>CROW LAKE REPEATER</t>
  </si>
  <si>
    <t>CBT</t>
  </si>
  <si>
    <t>CROWN BUTTE</t>
  </si>
  <si>
    <t>CRR</t>
  </si>
  <si>
    <t>CULBERTSON RADIO RELAY SITE</t>
  </si>
  <si>
    <t>CUL</t>
  </si>
  <si>
    <t>CUSTER LOOKOUT</t>
  </si>
  <si>
    <t>DAL</t>
  </si>
  <si>
    <t>DALTON (WES)</t>
  </si>
  <si>
    <t>DLC</t>
  </si>
  <si>
    <t>DEVILS LAKE FIBER REGEN</t>
  </si>
  <si>
    <t>DLZ</t>
  </si>
  <si>
    <t>DEVILS LAKE REPEATER</t>
  </si>
  <si>
    <t>DOD</t>
  </si>
  <si>
    <t>DODSON REPEATER</t>
  </si>
  <si>
    <t xml:space="preserve">DO </t>
  </si>
  <si>
    <t>DOGDEN BUTTE</t>
  </si>
  <si>
    <t>DRS</t>
  </si>
  <si>
    <t>DRISCOLL</t>
  </si>
  <si>
    <t>DU</t>
  </si>
  <si>
    <t>DUPREE REPEATER</t>
  </si>
  <si>
    <t>DUT</t>
  </si>
  <si>
    <t>DUTTON REPEATER (BEFP)</t>
  </si>
  <si>
    <t>ERB</t>
  </si>
  <si>
    <t>EAST RAINY BUTTE</t>
  </si>
  <si>
    <t>ECK</t>
  </si>
  <si>
    <t>ECKELSON</t>
  </si>
  <si>
    <t>EKR</t>
  </si>
  <si>
    <t>ELKTON</t>
  </si>
  <si>
    <t>ELZ</t>
  </si>
  <si>
    <t>ELLENDALE REPEATER</t>
  </si>
  <si>
    <t>EWA</t>
  </si>
  <si>
    <t>ELLSWORTH AIR BASE</t>
  </si>
  <si>
    <t>ERH</t>
  </si>
  <si>
    <t>ERHARD</t>
  </si>
  <si>
    <t>EX</t>
  </si>
  <si>
    <t>EXIRA REPEATER</t>
  </si>
  <si>
    <t>FB</t>
  </si>
  <si>
    <t>F. L. BLAIR</t>
  </si>
  <si>
    <t>FAP</t>
  </si>
  <si>
    <t>FAIRPOINT REPEATER</t>
  </si>
  <si>
    <t>FNR</t>
  </si>
  <si>
    <t>FALLON REPEATER</t>
  </si>
  <si>
    <t>FCS</t>
  </si>
  <si>
    <t>FERGUS FALLS COMMUNICATIONS SITE</t>
  </si>
  <si>
    <t>FLW</t>
  </si>
  <si>
    <t>FLOWING WELLS</t>
  </si>
  <si>
    <t>FBS</t>
  </si>
  <si>
    <t>FORBES COMMUNICATION SITE</t>
  </si>
  <si>
    <t>FP1</t>
  </si>
  <si>
    <t>FORT PECK RELAY (WES)</t>
  </si>
  <si>
    <t>FPC</t>
  </si>
  <si>
    <t>FORT PECK COMMUNICATIONS BUILDING</t>
  </si>
  <si>
    <t>FPR</t>
  </si>
  <si>
    <t>FORT PECK REPEATER</t>
  </si>
  <si>
    <t>FTR</t>
  </si>
  <si>
    <t>FORT THOMPSON REPEATER</t>
  </si>
  <si>
    <t>FTP</t>
  </si>
  <si>
    <t>FORT THOMPSON REPEATER (EAST RIVER)</t>
  </si>
  <si>
    <t>FCR</t>
  </si>
  <si>
    <t>FOX CREEK MICROWAVE</t>
  </si>
  <si>
    <t>FRY</t>
  </si>
  <si>
    <t>FRYBURG SUB &amp; MICROWAVE</t>
  </si>
  <si>
    <t>GA</t>
  </si>
  <si>
    <t>GARRISON</t>
  </si>
  <si>
    <t>GRR</t>
  </si>
  <si>
    <t>GARY REPEATER</t>
  </si>
  <si>
    <t>GP</t>
  </si>
  <si>
    <t>GAVIN'S POINT</t>
  </si>
  <si>
    <t>GPR</t>
  </si>
  <si>
    <t>GAVINS POINT REPEATER</t>
  </si>
  <si>
    <t>GET</t>
  </si>
  <si>
    <t>GETTYSBURG REPEATER</t>
  </si>
  <si>
    <t>GH</t>
  </si>
  <si>
    <t>GLENHAM</t>
  </si>
  <si>
    <t>GKM</t>
  </si>
  <si>
    <t>GRAND FORKS MINNKOTA (MPC)</t>
  </si>
  <si>
    <t>HSB</t>
  </si>
  <si>
    <t>HAILSTONE BUTTE</t>
  </si>
  <si>
    <t>HOY</t>
  </si>
  <si>
    <t>HALLOWAY REPEATER</t>
  </si>
  <si>
    <t>HRT</t>
  </si>
  <si>
    <t>HARLEM REPEATER</t>
  </si>
  <si>
    <t>HTH</t>
  </si>
  <si>
    <t>HATHAWAY</t>
  </si>
  <si>
    <t>HMW</t>
  </si>
  <si>
    <t>HERMOSA MICROWAVE</t>
  </si>
  <si>
    <t>HLR</t>
  </si>
  <si>
    <t>HIGHLAND REPEATER</t>
  </si>
  <si>
    <t>HMR</t>
  </si>
  <si>
    <t>HIGHMORE REPEATER</t>
  </si>
  <si>
    <t>HIW</t>
  </si>
  <si>
    <t>HIGHWOOD</t>
  </si>
  <si>
    <t>HI</t>
  </si>
  <si>
    <t>HINSDALE</t>
  </si>
  <si>
    <t>HIR</t>
  </si>
  <si>
    <t>HINSDALE REPEATER</t>
  </si>
  <si>
    <t>HOE</t>
  </si>
  <si>
    <t>HOPEWELL REPEATER</t>
  </si>
  <si>
    <t>HNT</t>
  </si>
  <si>
    <t>HUNTER MICROWAVE</t>
  </si>
  <si>
    <t>HUD</t>
  </si>
  <si>
    <t>HURON DISTRICT OFFICE</t>
  </si>
  <si>
    <t>HYS</t>
  </si>
  <si>
    <t>HYSHAM</t>
  </si>
  <si>
    <t>JTR</t>
  </si>
  <si>
    <t>JAMESTOWN REPEATER</t>
  </si>
  <si>
    <t>JCK</t>
  </si>
  <si>
    <t>JONES CREEK</t>
  </si>
  <si>
    <t>KCK</t>
  </si>
  <si>
    <t>KELLY CREEK</t>
  </si>
  <si>
    <t>KDZ</t>
  </si>
  <si>
    <t>KILLDEER REPEATER</t>
  </si>
  <si>
    <t>KNE</t>
  </si>
  <si>
    <t>KNEE HILL MW</t>
  </si>
  <si>
    <t>LAC</t>
  </si>
  <si>
    <t>LAC QUI PARLE</t>
  </si>
  <si>
    <t>LKR</t>
  </si>
  <si>
    <t>LAKE ANDES REPEATER</t>
  </si>
  <si>
    <t>LEF</t>
  </si>
  <si>
    <t>LEFOR</t>
  </si>
  <si>
    <t>LI</t>
  </si>
  <si>
    <t>LINDSAY RIDGE</t>
  </si>
  <si>
    <t>LINTON COMMUNICATIONS SITE</t>
  </si>
  <si>
    <t>LMO</t>
  </si>
  <si>
    <t>LITTLE MISSOURI SUBSTATION</t>
  </si>
  <si>
    <t>LDP</t>
  </si>
  <si>
    <t>LODGEPOLE REPEATER</t>
  </si>
  <si>
    <t>MRP</t>
  </si>
  <si>
    <t>MALTA REPEATER</t>
  </si>
  <si>
    <t>MNM</t>
  </si>
  <si>
    <t>MANDAN MICROWAVE SITE</t>
  </si>
  <si>
    <t>MPR</t>
  </si>
  <si>
    <t>MAPLE RIVER</t>
  </si>
  <si>
    <t>MRR</t>
  </si>
  <si>
    <t>MARTIN REPEATER</t>
  </si>
  <si>
    <t>MAV</t>
  </si>
  <si>
    <t>MAYVILLE</t>
  </si>
  <si>
    <t>MLR</t>
  </si>
  <si>
    <t>MIDLAND REPEATER</t>
  </si>
  <si>
    <t>MOX</t>
  </si>
  <si>
    <t>MOE REPEATER</t>
  </si>
  <si>
    <t>MH</t>
  </si>
  <si>
    <t>MOORHEAD</t>
  </si>
  <si>
    <t>MSR</t>
  </si>
  <si>
    <t>MORRIS REPEATER &amp; MICROWAVE</t>
  </si>
  <si>
    <t>NWC</t>
  </si>
  <si>
    <t>NEWCASTLE REPEATER</t>
  </si>
  <si>
    <t>OA</t>
  </si>
  <si>
    <t>OAHE</t>
  </si>
  <si>
    <t>OK</t>
  </si>
  <si>
    <t>O'KREEK REPEATER</t>
  </si>
  <si>
    <t>OR</t>
  </si>
  <si>
    <t>ORCHARD REPEATER</t>
  </si>
  <si>
    <t>OTO</t>
  </si>
  <si>
    <t>OTO MICROWAVE</t>
  </si>
  <si>
    <t>OTW</t>
  </si>
  <si>
    <t>OTTUMWA ROAD REPEATER SITE</t>
  </si>
  <si>
    <t>PGE</t>
  </si>
  <si>
    <t>PAGE N.D.</t>
  </si>
  <si>
    <t>PAH</t>
  </si>
  <si>
    <t>PAHOJA SUB</t>
  </si>
  <si>
    <t>PEK</t>
  </si>
  <si>
    <t>PEAK</t>
  </si>
  <si>
    <t>PLJ</t>
  </si>
  <si>
    <t>PHILIP JCT. REPEATER</t>
  </si>
  <si>
    <t>PIR</t>
  </si>
  <si>
    <t>PINE RIDGE</t>
  </si>
  <si>
    <t>PO</t>
  </si>
  <si>
    <t>POPLAR (MDU)</t>
  </si>
  <si>
    <t>PRR</t>
  </si>
  <si>
    <t>PRIMGHAR REPEATER</t>
  </si>
  <si>
    <t>PUR</t>
  </si>
  <si>
    <t>PUKWANNA REPEATER</t>
  </si>
  <si>
    <t>RCR</t>
  </si>
  <si>
    <t>RAPID CITY REPEATER</t>
  </si>
  <si>
    <t>RE</t>
  </si>
  <si>
    <t>RICHARDSON COULEE</t>
  </si>
  <si>
    <t>RER</t>
  </si>
  <si>
    <t>RICHARDSON COULEE REPEATER</t>
  </si>
  <si>
    <t>RHM</t>
  </si>
  <si>
    <t>RICHLAND MW REPEATER (BEPS)</t>
  </si>
  <si>
    <t>RRR</t>
  </si>
  <si>
    <t>ROCKY RIDGE REPEATER</t>
  </si>
  <si>
    <t>ROG</t>
  </si>
  <si>
    <t>ROLLAG</t>
  </si>
  <si>
    <t>RGZ</t>
  </si>
  <si>
    <t>RUGBY REPEATER</t>
  </si>
  <si>
    <t>RI</t>
  </si>
  <si>
    <t>RUTLAND</t>
  </si>
  <si>
    <t>SAO</t>
  </si>
  <si>
    <t>SACO</t>
  </si>
  <si>
    <t>SNB</t>
  </si>
  <si>
    <t>SENTINEL BUTTE</t>
  </si>
  <si>
    <t>SRE</t>
  </si>
  <si>
    <t>SHEEP COULEE REPEATER</t>
  </si>
  <si>
    <t>SCQ</t>
  </si>
  <si>
    <t>SIOUX CITY REPEATER</t>
  </si>
  <si>
    <t>SFR</t>
  </si>
  <si>
    <t>SIOUX FALLS REPEATER</t>
  </si>
  <si>
    <t>SI</t>
  </si>
  <si>
    <t>SIOUX PASS</t>
  </si>
  <si>
    <t>SNA</t>
  </si>
  <si>
    <t>SNAKE BUTTE REPEATER</t>
  </si>
  <si>
    <t>SPN</t>
  </si>
  <si>
    <t>SPALDING REPEATER</t>
  </si>
  <si>
    <t>SM</t>
  </si>
  <si>
    <t>SPIRIT MOUND</t>
  </si>
  <si>
    <t>STR</t>
  </si>
  <si>
    <t>STRASBERG</t>
  </si>
  <si>
    <t>SMR</t>
  </si>
  <si>
    <t>SUMMIT REPEATER</t>
  </si>
  <si>
    <t>TCS</t>
  </si>
  <si>
    <t>TAPPEN COMMUNICATIONS SITE</t>
  </si>
  <si>
    <t>TA</t>
  </si>
  <si>
    <t>TAPPEN REPEATER</t>
  </si>
  <si>
    <t>TEN</t>
  </si>
  <si>
    <t>TENNANT COMMUNICATIONS SITE</t>
  </si>
  <si>
    <t>TOR</t>
  </si>
  <si>
    <t>TORONTO REPEATER</t>
  </si>
  <si>
    <t>TFR</t>
  </si>
  <si>
    <t>TRIPP REPEATER</t>
  </si>
  <si>
    <t>TU</t>
  </si>
  <si>
    <t>TURKEY RIDGE REPEATER</t>
  </si>
  <si>
    <t>TYE</t>
  </si>
  <si>
    <t>TYLER REPEATER</t>
  </si>
  <si>
    <t>VIC</t>
  </si>
  <si>
    <t>VICTOR (EREC)</t>
  </si>
  <si>
    <t>VIA</t>
  </si>
  <si>
    <t>VIDA</t>
  </si>
  <si>
    <t>WLR</t>
  </si>
  <si>
    <t>WALL REPEATER</t>
  </si>
  <si>
    <t>WTR</t>
  </si>
  <si>
    <t>WATERTOWN REPEATER</t>
  </si>
  <si>
    <t>WS</t>
  </si>
  <si>
    <t>WAYSIDE</t>
  </si>
  <si>
    <t>WSR</t>
  </si>
  <si>
    <t>WESSINGTON SPGS. REPEATER</t>
  </si>
  <si>
    <t>WEF</t>
  </si>
  <si>
    <t>WESTFIELD</t>
  </si>
  <si>
    <t>WSW</t>
  </si>
  <si>
    <t>WHITE SWAN</t>
  </si>
  <si>
    <t>WHITLOCK (BCPS)</t>
  </si>
  <si>
    <t>WOB</t>
  </si>
  <si>
    <t>WOLBACH REPEATER</t>
  </si>
  <si>
    <t>YELLOWTAIL SWITCHYARD (BEPS)</t>
  </si>
  <si>
    <t>COM Total</t>
  </si>
  <si>
    <t>COMMUNICATION FACILITIES</t>
  </si>
  <si>
    <t>MCCS</t>
  </si>
  <si>
    <t>MC4</t>
  </si>
  <si>
    <t>MILES CITY CONVERTER STATION - BEPS</t>
  </si>
  <si>
    <t>MILES CITY CONVERTER STATION - BEFP</t>
  </si>
  <si>
    <t>MCCS Total</t>
  </si>
  <si>
    <t>MILES CITY CONVERTER STATION</t>
  </si>
  <si>
    <t>DIST</t>
  </si>
  <si>
    <t>BFTBP</t>
  </si>
  <si>
    <t>BUFORD TRENTON TAP - BUFORD TRENTON P.P.</t>
  </si>
  <si>
    <t>BP</t>
  </si>
  <si>
    <t>FN</t>
  </si>
  <si>
    <t>FE</t>
  </si>
  <si>
    <t>FN GG</t>
  </si>
  <si>
    <t>FALLON-GLENDIVE PUMP #4</t>
  </si>
  <si>
    <t>FP WP</t>
  </si>
  <si>
    <t>FORT PECK-WOLF POINT</t>
  </si>
  <si>
    <t>FG</t>
  </si>
  <si>
    <t>GA SK</t>
  </si>
  <si>
    <t>GARRISON-SNAKE CREEK</t>
  </si>
  <si>
    <t>GG</t>
  </si>
  <si>
    <t>IN</t>
  </si>
  <si>
    <t>INTAKE SUBSTATION</t>
  </si>
  <si>
    <t>IN INP</t>
  </si>
  <si>
    <t>INTAKE-INTAKE PUMP</t>
  </si>
  <si>
    <t>SV</t>
  </si>
  <si>
    <t>SAVAGE PUMPING PLANT SUBS</t>
  </si>
  <si>
    <t>SY</t>
  </si>
  <si>
    <t>SHIRLEY PUMP SUBSTATION</t>
  </si>
  <si>
    <t>SK</t>
  </si>
  <si>
    <t>TE</t>
  </si>
  <si>
    <t>TI</t>
  </si>
  <si>
    <t>TIBER DAM SUBSTATION</t>
  </si>
  <si>
    <t>VA</t>
  </si>
  <si>
    <t>WIOTA SUBSTATION</t>
  </si>
  <si>
    <t>DIST Total</t>
  </si>
  <si>
    <t>DISTRIBUTION FACILITIES</t>
  </si>
  <si>
    <t>RMR</t>
  </si>
  <si>
    <t>NEW UNDERWOOD-STEGALL</t>
  </si>
  <si>
    <t>STEGALL SUBSTATION</t>
  </si>
  <si>
    <t>STEGALL-WAYSIDE</t>
  </si>
  <si>
    <t>YELLOWTAIL SWITCHYARD</t>
  </si>
  <si>
    <t>RMR Total</t>
  </si>
  <si>
    <t>ROCKY MOUNTAIN REGION FACILITIES</t>
  </si>
  <si>
    <t>COE</t>
  </si>
  <si>
    <t>COE Total</t>
  </si>
  <si>
    <t>CORPS OF ENGINEERS FACILITIES</t>
  </si>
  <si>
    <t>Grand Total</t>
  </si>
  <si>
    <t>TOTAL</t>
  </si>
  <si>
    <t>SUBTOTAL WESTERN-UGP ONLY</t>
  </si>
  <si>
    <t>DATA SOURCE:</t>
  </si>
  <si>
    <t>PRIOR YEAR FACILITY TOTALS ($)</t>
  </si>
  <si>
    <t xml:space="preserve">WAO </t>
  </si>
  <si>
    <t>IDC</t>
  </si>
  <si>
    <t>LAND &amp; RIGHTS</t>
  </si>
  <si>
    <t>LAND &amp; LAND RIGHTS</t>
  </si>
  <si>
    <t>LAND AT KCR</t>
  </si>
  <si>
    <t>MICROWAVE TOWER</t>
  </si>
  <si>
    <t>ANTENNA TOWER</t>
  </si>
  <si>
    <t>SCADA COMMUNICATION EQUIPMENT</t>
  </si>
  <si>
    <t>SEQUENTIAL EVENT RECORDING SYSTEM</t>
  </si>
  <si>
    <t>BUILDINGS</t>
  </si>
  <si>
    <t>SERVICE BUILDINGS</t>
  </si>
  <si>
    <t>ROOFING</t>
  </si>
  <si>
    <t>OTHER STRUCTURES AND IMPROVEMENTS</t>
  </si>
  <si>
    <t>OIL STORAGE TANK</t>
  </si>
  <si>
    <t>HEATING</t>
  </si>
  <si>
    <t>STATION EQUIPMENT</t>
  </si>
  <si>
    <t>AUXILIARY POWER SYSTEM</t>
  </si>
  <si>
    <t>REMOTE TERMINAL UNIT</t>
  </si>
  <si>
    <t>SCADA</t>
  </si>
  <si>
    <t>UNITERRUPTABLE POWER SUPPLY</t>
  </si>
  <si>
    <t>MICROWAVE COMMUNICATION EQUIPMENT</t>
  </si>
  <si>
    <t>MICROWAVE SYSTEM</t>
  </si>
  <si>
    <t>BATTERY</t>
  </si>
  <si>
    <t>BATTERY CHARGER</t>
  </si>
  <si>
    <t>TELEPHONE COMMUNICATION EQUIPMENT</t>
  </si>
  <si>
    <t>PLANT COMM SYSTEM</t>
  </si>
  <si>
    <t>FIBER OPTIC EQUIPMENT</t>
  </si>
  <si>
    <t>FIBER OPTICS EQUIPMENT</t>
  </si>
  <si>
    <t>ADD DROP MULTIPLEXER</t>
  </si>
  <si>
    <t>CABLE TYPE OPGW</t>
  </si>
  <si>
    <t>CHANNEL BANK EQUIPMENT</t>
  </si>
  <si>
    <t>TELEPHONE SYSTEM</t>
  </si>
  <si>
    <t>WTO F</t>
  </si>
  <si>
    <t>TERMINATION EQUIPMENT</t>
  </si>
  <si>
    <t>POWER SYSTEM DISPATCH CONSOLES</t>
  </si>
  <si>
    <t>MICROWAVE ALARM SYSTEM MASTER STATION</t>
  </si>
  <si>
    <t>DATA STATION</t>
  </si>
  <si>
    <t>INTEREST DURING CONSTRUCTION</t>
  </si>
  <si>
    <t>VHF RADIO COMPARATOR</t>
  </si>
  <si>
    <t>FIXED RADIO COMM EQUIPMENT</t>
  </si>
  <si>
    <t>TELEPHONE SYSTEM - 40 CHANNEL RECORDER &amp; CRASH KIT</t>
  </si>
  <si>
    <t>VOICE RECORDER SYSTEM</t>
  </si>
  <si>
    <t>SCADA MAPBOARD</t>
  </si>
  <si>
    <t>AUX PWR SYS - BACKUP GENERATOR</t>
  </si>
  <si>
    <t>(5) DIGITAL VOICE RECORDERS - WTO F</t>
  </si>
  <si>
    <t>BATTERY BANK FOR UPS</t>
  </si>
  <si>
    <t>DIGITAL TRANS &amp; REC EQUIP</t>
  </si>
  <si>
    <t>FREQUENCY CONTROL ADDITIONS</t>
  </si>
  <si>
    <t>LOAD AND FREQUENCY CONTROL EQUIP</t>
  </si>
  <si>
    <t>WATERTOWN OPERATIONS BUILDING</t>
  </si>
  <si>
    <t>CONTROL BUILDING</t>
  </si>
  <si>
    <t>RESURFACE PARKING LOT AT WATERTOWN OPS OFFICE</t>
  </si>
  <si>
    <t>OFFICE BUILDING</t>
  </si>
  <si>
    <t>REPLACE ROOF AT WATERTOWN OPS OFFICE</t>
  </si>
  <si>
    <t>ROOF COVERING</t>
  </si>
  <si>
    <t>SYNC UNIT</t>
  </si>
  <si>
    <t>REMOTE STATION</t>
  </si>
  <si>
    <t>VEHICLE/STORAGE BUILDING</t>
  </si>
  <si>
    <t>GARAGE</t>
  </si>
  <si>
    <t>STEEL GATE</t>
  </si>
  <si>
    <t>AIR CONDITIONER</t>
  </si>
  <si>
    <t>WALLS</t>
  </si>
  <si>
    <t>ROOF REPL</t>
  </si>
  <si>
    <t>PSOO-WATER SYSTEM</t>
  </si>
  <si>
    <t>METER EQUIPMENT</t>
  </si>
  <si>
    <t>STORAGE BUILDING</t>
  </si>
  <si>
    <t>WATERTOWN OPS BLDG EXPANSION (PSOO)</t>
  </si>
  <si>
    <t>WATERTOWN OPS BLDG EXPANSION</t>
  </si>
  <si>
    <t>Total</t>
  </si>
  <si>
    <t>Revenue Requirement for SSCD for Transmission facilities</t>
  </si>
  <si>
    <t>Estimated SSCD Revenue from non-Transmission facilities</t>
  </si>
  <si>
    <t>L1+L2+L3+L9</t>
  </si>
  <si>
    <t xml:space="preserve">     Annual Western-UGPR Cost</t>
  </si>
  <si>
    <t>H.  Revenue Requirement</t>
  </si>
  <si>
    <t>L7*L8</t>
  </si>
  <si>
    <t xml:space="preserve">     Cost of Capital</t>
  </si>
  <si>
    <t xml:space="preserve">     Net Plant Investment</t>
  </si>
  <si>
    <t>Cost of Capital Worksheet</t>
  </si>
  <si>
    <t xml:space="preserve">     Weighted Transmission Composite Interest Rate</t>
  </si>
  <si>
    <t>F.  Cost of Capital</t>
  </si>
  <si>
    <t>No General Plant identified at this time, all plant is identified as either generation or transmission related</t>
  </si>
  <si>
    <t xml:space="preserve">E.  Allocation of General Plant </t>
  </si>
  <si>
    <t>Not Applicable</t>
  </si>
  <si>
    <t xml:space="preserve">D.  Taxes Other than Income Taxes for Transmission     </t>
  </si>
  <si>
    <t>Depreciation Expense Worksheet</t>
  </si>
  <si>
    <t xml:space="preserve">C.  Depreciation Expense                    </t>
  </si>
  <si>
    <t>A&amp;G Expenses Worksheet</t>
  </si>
  <si>
    <t xml:space="preserve">B.  A&amp;G Expense                              </t>
  </si>
  <si>
    <t>O&amp;M Expenses Worksheet</t>
  </si>
  <si>
    <t>A. Operation and Maintenance Expense</t>
  </si>
  <si>
    <t xml:space="preserve"> Line No.</t>
  </si>
  <si>
    <t>REFERENCE</t>
  </si>
  <si>
    <t>SSCD</t>
  </si>
  <si>
    <t>111A</t>
  </si>
  <si>
    <t>BEFP - Maint</t>
  </si>
  <si>
    <t>BEFP - Ops</t>
  </si>
  <si>
    <t>BXPS - Maint</t>
  </si>
  <si>
    <t>BXPS - Ops</t>
  </si>
  <si>
    <t>Wage &amp; Salary Allocator</t>
  </si>
  <si>
    <t>Schedule 11B</t>
  </si>
  <si>
    <t>Long Term Debt Estimate</t>
  </si>
  <si>
    <t>From HFD Schedule 21RX and 21X</t>
  </si>
  <si>
    <t xml:space="preserve">     Transmission Plant</t>
  </si>
  <si>
    <t xml:space="preserve">Interest Attributable to </t>
  </si>
  <si>
    <t>Percent Transmission Plant</t>
  </si>
  <si>
    <t>Distribution Plant</t>
  </si>
  <si>
    <t>Transmission Plant</t>
  </si>
  <si>
    <t>Production Plant</t>
  </si>
  <si>
    <t>Total Plant</t>
  </si>
  <si>
    <t>Total Interest Expense</t>
  </si>
  <si>
    <t>UGP</t>
  </si>
  <si>
    <t>Schedule C</t>
  </si>
  <si>
    <t>Accum Depr</t>
  </si>
  <si>
    <t>Schedule B</t>
  </si>
  <si>
    <t>A&amp;G</t>
  </si>
  <si>
    <t>Plus Warehouse Interest</t>
  </si>
  <si>
    <t>Plus CME Interest</t>
  </si>
  <si>
    <t>Disposition of Assets</t>
  </si>
  <si>
    <t>Depreciation MOVP</t>
  </si>
  <si>
    <t xml:space="preserve">  Less Prior Year Adjustment</t>
  </si>
  <si>
    <t xml:space="preserve">  Less A&amp;G Expense</t>
  </si>
  <si>
    <t xml:space="preserve">  Less Ft. Peck FERC 567</t>
  </si>
  <si>
    <t xml:space="preserve">  Less Xmsn By Others</t>
  </si>
  <si>
    <t xml:space="preserve">  Less FERC 555 (Purch Pwr)</t>
  </si>
  <si>
    <t>Total Operating Expense</t>
  </si>
  <si>
    <t>Schedule A</t>
  </si>
  <si>
    <t xml:space="preserve">  </t>
  </si>
  <si>
    <t>R</t>
  </si>
  <si>
    <t>Includes income related only to transmission facilities, such as pole attachments, rentals and special use.</t>
  </si>
  <si>
    <t>Q</t>
  </si>
  <si>
    <t>P</t>
  </si>
  <si>
    <t>O</t>
  </si>
  <si>
    <t xml:space="preserve">Western does not have Common Plant. </t>
  </si>
  <si>
    <t>N</t>
  </si>
  <si>
    <t>Percentage of Total Plant Allocators are developed separately for Western-UGP and Western-RMR to allocate O&amp;M, A&amp;G, and Depreciation Expenses between Transmission and Generation.</t>
  </si>
  <si>
    <t>M</t>
  </si>
  <si>
    <t>Removes dollar amount of transmission plant included in the development of OATT ancillary services rates and generation step-up facilities, which are deemed to included in OATT ancillary services.  For these purposes, generation step-up facilities are those facilities at a generator substation on which there is no through-flow when the generator is shut down.</t>
  </si>
  <si>
    <t>L</t>
  </si>
  <si>
    <t>Removes transmission plant determined by Commission order to be state-jurisdictional according to the seven-factor test (until RUS 12 balances are adjusted to reflect application of seven-factor test).</t>
  </si>
  <si>
    <t>K</t>
  </si>
  <si>
    <t>Removes dollar amount of transmission expenses included in the OATT ancillary services rates, including Acct No. 561.  Western does not include transmission expenses in ancillary service rates.</t>
  </si>
  <si>
    <t>J</t>
  </si>
  <si>
    <t xml:space="preserve">  (percent of federal income tax deductible for state purposes)</t>
  </si>
  <si>
    <t>p =</t>
  </si>
  <si>
    <t xml:space="preserve">  (State Income Tax Rate or Composite SIT)</t>
  </si>
  <si>
    <t>SIT=</t>
  </si>
  <si>
    <t>FIT =</t>
  </si>
  <si>
    <t xml:space="preserve">         Inputs Required:</t>
  </si>
  <si>
    <t>Western is not subject to Federal or State Income Tax.</t>
  </si>
  <si>
    <t>I</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</si>
  <si>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</si>
  <si>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H</t>
  </si>
  <si>
    <t>G</t>
  </si>
  <si>
    <t>Totals of Results of Operations Schedule 11A Object Classes 1411, 1412, 1415, 1416, 1421, 1422, 1425, 1426, 1431, 1432, 1441, 1442.</t>
  </si>
  <si>
    <t>F</t>
  </si>
  <si>
    <t>For O&amp;M Expense, Calculated as Total O&amp;M from Results of Operations less Purchase Power, Transmission Service Provided by Others (FERC 565), O&amp;M Expense Fort Peck Powerhouse, Prior Year Adjustments, A&amp;G Expense from Schedule 11, plus CME and Warehouse Interest from Schedule 5.  Depreciation Expense from Results of Operations Schedule 4.</t>
  </si>
  <si>
    <t>D</t>
  </si>
  <si>
    <t>Transmission related only.</t>
  </si>
  <si>
    <t>C</t>
  </si>
  <si>
    <t>Does not apply to Western.  For others, the balances in Accounts 190, 281, 282 and 283, as adjusted by any contra accounts identified as regulatory assets amounts in or liabilities related to FASB 106 or 109.  Balance of Account 255 is reduced by prior flow throughs and excluded if the utility chose to utilize amortization of tax credits against taxable income as discussed in Note K.  Account 281 is not allocated.</t>
  </si>
  <si>
    <t>B</t>
  </si>
  <si>
    <t>Combines plant data for both the Western-Upper Great Plains Region  (Western-UGP) and Western-Rocky Mountain Region (Western-RMR).</t>
  </si>
  <si>
    <t>A</t>
  </si>
  <si>
    <t>To the extent the references to ROOs data are missing, the entity will include a "Notes" section  to provide this data.</t>
  </si>
  <si>
    <t>Letter</t>
  </si>
  <si>
    <t xml:space="preserve">General Note:  References to Results of Operations in this revenue requirement template indicate the Financial Statement Results of Operations (ROOs) Schedule where data is located. </t>
  </si>
  <si>
    <t>Note</t>
  </si>
  <si>
    <t xml:space="preserve">  b. Transmission charges for all transmission transactions included in Divisor on page 1</t>
  </si>
  <si>
    <t xml:space="preserve">  a. Transmission charges for all transmission transactions </t>
  </si>
  <si>
    <t>ACCOUNT 456 (OTHER ELECTRIC REVENUES)</t>
  </si>
  <si>
    <t>(Note Q)</t>
  </si>
  <si>
    <t>ACCOUNT 454 (RENT FROM ELECTRIC PROPERTY)</t>
  </si>
  <si>
    <t xml:space="preserve">  Total of (a)-(b)</t>
  </si>
  <si>
    <t xml:space="preserve">  b. Bundled Sales for Resale included in Divisor on page 1 </t>
  </si>
  <si>
    <t>(Note P)</t>
  </si>
  <si>
    <t xml:space="preserve">  a. Bundled Non-RQ Sales for Resale</t>
  </si>
  <si>
    <t>ACCOUNT 447 (SALES FOR RESALE)</t>
  </si>
  <si>
    <t>Load</t>
  </si>
  <si>
    <t>REVENUE CREDITS</t>
  </si>
  <si>
    <t>TIER =</t>
  </si>
  <si>
    <t xml:space="preserve">                                      Proprietary Capital Cost Rate =    </t>
  </si>
  <si>
    <t>Total (sum lines 31-32)</t>
  </si>
  <si>
    <t xml:space="preserve">  Proprietary Capital</t>
  </si>
  <si>
    <t>=R</t>
  </si>
  <si>
    <t>HFD Sch's 21RX &amp; 21X Col 8 Lines 23,25,26,29,30</t>
  </si>
  <si>
    <t xml:space="preserve">  Long Term Debt</t>
  </si>
  <si>
    <t>Weighted</t>
  </si>
  <si>
    <t>(Note O)</t>
  </si>
  <si>
    <t>%</t>
  </si>
  <si>
    <t>$</t>
  </si>
  <si>
    <t>=WCLTD</t>
  </si>
  <si>
    <t>Cost</t>
  </si>
  <si>
    <t xml:space="preserve">              Long Term Interest  Schedule 5</t>
  </si>
  <si>
    <t>RETURN (R)</t>
  </si>
  <si>
    <t xml:space="preserve">  Total</t>
  </si>
  <si>
    <t xml:space="preserve">  Water</t>
  </si>
  <si>
    <t>*</t>
  </si>
  <si>
    <t xml:space="preserve">  Gas</t>
  </si>
  <si>
    <t xml:space="preserve">  Electric</t>
  </si>
  <si>
    <t>Labor Ratio =</t>
  </si>
  <si>
    <t>% Electric</t>
  </si>
  <si>
    <t>CE</t>
  </si>
  <si>
    <t>(Note N)</t>
  </si>
  <si>
    <t>COMMON PLANT ALLOCATOR  (CE)</t>
  </si>
  <si>
    <t>=</t>
  </si>
  <si>
    <t>PTP/COE</t>
  </si>
  <si>
    <t>COE Percentage of Transmission Plant to Total Plant</t>
  </si>
  <si>
    <t>Total Plant in Service COE</t>
  </si>
  <si>
    <t>Transmission Plant in Service COE</t>
  </si>
  <si>
    <t>PTP/RMR</t>
  </si>
  <si>
    <t>RMR Percentage of Transmission Plant to Total Plant</t>
  </si>
  <si>
    <t>Total Plant in Service Western-RMR</t>
  </si>
  <si>
    <t>Transmission Plant in Service Western-RMR</t>
  </si>
  <si>
    <t>PTP/UGP</t>
  </si>
  <si>
    <t>UGP Percentage of Transmission Plant to Total Plant</t>
  </si>
  <si>
    <t>Total Plant in Service Western-UGP</t>
  </si>
  <si>
    <t>Transmission Plant in Service Western-UGP</t>
  </si>
  <si>
    <t>(Note M)</t>
  </si>
  <si>
    <t>PERCENTAGE OF TOTAL PLANT ALLOCATOR    PTP</t>
  </si>
  <si>
    <t>($ / Allocation)</t>
  </si>
  <si>
    <t xml:space="preserve">  Other</t>
  </si>
  <si>
    <t>W&amp;S Allocator</t>
  </si>
  <si>
    <t xml:space="preserve">  Distribution</t>
  </si>
  <si>
    <t xml:space="preserve">  Transmission</t>
  </si>
  <si>
    <t xml:space="preserve">  Production</t>
  </si>
  <si>
    <t>Allocation</t>
  </si>
  <si>
    <t>TP</t>
  </si>
  <si>
    <t>WAGES &amp; SALARY ALLOCATOR   (W&amp;S)</t>
  </si>
  <si>
    <t>TE=</t>
  </si>
  <si>
    <t>Percentage of transmission expenses included in UMZ Rates</t>
  </si>
  <si>
    <t>Percentage of transmission plant included in UMZ Rates</t>
  </si>
  <si>
    <t>Percentage of transmission expenses after adjustment (line 8 divided by line 6)</t>
  </si>
  <si>
    <t>Included transmission expenses</t>
  </si>
  <si>
    <t>(Note J)</t>
  </si>
  <si>
    <t>Less transmission expenses included in OATT Ancillary Services</t>
  </si>
  <si>
    <t>Total transmission expenses</t>
  </si>
  <si>
    <t xml:space="preserve">TRANSMISSION EXPENSES </t>
  </si>
  <si>
    <t>TP=</t>
  </si>
  <si>
    <t xml:space="preserve">Percentage of transmission plant included in UMZ Rates </t>
  </si>
  <si>
    <t>Transmission plant included in UMZ rates</t>
  </si>
  <si>
    <t>(Note L)</t>
  </si>
  <si>
    <t>Less transmission plant included in OATT Ancillary Services</t>
  </si>
  <si>
    <t>(Note K)</t>
  </si>
  <si>
    <t>Less transmission plant excluded from UMZ rates</t>
  </si>
  <si>
    <t>Total transmission plant</t>
  </si>
  <si>
    <t>TRANSMISSION PLANT INCLUDED IN UMZ RATES</t>
  </si>
  <si>
    <t xml:space="preserve">                                      SUPPORTING CALCULATIONS AND NOTES</t>
  </si>
  <si>
    <t>REV. REQUIREMENT</t>
  </si>
  <si>
    <t>RETURN  [ Rate Base * Rate of Return]</t>
  </si>
  <si>
    <t>Total Income Taxes</t>
  </si>
  <si>
    <t>NP</t>
  </si>
  <si>
    <t>ITC adjustment</t>
  </si>
  <si>
    <t>Income Tax Calculation</t>
  </si>
  <si>
    <t>(enter negative)</t>
  </si>
  <si>
    <t>Amortized Investment Tax Credit</t>
  </si>
  <si>
    <t xml:space="preserve">     CIT=(T/1-T) * (1-(WCLTD/R)) =</t>
  </si>
  <si>
    <t xml:space="preserve">     T=1 - {[(1 - SIT) * (1 - FIT)] / (1 - SIT * FIT * p)} =</t>
  </si>
  <si>
    <t>(Note I)</t>
  </si>
  <si>
    <t xml:space="preserve">INCOME TAXES          </t>
  </si>
  <si>
    <t>TOTAL OTHER TAXES</t>
  </si>
  <si>
    <t xml:space="preserve">         Payments in lieu of taxes</t>
  </si>
  <si>
    <t xml:space="preserve">         Other</t>
  </si>
  <si>
    <t xml:space="preserve">         Gross Receipts</t>
  </si>
  <si>
    <t xml:space="preserve">         Property</t>
  </si>
  <si>
    <t xml:space="preserve">  PLANT RELATED</t>
  </si>
  <si>
    <t xml:space="preserve">          Highway and vehicle</t>
  </si>
  <si>
    <t>W/S</t>
  </si>
  <si>
    <t xml:space="preserve">          Payroll</t>
  </si>
  <si>
    <t xml:space="preserve">  LABOR RELATED</t>
  </si>
  <si>
    <t>(Note H)</t>
  </si>
  <si>
    <t>TAXES OTHER THAN INCOME TAXES</t>
  </si>
  <si>
    <t>TOTAL DEPRECIATION</t>
  </si>
  <si>
    <t xml:space="preserve">  General </t>
  </si>
  <si>
    <t xml:space="preserve">          COE</t>
  </si>
  <si>
    <t xml:space="preserve">          Western-RMR</t>
  </si>
  <si>
    <t xml:space="preserve">          Western-UGP</t>
  </si>
  <si>
    <t>Schedule 4</t>
  </si>
  <si>
    <t>DEPRECIATION EXPENSE</t>
  </si>
  <si>
    <t xml:space="preserve">TOTAL O&amp;M </t>
  </si>
  <si>
    <t xml:space="preserve">  Transmission Lease Payments</t>
  </si>
  <si>
    <t xml:space="preserve">  Common</t>
  </si>
  <si>
    <t>(Note G)</t>
  </si>
  <si>
    <t xml:space="preserve">     Plus Transmission Related Reg. Comm. Exp</t>
  </si>
  <si>
    <t xml:space="preserve">     Less EPRI &amp; Reg. Comm. Exp. &amp; Non-safety Ad</t>
  </si>
  <si>
    <t xml:space="preserve">     Less FERC Annual Fees</t>
  </si>
  <si>
    <t>Schedule 11 (Note F)</t>
  </si>
  <si>
    <t xml:space="preserve">  A&amp;G</t>
  </si>
  <si>
    <t>(Note E)</t>
  </si>
  <si>
    <t xml:space="preserve">     Less Account 565</t>
  </si>
  <si>
    <t>COE Financial Stmts</t>
  </si>
  <si>
    <t>Schedule 11 (Note E)</t>
  </si>
  <si>
    <t xml:space="preserve">  Transmission </t>
  </si>
  <si>
    <t>RATE BASE</t>
  </si>
  <si>
    <t>TOTAL WORKING CAPITAL</t>
  </si>
  <si>
    <t xml:space="preserve">Bal Sheet Other Assets  </t>
  </si>
  <si>
    <t xml:space="preserve">  Prepayments</t>
  </si>
  <si>
    <t>Bal Sheet - Other Assets - SGL 151191 (Note C)</t>
  </si>
  <si>
    <t xml:space="preserve">  Materials &amp; Supplies</t>
  </si>
  <si>
    <t>calculated</t>
  </si>
  <si>
    <t xml:space="preserve">  CWC  </t>
  </si>
  <si>
    <t>(Note D)</t>
  </si>
  <si>
    <t>WORKING CAPITAL</t>
  </si>
  <si>
    <t>(Note C)</t>
  </si>
  <si>
    <t xml:space="preserve">LAND HELD FOR FUTURE USE </t>
  </si>
  <si>
    <t>TOTAL ADJUSTMENTS</t>
  </si>
  <si>
    <t xml:space="preserve">  Account No. 255</t>
  </si>
  <si>
    <t xml:space="preserve">  Account No. 190</t>
  </si>
  <si>
    <t xml:space="preserve">  Account No. 283</t>
  </si>
  <si>
    <t xml:space="preserve">  Account No. 282</t>
  </si>
  <si>
    <t xml:space="preserve">  Account No. 281</t>
  </si>
  <si>
    <t>(Note B)</t>
  </si>
  <si>
    <t xml:space="preserve">ADJUSTMENTS TO RATE BASE </t>
  </si>
  <si>
    <t>NP=</t>
  </si>
  <si>
    <t>TOTAL NET PLANT</t>
  </si>
  <si>
    <t>NET PLANT IN SERVICE</t>
  </si>
  <si>
    <t>TOTAL ACCUM. DEPRECIATION</t>
  </si>
  <si>
    <t>Bal Sheet - Other Assets - SGL 175902</t>
  </si>
  <si>
    <t>ACCUMULATED DEPRECIATION</t>
  </si>
  <si>
    <t>GP=</t>
  </si>
  <si>
    <t xml:space="preserve">TOTAL GROSS PLANT </t>
  </si>
  <si>
    <t>Bal Sheet - Other Assets - SGL 175002</t>
  </si>
  <si>
    <t xml:space="preserve">  General &amp; Intangible</t>
  </si>
  <si>
    <t>Schedule 1A Total</t>
  </si>
  <si>
    <t>(Note A)</t>
  </si>
  <si>
    <t>GROSS PLANT IN SERVICE</t>
  </si>
  <si>
    <t>(Col 3 times Col 4)</t>
  </si>
  <si>
    <t>RATE BASE:</t>
  </si>
  <si>
    <t>NET REVENUE REQUIREMENT</t>
  </si>
  <si>
    <t>TOTAL REVENUE CREDITS</t>
  </si>
  <si>
    <t>(5)</t>
  </si>
  <si>
    <t>(4)</t>
  </si>
  <si>
    <t>(3)</t>
  </si>
  <si>
    <t>(2)</t>
  </si>
  <si>
    <t>(1)</t>
  </si>
  <si>
    <t>No.</t>
  </si>
  <si>
    <t>ALLOCATED AMOUNT</t>
  </si>
  <si>
    <t>ALLOCATOR</t>
  </si>
  <si>
    <t>COMPANY TOTAL</t>
  </si>
  <si>
    <t>Line</t>
  </si>
  <si>
    <t>TRANSMISSION</t>
  </si>
  <si>
    <t>Utilizing Financial Statement Results of Operations</t>
  </si>
  <si>
    <t>Net Plant Investment Worksheet</t>
  </si>
  <si>
    <t xml:space="preserve">6/  The portion of O&amp;M expenses allocated to PS-ED generation is based on the ratio of generation plant-in-service to total plant-in-service, calculated on L6 of the </t>
  </si>
  <si>
    <t xml:space="preserve"> Net Plant Investment Worksheet</t>
  </si>
  <si>
    <t>5/  The portion of O&amp;M expenses allocated to PS-ED transmission is based on the ratio of transmission plant-in-service to total plant-in-service, calculated on L7 of the</t>
  </si>
  <si>
    <t>4/  Total BOR O&amp;M Expenses are from the FY Historical Financial Data in Support of the Power Repayment Study for the Pick-Sloan Missouri Basin Program, Schedule 14</t>
  </si>
  <si>
    <t>3/  Total Corps O&amp;M Expenses are from the FY Corps of Engineers Financial Statements</t>
  </si>
  <si>
    <t>Stores Interest, which are from Schedule 5</t>
  </si>
  <si>
    <t xml:space="preserve">2/  All Western RMR O&amp;M Expenses are from the FY RMCSR - Pick-Sloan Missouri River Basin Results of Operations, Schedule 11; except Moveable Property and Warehouse </t>
  </si>
  <si>
    <t>PS-ED Generation O&amp;M  6/</t>
  </si>
  <si>
    <t>PS-ED Transmission O&amp;M  5/</t>
  </si>
  <si>
    <t>PS Total O&amp;M</t>
  </si>
  <si>
    <t>COE/BOR Total</t>
  </si>
  <si>
    <t xml:space="preserve">  Scheduling, System Control &amp; Dispatch</t>
  </si>
  <si>
    <t xml:space="preserve">  Warehouse Stores Interest</t>
  </si>
  <si>
    <t xml:space="preserve">  Moveable Property Interest</t>
  </si>
  <si>
    <t>Plus:</t>
  </si>
  <si>
    <t xml:space="preserve">  Prior Year Adjustments</t>
  </si>
  <si>
    <t xml:space="preserve">  A&amp;G Expenses</t>
  </si>
  <si>
    <t xml:space="preserve">  Other Power Supply Expenses</t>
  </si>
  <si>
    <t>Less:</t>
  </si>
  <si>
    <t>Total Electric Operating Expense</t>
  </si>
  <si>
    <t>BOR</t>
  </si>
  <si>
    <t>WESTERN-RMR</t>
  </si>
  <si>
    <t xml:space="preserve">WESTERN-UGP </t>
  </si>
  <si>
    <t>6/  The portion of A&amp;G expenses allocated to PS-ED SSCD is based on the ratio of SSCD plant-in-service to total plant-in-service, calculated on L8 of the Net Plant Investment Worksheet</t>
  </si>
  <si>
    <t>Investment Worksheet</t>
  </si>
  <si>
    <t xml:space="preserve">5/  The portion of A&amp;G expenses allocated to PS-ED generation is based on the ratio of generation plant-in-service to total plant-in-service, calculated on L6 of the Net Plant </t>
  </si>
  <si>
    <t xml:space="preserve">4/  The portion of A&amp;G expenses allocated to PS-ED transmission is based on the ratio of transmission plant-in-service to total plant-in-service, calculated on L7 of the Net Plant </t>
  </si>
  <si>
    <t>3/  A&amp;G Expenses for COE and BOR are unavailable.  All COE and BOR A&amp;G expenses are included in O&amp;M Expenses</t>
  </si>
  <si>
    <t>PS-ED SSCD A&amp;G  6/</t>
  </si>
  <si>
    <t>PS-ED Generation A&amp;G  5/</t>
  </si>
  <si>
    <t>BOR  3/</t>
  </si>
  <si>
    <t>COE  3/</t>
  </si>
  <si>
    <t>13/ Interest from Results of Operations Schedule 5</t>
  </si>
  <si>
    <t>12/  (C2L6*C2L9)+(C3L6*C3L9)+(C4L6*C4L9)+(C5L6*C5L9)</t>
  </si>
  <si>
    <t>11/  C5L4, Net Plant Investment Worksheet/C6L4, Net Plant Investment Worksheet</t>
  </si>
  <si>
    <t>10/  C4L4, Net Plant Investment Worksheet/C6L4, Net Plant Investment Worksheet</t>
  </si>
  <si>
    <t>9/  C3L4, Net Plant Investment Worksheet/C6L4, Net Plant Investment Worksheet</t>
  </si>
  <si>
    <t>8/  C2L4, Net Plant Investment Worksheet/C6L4, Net Plant Investment Worksheet</t>
  </si>
  <si>
    <t>7/  (C2L6*C2L7)+(C3L6*C3L7)+(C4L6*C4L7)+(C5L6*C5L7)</t>
  </si>
  <si>
    <t>6/  C5L3, Net Plant Investment Worksheet/C6L3, Net Plant Investment Worksheet</t>
  </si>
  <si>
    <t>5/  C4L3, Net Plant Investment Worksheet/C6L3, Net Plant Investment Worksheet</t>
  </si>
  <si>
    <t>4/  C3L3, Net Plant Investment Worksheet/C6L3, Net Plant Investment Worksheet</t>
  </si>
  <si>
    <t>3/  C2L3, Net Plant Investment Worksheet/C6L3, Net Plant Investment Worksheet</t>
  </si>
  <si>
    <t>2/   FY Historical Financial Data in Support of the Power Repayment Study for the P-SMBP, Schedule 33, 33A and ROOs Schedule 5</t>
  </si>
  <si>
    <t>1/   FY Historical Financial Data in Support of the Power Repayment Study for the P-SMBP, Schedules 21X and 21RX</t>
  </si>
  <si>
    <t>12/</t>
  </si>
  <si>
    <t>Weighted Gen. Composite Rate</t>
  </si>
  <si>
    <t>11/</t>
  </si>
  <si>
    <t>10/</t>
  </si>
  <si>
    <t>9/</t>
  </si>
  <si>
    <t>8/</t>
  </si>
  <si>
    <t>Generation Plant Factor</t>
  </si>
  <si>
    <t>7/</t>
  </si>
  <si>
    <t>Weighted Trans. Composite Rate</t>
  </si>
  <si>
    <t>6/</t>
  </si>
  <si>
    <t>5/</t>
  </si>
  <si>
    <t>4/</t>
  </si>
  <si>
    <t>3/</t>
  </si>
  <si>
    <t>Transmission Plant Factor</t>
  </si>
  <si>
    <t>L6/L3</t>
  </si>
  <si>
    <t>Average Interest Rate</t>
  </si>
  <si>
    <t>2/</t>
  </si>
  <si>
    <t>13/</t>
  </si>
  <si>
    <t>FY Interest</t>
  </si>
  <si>
    <t>Interest Expenses:</t>
  </si>
  <si>
    <t>1/</t>
  </si>
  <si>
    <t>FY Balances</t>
  </si>
  <si>
    <t>Long Term Debt:</t>
  </si>
  <si>
    <t xml:space="preserve"> Investment Worksheet</t>
  </si>
  <si>
    <t>7/ For Western-UGP, the portion of depreciation expense allocated to PS-ED SSCD is based on the ratio of SSCD plant-in-service to total plant in service, calculated on L8 of the Net Plant</t>
  </si>
  <si>
    <t>calculated on L6 of the Net Plant Investment Worksheet.  COE generation depreciation is COE total depreciation less transmission depreciation</t>
  </si>
  <si>
    <t xml:space="preserve">6/  For Western-UGP, Western-RMR and BOR the portion of depreciation expense allocated to PS-ED generation is based on the ratio of generation plant-in-service to total plant-in-service, </t>
  </si>
  <si>
    <t>plant-in-service, calculated on L7 of the Net Plant Investment Worksheet</t>
  </si>
  <si>
    <t xml:space="preserve">5/  For Western-UGP, Western-RMR, COE, and BOR the portion of depreciation expense allocated to PS-ED transmission is based on the ratio of transmission plant-in-service to total  </t>
  </si>
  <si>
    <t>4/  From data provided by BOR</t>
  </si>
  <si>
    <t>3/  FY Corps of Engineers Statement of Revenues and Expenses</t>
  </si>
  <si>
    <t>2/  FY RMCSR - Pick-Sloan Missouri River Basin Results of Operations, Schedule 4</t>
  </si>
  <si>
    <t>1/  FY UGPCSR - Pick-Sloan Missouri River Basin and UGPCSR - Ft. Peck Power System Results of Operations, Schedule 4</t>
  </si>
  <si>
    <t>PS-ED SSCD Depreciation  7/</t>
  </si>
  <si>
    <t>PS-ED Generation Depreciation  6/</t>
  </si>
  <si>
    <t>PS-ED Transmission Depreciation  5/</t>
  </si>
  <si>
    <t>PS Depreciation Expense</t>
  </si>
  <si>
    <t>Depreciation Worksheet</t>
  </si>
  <si>
    <t>13/  FY Historical Financial Data in Support of the Power Repayment Study for the P-SMBP, Schedule 17</t>
  </si>
  <si>
    <t>12/  FY Historical Financial Data in Support of the Power Repayment Study for the P-SMBP, Schedule 15</t>
  </si>
  <si>
    <t>11/  FY Corps of Engineers Financial Statements, Statement of Assets and Liabilities</t>
  </si>
  <si>
    <t>10/  FY RMCSR - Pick-Sloan Missouri River Basin Results of Operations, Schedule 4</t>
  </si>
  <si>
    <t>9/  FY UGPCSR - Pick-Sloan Missouri River Basin and UGPCSR - Ft. Peck Power System Results of Operations, Schedule 4</t>
  </si>
  <si>
    <t>8/  SSCD Plant-in-Service is based on a percentage of Watertown Operations Centers cost, based on FTE</t>
  </si>
  <si>
    <t>3/  FY Corps of Engineers Financial Statements, Electric and Power Multi-Purpose Plant in Service</t>
  </si>
  <si>
    <t>2/  FY RMCSR - Pick-Sloan Missouri River Basin Results of Operations, Schedule 1</t>
  </si>
  <si>
    <t>L5-L12</t>
  </si>
  <si>
    <t>PS-ED Net SSCD Plant</t>
  </si>
  <si>
    <t>L4-L11</t>
  </si>
  <si>
    <t>L4-L10</t>
  </si>
  <si>
    <t>PS-ED Net Generation Plant</t>
  </si>
  <si>
    <t>L3-L10</t>
  </si>
  <si>
    <t>L3-L9</t>
  </si>
  <si>
    <t>PS-ED Net Transmission Plant</t>
  </si>
  <si>
    <t>PS-ED SSCD Accumulated Depreciation</t>
  </si>
  <si>
    <t>L6*L9</t>
  </si>
  <si>
    <t>L9-L10</t>
  </si>
  <si>
    <t>PS-ED Gen. Accumulated Depreciation</t>
  </si>
  <si>
    <t>L7*L9</t>
  </si>
  <si>
    <t>PS-ED Trans. Accumulated Depreciation</t>
  </si>
  <si>
    <t>PS Accumulated Depreciation</t>
  </si>
  <si>
    <t>L5/L2</t>
  </si>
  <si>
    <t>SSCD Plant to Total Plant</t>
  </si>
  <si>
    <t>L3/L2</t>
  </si>
  <si>
    <t>Transmission Plant to Total Plant</t>
  </si>
  <si>
    <t>L4/L2</t>
  </si>
  <si>
    <t>Generation Plant to Total Plant</t>
  </si>
  <si>
    <t>PS-ED SSCD Plant-in-Service</t>
  </si>
  <si>
    <t>L2-L3</t>
  </si>
  <si>
    <t>PS-ED Generation Plant-in-Service</t>
  </si>
  <si>
    <t>PS-ED Transmission Plant-in-Service</t>
  </si>
  <si>
    <t>Total PS Plant-in-Service</t>
  </si>
  <si>
    <t>L30 * L31</t>
  </si>
  <si>
    <t>L5</t>
  </si>
  <si>
    <t>L28</t>
  </si>
  <si>
    <t xml:space="preserve">      Fixed Charge Rate</t>
  </si>
  <si>
    <t xml:space="preserve">             Total</t>
  </si>
  <si>
    <t>L20</t>
  </si>
  <si>
    <t xml:space="preserve">     Allocation of General Plant to Transmission</t>
  </si>
  <si>
    <t xml:space="preserve">     Taxes Other than Income Taxes</t>
  </si>
  <si>
    <t>L14</t>
  </si>
  <si>
    <t xml:space="preserve">     Depreciation Expense</t>
  </si>
  <si>
    <t>L10</t>
  </si>
  <si>
    <t xml:space="preserve">     A&amp;G Expense</t>
  </si>
  <si>
    <t>L6</t>
  </si>
  <si>
    <t xml:space="preserve">     Operation and Maintenance Expense</t>
  </si>
  <si>
    <t>G.  Fixed Charge Rate</t>
  </si>
  <si>
    <t xml:space="preserve">     No General Plant identified at this time, all plant is identified as either generation or transmission related.</t>
  </si>
  <si>
    <t xml:space="preserve">     Not applicable.</t>
  </si>
  <si>
    <t>L12/L13</t>
  </si>
  <si>
    <t xml:space="preserve">     Depreciation as a % of Net Plant Investment</t>
  </si>
  <si>
    <t>L8/L9</t>
  </si>
  <si>
    <t xml:space="preserve">      A&amp;G as % of Net Plant Investment</t>
  </si>
  <si>
    <t xml:space="preserve">      Net Plant Investment</t>
  </si>
  <si>
    <t xml:space="preserve">      A&amp;G Expense</t>
  </si>
  <si>
    <t>L4/L5</t>
  </si>
  <si>
    <t xml:space="preserve">     O&amp;M as % of Net Plant Investment</t>
  </si>
  <si>
    <t>L2 + L3</t>
  </si>
  <si>
    <t xml:space="preserve">     Total O&amp;M Expense</t>
  </si>
  <si>
    <t xml:space="preserve">     Transmission of Electricity by Others</t>
  </si>
  <si>
    <t xml:space="preserve">     O&amp;M Expense</t>
  </si>
  <si>
    <t>COE GENERATION</t>
  </si>
  <si>
    <t>GENERATION</t>
  </si>
  <si>
    <t>Regulation and Frequency Response Service from "Regulation and Frequency Response</t>
  </si>
  <si>
    <t>Western Regulation Revenue Requirement</t>
  </si>
  <si>
    <t>REGULATION and FREQUENCY RESPONSE</t>
  </si>
  <si>
    <t xml:space="preserve">(6) </t>
  </si>
  <si>
    <t xml:space="preserve">Corps Generation Net Plant is Total Electric Plant in Service less </t>
  </si>
  <si>
    <t xml:space="preserve">Determination of Pick-Sloan Missouri Basin Program, Eastern Division </t>
  </si>
  <si>
    <t xml:space="preserve">(4) </t>
  </si>
  <si>
    <t xml:space="preserve">     Total Regulation Revenue Requirement ($)</t>
  </si>
  <si>
    <t>(6)</t>
  </si>
  <si>
    <t>Regulation Revenue Requirement ($) - Purchases</t>
  </si>
  <si>
    <t>Regulation Revenue Requirement ($) - Capacity</t>
  </si>
  <si>
    <t>Capacity Used for Regulation (kW)</t>
  </si>
  <si>
    <t>L3/L4</t>
  </si>
  <si>
    <t>Cost/kW ($/kW)</t>
  </si>
  <si>
    <t>Plant Capacity (kW)</t>
  </si>
  <si>
    <t>L1*L2</t>
  </si>
  <si>
    <t>Annual Corps Generation Cost  ($)</t>
  </si>
  <si>
    <t>Corps Generation Net Plant Costs ($)</t>
  </si>
  <si>
    <t>Fixed Charge Rate</t>
  </si>
  <si>
    <t>Regulation and Frequency Response (Western's Costs)</t>
  </si>
  <si>
    <t xml:space="preserve">(2) </t>
  </si>
  <si>
    <t xml:space="preserve">(1) </t>
  </si>
  <si>
    <t>L1 + L6</t>
  </si>
  <si>
    <t>Total Regulation Revenue Rqmt with True-up</t>
  </si>
  <si>
    <t>L2 * L5</t>
  </si>
  <si>
    <t>L3 / L4</t>
  </si>
  <si>
    <t>Ratio WAUW Control Area to Total Control Area(s)</t>
  </si>
  <si>
    <t>Generation Net Plant Costs include the total Corps Generation Plant-in-Service</t>
  </si>
  <si>
    <t xml:space="preserve">Determination of Pick-Sloan Missouri Basin Program, Eastern Division  </t>
  </si>
  <si>
    <t>Monthly Charge ($/kW-mo)</t>
  </si>
  <si>
    <t>Annual Reserves Revenue Requirement</t>
  </si>
  <si>
    <t>Capacity used for Reserves (kW) -- 3% Load + 3% Gen</t>
  </si>
  <si>
    <t>Maximum Generation in WAUW Control Area (kW)</t>
  </si>
  <si>
    <t>Western's Maximum Load in WAUW Control Area (kW)</t>
  </si>
  <si>
    <t>Prior Year True-Up</t>
  </si>
  <si>
    <t>Cost/kW ($/kW-Yr)</t>
  </si>
  <si>
    <t>RESERVES</t>
  </si>
  <si>
    <t>Ratio for Line 12</t>
  </si>
  <si>
    <t>L11-L12+L13</t>
  </si>
  <si>
    <t>Column 4 shows percentage of the Watertown Operations Center that was prorated to generation based on FTE associated with generation.</t>
  </si>
  <si>
    <t>Subtotal</t>
  </si>
  <si>
    <t>Criteria 6:  7 Factor Test</t>
  </si>
  <si>
    <t>Criteria 5:  DC Interconnection</t>
  </si>
  <si>
    <t>Criteria 4:  High Side of Transformer</t>
  </si>
  <si>
    <t>Criteria 3:  Control and Protection</t>
  </si>
  <si>
    <t>Criteria 2:  Interconnect Zones / Surrounding Entities</t>
  </si>
  <si>
    <t>Criteria 1:  Non-Radial above 60-kV / (b) Two or More Eligible Customers</t>
  </si>
  <si>
    <t xml:space="preserve"> The diagrams include CEII material and therefore require execution of a Non-Disclosure Agreement with Western Area Power Administration - Upper Great Plains Region.</t>
  </si>
  <si>
    <t xml:space="preserve">One-Line Diagrams showing these included facilities are available upon request. </t>
  </si>
  <si>
    <t>x</t>
  </si>
  <si>
    <t>Oahe</t>
  </si>
  <si>
    <t>115-kV breakers 462, 562, 662, 762, 862 and assoc switches</t>
  </si>
  <si>
    <t>Gavins Point</t>
  </si>
  <si>
    <t>230/115-kV transformer</t>
  </si>
  <si>
    <t>Garrison</t>
  </si>
  <si>
    <t>Fort Randall</t>
  </si>
  <si>
    <t>230-kV breaker 1382 and associated switches</t>
  </si>
  <si>
    <t>69-kV breaker 1142 and assoc. switches</t>
  </si>
  <si>
    <t>Fort Peck</t>
  </si>
  <si>
    <t>Big Bend</t>
  </si>
  <si>
    <t>Corps Switchyard Facilities</t>
  </si>
  <si>
    <t>230-kV breakers 182, 282, 9182 and assoc switches</t>
  </si>
  <si>
    <t>YT</t>
  </si>
  <si>
    <t>Rocky Mountain Region Facilities</t>
  </si>
  <si>
    <t>E/W</t>
  </si>
  <si>
    <t>Miles City Converter Station</t>
  </si>
  <si>
    <t>multiplexer, channel bank, SCADA</t>
  </si>
  <si>
    <t>multiplexer</t>
  </si>
  <si>
    <t>Instrument Transformer</t>
  </si>
  <si>
    <t>Whately (Northern)</t>
  </si>
  <si>
    <t>comm, miltiplex, battery</t>
  </si>
  <si>
    <t>Verona</t>
  </si>
  <si>
    <t>fiber termination equipment</t>
  </si>
  <si>
    <t>meters to MDU</t>
  </si>
  <si>
    <t>land, steel structure, meter equipment</t>
  </si>
  <si>
    <t>antenna, meters for MDU</t>
  </si>
  <si>
    <t>MILES CITY SUB (BEFP)</t>
  </si>
  <si>
    <t>Mandan</t>
  </si>
  <si>
    <t>microwave, RTU</t>
  </si>
  <si>
    <t>RTU, SCADA</t>
  </si>
  <si>
    <t>meters NWMT NITS from Great Falls</t>
  </si>
  <si>
    <t>RTU, PTs</t>
  </si>
  <si>
    <t>Multiplexer, Termination Equiment</t>
  </si>
  <si>
    <t>radio, quarters, fence</t>
  </si>
  <si>
    <t>fiber, microwave, SCADA</t>
  </si>
  <si>
    <t>microwave, RTU, SCADA</t>
  </si>
  <si>
    <t>communications equipment</t>
  </si>
  <si>
    <t>meters for Central MT (Basin NITS)</t>
  </si>
  <si>
    <t>microwave alarm system</t>
  </si>
  <si>
    <t>Bison</t>
  </si>
  <si>
    <t>meters for NWMT NITS from Havre</t>
  </si>
  <si>
    <t>Communication Facilities</t>
  </si>
  <si>
    <t>Transmission-Related Generation Facilities</t>
  </si>
  <si>
    <t>Mobile Equipment</t>
  </si>
  <si>
    <t>Operation Centers</t>
  </si>
  <si>
    <t>O&amp;M Service &amp; Maintenance Centers</t>
  </si>
  <si>
    <t>115-kV switches 16x, 26x, 36x</t>
  </si>
  <si>
    <t>Vetal Tap</t>
  </si>
  <si>
    <t>2 customers from Tiber (Bureau of Reclamation and Tiber LLC)</t>
  </si>
  <si>
    <t>115-kV switches 163, 260, 261, 360, 361</t>
  </si>
  <si>
    <t>Tiber Tap</t>
  </si>
  <si>
    <t>115-kV switches 160, 161, 260, 261, 361</t>
  </si>
  <si>
    <t>Terry Tap</t>
  </si>
  <si>
    <t>115-kV switches 561, 560</t>
  </si>
  <si>
    <t>Shirley Tap</t>
  </si>
  <si>
    <t>115-kV switches 56x, 66x</t>
  </si>
  <si>
    <t>Pleasant Lake Tap</t>
  </si>
  <si>
    <t>115-kV switches 176x, 196x</t>
  </si>
  <si>
    <t>Penn Tap</t>
  </si>
  <si>
    <t>115-kV inerrupters and switches</t>
  </si>
  <si>
    <t>O'Neill</t>
  </si>
  <si>
    <t>115kV breakers 1362, 1562 and assoc switches</t>
  </si>
  <si>
    <t>Denbigh Tap</t>
  </si>
  <si>
    <t>345-kV breakers 4096, 4192 and assoc switches</t>
  </si>
  <si>
    <t>Charlie Creek</t>
  </si>
  <si>
    <t>Taps</t>
  </si>
  <si>
    <t>YELLOWTAIL-YELLOWTAIL (PACE)</t>
  </si>
  <si>
    <t>230-kV</t>
  </si>
  <si>
    <t>161-kV</t>
  </si>
  <si>
    <t>VERONA GREAT FALLS</t>
  </si>
  <si>
    <t>115-kV</t>
  </si>
  <si>
    <t>RAPID CITY-DRY CREEK</t>
  </si>
  <si>
    <t>HAVRE-VERONA</t>
  </si>
  <si>
    <t>69-kV</t>
  </si>
  <si>
    <t>FORT PECK-DAWSON #2</t>
  </si>
  <si>
    <t>FORT PECK-DAWSON #1</t>
  </si>
  <si>
    <t>CHARLIE CREEK - BEULAH</t>
  </si>
  <si>
    <t>CANYON FERRY - CANYON FERRY TAP</t>
  </si>
  <si>
    <t>Transmission Lines</t>
  </si>
  <si>
    <t>station service KX1A, KW1B and assoc switches</t>
  </si>
  <si>
    <t>115-kV breakers 162, 262 and assoc switches/ switches 361 and 861</t>
  </si>
  <si>
    <t>Woonsocket</t>
  </si>
  <si>
    <t>station service KW1A</t>
  </si>
  <si>
    <t>115-kV breakers 1362, 1562, 1662, 1762, 1862 and assoc switches/switches 1963, 1965</t>
  </si>
  <si>
    <t>Wolf Point</t>
  </si>
  <si>
    <t>capacitor PY10A, PY11A, switches 1160, 1161</t>
  </si>
  <si>
    <t>reactor KY10A</t>
  </si>
  <si>
    <t>115-kV breakers 162, 362, 462, 1062 and assoc switches / switches 661, 761</t>
  </si>
  <si>
    <t>Winner</t>
  </si>
  <si>
    <t>station service KW1B, KW2B and assoc switches</t>
  </si>
  <si>
    <t xml:space="preserve">230-kV breakers 182, 286, 382, 482, 486, 582, 686 and assoc switches </t>
  </si>
  <si>
    <t>Williston 2</t>
  </si>
  <si>
    <t>to MDU</t>
  </si>
  <si>
    <t>57-kV breakers 3152, 3252, 3352, 3452 and assoc switches</t>
  </si>
  <si>
    <t>115/57-kV transformers KY4B, switches 2465, 2469</t>
  </si>
  <si>
    <t>115-kV breakers 1262, 1362, 1462, 1562, 1662, 1762, 1866 and assoc switches</t>
  </si>
  <si>
    <t>Williston</t>
  </si>
  <si>
    <t>115-kV breakers 162, 262, and assoc switches / switch 361</t>
  </si>
  <si>
    <t>Wicksville</t>
  </si>
  <si>
    <t>reactor KW32A, breaker 3224 and assoc switches</t>
  </si>
  <si>
    <t>station service KWA, KWB switches 312x, 3311, 3511</t>
  </si>
  <si>
    <t>345/115-kV transformer KU1A, switches 2163, 2165</t>
  </si>
  <si>
    <t>115-kV breakers 2262, 2362, and assoc switches</t>
  </si>
  <si>
    <t>345-kV breakers 292, 296, 392, 396, 492, 496, 592, 596 and assoc switches</t>
  </si>
  <si>
    <t>White</t>
  </si>
  <si>
    <t>69 kV switches 151, 351</t>
  </si>
  <si>
    <t>Whately</t>
  </si>
  <si>
    <t>WH</t>
  </si>
  <si>
    <t>Station Service</t>
  </si>
  <si>
    <t>230-kV breakers 586, 682, 786, 882 and assoc switches</t>
  </si>
  <si>
    <t>Wessington Springs</t>
  </si>
  <si>
    <t>capacitor PY17A</t>
  </si>
  <si>
    <t>reactor KY17A, switches 176x</t>
  </si>
  <si>
    <t>115-kV breakers 1262, 1362 and assoc switches</t>
  </si>
  <si>
    <t>capacitor PY16A</t>
  </si>
  <si>
    <t>reactor KY16A, switches 166x</t>
  </si>
  <si>
    <t>station service KW1B, switches 121, 123</t>
  </si>
  <si>
    <t>230-kV switches 282, 283, 182, 183</t>
  </si>
  <si>
    <t>230-kV breakers 682, 782, 882 and assoc switches</t>
  </si>
  <si>
    <t>Watford City</t>
  </si>
  <si>
    <t>All Facilities and Equipment</t>
  </si>
  <si>
    <t>Watertown Static Var</t>
  </si>
  <si>
    <t>reactor KU3A</t>
  </si>
  <si>
    <t>345-kV breakers 7296, 7292, 7398 and assoc switches</t>
  </si>
  <si>
    <t>Watertown 2</t>
  </si>
  <si>
    <t>Two East River members served through 2752 (Codington-Clark and H-D)</t>
  </si>
  <si>
    <t>69 kV breaker 2752 and assoc switches</t>
  </si>
  <si>
    <t>Two East River members are served through KY3A (Codington-Clark and H-D)</t>
  </si>
  <si>
    <t>115/69 kV transformer KY3A</t>
  </si>
  <si>
    <t>13.2-kV switches 372x, 362x, 82x</t>
  </si>
  <si>
    <t>reactor KW1A, breaker 3122 and assoc switches</t>
  </si>
  <si>
    <t>station service KY3A, KHA, KHB, K1, K2 and assoc switches</t>
  </si>
  <si>
    <t>1762 - two customers MRES and NorthWestern Energy</t>
  </si>
  <si>
    <t>230/115-kV transformers KV2A, KV8A</t>
  </si>
  <si>
    <t>capacitor PV9A</t>
  </si>
  <si>
    <t>reactor KV9A</t>
  </si>
  <si>
    <t>230-kV breakers 182, 282, 382, 482, 582, 682, 882, 984, 1182, 9182 and assoc switches</t>
  </si>
  <si>
    <t>Watertown</t>
  </si>
  <si>
    <t>station service KX3A, KW9A and assoc switches</t>
  </si>
  <si>
    <t>230-kV switches 18x, 28x</t>
  </si>
  <si>
    <t>Washburn</t>
  </si>
  <si>
    <t>230-kV breakers 182, 282, 286 and assoc switches</t>
  </si>
  <si>
    <t>Ward</t>
  </si>
  <si>
    <t>station service KW1B, switch 821</t>
  </si>
  <si>
    <t>115-kV switches 16x, 26x, 36x, 461</t>
  </si>
  <si>
    <t>Wall</t>
  </si>
  <si>
    <t>230-kV switches 185 and 283</t>
  </si>
  <si>
    <t>230-kV breakers 382, 386, 482, 486 and assoc switches</t>
  </si>
  <si>
    <t>Virgil Fodness</t>
  </si>
  <si>
    <t>station service KW2A and switch 321</t>
  </si>
  <si>
    <t>2 customers (Minnkota Power and City of Valley City)</t>
  </si>
  <si>
    <t>115/69-kV transformer KY1A</t>
  </si>
  <si>
    <t>115-kV 162, 262, 362, 462, 562 and assoc switches</t>
  </si>
  <si>
    <t>Valley City</t>
  </si>
  <si>
    <t>station service KW3A and assoc switches</t>
  </si>
  <si>
    <t>115-kV breakers 1266, 1362, 1562, 1762 and assoc switches</t>
  </si>
  <si>
    <t>230/115-kV transformer KV3A</t>
  </si>
  <si>
    <t>230-kV breakers 382, 486, 582, 686 and assoc switches</t>
  </si>
  <si>
    <t>Utica Junction</t>
  </si>
  <si>
    <t>Station Service KZ1A and switches 351 and 751</t>
  </si>
  <si>
    <t>115-kV switches 16x, 26x, 361</t>
  </si>
  <si>
    <t>Tyndall</t>
  </si>
  <si>
    <t>2 customers (generator and Marias)</t>
  </si>
  <si>
    <t>115-kV switches 1260, 1261</t>
  </si>
  <si>
    <t>Tiber</t>
  </si>
  <si>
    <t>Three East River members served through 1152 (Whetstone, Lake Region, and Traverse)</t>
  </si>
  <si>
    <t>69 kV breaker 1152 and assoc. switches</t>
  </si>
  <si>
    <t>Four East River members served through KY1A (Whetstone, Lake Region, Traverse, and Codington-Clark)</t>
  </si>
  <si>
    <t>115/69 kV transformer KY1A</t>
  </si>
  <si>
    <t>station service KZ1A, switch 1351</t>
  </si>
  <si>
    <t xml:space="preserve">115-kV breakers 262, 362, 462, 562, 762, and assoc switches , switch 163 </t>
  </si>
  <si>
    <t>Summit</t>
  </si>
  <si>
    <t>Reactor KV3A, breaker 384 and assoc. switches</t>
  </si>
  <si>
    <t>Stegall</t>
  </si>
  <si>
    <t>to NIPCO and Wisdom Sub</t>
  </si>
  <si>
    <t>Spencer</t>
  </si>
  <si>
    <t>station service KW33A, KW53A, KZ1A, switches 33xx, 53xx, 1851</t>
  </si>
  <si>
    <t>breakers 3124, 5124 and assoc switches</t>
  </si>
  <si>
    <t>reactors KW31A, KW51A</t>
  </si>
  <si>
    <t>230/115-kV transformers KV3A, KV5A</t>
  </si>
  <si>
    <t>230-kV breakers 2182, 2282, 2382, 2482, 2582, 2682, 2782, 9182 and assoc switches</t>
  </si>
  <si>
    <t>Sioux Falls</t>
  </si>
  <si>
    <t>station service K1, K2 and assoc switches</t>
  </si>
  <si>
    <t>reactors KW10A, KW10B, breakers 5522, 5622 and assoc switches</t>
  </si>
  <si>
    <t>230-kV breakers 7382, 7482 and assoc switches</t>
  </si>
  <si>
    <t>345/230-kV transformers KU1A, KU1B, switches 8091, 8081, 8291, 8281</t>
  </si>
  <si>
    <t>reactor KU6A</t>
  </si>
  <si>
    <t>345-kV breakers 8498, 8592, 8692, 8696 and assoc switches</t>
  </si>
  <si>
    <t>Sioux City 2</t>
  </si>
  <si>
    <t>to NIPCO (looped) and MEC</t>
  </si>
  <si>
    <t>69-kV breakers 2156, 2352, 2852, 2952, 3052, 3152 and assoc switches</t>
  </si>
  <si>
    <t>station service KW1B, KW1C, switches 502x, 512x, 522x</t>
  </si>
  <si>
    <t>reactors KW53A, KW54A, breakers 5324, 5424 and assoc switches</t>
  </si>
  <si>
    <t>161-kV breakers 1062, 1162, 1262, 1362, 1562, 1662, 8162</t>
  </si>
  <si>
    <t>230/161-kV transformers KV1A and KV5A</t>
  </si>
  <si>
    <t>230-kV breakers 182, 282, 382, 482, 582, 682, 9182 and assoc switches, switch 7283</t>
  </si>
  <si>
    <t>Sioux City</t>
  </si>
  <si>
    <t>SC</t>
  </si>
  <si>
    <t>230-kV breakers 482, switches 481, 383, 281, 183</t>
  </si>
  <si>
    <t>station service KW2A and assoc. switches</t>
  </si>
  <si>
    <t>reactor KW3A, breaker 3124 and assoc switches</t>
  </si>
  <si>
    <r>
      <t xml:space="preserve">115-kV breakers 1062, </t>
    </r>
    <r>
      <rPr>
        <sz val="11"/>
        <color theme="1"/>
        <rFont val="Calibri"/>
        <family val="2"/>
        <scheme val="minor"/>
      </rPr>
      <t>1362, 1462 and assoc. switches, switches 1263, 1265</t>
    </r>
  </si>
  <si>
    <t>Shelby 2</t>
  </si>
  <si>
    <t>Station Service KX2A, KW1A and assoc. switches and equipment</t>
  </si>
  <si>
    <t>reactor KY2A</t>
  </si>
  <si>
    <t>capacitor PY8A</t>
  </si>
  <si>
    <t>Rugby</t>
  </si>
  <si>
    <t>station service KW1A, switches 521, 523</t>
  </si>
  <si>
    <t>115-kV switches 260, 261, 160, 161</t>
  </si>
  <si>
    <t>Rudyard</t>
  </si>
  <si>
    <t>115-kV breaker 1162 and assoc switches</t>
  </si>
  <si>
    <t>Rolla</t>
  </si>
  <si>
    <t>station service KW20A, KW43A KW42A, switches 202x, 422x, 432x, 431x</t>
  </si>
  <si>
    <t>capacitors PY6A, PY21A</t>
  </si>
  <si>
    <t>reactors KY10A, KY21A</t>
  </si>
  <si>
    <t>115-kV breakers 162, 262, 362, 462, 562, 664, 766, 862, 2164 and assoc switches</t>
  </si>
  <si>
    <t>Rapid City</t>
  </si>
  <si>
    <t>Station Service KW1D, KW1E, KW1F and assoc switches</t>
  </si>
  <si>
    <t>One East River member and two irrigation districts served through KY2A and 1252 (Oahe, Grey Goose Irrigation and Crow Creek Irrigation)</t>
  </si>
  <si>
    <t>69kV breaker 1252 and assoc breakers</t>
  </si>
  <si>
    <t>station service KW1A, KW2A, KW1B, switches 271x, 281x, 302x</t>
  </si>
  <si>
    <t>115-kV switches 563, 565, 761</t>
  </si>
  <si>
    <t>115-kV breakers 162, 362, 662, 862 and assoc switches</t>
  </si>
  <si>
    <t>Pierre</t>
  </si>
  <si>
    <t>station service KW32A, KW31A and assoc switches</t>
  </si>
  <si>
    <t>115-kV breakers 1462, 1562, 1762, 1862 and assoc switches</t>
  </si>
  <si>
    <t>Philip</t>
  </si>
  <si>
    <t>230-kV breakers IH278, IH296 and assoc switches</t>
  </si>
  <si>
    <t>Pace Yellowtail</t>
  </si>
  <si>
    <t>PY</t>
  </si>
  <si>
    <t>Station Service KW1B</t>
  </si>
  <si>
    <t>2 customers: Buffalo Rapids Irrigation and Tongue River Electric</t>
  </si>
  <si>
    <t>69kV breaker 452 and assoc switches</t>
  </si>
  <si>
    <t>115-kV breakers 162, 262, 362 and assoc switches</t>
  </si>
  <si>
    <t>O'Fallon Creek</t>
  </si>
  <si>
    <t>Station Service KW1A and assoc equipment</t>
  </si>
  <si>
    <t>2 customers: Butte Electric and West River</t>
  </si>
  <si>
    <t>115-kV switches 116x, 1262, 136x</t>
  </si>
  <si>
    <t>Newell</t>
  </si>
  <si>
    <t>station service KW1A, KW1B and assoc switches</t>
  </si>
  <si>
    <t>reactor KW45A, KW40A, KW41A, KW42A</t>
  </si>
  <si>
    <t>13.8-kV breaker 4522, 4022, 4122, 4222 and assoc switches</t>
  </si>
  <si>
    <t>115-kV breakers 1262, 1362, 1462, 1562, 1662, 1866, 8162, 8262 and assoc switches</t>
  </si>
  <si>
    <t>230/115-kV transformers KV2A, KV1A</t>
  </si>
  <si>
    <t>reactor KV3A, KV4A</t>
  </si>
  <si>
    <t>230-kV breakers 282, 382, 384, 484, 582, 682, 782, 882, 986, 9182, 9282 and assoc switches</t>
  </si>
  <si>
    <t>New Underwood</t>
  </si>
  <si>
    <t>Nelson Tap</t>
  </si>
  <si>
    <t>One East River member and one municipal customer served through KY1A and East River 1952 (Central and City of Plankinton)</t>
  </si>
  <si>
    <t>station service KZ1A and assoc switches</t>
  </si>
  <si>
    <t>115-kV breakers 162, 262 and assoc switches</t>
  </si>
  <si>
    <t>Mount Vernon</t>
  </si>
  <si>
    <t>station service KW1B and switches 512x</t>
  </si>
  <si>
    <t>115-kV breakers 1162, 1462, 1562, 1762 and assoc switches</t>
  </si>
  <si>
    <t>230/115-kV transformer KV1A</t>
  </si>
  <si>
    <t>230-kV breakers 182, 382, 482, 582 and assoc switches</t>
  </si>
  <si>
    <t>Morris</t>
  </si>
  <si>
    <t>station service KX2A, KX1A and switches 243x, 253x</t>
  </si>
  <si>
    <t>115-kV breakers 764, 3064, 3164 and assoc. switches</t>
  </si>
  <si>
    <t>capacitors PY30A, PY31A</t>
  </si>
  <si>
    <t>reactors KY30A, KY31A, KY7A</t>
  </si>
  <si>
    <t>115-kV breakers 162, 262, 462 and assoc. switches, switches 863, 865</t>
  </si>
  <si>
    <t>Mission</t>
  </si>
  <si>
    <t>Miles City 3</t>
  </si>
  <si>
    <t>13.8-kV SS to Miles City DC Converter Station</t>
  </si>
  <si>
    <t>station service K2, K1 and assoc switches</t>
  </si>
  <si>
    <t>reactor KW7A, breaker 724 and assoc switches</t>
  </si>
  <si>
    <t>115-kV breakers 1362, 1462, 1662 and assoc. switches, switches 1161 and 1165</t>
  </si>
  <si>
    <t>230-kV breakers 382, 386, 482, 582 and assoc. switches and switch 783</t>
  </si>
  <si>
    <t>Miles City 2</t>
  </si>
  <si>
    <t>2 customers (MDU, Kinsey Irrigation)</t>
  </si>
  <si>
    <t>57-kV breaker 152 and assoc. switches</t>
  </si>
  <si>
    <t>Miles City</t>
  </si>
  <si>
    <t>station service KW20A, switches 2031, 2011, 3011</t>
  </si>
  <si>
    <t>115-kV switches 16x and 26x / switch 361</t>
  </si>
  <si>
    <t>Midland</t>
  </si>
  <si>
    <t>station service KW30A, KW31A and assoc switches</t>
  </si>
  <si>
    <t>reactors KY19A, KY20A</t>
  </si>
  <si>
    <t>capacitors PY19A, PY20A</t>
  </si>
  <si>
    <t>230-kV breakers 182, 282, 582 and assoc. switches</t>
  </si>
  <si>
    <t>Maurine</t>
  </si>
  <si>
    <t>station service KW1A and switch 2021</t>
  </si>
  <si>
    <t>Martin</t>
  </si>
  <si>
    <t>station service KW3B and assoc switches</t>
  </si>
  <si>
    <t>115-kV breakers 1266, 1362, 1562 and assoc. switches</t>
  </si>
  <si>
    <t>NWPS line to Mitchell is Networked</t>
  </si>
  <si>
    <t>230-kV breakers 382, 582, 686 and assoc. switches</t>
  </si>
  <si>
    <t>Letcher</t>
  </si>
  <si>
    <t>station service KW3B and switch 1021</t>
  </si>
  <si>
    <t>69-kV breakers 444, 544 and assoc switches / switch 143</t>
  </si>
  <si>
    <t>115/69-kV transformer KY1A, switches 161, 162</t>
  </si>
  <si>
    <t>capacitor PZ4A, breaker 744 and assoc. switches</t>
  </si>
  <si>
    <t>115-kV breakers 262, 362, 462, 562 and assoc. switches</t>
  </si>
  <si>
    <t>Leeds</t>
  </si>
  <si>
    <t>station service KW1A, switches 825, 921</t>
  </si>
  <si>
    <t>115/69-kV transformer KY1A, switches 362, 363</t>
  </si>
  <si>
    <t>115-kV breaker 162 and assoc switches</t>
  </si>
  <si>
    <t>Lakota</t>
  </si>
  <si>
    <t>station service KY1A, switch 3163, KX3A and assoc. switches</t>
  </si>
  <si>
    <t>Capacitor PY2A, 115-kV breaker 264 and assoc. switches</t>
  </si>
  <si>
    <t>115-kV breakers 162, 166, 366, 462 and assoc. switches</t>
  </si>
  <si>
    <t>Killdeer</t>
  </si>
  <si>
    <t>reactor KW26A, breaker 2622 and assoc. switches</t>
  </si>
  <si>
    <t>station service KW4B, wiches 242x, 252x 302x</t>
  </si>
  <si>
    <t>station service KWA, KWB switches 222x, 232x</t>
  </si>
  <si>
    <t>reactor KW21A, breaker 2122 and assoc. switches</t>
  </si>
  <si>
    <t>230/115-kV transformers KU3A, KU6A</t>
  </si>
  <si>
    <t>reactors KY20A, KY19A, KY7A</t>
  </si>
  <si>
    <t>capacitors PY20A, PY19A</t>
  </si>
  <si>
    <t>not 662 - to OTP N.O.</t>
  </si>
  <si>
    <t>115-kV breakers 162, 262, 362, 462, 562, 762, 1864, 1964, 2064 and assoc switches</t>
  </si>
  <si>
    <t>230-kV breakers 3182, 3282, 3382, 3482, 3582, 3682, 3782, 3882, 3982, 9182 and assoc switches</t>
  </si>
  <si>
    <t>Jamestown</t>
  </si>
  <si>
    <t>station service KW1C, KW1D and assoc. switches</t>
  </si>
  <si>
    <t>reactors KW1A, KW3A, breakers 132, 332 and assoc. switches</t>
  </si>
  <si>
    <t>230/115-kV transformers KV1A</t>
  </si>
  <si>
    <t>230-kV breakers 582, 586, 782, 786, 882 and assoc. switches, switches 181, 281</t>
  </si>
  <si>
    <t>Huron</t>
  </si>
  <si>
    <t>230-kV breakers 186, 386, 482 and assoc. switches</t>
  </si>
  <si>
    <t>Hilken</t>
  </si>
  <si>
    <t>station service KW1E, KW2A, switches 921, 221, 223</t>
  </si>
  <si>
    <t>reactor KW1A</t>
  </si>
  <si>
    <t>12.47-kv breaker 522 and assoc switches</t>
  </si>
  <si>
    <t xml:space="preserve">161/115-kV transformer KZ1A </t>
  </si>
  <si>
    <t>Hill County Coop and Tiber LLC</t>
  </si>
  <si>
    <t>115-kV breaker 1362, 1462, 1562, 1662 and assoc. switches</t>
  </si>
  <si>
    <t>161-kV breakers 162, 262, 362 and assoc. switches</t>
  </si>
  <si>
    <t>Havre</t>
  </si>
  <si>
    <t>NWPS line is networked and included</t>
  </si>
  <si>
    <t>69-kV breaker 1152 and assoc. switches</t>
  </si>
  <si>
    <t xml:space="preserve">115/69-kV transformer KY2A </t>
  </si>
  <si>
    <t>station service KZ1A and KW2A</t>
  </si>
  <si>
    <t>Two East River members served through KY1A (Lake Region, Northern)</t>
  </si>
  <si>
    <t xml:space="preserve">115/69-kV transformer KY1A </t>
  </si>
  <si>
    <t>115-kV switches 16x, 126x</t>
  </si>
  <si>
    <t>115-kV  breakers 262, 362, 462, 562, 862, 966 and assoc. switches / switches 16x</t>
  </si>
  <si>
    <t>Groton</t>
  </si>
  <si>
    <t>station service KW1A and switch 521</t>
  </si>
  <si>
    <t>115-kV breakers 162, 262, 762 and assoc. switches</t>
  </si>
  <si>
    <t>Gregory</t>
  </si>
  <si>
    <t>station service KW1A and switch 221</t>
  </si>
  <si>
    <t>161-kV breaker 162 and assoc switchers</t>
  </si>
  <si>
    <t>230/161-kV transformer KV1A</t>
  </si>
  <si>
    <t>in NWMT Great Falls Sub</t>
  </si>
  <si>
    <t>230 kV switch 26B</t>
  </si>
  <si>
    <t>230-kV breakers 230/99, 230/100, 230/22, 230/23 and assoc. switches</t>
  </si>
  <si>
    <t>Great Falls</t>
  </si>
  <si>
    <t xml:space="preserve">station service KW50A, KW51A and assoc switches </t>
  </si>
  <si>
    <t>reactors KY25A, KY26A</t>
  </si>
  <si>
    <t>capacitors PY25A, PY26A, breakers 2564, 2664 and assoc. switches</t>
  </si>
  <si>
    <t>115-kV switches 246x, 296x</t>
  </si>
  <si>
    <t>115-kV breakers 2062, 2262, 2366, 2762, 3162, 8162 and assoc. switches</t>
  </si>
  <si>
    <t>13.8-kV breakers 5424, 5524, 5624, 5724 with assoc. switches and switches 5121, 5123</t>
  </si>
  <si>
    <t>reactors KW3A, KW54A, KW55A, KW56A, KW57A</t>
  </si>
  <si>
    <t>230/115-kV transformers KV3A, KV8A</t>
  </si>
  <si>
    <t>reactors KV1A, KV11A</t>
  </si>
  <si>
    <t>capacitors PV1A, PV11A</t>
  </si>
  <si>
    <t>230-kV breakers 184, 282, 382, 486, 582, 682, 782, 882, 1082, 1184, 9182 and assoc. switches</t>
  </si>
  <si>
    <t>Granite Falls</t>
  </si>
  <si>
    <t>station service KHA, KHB and assoc switches</t>
  </si>
  <si>
    <t>reactors KW2A, breakers 6022 and assoc. switches</t>
  </si>
  <si>
    <t>345/230-kV transformers KU1A, KU1B and switch 293</t>
  </si>
  <si>
    <t>reactors KW1B, KW1A, breakers 5122, 5022 and assoc. switches</t>
  </si>
  <si>
    <t>reactor KU4A, switch 1098</t>
  </si>
  <si>
    <t>345-kV breakers 1092, 1192, 1196, 1292, 1596, 1592, 1692, 1796 and assoc. switches</t>
  </si>
  <si>
    <t>Grand Island</t>
  </si>
  <si>
    <t>capacitors PZ3A, PZ3B, switches 335x, 345x</t>
  </si>
  <si>
    <t>2452 to MPC, 2552 to NSP</t>
  </si>
  <si>
    <t>69-kV breakers 2252, 2352, 2452, 2552 and assoc. switches / switches 2151, 2153</t>
  </si>
  <si>
    <t>115/69-kV transformer KY2B, switch 3261 and 3259</t>
  </si>
  <si>
    <t>115-kV breakers 1462, 1562, 1662, 1862, 1962 and assoc. switches</t>
  </si>
  <si>
    <t>station service KW41A, KW42A and associated switches</t>
  </si>
  <si>
    <t>reactor KW43A, breaker 4324 and assoc. switches</t>
  </si>
  <si>
    <t>230-kV breakers 286, 382, 486 and associated switches / switches 183 and 580</t>
  </si>
  <si>
    <t>Grand Forks</t>
  </si>
  <si>
    <t>2 customers - MDU and Lower Yellowstone</t>
  </si>
  <si>
    <t>57-kV breaker 342 and assoc. switches</t>
  </si>
  <si>
    <t>115/57-kV transformer KY1A</t>
  </si>
  <si>
    <t>115-kV switch 362</t>
  </si>
  <si>
    <t>Glendive</t>
  </si>
  <si>
    <t>station service KW1D, KW1C, switches 662x, 6611, 6311, 632x</t>
  </si>
  <si>
    <t>capacitor PW3A</t>
  </si>
  <si>
    <t>reactor KW3A, breaker 6522 and assoc. switches</t>
  </si>
  <si>
    <t>capacitor PW2A</t>
  </si>
  <si>
    <t>reactors KW2A, KW2B, breakers 6422, 6822 and assoc. switches</t>
  </si>
  <si>
    <t>345/230-kV transformers KU1A, KU1B and 345-kV switches 2391, 2491</t>
  </si>
  <si>
    <t>reactor KU4A, switch 3991</t>
  </si>
  <si>
    <t>345-kV breakers 3392, 3396 and assoc. switches</t>
  </si>
  <si>
    <t>Fort Thompson 2</t>
  </si>
  <si>
    <r>
      <t xml:space="preserve">69-kV breakers </t>
    </r>
    <r>
      <rPr>
        <sz val="11"/>
        <color theme="1"/>
        <rFont val="Calibri"/>
        <family val="2"/>
        <scheme val="minor"/>
      </rPr>
      <t xml:space="preserve"> 4352</t>
    </r>
  </si>
  <si>
    <t>13.8-kV switches 121, 221, 253, 153, 6323, 6321, 6022, 3121, 3221</t>
  </si>
  <si>
    <t>230/69-kV transformers KV1B, KV1A</t>
  </si>
  <si>
    <t>230-kV switches 181, 281, 381, 2583, 2683</t>
  </si>
  <si>
    <t>230-kV breakers 582, 586, 682, 782, 786, 882, 1182, 1186, 1282, 1382, 1386, 1482, 1582, 1586, 1682, 1782, 1786, 1882, 2382, 2386, 2482 and assoc. switches</t>
  </si>
  <si>
    <t>Fort Thompson</t>
  </si>
  <si>
    <t>69-kV switches 353, 355</t>
  </si>
  <si>
    <t>115/69-kV transformer KY1A, switches 126x</t>
  </si>
  <si>
    <t>station service KW9A, switches 92x</t>
  </si>
  <si>
    <t>capacitor PY7A</t>
  </si>
  <si>
    <t>115-kV breakers 1162, 1362, 1462, 1562, 1764 and assoc switches</t>
  </si>
  <si>
    <t>Forman</t>
  </si>
  <si>
    <t>One East River member, two municipal customers and Basin generation served through 2152  (Sioux Valley Energy, City of Colman, and City of Madison)</t>
  </si>
  <si>
    <t>69-kV breaker 2152 and assoc. switches</t>
  </si>
  <si>
    <t>One East River member, two municipal customers and Basin generation served through KY1A  (Sioux Valley Energy, City of Colman, and City of Madison)</t>
  </si>
  <si>
    <t>station service KZ1A, KW1C switches 302x, 205x, 401x</t>
  </si>
  <si>
    <t>capacitor PY3A</t>
  </si>
  <si>
    <t>115-kV breakers 1162, 1262, 1362, 1662 and assoc. switches</t>
  </si>
  <si>
    <t>Flandreau</t>
  </si>
  <si>
    <t>SVC and associated equipment</t>
  </si>
  <si>
    <t>reactors KW6A, KW7A, KW8A</t>
  </si>
  <si>
    <t>13.2-kV breakers 4122, 4322, 4622, 4722, 4822 and assoc. switches</t>
  </si>
  <si>
    <t>station service KY4A, KSB, KSA, switches 5447, 552x</t>
  </si>
  <si>
    <t>to Minnkota</t>
  </si>
  <si>
    <t>69-kV switches 315x, 335x, 345x</t>
  </si>
  <si>
    <t>69-kV breakers 3552, 3652 and assoc switches</t>
  </si>
  <si>
    <t>115/69-kV transformers KY3A and KY3B</t>
  </si>
  <si>
    <t>230/115-kV transformers KV1A, KV2A</t>
  </si>
  <si>
    <t>capacitors PY14A, PY14B, PY14C</t>
  </si>
  <si>
    <t>115-kV switch 5461</t>
  </si>
  <si>
    <t>115-kV breakers 1162, 1262, 1362, 1462, 1662, 1862, 1962, 2362, 2462, 2764, 2864, 2964 and asscoc switches</t>
  </si>
  <si>
    <t>230-kV breakers 182, 282, 382, 582, 682, 782, 882, 9182 and assoc. switches</t>
  </si>
  <si>
    <t>Fargo</t>
  </si>
  <si>
    <t>115-kV switches 16x and 26x</t>
  </si>
  <si>
    <t>Faith</t>
  </si>
  <si>
    <t>transformer KY20A for station service, switches 2011, 2061</t>
  </si>
  <si>
    <t>115-kV breakers 162, 262, 362, 462 and assoc. switches</t>
  </si>
  <si>
    <t>Fairview West</t>
  </si>
  <si>
    <t>station service KHA</t>
  </si>
  <si>
    <t>161-kV breakers 162, 166, 262, 362, 366, 462, 562, 662 and assoc. switches</t>
  </si>
  <si>
    <t>Exira</t>
  </si>
  <si>
    <t>Enderlin Tap</t>
  </si>
  <si>
    <t>115-kV breakers 262, 362, 462 and assoc switches</t>
  </si>
  <si>
    <t>Elliot</t>
  </si>
  <si>
    <t>station service KY22A, switches 2261, 2221</t>
  </si>
  <si>
    <t xml:space="preserve">115-kV breakers 1162, 1262, 1462 and assoc switches </t>
  </si>
  <si>
    <t>Elk Creek</t>
  </si>
  <si>
    <t>capacitor KW31A, breaker 3124 and assoc. switches</t>
  </si>
  <si>
    <t>69-kV breaker 1352 and assoc. switches</t>
  </si>
  <si>
    <t>115/69-kV transformer KY6A</t>
  </si>
  <si>
    <t xml:space="preserve">115-kV breakers 462, 562, 662, 762 and assoc. switches </t>
  </si>
  <si>
    <t>Edgeley</t>
  </si>
  <si>
    <t>Station Service KW1A</t>
  </si>
  <si>
    <t>115-kV breakers 162, 362 and assoc. switches / switch 763</t>
  </si>
  <si>
    <t>Eagle Butte</t>
  </si>
  <si>
    <t>warehouse and maintenance buildings</t>
  </si>
  <si>
    <t>transformers KX3B, KW4B and assoc. switches</t>
  </si>
  <si>
    <t>station service KX3A and KW4A and assoc. switches</t>
  </si>
  <si>
    <t>capacitors PX5A, PX5B and assoc. switches</t>
  </si>
  <si>
    <t>41.8-kV breaker 1042 and assoc. switches</t>
  </si>
  <si>
    <t>capacitors and maintenance building</t>
  </si>
  <si>
    <t>50 percent of 115/41.8-kV transformer KY1A</t>
  </si>
  <si>
    <t>115-kV switches 361, 365</t>
  </si>
  <si>
    <t>115-kV breakers 162, 262, 462, 562, 662, 2062 and assoc. switches</t>
  </si>
  <si>
    <t>Devils Lake</t>
  </si>
  <si>
    <t>station service KW30B, KW20C and assoc. switches</t>
  </si>
  <si>
    <t>reactors KZ27A, KZ22A</t>
  </si>
  <si>
    <t>capacitors PZ27A, PZ22A</t>
  </si>
  <si>
    <t>69-kV breakers 2156, 2254, 2352, 2452, 2652, 2754, 2952, 5152 and assoc. switches</t>
  </si>
  <si>
    <t>230/69-kV transformers KV2A and KV3A</t>
  </si>
  <si>
    <t>reactor KW30A and assoc. switches</t>
  </si>
  <si>
    <t>230-kV breakers 186, 282, 382, 386 and assoc. switches</t>
  </si>
  <si>
    <t>161-kV breakers 1362, 1566, 1662 and assoc. switches / switches 1461, 1465</t>
  </si>
  <si>
    <t>Denison</t>
  </si>
  <si>
    <t>reactors KZ1A, KZ2A, KZ3A, breakers 3122, 3222, 3322 and assoc. switches</t>
  </si>
  <si>
    <t>station service KZ2B, KW2B and assoc. switches</t>
  </si>
  <si>
    <t>reactor KY8A</t>
  </si>
  <si>
    <t>capacitors PY7A, PY8A</t>
  </si>
  <si>
    <t>230/115-kV transformer KU5A</t>
  </si>
  <si>
    <t>230-kV breakers 2282, 2382, 2482, 2582, 2682 and assoc switches</t>
  </si>
  <si>
    <t>115-kV breakers 162, 262, 362, 462, 662, 762, 862 and assoc. switches</t>
  </si>
  <si>
    <t>Dawson County</t>
  </si>
  <si>
    <t>reactor KZ2A, 69-kV breaker 2152 and assoc. switches</t>
  </si>
  <si>
    <t>230/69/12.47-kV transformer KV1A</t>
  </si>
  <si>
    <t>reactor KW1B and assoc. switches</t>
  </si>
  <si>
    <t>230-kV breakers 182, 382, 482 and assoc. switches</t>
  </si>
  <si>
    <t>Custer</t>
  </si>
  <si>
    <t>two customers (Oreg Generation and Basin Generation)</t>
  </si>
  <si>
    <t>Culbertson East</t>
  </si>
  <si>
    <t>phase shifter KV8A</t>
  </si>
  <si>
    <t>230-kV switches 981, 983, 985, 987, 989, 990</t>
  </si>
  <si>
    <t>to NWMT</t>
  </si>
  <si>
    <t>230-kV breakers 582, 586, 786, 882 and assoc. switches</t>
  </si>
  <si>
    <t>Crossover</t>
  </si>
  <si>
    <t>station service KW3A, KW6A, Breakers 323, 623 and assoc. switches</t>
  </si>
  <si>
    <t>69-kV breakers 2252, 2352, 2456 and assoc. switches</t>
  </si>
  <si>
    <t>capacitors PZ21A and PY9A</t>
  </si>
  <si>
    <t>161/69-kV transformer KY3A</t>
  </si>
  <si>
    <t>161 kV breakers 162, 262, 362, 466, 562, 662, 762, 964, 8161, 8262 and assoc. switches</t>
  </si>
  <si>
    <t>Creston</t>
  </si>
  <si>
    <t>station service KW30A, switch 3023</t>
  </si>
  <si>
    <t>115-kV breaker 1162, 1362, 1452, and assoc. switches / switches 1263, 1265</t>
  </si>
  <si>
    <t>reactor KW31A, breaker 3124, switch 3123</t>
  </si>
  <si>
    <t>Conrad</t>
  </si>
  <si>
    <t>station service KX9A, switches 94x</t>
  </si>
  <si>
    <t>reactor KY17A</t>
  </si>
  <si>
    <t>capacitors PY17A, PY18A</t>
  </si>
  <si>
    <r>
      <t xml:space="preserve">115-kV breakers </t>
    </r>
    <r>
      <rPr>
        <sz val="11"/>
        <color theme="1"/>
        <rFont val="Calibri"/>
        <family val="2"/>
        <scheme val="minor"/>
      </rPr>
      <t>1462, 1562, 1666, 1764, 1864 and assoc. switches</t>
    </r>
  </si>
  <si>
    <t>Circle</t>
  </si>
  <si>
    <t>station service KW9A and assoc. switches</t>
  </si>
  <si>
    <t>capacitor PX3A</t>
  </si>
  <si>
    <t>115-kV breakers 262, 362 and assoc. switches, switch 161</t>
  </si>
  <si>
    <t>Carrington</t>
  </si>
  <si>
    <t>CA</t>
  </si>
  <si>
    <t>station service KW1A, KW3A and assoc. switches</t>
  </si>
  <si>
    <t>Two East River members (Coddington Clark and Kingsbury)</t>
  </si>
  <si>
    <t>230-kV breakers 182, 382, 486 and assoc. switches</t>
  </si>
  <si>
    <t>Carpenter</t>
  </si>
  <si>
    <t>100-kV breakers 162, 262, 266, 362, 366 and assoc. switches</t>
  </si>
  <si>
    <t>Canyon Ferry</t>
  </si>
  <si>
    <t>69-kV switches 1751, 1753</t>
  </si>
  <si>
    <t>Cando Tap</t>
  </si>
  <si>
    <t>CD</t>
  </si>
  <si>
    <t>One East River member and two municipal customers served through 1052 (Sioux Valley Energy, City of White, and City of Volga)</t>
  </si>
  <si>
    <t>69 kV breaker 1052 and assoc. switches</t>
  </si>
  <si>
    <t>One East River member and two municipal customers served through KY1A (Sioux Valley Energy, City of White, and City of Volga)</t>
  </si>
  <si>
    <t>115 kV switches 161, 361, 461</t>
  </si>
  <si>
    <t>115/69kV transformer KY1A</t>
  </si>
  <si>
    <t>Brookings</t>
  </si>
  <si>
    <t>station service KW1A, switch 1521</t>
  </si>
  <si>
    <t>115-kV switches 46x, 26x</t>
  </si>
  <si>
    <t>capacitors PY6A, PY7A</t>
  </si>
  <si>
    <t>115-kV breakers 664, 764 and assoc. switches</t>
  </si>
  <si>
    <t>Bonesteel</t>
  </si>
  <si>
    <t>BO</t>
  </si>
  <si>
    <t>Sun River Electric Cooperative and NorthWestern MT</t>
  </si>
  <si>
    <t>69-kV switches 1351, 1355</t>
  </si>
  <si>
    <t>230/69-kV transformer KV1A</t>
  </si>
  <si>
    <t xml:space="preserve">station service KW21A, switch 2123 </t>
  </si>
  <si>
    <t>230-kV switches 182, 282, 481, 482</t>
  </si>
  <si>
    <t>Bole</t>
  </si>
  <si>
    <t>maintenance buildings ss</t>
  </si>
  <si>
    <t>12.47-kV breaker 1422, switches 142x, 152x, 1221, 1829</t>
  </si>
  <si>
    <t>station service KW4A, KW4E, KW4F and assoc. switches</t>
  </si>
  <si>
    <t>115-kV breakers 3062, 3162, 3362, 3562 and assoc. switches</t>
  </si>
  <si>
    <t>230-kV breakers 182, 282, 382, 386, 482, 582, 682, 782, 882, 986, 9182 and assoc. switches</t>
  </si>
  <si>
    <t>Bismarck</t>
  </si>
  <si>
    <t>69-kV switches 247, 347</t>
  </si>
  <si>
    <t>Bisbee</t>
  </si>
  <si>
    <t>Two East River members are served through 1652 (Clay-Union and Southeastern)</t>
  </si>
  <si>
    <t>69kV breaker 1652 and assoc. switches</t>
  </si>
  <si>
    <t>Two East River members are served through KY1A (Clay-Union and Southeastern)</t>
  </si>
  <si>
    <t>station service KZ1A and switch 1451</t>
  </si>
  <si>
    <t>115-kV breakers 262, 362, 462, 566, 764, 864 and assoc. switches</t>
  </si>
  <si>
    <t>Beresford</t>
  </si>
  <si>
    <t>BE</t>
  </si>
  <si>
    <t>reactor KW2A, 13.8 breaker 3224 and assoc. switches</t>
  </si>
  <si>
    <t>station service KW1B and assoc. switches</t>
  </si>
  <si>
    <t>345-kV breakers 292, 396, 492 and assoc. switches</t>
  </si>
  <si>
    <t>345/230-kV transformer KU1A</t>
  </si>
  <si>
    <r>
      <t xml:space="preserve">230-kV breakers 1282, 1382, </t>
    </r>
    <r>
      <rPr>
        <sz val="11"/>
        <color theme="1"/>
        <rFont val="Calibri"/>
        <family val="2"/>
        <scheme val="minor"/>
      </rPr>
      <t>1582 and assoc. switches</t>
    </r>
  </si>
  <si>
    <t>Belfield</t>
  </si>
  <si>
    <t>115-kV breaker 1106 and assoc. switches</t>
  </si>
  <si>
    <t>Belden (NPPD)</t>
  </si>
  <si>
    <t>station service KY2A and KW2A</t>
  </si>
  <si>
    <t>capacitor PY4A</t>
  </si>
  <si>
    <t>Aurora</t>
  </si>
  <si>
    <t>115-kV switches 1161, 1261, 1361</t>
  </si>
  <si>
    <t>Ash Tap</t>
  </si>
  <si>
    <t>AHT</t>
  </si>
  <si>
    <t>Two East River members are served through 1052 (Douglas and Southeastern)</t>
  </si>
  <si>
    <t>69 kV breaker 1052 and assoc switches</t>
  </si>
  <si>
    <t>Three East River members are served through KY1A (Charles Mix, Douglas and Southeastern)</t>
  </si>
  <si>
    <t>station service KZ1A, KX2A and switches</t>
  </si>
  <si>
    <t>maintenance building SS</t>
  </si>
  <si>
    <t>12.47-kV switches 172x, KW1A</t>
  </si>
  <si>
    <t>115-kV switches 16x, 26x, 76x</t>
  </si>
  <si>
    <t>Armour</t>
  </si>
  <si>
    <t>station service KW4A, KW30A and switches</t>
  </si>
  <si>
    <t>230-kV breakers 482, 586, 682 and assoc. switches and switch 487</t>
  </si>
  <si>
    <t>Appeldorn</t>
  </si>
  <si>
    <t>Substations</t>
  </si>
  <si>
    <t>Further Description</t>
  </si>
  <si>
    <t>6</t>
  </si>
  <si>
    <t>5</t>
  </si>
  <si>
    <t>4</t>
  </si>
  <si>
    <t>3</t>
  </si>
  <si>
    <t>2</t>
  </si>
  <si>
    <t>1(b)</t>
  </si>
  <si>
    <t>1</t>
  </si>
  <si>
    <t>Costs</t>
  </si>
  <si>
    <t>East or West</t>
  </si>
  <si>
    <t>Specific Plant Included</t>
  </si>
  <si>
    <t>Facility</t>
  </si>
  <si>
    <t>Attachment AI Criteria</t>
  </si>
  <si>
    <t>SHELBY-SHELBY2</t>
  </si>
  <si>
    <t>115-kV interupters 362 and 862 and assoc. switches, switch M263, M261</t>
  </si>
  <si>
    <t>Mobile Transformer 115/34.5-kV</t>
  </si>
  <si>
    <t>115/69-kV transformer KY1B and 115-kV breaker 862</t>
  </si>
  <si>
    <t>NWPS and City of Wessington Springs</t>
  </si>
  <si>
    <t>34.5-kV breakers 442 and 542 and assoc. switches</t>
  </si>
  <si>
    <t>Norval and McCone</t>
  </si>
  <si>
    <t>12.5-kV breakers 3222, 3322, 3422 and assoc. switches</t>
  </si>
  <si>
    <t>MDU and Norval</t>
  </si>
  <si>
    <t>34.5-kV breakers 2142, 2242, 2342, 2442 and assoc. switches</t>
  </si>
  <si>
    <t>115/34.5-kV transformer KY1A and switches 1963, 1965</t>
  </si>
  <si>
    <t>All Not Included</t>
  </si>
  <si>
    <t>Wiota Tap</t>
  </si>
  <si>
    <t>VAT</t>
  </si>
  <si>
    <t>Wiota</t>
  </si>
  <si>
    <t>City of Winner and Rosebud Electric</t>
  </si>
  <si>
    <t>12.47-kV breakers 2222, 2422, 2523 and assoc. switches</t>
  </si>
  <si>
    <t>115-kV breaker 2562 and assoc. switches</t>
  </si>
  <si>
    <t>MDU non-credited line</t>
  </si>
  <si>
    <t>60-kV breaker 3552 and assoc. switches</t>
  </si>
  <si>
    <t>West River</t>
  </si>
  <si>
    <t>24.9-kV breaker 1032 and assoc. switches</t>
  </si>
  <si>
    <t>protection for non-included transformer (transformer not owned by Western)</t>
  </si>
  <si>
    <t>115-kV interrupter 362</t>
  </si>
  <si>
    <t>Norval</t>
  </si>
  <si>
    <t>12.5-kV breaker 224 and assoc. switches</t>
  </si>
  <si>
    <t>69/12.5-kV transformer KYA and switches 253, 257</t>
  </si>
  <si>
    <t>generator outlet</t>
  </si>
  <si>
    <t>230-kV switch 989</t>
  </si>
  <si>
    <t>115-kV interrupter 162</t>
  </si>
  <si>
    <t>Otter Tail - emergency tie</t>
  </si>
  <si>
    <t>41.8-kV breaker 342 and assoc. switches</t>
  </si>
  <si>
    <t>230/41.8-kV transformer KU1A and breaker 282</t>
  </si>
  <si>
    <t>230-kV Switch 889</t>
  </si>
  <si>
    <t>12.47-kV breaker 622 and assoc. switches</t>
  </si>
  <si>
    <t>115/12.47-kV transformer KY1B and interrupters 461 and 562</t>
  </si>
  <si>
    <t>City of Valley City</t>
  </si>
  <si>
    <t>69-kV breakers 344, 1144 and assoc. switches</t>
  </si>
  <si>
    <t>East River</t>
  </si>
  <si>
    <t>69-kV breaker 452 and assoc. switches</t>
  </si>
  <si>
    <t>USBR</t>
  </si>
  <si>
    <t>12.5-kV breaker 122 and assoc. switches</t>
  </si>
  <si>
    <t>115/12.5-kV transformer KY1A and breaker 1262</t>
  </si>
  <si>
    <t>Buffalo Rapids and MDU</t>
  </si>
  <si>
    <t>34.5-kV breaker 342 and assoc. switches</t>
  </si>
  <si>
    <t>115/34.5-kV transformer KY1A and switch 363</t>
  </si>
  <si>
    <t>Terry Pumping</t>
  </si>
  <si>
    <t>115-kV interupter 862 and switch 861</t>
  </si>
  <si>
    <t>115/41.8-kV transformer KY1B</t>
  </si>
  <si>
    <t>41.8-kV breakers 2142, 2242 and assoc. switches</t>
  </si>
  <si>
    <t>City of Spencer</t>
  </si>
  <si>
    <t>69-kV breaker 1642 and assoc. switches</t>
  </si>
  <si>
    <t>69-kV breaker 1552 and assoc. switches</t>
  </si>
  <si>
    <t>115-kV breaker 862 and assoc. switches</t>
  </si>
  <si>
    <t>Shirley Pumping</t>
  </si>
  <si>
    <t>to Shelby</t>
  </si>
  <si>
    <t>115-kV breaker 1162 and assoc. switches</t>
  </si>
  <si>
    <t>Shelby</t>
  </si>
  <si>
    <t>Savage Pumping</t>
  </si>
  <si>
    <t>Otter Tail</t>
  </si>
  <si>
    <t>41.8-kV breaker 2142 and assoc. switches</t>
  </si>
  <si>
    <t>Hill County</t>
  </si>
  <si>
    <t>12.5-kV breaker 422 and assoc. switches</t>
  </si>
  <si>
    <t>69-kV breaker 752 and assoc. switches</t>
  </si>
  <si>
    <t>115/69/12.5-kV transformer KY1A and interrupter 362</t>
  </si>
  <si>
    <t>Richland</t>
  </si>
  <si>
    <t xml:space="preserve">115/12.47-kV transformer KY1A </t>
  </si>
  <si>
    <t>Switched 760, 761</t>
  </si>
  <si>
    <t>City of Pierre</t>
  </si>
  <si>
    <t>12.47-kV breakers 2212, 2312, 2412 and assoc. switches</t>
  </si>
  <si>
    <t>115/12.47-kV transformer KY1A and 115-kV interrupter 762</t>
  </si>
  <si>
    <t>West Central</t>
  </si>
  <si>
    <t>115/69-kV transformer KY1A and switches 1963</t>
  </si>
  <si>
    <t>Switches 1860, 1861</t>
  </si>
  <si>
    <t>MDU</t>
  </si>
  <si>
    <t>12.47-kV breaker 522 and assoc. switches and equipment</t>
  </si>
  <si>
    <t>generator lead</t>
  </si>
  <si>
    <t>230-kV breakers 2882, 2482, 2486, 2082, 1162 and assoc. switches</t>
  </si>
  <si>
    <t>13.8 kV interrupter 4423 and assoc. switch</t>
  </si>
  <si>
    <t>Rushmore</t>
  </si>
  <si>
    <t>69-kV breakers 2252, 2452 and assoc. switches</t>
  </si>
  <si>
    <t>Switch 1861</t>
  </si>
  <si>
    <t>Nashua Tap</t>
  </si>
  <si>
    <t>NAT</t>
  </si>
  <si>
    <t>69-kV breaker 1852 and assoc. switches</t>
  </si>
  <si>
    <t>115-kV breaker 1362 and assoc switches</t>
  </si>
  <si>
    <t>115/41.8-kV transformer KY3A</t>
  </si>
  <si>
    <t>41.8-kV breakers 3132, 3232, 3332 and assoc switches</t>
  </si>
  <si>
    <t>Cherry-Todd</t>
  </si>
  <si>
    <t>115/24.9-kV transformer KY1A and interrupter 362</t>
  </si>
  <si>
    <t>Capacity Rights in 115/69 kV Transformer KY1A</t>
  </si>
  <si>
    <t>Grand Electric</t>
  </si>
  <si>
    <t>69-kV breaker 2252 and assoc. switches</t>
  </si>
  <si>
    <t>115/69-kV transformer KY1A and switches 1263, 1265</t>
  </si>
  <si>
    <t>LaCreek</t>
  </si>
  <si>
    <t>34.5-kV breaker 1242 and assoc. switches</t>
  </si>
  <si>
    <t>115/34.5-kV tranformer KY1A and interrupter 962</t>
  </si>
  <si>
    <t>CPEC</t>
  </si>
  <si>
    <t>12.5-kV breaker 624 and assoc. switches</t>
  </si>
  <si>
    <t>69/12.5-kV transformer KZ3A and switch 645</t>
  </si>
  <si>
    <t>69-kV breaker 152 and assoc. switches</t>
  </si>
  <si>
    <t>City of Lakota</t>
  </si>
  <si>
    <t>12.5-kV breaker 1022 and assoc. switches</t>
  </si>
  <si>
    <t>MDU and Upper Mo.</t>
  </si>
  <si>
    <t>41.8-kV breaker 442, 642 and switches 343, 345</t>
  </si>
  <si>
    <t>115/41.8-kV transformer KY4A and switch 469</t>
  </si>
  <si>
    <t>12.47-kV breaker 1522, 1722 and assoc. switches</t>
  </si>
  <si>
    <t>Otter Tail, Normally Open - emergency tie</t>
  </si>
  <si>
    <t>41.8-kV breaker 1142 and assoc. switches</t>
  </si>
  <si>
    <t>115-kV breaker 662 and assoc. switches</t>
  </si>
  <si>
    <t>115/41.8-kV transformers KY1A and KY2A</t>
  </si>
  <si>
    <t>Intake Pumping</t>
  </si>
  <si>
    <t>INP</t>
  </si>
  <si>
    <t>Intake</t>
  </si>
  <si>
    <t>69-kV breakers 1952, 2052 and assoc. switches</t>
  </si>
  <si>
    <t>115-kV switches 1261, 1265</t>
  </si>
  <si>
    <t>take-off structure to Baldwin Wind</t>
  </si>
  <si>
    <t>12.5-kV breaker 822 and assoc. switches</t>
  </si>
  <si>
    <t>12.47-kV breaker 422 and asswoc. Switches</t>
  </si>
  <si>
    <t>115-kV Disconnect Switch 463</t>
  </si>
  <si>
    <t>115-kV breaker 3262 and assoc. switches</t>
  </si>
  <si>
    <t>115/69-kV transformer KY2A</t>
  </si>
  <si>
    <t>GRE normally open and Minn. Valley</t>
  </si>
  <si>
    <t>69-kV breakers 4352, 4452, 4552, 4652 and assoc. switches</t>
  </si>
  <si>
    <t>Glendive Pumping No. 1</t>
  </si>
  <si>
    <t>Glendive Pumping No. 1 Tap</t>
  </si>
  <si>
    <t>GGT</t>
  </si>
  <si>
    <t>generator leads</t>
  </si>
  <si>
    <t>115-kV breakers 162, 262, 362 and assoc. switches</t>
  </si>
  <si>
    <t>115-kV breakers 462, 562 and assoc switches</t>
  </si>
  <si>
    <t>Frazer Pumping</t>
  </si>
  <si>
    <t>69-kV breaker 4452 and assoc. switches</t>
  </si>
  <si>
    <t>115-kV breaker 962 and assoc. switches</t>
  </si>
  <si>
    <t>Dakota Valley</t>
  </si>
  <si>
    <t>12.5-kV breaker 2222 and assoc. switches</t>
  </si>
  <si>
    <t>41.8/12.5-kV transformer KX6A and switch 1443</t>
  </si>
  <si>
    <t xml:space="preserve">Otter Tail </t>
  </si>
  <si>
    <t>115-kV breaker 1662 and assoc. switches</t>
  </si>
  <si>
    <t>69/41.8-kV transformer KZ3A and 69-kV switches 353, 355</t>
  </si>
  <si>
    <t>City of Flandreau</t>
  </si>
  <si>
    <t>12.47-kV switches 3121, 3122, 3123, 3129, 3223</t>
  </si>
  <si>
    <t>Fallon Relift</t>
  </si>
  <si>
    <t>Fallon Pumping</t>
  </si>
  <si>
    <t>City of Faith</t>
  </si>
  <si>
    <t>12.47-kV breaker 1022 and assoc. switches</t>
  </si>
  <si>
    <t>115/12.47-kV tranformer KY1A and 115-kV interrupter 362</t>
  </si>
  <si>
    <t>Generator Lead</t>
  </si>
  <si>
    <t>Switches 169, 369, 569</t>
  </si>
  <si>
    <t>115-kV interrupter 2063 and assoc. switches, 115-kV switch 369</t>
  </si>
  <si>
    <t>115-kV ground switch 1160</t>
  </si>
  <si>
    <t>69-kV breaker 1252 and assoc. switches</t>
  </si>
  <si>
    <t>41.8-kV breaker 2342 and assoc. switches</t>
  </si>
  <si>
    <t>115-kV breaker 362</t>
  </si>
  <si>
    <t>115/41.8-kV transformer KY2A</t>
  </si>
  <si>
    <t>Moreau Grand</t>
  </si>
  <si>
    <t>69-kV breaker 1752 and assoc. switches</t>
  </si>
  <si>
    <t>115/69-kV transformer KY1A and 115-kV interrupter 762</t>
  </si>
  <si>
    <t>Minnkota</t>
  </si>
  <si>
    <t>12.5-kV breaker 1122 and assoc. switches</t>
  </si>
  <si>
    <t>Otter Tail normally open-emergency tie</t>
  </si>
  <si>
    <t>41.8-kV breaker 1442 and assoc. switches</t>
  </si>
  <si>
    <t>Devaul</t>
  </si>
  <si>
    <t>City of Denison</t>
  </si>
  <si>
    <t>69-kV breaker 2552 and assoc. switches</t>
  </si>
  <si>
    <t>Switches 1460, 1461</t>
  </si>
  <si>
    <t>115-kV switch 1061</t>
  </si>
  <si>
    <t>Custer Trail</t>
  </si>
  <si>
    <t>Yellowstone Valley and Mid-Yellowstone</t>
  </si>
  <si>
    <t>69-kV breakers 2252, 2352 and assoc. switches</t>
  </si>
  <si>
    <t>Sun River</t>
  </si>
  <si>
    <t>115-kV breaker 1062 and assoc. switches</t>
  </si>
  <si>
    <t>McCone</t>
  </si>
  <si>
    <t>34.5-kV breaker 142 and assoc. switches</t>
  </si>
  <si>
    <t>115/34.5-kV transformer KY12A</t>
  </si>
  <si>
    <t>115-kV breaker 1262, 1362 and assoc. switches</t>
  </si>
  <si>
    <t>Keystone</t>
  </si>
  <si>
    <t>Otter Tail and CPE</t>
  </si>
  <si>
    <t>41.8-kV breakers 142, 242, 342, 442, 542, 642, 842 and assoc. switches</t>
  </si>
  <si>
    <t>Buford Trenton Pumping</t>
  </si>
  <si>
    <t>Buford Trenton Tap</t>
  </si>
  <si>
    <t>BFT</t>
  </si>
  <si>
    <t>Rosebud Electric</t>
  </si>
  <si>
    <t>12.47-kV breaker 1422 and assoc. switches</t>
  </si>
  <si>
    <t>115/12.47-kV transformer KY1A</t>
  </si>
  <si>
    <t>115-kV breaker 362 and assoc. switches</t>
  </si>
  <si>
    <t>NWMT</t>
  </si>
  <si>
    <t>69-kV breaker 1452 and 1252 and assoc. switches</t>
  </si>
  <si>
    <t>12.5-kV switches 1527, 1529</t>
  </si>
  <si>
    <t>Capitol Electric</t>
  </si>
  <si>
    <t>115-kV breaker 3462 and assoc. switches</t>
  </si>
  <si>
    <t>12.5-kV breaker 124 and assoc. switches</t>
  </si>
  <si>
    <t>69/12.5-kV transformer KZ1A and switch 145</t>
  </si>
  <si>
    <t>230-kV interrupters 1081, 2081, 2081, 4081 and assoc switches</t>
  </si>
  <si>
    <t>City of Beresford</t>
  </si>
  <si>
    <t>12.47-kV switch 821, 823, 829</t>
  </si>
  <si>
    <t>230-kV breaker 1482 and assoc switches</t>
  </si>
  <si>
    <t>115-kV breaker 162, 362 and assoc. switches</t>
  </si>
  <si>
    <t>115-kV interrupter 462 and assoc. switches</t>
  </si>
  <si>
    <t>115/34.5-kV transformer KY2A</t>
  </si>
  <si>
    <t>NWPS</t>
  </si>
  <si>
    <t>34.5-kV breaker 542 and assoc. switches</t>
  </si>
  <si>
    <t>Specific Plant NOT Included</t>
  </si>
  <si>
    <t>Column1</t>
  </si>
  <si>
    <t>Transmission and Ancillary Services</t>
  </si>
  <si>
    <t>Rate Calculation</t>
  </si>
  <si>
    <t xml:space="preserve"> Transmission and Ancillary Services List of Workpapers and Schedules</t>
  </si>
  <si>
    <t>TERRY PUMPING PLANT SWITCH</t>
  </si>
  <si>
    <t>SNAKE CREEK PUMP SUBSTATION</t>
  </si>
  <si>
    <t>LCS</t>
  </si>
  <si>
    <t>WESTERN-UGP 1/</t>
  </si>
  <si>
    <t>COE 3/</t>
  </si>
  <si>
    <t>WESTERN-RMR 2/</t>
  </si>
  <si>
    <t>BOR 4/</t>
  </si>
  <si>
    <t>CB</t>
  </si>
  <si>
    <t>GRP</t>
  </si>
  <si>
    <t>HBN</t>
  </si>
  <si>
    <t>BUFORD TRENTON PUMP SUB</t>
  </si>
  <si>
    <t>FALLON PUMPING PLANT SUBS</t>
  </si>
  <si>
    <t>FALLON RELIFT PUMPING PLA</t>
  </si>
  <si>
    <t>FRAZER PUMP SUB</t>
  </si>
  <si>
    <t>GLENDIVE P.P. #1 SUB.</t>
  </si>
  <si>
    <t>Column 4 shows 31.95% of the Communication Facilities that were prorated to generation based on the number of communication channels dedicated to generation.</t>
  </si>
  <si>
    <t>ESTIMATED FACILITY TOTAL ($)</t>
  </si>
  <si>
    <t>PLANT NOT CLASSIFIED</t>
  </si>
  <si>
    <t>MGV</t>
  </si>
  <si>
    <t>MINGUSVILLE</t>
  </si>
  <si>
    <t>TOWNER SUBSTATION</t>
  </si>
  <si>
    <t>YELLOWTAIL SWITCHYARD-YELLOWTAIL (PPL)</t>
  </si>
  <si>
    <t>YELLOWTAIL (PPL)</t>
  </si>
  <si>
    <t>YELLOWTAIL SWITCHYARD (YT)</t>
  </si>
  <si>
    <t>Total Regulation Reserves Rqmt with True-up</t>
  </si>
  <si>
    <t>Groton South</t>
  </si>
  <si>
    <t>Mingusville</t>
  </si>
  <si>
    <t>Towner</t>
  </si>
  <si>
    <t>VT Hanlon</t>
  </si>
  <si>
    <t>230-kV, 110 MW Capacity Rights on RMR Line</t>
  </si>
  <si>
    <t>HEBRON SUBSTATION /1</t>
  </si>
  <si>
    <t>GRAND PRAIRIE SUBSTATION /1</t>
  </si>
  <si>
    <t>CAMPBELL COUNTY SWITCHING STATION /1</t>
  </si>
  <si>
    <t>SCADA SYSTEM HISTORIAN SOFTWARE</t>
  </si>
  <si>
    <t>1/ Plant balance does not include customer liability for network upgrades.  Investment is only brought</t>
  </si>
  <si>
    <t>69-kV breakers 1152 and 1352 and assoc. switches</t>
  </si>
  <si>
    <t>East River 2 customers</t>
  </si>
  <si>
    <t>PRIOR PERIOD TRUE-UP (Under-collection)</t>
  </si>
  <si>
    <t>SH SH2</t>
  </si>
  <si>
    <t>TN</t>
  </si>
  <si>
    <t>CHI F</t>
  </si>
  <si>
    <t>WK C</t>
  </si>
  <si>
    <t>YT P</t>
  </si>
  <si>
    <t>NU SG</t>
  </si>
  <si>
    <t>SG</t>
  </si>
  <si>
    <t>WY</t>
  </si>
  <si>
    <t>YT PY</t>
  </si>
  <si>
    <t>SG WY</t>
  </si>
  <si>
    <t>station service KW1A, KZ1A and assoc. switches</t>
  </si>
  <si>
    <t>Campbell County</t>
  </si>
  <si>
    <t>230-kV breakers 182, 282, 382 and assoc. switches</t>
  </si>
  <si>
    <t>69-kV breakers 152, 252, 452 and assoc. switches</t>
  </si>
  <si>
    <t>Grande Prairie</t>
  </si>
  <si>
    <t>345-kV breakers 196, 292, 396, 298, 198 and assoc. switches</t>
  </si>
  <si>
    <t>reactors KU1A and KU2A</t>
  </si>
  <si>
    <t>862 due to Groton Synch Condensor</t>
  </si>
  <si>
    <t>Hebron</t>
  </si>
  <si>
    <t>230-kV breakers 586, 682, 882, 986 and assoc switches</t>
  </si>
  <si>
    <t>230 kV main and transfer bus, breaker 382 and assoc switches</t>
  </si>
  <si>
    <t>115-kV breakers 862, 1162, 1262, 1362, 1562, 1762, 1862, 1962, 8162 and assoc switches</t>
  </si>
  <si>
    <t>115-kV breakers 2162, 2266, 2362, 2466, 2562, 2662, 2666 and assoc switches</t>
  </si>
  <si>
    <t>GROTON SOUTH SUBSTATION</t>
  </si>
  <si>
    <t>GSO</t>
  </si>
  <si>
    <t>115-kV breakers 1162, 1262, 1266, 1362, 1462, 1466, 1562, 1662, 1666, 2062, 2066 and assoc. switches</t>
  </si>
  <si>
    <t>230-kV breakers 182, 282, 382 and assoc. switches, and line disconnects</t>
  </si>
  <si>
    <t>station service transformer KV10A and station service equipment</t>
  </si>
  <si>
    <t>161/69-kV transformer KY1A</t>
  </si>
  <si>
    <t>Wanblee Tap</t>
  </si>
  <si>
    <t>115-kV interrupters 162 and 262 and assoc. switches</t>
  </si>
  <si>
    <t>Zero costs, customer funded</t>
  </si>
  <si>
    <t>new 230-kV breaker in ring bus</t>
  </si>
  <si>
    <t>230-kV Bay Addition</t>
  </si>
  <si>
    <t xml:space="preserve">MDU </t>
  </si>
  <si>
    <t>SAVAGE</t>
  </si>
  <si>
    <t>161-kV breakers 162,462,562, 662 and assoc switches</t>
  </si>
  <si>
    <t>Reactor PY6A</t>
  </si>
  <si>
    <t>69-kV breakers 1142, 1242, 1342, 1442, 1542 and assoc switches</t>
  </si>
  <si>
    <t>station service KW10A and assoc switches</t>
  </si>
  <si>
    <t>GWINNER COMMUNICATIONS SITE</t>
  </si>
  <si>
    <t>RC DRY</t>
  </si>
  <si>
    <t>BAO</t>
  </si>
  <si>
    <t xml:space="preserve">BILLINGS AREA OFFICE </t>
  </si>
  <si>
    <t>115-kV breakers 1062, 1162, 1362, 1962 and assoc. switches, switches 126x, 1761</t>
  </si>
  <si>
    <t>115-kV breakers 1262, 1362, 1462, 1566, 1662, 1762, 1864, 1966 and assoc switches</t>
  </si>
  <si>
    <t>Reactors KW1C and KW2C, breakers 1224 and 2224 and switches 1223 and 2223</t>
  </si>
  <si>
    <t>Group in FERC docket ER15-1775-000.</t>
  </si>
  <si>
    <t>Interrupter 1862 and assoc. switches</t>
  </si>
  <si>
    <t>115/41.8-kV transformer KY1A and breaker 1162 and assoc. switches</t>
  </si>
  <si>
    <t>AI Working Group in FERC docket ER15-1775-000.</t>
  </si>
  <si>
    <t>GWN</t>
  </si>
  <si>
    <t>ANTENNA</t>
  </si>
  <si>
    <t>SIDEWALKS</t>
  </si>
  <si>
    <t>115-kV breakers 1166, 1562, 1462, 1762, 1362, 1861, 1932 and assoc. switches</t>
  </si>
  <si>
    <t>capacitors PY11A and PY20A, breakers 1164, 2064</t>
  </si>
  <si>
    <t>115-kV breakers 262, 362, 462, 662 and assoc. switches</t>
  </si>
  <si>
    <t>ADD DROP MULTIPLEXER (PART 2 OF 2)</t>
  </si>
  <si>
    <t>ADD DROP MULTIPLEXER (PART 1 OF 2)</t>
  </si>
  <si>
    <t>IDC - ASSET 166934 MULTIPLEXER EXPANSION (PART 2)</t>
  </si>
  <si>
    <t>MULTIPLEXER EXPANDED CAPABILITY ASSET 166934 - PROJECT WTO 0025C (PART 2)</t>
  </si>
  <si>
    <t>ALCATEL 5620 FIBER TERMINAL EQUIP (PART 1 OF 2)</t>
  </si>
  <si>
    <t>ALCATEL 5620 FIBER TERMINAL EQUIP (PART 2 OF 2)</t>
  </si>
  <si>
    <t>IDC - REPLACEMENTS</t>
  </si>
  <si>
    <t>IDC - ADDITIONS</t>
  </si>
  <si>
    <t>PWR SYS OPERATIONS OFFICE BUILDING (PART 1 OF 2)</t>
  </si>
  <si>
    <t>WATERTOWN OPERATIONS CENTER</t>
  </si>
  <si>
    <t xml:space="preserve">WATERTOWN OPERATIONS CENTER (BFPS) </t>
  </si>
  <si>
    <t>2017 ROOS BALANCE</t>
  </si>
  <si>
    <t>SSCD %</t>
  </si>
  <si>
    <t>TRANS %</t>
  </si>
  <si>
    <t>ATTACHMENT AI ADJUSTMENTS ($)</t>
  </si>
  <si>
    <t>GENERATION ADJUSTMENTS ($)</t>
  </si>
  <si>
    <t>SSCD TOTAL ($)</t>
  </si>
  <si>
    <t>FID COST DETAIL ($)</t>
  </si>
  <si>
    <t>TRANS TOTAL ($)</t>
  </si>
  <si>
    <t>ADDITIONAL:</t>
  </si>
  <si>
    <t>EST ADD/REPL/RETIRE ($)</t>
  </si>
  <si>
    <t>less total Corps Generation Plant depreciation</t>
  </si>
  <si>
    <t>Northwest Power Pool Reserve Sharing System</t>
  </si>
  <si>
    <t>Depreciation Reserve</t>
  </si>
  <si>
    <t>Cost of Purchases Required to Regulate for Intermittent Resources</t>
  </si>
  <si>
    <t>into plant balance as WAPA incurs expense (e.g. if transmission credits are provided to customer)</t>
  </si>
  <si>
    <r>
      <t>115-kV breakers 266,</t>
    </r>
    <r>
      <rPr>
        <sz val="11"/>
        <color rgb="FFFF0000"/>
        <rFont val="Calibri"/>
        <family val="2"/>
      </rPr>
      <t xml:space="preserve"> </t>
    </r>
    <r>
      <rPr>
        <sz val="11"/>
        <color theme="1"/>
        <rFont val="Calibri"/>
        <family val="2"/>
        <scheme val="minor"/>
      </rPr>
      <t>464, 562, 662 and assoc. switches</t>
    </r>
  </si>
  <si>
    <r>
      <t>115-kV breakers 162, 262, 362, 462, 562, 662</t>
    </r>
    <r>
      <rPr>
        <sz val="11"/>
        <rFont val="Calibri"/>
        <family val="2"/>
      </rPr>
      <t xml:space="preserve">, 762, </t>
    </r>
    <r>
      <rPr>
        <sz val="11"/>
        <color theme="1"/>
        <rFont val="Calibri"/>
        <family val="2"/>
        <scheme val="minor"/>
      </rPr>
      <t>966, 7162 and assoc switches</t>
    </r>
  </si>
  <si>
    <t>230-kV interrupters 1083, 7089, 4083 and assoc. switches</t>
  </si>
  <si>
    <t>161-kV breaker 762</t>
  </si>
  <si>
    <t>115-kV breakers 772, 776, 1572, 1576, 1672, 1676 and assoc switches</t>
  </si>
  <si>
    <t>161/115-kV transformer KV7A</t>
  </si>
  <si>
    <t>230-kV breakers 1182, 1186, 1282, 1286, 1382, 1386, 1982, 1986, 2182, 2186, 2282, 2286, 2382, 2386, 2482, 2486, 2682, 2686 and assoc breakers</t>
  </si>
  <si>
    <t>115-kV breakers 962, 966, 1562, 1556, 1662, 1666, 1762, 1766, 1862, 1866, 1962, 1966 and assoc switches</t>
  </si>
  <si>
    <t>2 - 230/115-kV transformers</t>
  </si>
  <si>
    <t>115-kV breakers 2062, 2066, 2162, 2166, 2262, 2266, 2362, 2366, 2462, 2466, 2562, 2566, 2662, 2666, 2769 and assoc switches</t>
  </si>
  <si>
    <t>230-kV breakers 3389, 3482, 3486, 3682, 3686, 3782, 3786, 3882, 3886, 3982, 3986, 4082, 4086, 4182, 4186 and assoc switches, switches 33xx</t>
  </si>
  <si>
    <t>230-kV breakers 2182, 2282, 2286, 2382, 2482, 2486, 2582, 2682, 2782, 2982, 3082 and assoc switches</t>
  </si>
  <si>
    <r>
      <t>* Based upon Attachment AI of SPP's Tariff and consistent with criteria set forth in the "</t>
    </r>
    <r>
      <rPr>
        <i/>
        <sz val="11"/>
        <color rgb="FF000000"/>
        <rFont val="Calibri"/>
        <family val="2"/>
      </rPr>
      <t>Zone 19 (Upper Missouri Zone) - Attachment AI Guidance Document"</t>
    </r>
    <r>
      <rPr>
        <sz val="11"/>
        <color theme="1"/>
        <rFont val="Calibri"/>
        <family val="2"/>
        <scheme val="minor"/>
      </rPr>
      <t xml:space="preserve">, dated 06/14/2016, as prepared by the Attachment AI Working </t>
    </r>
  </si>
  <si>
    <t>230-kV interrupters 1081, 2081, 3081, 4081 and assoc switches</t>
  </si>
  <si>
    <t>230-kV interrupters 481, 581 and assoc switches</t>
  </si>
  <si>
    <t>115-kV switches 861, 961</t>
  </si>
  <si>
    <t>230-kV breakers 182, 282, 382 and assoc switches</t>
  </si>
  <si>
    <t>230-kV breakers 2082, 2882 and assoc. switches</t>
  </si>
  <si>
    <r>
      <t>* Based upon Attachment AI of SPP's Tariff and consistent with criteria set forth in the "</t>
    </r>
    <r>
      <rPr>
        <i/>
        <sz val="11"/>
        <color rgb="FF000000"/>
        <rFont val="Calibri"/>
        <family val="2"/>
      </rPr>
      <t xml:space="preserve">Zone 19 (Upper Missouri Zone) - Attachment AI Guidance Document", </t>
    </r>
    <r>
      <rPr>
        <sz val="11"/>
        <color theme="1"/>
        <rFont val="Calibri"/>
        <family val="2"/>
        <scheme val="minor"/>
      </rPr>
      <t xml:space="preserve">dated 06/14/2016, as prepared by the Attachment </t>
    </r>
  </si>
  <si>
    <t xml:space="preserve">FORT PECK </t>
  </si>
  <si>
    <t>GAVINS POINT</t>
  </si>
  <si>
    <t>115-kV breakers 1062, 1262, 1362, 1386, 1462, 1562, 1566 and assoc switches</t>
  </si>
  <si>
    <t>1/  Transmission Plant-in-Service Worksheet, C2L498</t>
  </si>
  <si>
    <t>4/  Transmission Plant-in-Service Worksheet, C5L498</t>
  </si>
  <si>
    <t>5/  Transmission Plant-in-Service Worksheet, C5L489</t>
  </si>
  <si>
    <t>6/  Transmission Plant-in-Service Worksheet, C5L496</t>
  </si>
  <si>
    <t>7/  Transmission Plant-in-Service Worksheet, C4L498</t>
  </si>
  <si>
    <t>12 Months Ending 09/30/2020 ESTIMATE</t>
  </si>
  <si>
    <t>Western-UGP 2020 Estimate</t>
  </si>
  <si>
    <t>Average WAUW Control Area Load in 2018</t>
  </si>
  <si>
    <t>Average Total Control Area(s) Load in 2018 True-up</t>
  </si>
  <si>
    <t>for 2020, Western's Costs"</t>
  </si>
  <si>
    <t>Over/Under Collection "True-up of Regulation and Frequency Response Rate for 2018"</t>
  </si>
  <si>
    <t>Average of monthly peaks for 2018 Control Area(s)</t>
  </si>
  <si>
    <t>Annual Corps Revenue Requirement for 2020 Rate</t>
  </si>
  <si>
    <t>Annual Generation Revenue Requirement for 2020 Rate</t>
  </si>
  <si>
    <t>WAUW load monthly peaks for 2018</t>
  </si>
  <si>
    <t>2020 SPP ESTIMATE SUMMARY</t>
  </si>
  <si>
    <t>FY2020 EST SPP TOTALS ($)</t>
  </si>
  <si>
    <t xml:space="preserve">2020 SPP ESTIMATE DETAIL: </t>
  </si>
  <si>
    <t>FAC</t>
  </si>
  <si>
    <t>FARGO MICROWAVE</t>
  </si>
  <si>
    <t>FPI</t>
  </si>
  <si>
    <t>FORT PIERRE POLE YARD</t>
  </si>
  <si>
    <r>
      <t xml:space="preserve">115-kV breakers 1362, 1462, 1562, 1662, </t>
    </r>
    <r>
      <rPr>
        <sz val="11"/>
        <color theme="1"/>
        <rFont val="Calibri"/>
        <family val="2"/>
      </rPr>
      <t>1964, 2064 and assoc switches</t>
    </r>
  </si>
  <si>
    <t>Roberts County</t>
  </si>
  <si>
    <t>115-kV breakers 2162, 2262, 2362, 2462 and assoc switches</t>
  </si>
  <si>
    <t>69-kV breakers 5152, 5252 and assoc switches</t>
  </si>
  <si>
    <t>station service Ky21A</t>
  </si>
  <si>
    <t>115-kV breakers 2166, 2262, 2362 and assoc switches</t>
  </si>
  <si>
    <t>station service KY1A1</t>
  </si>
  <si>
    <t>230-kV breakers 382, 482, 582, 682, 686 and assoc switches</t>
  </si>
  <si>
    <t>Reactor KW70A and breaker 7024</t>
  </si>
  <si>
    <t>69-kV breaker 5053 and assoc switch</t>
  </si>
  <si>
    <t>station service KW60A, KW24A, breaker 7423 and assoc switches</t>
  </si>
  <si>
    <t>115-kV breaker 1762</t>
  </si>
  <si>
    <t>69-kV breakers 5456, 5652 and assoc switches</t>
  </si>
  <si>
    <t>Wanblee</t>
  </si>
  <si>
    <t>Interrupter 462 and assoc. switches</t>
  </si>
  <si>
    <t>115-kV switch 960</t>
  </si>
  <si>
    <t>230-kV switches 1180, 1280, 1380</t>
  </si>
  <si>
    <t>115-kV breakers 462, 561, 1762 and assoc switches</t>
  </si>
  <si>
    <t>13.8-kV breaker 2722 and assoc switches</t>
  </si>
  <si>
    <t>RCO</t>
  </si>
  <si>
    <t>ROBERTS COUNTY SUBSTATION</t>
  </si>
  <si>
    <t>REG %</t>
  </si>
  <si>
    <t>REG TOTAL ($)</t>
  </si>
  <si>
    <t>69-kV BREAKERS</t>
  </si>
  <si>
    <t>69-kV SWITCHES</t>
  </si>
  <si>
    <t>115-kV BREAKERS</t>
  </si>
  <si>
    <t>115-kV SWITCHES</t>
  </si>
  <si>
    <t>115-kV INSTRUMENT TRANSFORMERS</t>
  </si>
  <si>
    <t>115-kV RELAYS AND PANELS</t>
  </si>
  <si>
    <t>CONCRETE FOR 115-kV</t>
  </si>
  <si>
    <t>LAND FOR 115-kV</t>
  </si>
  <si>
    <t>69-kV INSTRUMENT TRANSFORMERS</t>
  </si>
  <si>
    <t>69-kV RELAYS AND PANELS</t>
  </si>
  <si>
    <t>115/69-kV TRANSFORMER</t>
  </si>
  <si>
    <t>CONCRETE FOR 69-kV</t>
  </si>
  <si>
    <t>LAND FOR 69-kV</t>
  </si>
  <si>
    <t>Annual Reserve Sharing Group Cost</t>
  </si>
  <si>
    <t>Annual cost associated with Western-UGP's current reserve sharing group membership</t>
  </si>
  <si>
    <t>L7*3% + L8*3%</t>
  </si>
  <si>
    <t>L9*L5</t>
  </si>
  <si>
    <t>L10+L11+L12</t>
  </si>
  <si>
    <t>Project Name and #</t>
  </si>
  <si>
    <t>Type</t>
  </si>
  <si>
    <t>Project Gross Plant</t>
  </si>
  <si>
    <t>Project Accumulated Depreciation</t>
  </si>
  <si>
    <t>Allocation for Transmission O&amp;M</t>
  </si>
  <si>
    <t>Allocation for General Plant Depreciation</t>
  </si>
  <si>
    <t>Project Net Plant</t>
  </si>
  <si>
    <t>Project ATRR</t>
  </si>
  <si>
    <t>Roberts County Substation</t>
  </si>
  <si>
    <t>New 115/69-kV substation added due to 2017 ITP.  NTC ID 200452.  115-kV portion will be regionally shared.</t>
  </si>
  <si>
    <t>FY2019-20 ESTIMATE ADD/REPL/RETIRE ($)</t>
  </si>
  <si>
    <t>Under Collection - 2018 Regulation Revenue Rqmt</t>
  </si>
  <si>
    <t>Under Collection - 2018 WAUW Reserve Revenue Rqmt</t>
  </si>
  <si>
    <t>Regional Net Plant</t>
  </si>
  <si>
    <t>Base Plan Upgrade Net Plant</t>
  </si>
  <si>
    <t>BASE PLAN UPGRADES-REGIONAL</t>
  </si>
  <si>
    <t>BASE PLAN UPGRADES-ZONAL</t>
  </si>
  <si>
    <t>ZONAL %</t>
  </si>
  <si>
    <t>ZONAL TOTAL ($)</t>
  </si>
  <si>
    <t>Cost of Capital</t>
  </si>
  <si>
    <t>Allocation for A&amp;G</t>
  </si>
  <si>
    <t>TRUE-UP ADJUSTMENT</t>
  </si>
  <si>
    <t>ALLOCATION %</t>
  </si>
  <si>
    <t>LC-RH</t>
  </si>
  <si>
    <t>LEWIS &amp; CLARK - RICHLAND</t>
  </si>
  <si>
    <t>SUBTOTAL</t>
  </si>
  <si>
    <t>TOTAL SPP UPGRADES</t>
  </si>
  <si>
    <t>LC RH</t>
  </si>
  <si>
    <t>WOOD POLE</t>
  </si>
  <si>
    <t>CONDUCTOR</t>
  </si>
  <si>
    <t>LEWIS &amp; CLARK-RICHLAND</t>
  </si>
  <si>
    <t>BPU-Regional Plant-in-Service</t>
  </si>
  <si>
    <t>BPU-Zonal Plant-in-Service</t>
  </si>
  <si>
    <t>BPU-Regional Plant to Total Plant</t>
  </si>
  <si>
    <t>BPU-Zonal Plant to Total Plant</t>
  </si>
  <si>
    <t>BPU-Regional Accumulated Depreciation</t>
  </si>
  <si>
    <t>BPU-Zonal Accumulated Depreciation</t>
  </si>
  <si>
    <t>BPU-Regional Depreciation</t>
  </si>
  <si>
    <t>BPU-Zonal Depreciation</t>
  </si>
  <si>
    <t>BPU-Regional A&amp;G</t>
  </si>
  <si>
    <t>BPU-Zonal A&amp;G</t>
  </si>
  <si>
    <t>BPU-Regional O&amp;M</t>
  </si>
  <si>
    <t>BPU-Zonal O&amp;M</t>
  </si>
  <si>
    <t xml:space="preserve"> Allocation Factor %</t>
  </si>
  <si>
    <t>Lewis &amp; Clark-Richland</t>
  </si>
  <si>
    <t>Allocation Factor %</t>
  </si>
  <si>
    <t>ACCOUNT</t>
  </si>
  <si>
    <t>MONTH</t>
  </si>
  <si>
    <t>Z2 Sch 7/8</t>
  </si>
  <si>
    <t>Z2</t>
  </si>
  <si>
    <t>Adjustments</t>
  </si>
  <si>
    <t>OTHER ELEC. REVENUE</t>
  </si>
  <si>
    <t>MISO SEAMS</t>
  </si>
  <si>
    <t>RENT FROM ELECTRIC PROPERTY</t>
  </si>
  <si>
    <t>REVENUE FROM TRANS.</t>
  </si>
  <si>
    <t>RESRV-SUPPLEMENTAL</t>
  </si>
  <si>
    <t>RESRV-SPIN</t>
  </si>
  <si>
    <t>REGULATION</t>
  </si>
  <si>
    <t>NOTES:</t>
  </si>
  <si>
    <t xml:space="preserve">Includes twelve months of revenue credits from January-December or February-January depending on when WAPA began receiving revenue credits from SPP. </t>
  </si>
  <si>
    <t>PS-ED Est. Transmission A&amp;G  4/</t>
  </si>
  <si>
    <t>PS Total Est. A&amp;G</t>
  </si>
  <si>
    <t>1/  Western-UGP A&amp;G Est. Expenses are from the FY UGPCSR - Pick-Sloan Missouri River Basin and UGPCSR - Ft. Peck Power System Budget</t>
  </si>
  <si>
    <t>2/  Western RMR A&amp;G Expenses are from the FY RMCSR - Pick-Sloan Missouri River Basin Budget</t>
  </si>
  <si>
    <t xml:space="preserve">1/  All Western-UGP O&amp;M Expenses are from the FY UGPCSR - Pick-Sloan Missouri River Basin and UGPCSR -  Ft. Peck Power System Budget </t>
  </si>
  <si>
    <t>Sch 7/8</t>
  </si>
  <si>
    <t>Sch 1</t>
  </si>
  <si>
    <t>Sch 11</t>
  </si>
  <si>
    <t>Sch 9</t>
  </si>
  <si>
    <t>Gross Zonal Revenue Requirement</t>
  </si>
  <si>
    <t>SPP Upgrades - Zonal Gross Revenue Requirement</t>
  </si>
  <si>
    <t>SPP Upgrades - Regional Gross Revenue Requirement</t>
  </si>
  <si>
    <t>Net Revenue Requirement</t>
  </si>
  <si>
    <t>Revenue credit sheet may be updated or adjusted as necessary to include all revenue credits received.</t>
  </si>
  <si>
    <t>PTP</t>
  </si>
  <si>
    <t>TOTAL ZONAL REVENUE CREDITS</t>
  </si>
  <si>
    <t>TOTAL REGIONAL REVENUE CREDITS</t>
  </si>
  <si>
    <t>Net Revenue Requirement SPP Upgrades - Zonal</t>
  </si>
  <si>
    <t>Net Revenue Requirement SPP Upgrades - Regional</t>
  </si>
  <si>
    <t xml:space="preserve">GROSS REVENUE REQUIREMENT </t>
  </si>
  <si>
    <t>BASE UPGRADE ADUSTMENTS ($)</t>
  </si>
  <si>
    <t xml:space="preserve">     Firm Point-to-Point Revenue Credit</t>
  </si>
  <si>
    <t xml:space="preserve">     Non-Firm Point-to-Point Revenue Credit</t>
  </si>
  <si>
    <t xml:space="preserve">     Revenue from Existing Transmission Agreements</t>
  </si>
  <si>
    <t xml:space="preserve">     Scheduling, System Control, and Dispatch Service Credit</t>
  </si>
  <si>
    <t xml:space="preserve">     Account No. 454</t>
  </si>
  <si>
    <t xml:space="preserve">     Z2 Nonfirm Point-to-Point Revenue Credit</t>
  </si>
  <si>
    <t xml:space="preserve">     Point-to Point Revenue Credit</t>
  </si>
  <si>
    <t>L19 + L26</t>
  </si>
  <si>
    <t>Total Schedule 11 Revenue Requirement</t>
  </si>
  <si>
    <t>Western Area Power Administration (WAPA)</t>
  </si>
  <si>
    <t>Upper Great Plains Region (WAPA-UGP)</t>
  </si>
  <si>
    <t>(Rate Order No. WAPA-188)</t>
  </si>
  <si>
    <t>WAPA-UGP</t>
  </si>
  <si>
    <t>Worksheet 3 - Revenue Credit Calculation</t>
  </si>
  <si>
    <t>Worksheet 4 - Cost Support Data</t>
  </si>
  <si>
    <t>Worksheet 5 - Zonal SPP Upgrade Calculations</t>
  </si>
  <si>
    <t>Worksheet 6 - Base Plan Upgrades-Regional</t>
  </si>
  <si>
    <t>Worksheet 7 - SPP Base Plan Upgrades-Facilities</t>
  </si>
  <si>
    <t>Worksheet 8 - Transmission Facilities</t>
  </si>
  <si>
    <t>WAPA-UGP 2020 Rate Estimate Calculation</t>
  </si>
  <si>
    <t>Worksheet 11 - Facility Changes</t>
  </si>
  <si>
    <t>Worksheet 12 - Scheduling, System Control, and Dispatch Service</t>
  </si>
  <si>
    <t>Worksheet 13 - SSCD Facilities</t>
  </si>
  <si>
    <t>Worksheet 14 - Rate for Regulation and Frequency Response</t>
  </si>
  <si>
    <t>Worksheet 15 - Rate for Reserves</t>
  </si>
  <si>
    <t>Summary-ATRR</t>
  </si>
  <si>
    <t>WS1-RateBase</t>
  </si>
  <si>
    <t>WS2-AllocFactor</t>
  </si>
  <si>
    <t>WS3-RevCredits</t>
  </si>
  <si>
    <t>WS4-CostData</t>
  </si>
  <si>
    <t>WS5-BPUz</t>
  </si>
  <si>
    <t>WS6-BPUr</t>
  </si>
  <si>
    <t>WS8-TranFac</t>
  </si>
  <si>
    <t>WS10-AI-Excl</t>
  </si>
  <si>
    <t>WS11-FacChanges</t>
  </si>
  <si>
    <t>WS12-SSCD</t>
  </si>
  <si>
    <t>WS13-SSCDFac</t>
  </si>
  <si>
    <t>WS14-Reg</t>
  </si>
  <si>
    <t>WS15-Res</t>
  </si>
  <si>
    <t>Reconductor 0.1 miles of 115-kV Transmission Line to increase rating due to 2018 ITP.  NTC ID 210497.  This project will be regionally shared.</t>
  </si>
  <si>
    <t>Under Collection - 2018 WAUW Regulation Revenue Rqmt</t>
  </si>
  <si>
    <t xml:space="preserve">  Annual Reserve Sharing Group Cost</t>
  </si>
  <si>
    <t>Effective October 1, 2020</t>
  </si>
  <si>
    <t>Sch 7</t>
  </si>
  <si>
    <t>Sch 8</t>
  </si>
  <si>
    <t>WS9-AI-Incl</t>
  </si>
  <si>
    <t>Summary-ATRR - Calculation of ATRRs (Sched 9, Sched 11)</t>
  </si>
  <si>
    <t>Worksheet 1 - Schedule 9 Revenue Requirement - Non-Levelized</t>
  </si>
  <si>
    <t>Worksheet 2 - Determination of Pick-Sloan Missouri Basin Program, Eastern Division Annual Costs</t>
  </si>
  <si>
    <t>Worksheet 9 - WAPA-UGP Facilities Included per SPP Tariff Attachment AI*</t>
  </si>
  <si>
    <t>Worksheet 10 - WAPA-UGP Facilities Excluded under SPP Tariff Attachment AI*</t>
  </si>
  <si>
    <t>WS7-BPUFac</t>
  </si>
  <si>
    <t>Worksheet "Summary-ATRR" -- Calculation of ATRRs</t>
  </si>
  <si>
    <t>Worksheet 1 -- Calculation of Rate Base</t>
  </si>
  <si>
    <t>Worksheet Tab Label</t>
  </si>
  <si>
    <t>Worksheet Tab Description</t>
  </si>
  <si>
    <t>Worksheet 2 -- Allocation Factors</t>
  </si>
  <si>
    <t>Worksheet 3 -- Revenue Credit Detail</t>
  </si>
  <si>
    <t>Worksheet 4 -- Cost Support Data</t>
  </si>
  <si>
    <t>Worksheet 5 -- SPP Base Plan Upgrades (BPU) - Zonal</t>
  </si>
  <si>
    <t xml:space="preserve">Worksheet 6 -- SPP Base Plan Upgrades (BPU) - Regional </t>
  </si>
  <si>
    <t>Worksheet 7 -- SPP Base Plan Upgrades (BPU) - Facilities</t>
  </si>
  <si>
    <t>Worksheet 8 -- Transmission Facilities</t>
  </si>
  <si>
    <t>Worksheet 9 -- WAPA-UGP Facilities Included per SPP Tariff Attachment AI</t>
  </si>
  <si>
    <t>Worksheet 10 -- WAPA-UGP Facilities Excluded per SPP Tariff Attachment AI</t>
  </si>
  <si>
    <t>Worksheet 11 -- Facility Changes Detail</t>
  </si>
  <si>
    <t>Worksheet 12 -- Scheduling, System Control and Dispatch Service (SSCD) ARR</t>
  </si>
  <si>
    <t>Worksheet 13 -- Scheduling, System Control and Dispatch Service (SSCD) Facilities</t>
  </si>
  <si>
    <t>Worksheet 14 -- Regulation and Frequency Response ARR</t>
  </si>
  <si>
    <t>Worksheet 15 -- Reserves ARR</t>
  </si>
  <si>
    <t>2018 LT Debt</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</si>
</sst>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_);[Red]\(#,##0.0000\)"/>
    <numFmt numFmtId="166" formatCode="&quot;$&quot;#,##0.00"/>
    <numFmt numFmtId="167" formatCode="_(&quot;$&quot;* #,##0_);_(&quot;$&quot;* \(#,##0\);_(&quot;$&quot;* &quot;-&quot;??_);_(@_)"/>
    <numFmt numFmtId="168" formatCode="0.00_)"/>
    <numFmt numFmtId="169" formatCode="0\ &quot;days&quot;"/>
    <numFmt numFmtId="170" formatCode="0.000%"/>
    <numFmt numFmtId="171" formatCode="&quot;$&quot;#,##0"/>
    <numFmt numFmtId="172" formatCode="_(* #,##0.00000_);_(* \(#,##0.00000\);_(* &quot;-&quot;??_);_(@_)"/>
    <numFmt numFmtId="173" formatCode="&quot;$&quot;#,##0.000"/>
    <numFmt numFmtId="174" formatCode="0.00000"/>
    <numFmt numFmtId="175" formatCode="0.0000"/>
    <numFmt numFmtId="176" formatCode="#,##0.00000"/>
    <numFmt numFmtId="177" formatCode="#,##0.0000"/>
    <numFmt numFmtId="178" formatCode="#,##0.00000_);[Red]\(#,##0.00000\)"/>
    <numFmt numFmtId="179" formatCode="#,##0.00;\&lt;#,##0.00\&gt;"/>
  </numFmts>
  <fonts count="78">
    <font>
      <sz val="11"/>
      <color theme="1"/>
      <name val="Calibri"/>
      <family val="2"/>
      <scheme val="minor"/>
    </font>
    <font>
      <sz val="11"/>
      <color theme="1"/>
      <name val="Calibri"/>
      <family val="2"/>
      <scheme val="minor"/>
    </font>
    <font>
      <b/>
      <sz val="11"/>
      <color theme="1"/>
      <name val="Calibri"/>
      <family val="2"/>
      <scheme val="minor"/>
    </font>
    <font>
      <sz val="10"/>
      <name val="Calibri"/>
      <family val="2"/>
      <scheme val="minor"/>
    </font>
    <font>
      <b/>
      <sz val="10"/>
      <name val="Calibri"/>
      <family val="2"/>
      <scheme val="minor"/>
    </font>
    <font>
      <sz val="10"/>
      <color theme="0"/>
      <name val="Calibri"/>
      <family val="2"/>
      <scheme val="minor"/>
    </font>
    <font>
      <sz val="8"/>
      <color indexed="81"/>
      <name val="Tahoma"/>
      <family val="2"/>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i/>
      <sz val="10"/>
      <name val="Arial"/>
      <family val="2"/>
    </font>
    <font>
      <sz val="10"/>
      <name val="MS Sans Serif"/>
      <family val="2"/>
    </font>
    <font>
      <sz val="9"/>
      <color theme="1"/>
      <name val="Arial"/>
      <family val="2"/>
    </font>
    <font>
      <sz val="8"/>
      <name val="MS Sans Serif"/>
      <family val="2"/>
    </font>
    <font>
      <sz val="10"/>
      <color theme="1"/>
      <name val="Arial"/>
      <family val="2"/>
    </font>
    <font>
      <b/>
      <sz val="18"/>
      <name val="Arial"/>
      <family val="2"/>
    </font>
    <font>
      <b/>
      <sz val="14"/>
      <name val="Book Antiqua"/>
      <family val="1"/>
    </font>
    <font>
      <i/>
      <sz val="10"/>
      <name val="Book Antiqua"/>
      <family val="1"/>
    </font>
    <font>
      <u/>
      <sz val="10"/>
      <color theme="10"/>
      <name val="Arial"/>
      <family val="2"/>
    </font>
    <font>
      <b/>
      <i/>
      <sz val="16"/>
      <name val="Helv"/>
    </font>
    <font>
      <sz val="11"/>
      <name val="Arial"/>
      <family val="2"/>
    </font>
    <font>
      <sz val="10"/>
      <color theme="1"/>
      <name val="Tahoma"/>
      <family val="2"/>
    </font>
    <font>
      <sz val="12"/>
      <name val="Arial MT"/>
    </font>
    <font>
      <sz val="11"/>
      <color indexed="8"/>
      <name val="Calibri"/>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b/>
      <sz val="48"/>
      <name val="Arial"/>
      <family val="2"/>
    </font>
    <font>
      <sz val="11"/>
      <color theme="1"/>
      <name val="Calibri"/>
      <family val="2"/>
    </font>
    <font>
      <sz val="10"/>
      <color theme="1"/>
      <name val="Calibri"/>
      <family val="2"/>
    </font>
    <font>
      <sz val="10"/>
      <name val="Calibri"/>
      <family val="2"/>
    </font>
    <font>
      <b/>
      <sz val="10"/>
      <color theme="1"/>
      <name val="Calibri"/>
      <family val="2"/>
    </font>
    <font>
      <b/>
      <sz val="10"/>
      <name val="Calibri"/>
      <family val="2"/>
    </font>
    <font>
      <sz val="10"/>
      <name val="Times New Roman"/>
      <family val="1"/>
    </font>
    <font>
      <b/>
      <i/>
      <sz val="10"/>
      <name val="Calibri"/>
      <family val="2"/>
    </font>
    <font>
      <sz val="10"/>
      <color theme="1"/>
      <name val="Calibri"/>
      <family val="2"/>
      <scheme val="minor"/>
    </font>
    <font>
      <u/>
      <sz val="10"/>
      <color theme="1"/>
      <name val="Calibri"/>
      <family val="2"/>
      <scheme val="minor"/>
    </font>
    <font>
      <strike/>
      <sz val="10"/>
      <color theme="1"/>
      <name val="Calibri"/>
      <family val="2"/>
      <scheme val="minor"/>
    </font>
    <font>
      <b/>
      <sz val="10"/>
      <color theme="1"/>
      <name val="Calibri"/>
      <family val="2"/>
      <scheme val="minor"/>
    </font>
    <font>
      <sz val="10"/>
      <color indexed="10"/>
      <name val="Calibri"/>
      <family val="2"/>
      <scheme val="minor"/>
    </font>
    <font>
      <sz val="10"/>
      <color rgb="FF666666"/>
      <name val="Arial Unicode MS"/>
      <family val="2"/>
    </font>
    <font>
      <b/>
      <sz val="9"/>
      <color indexed="81"/>
      <name val="Tahoma"/>
      <family val="2"/>
    </font>
    <font>
      <sz val="9"/>
      <color indexed="81"/>
      <name val="Tahoma"/>
      <family val="2"/>
    </font>
    <font>
      <sz val="36"/>
      <color theme="1"/>
      <name val="Calibri"/>
      <family val="2"/>
      <scheme val="minor"/>
    </font>
    <font>
      <sz val="10"/>
      <color indexed="8"/>
      <name val="Calibri"/>
      <family val="2"/>
      <scheme val="minor"/>
    </font>
    <font>
      <b/>
      <sz val="11"/>
      <color rgb="FF000000"/>
      <name val="Calibri"/>
      <family val="2"/>
    </font>
    <font>
      <b/>
      <sz val="8"/>
      <color rgb="FF000000"/>
      <name val="Calibri"/>
      <family val="2"/>
    </font>
    <font>
      <sz val="11"/>
      <color rgb="FF000000"/>
      <name val="Calibri"/>
      <family val="2"/>
    </font>
    <font>
      <sz val="11"/>
      <color rgb="FFFF0000"/>
      <name val="Calibri"/>
      <family val="2"/>
    </font>
    <font>
      <sz val="11"/>
      <name val="Calibri"/>
      <family val="2"/>
    </font>
    <font>
      <i/>
      <sz val="11"/>
      <color rgb="FF000000"/>
      <name val="Calibri"/>
      <family val="2"/>
    </font>
    <font>
      <b/>
      <sz val="12"/>
      <name val="Calibri"/>
      <family val="2"/>
    </font>
    <font>
      <sz val="11"/>
      <color theme="1"/>
      <name val="Calibri"/>
      <family val="2"/>
    </font>
    <font>
      <sz val="11"/>
      <color rgb="FF000000"/>
      <name val="Calibri"/>
      <family val="2"/>
    </font>
    <font>
      <sz val="11"/>
      <name val="Calibri"/>
      <family val="2"/>
      <scheme val="minor"/>
    </font>
    <font>
      <sz val="11"/>
      <color rgb="FFFF0000"/>
      <name val="Calibri"/>
      <family val="2"/>
      <scheme val="minor"/>
    </font>
    <font>
      <u/>
      <sz val="11"/>
      <color theme="10"/>
      <name val="Calibri"/>
      <family val="2"/>
      <scheme val="minor"/>
    </font>
    <font>
      <sz val="28"/>
      <color theme="1"/>
      <name val="Calibri"/>
      <family val="2"/>
      <scheme val="minor"/>
    </font>
    <font>
      <b/>
      <sz val="10"/>
      <color rgb="FF000000"/>
      <name val="Calibri"/>
      <family val="2"/>
    </font>
    <font>
      <b/>
      <u/>
      <sz val="11"/>
      <color theme="1"/>
      <name val="Calibri"/>
      <family val="2"/>
      <scheme val="minor"/>
    </font>
  </fonts>
  <fills count="28">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indexed="11"/>
        <bgColor indexed="64"/>
      </patternFill>
    </fill>
    <fill>
      <patternFill patternType="solid">
        <fgColor indexed="9"/>
      </patternFill>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bgColor indexed="9"/>
      </patternFill>
    </fill>
    <fill>
      <patternFill patternType="solid">
        <fgColor rgb="FFD9D9D9"/>
        <bgColor rgb="FF000000"/>
      </patternFill>
    </fill>
    <fill>
      <patternFill patternType="solid">
        <fgColor rgb="FFFFFFFF"/>
        <bgColor rgb="FF000000"/>
      </patternFill>
    </fill>
    <fill>
      <patternFill patternType="solid">
        <fgColor rgb="FFFFFF00"/>
        <bgColor indexed="64"/>
      </patternFill>
    </fill>
  </fills>
  <borders count="62">
    <border>
      <left/>
      <right/>
      <top/>
      <bottom/>
      <diagonal/>
    </border>
    <border>
      <left style="thin">
        <color rgb="FFB2B2B2"/>
      </left>
      <right style="thin">
        <color rgb="FFB2B2B2"/>
      </right>
      <top style="thin">
        <color rgb="FFB2B2B2"/>
      </top>
      <bottom style="thin">
        <color rgb="FFB2B2B2"/>
      </bottom>
      <diagonal/>
    </border>
    <border>
      <left/>
      <right/>
      <top style="thin">
        <color indexed="64"/>
      </top>
      <bottom style="double">
        <color indexed="64"/>
      </bottom>
      <diagonal/>
    </border>
    <border>
      <left/>
      <right/>
      <top/>
      <bottom style="double">
        <color indexed="64"/>
      </bottom>
      <diagonal/>
    </border>
    <border>
      <left/>
      <right/>
      <top style="double">
        <color indexed="64"/>
      </top>
      <bottom/>
      <diagonal/>
    </border>
    <border>
      <left/>
      <right/>
      <top style="thin">
        <color indexed="64"/>
      </top>
      <bottom/>
      <diagonal/>
    </border>
    <border>
      <left/>
      <right style="thin">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double">
        <color indexed="64"/>
      </bottom>
      <diagonal/>
    </border>
    <border>
      <left/>
      <right/>
      <top style="thin">
        <color indexed="64"/>
      </top>
      <bottom style="medium">
        <color indexed="64"/>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2330">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6" fontId="7" fillId="0" borderId="0" applyFill="0"/>
    <xf numFmtId="166" fontId="7" fillId="0" borderId="0">
      <alignment horizontal="center"/>
    </xf>
    <xf numFmtId="0" fontId="7" fillId="0" borderId="0" applyFill="0">
      <alignment horizontal="center"/>
    </xf>
    <xf numFmtId="166" fontId="8" fillId="0" borderId="4" applyFill="0"/>
    <xf numFmtId="0" fontId="9" fillId="0" borderId="0" applyFont="0" applyAlignment="0"/>
    <xf numFmtId="0" fontId="10" fillId="0" borderId="0" applyFill="0">
      <alignment vertical="top"/>
    </xf>
    <xf numFmtId="0" fontId="8" fillId="0" borderId="0" applyFill="0">
      <alignment horizontal="left" vertical="top"/>
    </xf>
    <xf numFmtId="166" fontId="11" fillId="0" borderId="5" applyFill="0"/>
    <xf numFmtId="0" fontId="9" fillId="0" borderId="0" applyNumberFormat="0" applyFont="0" applyAlignment="0"/>
    <xf numFmtId="0" fontId="10" fillId="0" borderId="0" applyFill="0">
      <alignment wrapText="1"/>
    </xf>
    <xf numFmtId="0" fontId="8" fillId="0" borderId="0" applyFill="0">
      <alignment horizontal="left" vertical="top" wrapText="1"/>
    </xf>
    <xf numFmtId="166" fontId="12" fillId="0" borderId="0" applyFill="0"/>
    <xf numFmtId="0" fontId="13" fillId="0" borderId="0" applyNumberFormat="0" applyFont="0" applyAlignment="0">
      <alignment horizontal="center"/>
    </xf>
    <xf numFmtId="0" fontId="14" fillId="0" borderId="0" applyFill="0">
      <alignment vertical="top" wrapText="1"/>
    </xf>
    <xf numFmtId="0" fontId="11" fillId="0" borderId="0" applyFill="0">
      <alignment horizontal="left" vertical="top" wrapText="1"/>
    </xf>
    <xf numFmtId="166" fontId="9" fillId="0" borderId="0" applyFill="0"/>
    <xf numFmtId="0" fontId="13" fillId="0" borderId="0" applyNumberFormat="0" applyFont="0" applyAlignment="0">
      <alignment horizontal="center"/>
    </xf>
    <xf numFmtId="0" fontId="15" fillId="0" borderId="0" applyFill="0">
      <alignment vertical="center" wrapText="1"/>
    </xf>
    <xf numFmtId="0" fontId="16" fillId="0" borderId="0">
      <alignment horizontal="left" vertical="center" wrapText="1"/>
    </xf>
    <xf numFmtId="166" fontId="17" fillId="0" borderId="0" applyFill="0"/>
    <xf numFmtId="0" fontId="13" fillId="0" borderId="0" applyNumberFormat="0" applyFont="0" applyAlignment="0">
      <alignment horizontal="center"/>
    </xf>
    <xf numFmtId="0" fontId="18" fillId="0" borderId="0" applyFill="0">
      <alignment horizontal="center" vertical="center" wrapText="1"/>
    </xf>
    <xf numFmtId="0" fontId="9" fillId="0" borderId="0" applyFill="0">
      <alignment horizontal="center" vertical="center" wrapText="1"/>
    </xf>
    <xf numFmtId="166" fontId="19" fillId="0" borderId="0" applyFill="0"/>
    <xf numFmtId="0" fontId="13" fillId="0" borderId="0" applyNumberFormat="0" applyFont="0" applyAlignment="0">
      <alignment horizontal="center"/>
    </xf>
    <xf numFmtId="0" fontId="20" fillId="0" borderId="0" applyFill="0">
      <alignment horizontal="center" vertical="center" wrapText="1"/>
    </xf>
    <xf numFmtId="0" fontId="21" fillId="0" borderId="0" applyFill="0">
      <alignment horizontal="center" vertical="center" wrapText="1"/>
    </xf>
    <xf numFmtId="166" fontId="22" fillId="0" borderId="0" applyFill="0"/>
    <xf numFmtId="0" fontId="13" fillId="0" borderId="0" applyNumberFormat="0" applyFont="0" applyAlignment="0">
      <alignment horizontal="center"/>
    </xf>
    <xf numFmtId="0" fontId="23" fillId="0" borderId="0">
      <alignment horizontal="center" wrapText="1"/>
    </xf>
    <xf numFmtId="0" fontId="19" fillId="0" borderId="0" applyFill="0">
      <alignment horizontal="center" wrapText="1"/>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9" fillId="0" borderId="0" applyFont="0" applyFill="0" applyBorder="0" applyAlignment="0" applyProtection="0"/>
    <xf numFmtId="43" fontId="28" fillId="0" borderId="0" applyFont="0" applyFill="0" applyBorder="0" applyAlignment="0" applyProtection="0"/>
    <xf numFmtId="3"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7"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9"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9"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5" fontId="9" fillId="0" borderId="0" applyFont="0" applyFill="0" applyBorder="0" applyAlignment="0" applyProtection="0"/>
    <xf numFmtId="14" fontId="9" fillId="0" borderId="0" applyFont="0" applyFill="0" applyBorder="0" applyAlignment="0" applyProtection="0"/>
    <xf numFmtId="2" fontId="9" fillId="0" borderId="0" applyFont="0" applyFill="0" applyBorder="0" applyAlignment="0" applyProtection="0"/>
    <xf numFmtId="167" fontId="7" fillId="15" borderId="6" applyFill="0" applyBorder="0" applyProtection="0">
      <alignment horizontal="left"/>
    </xf>
    <xf numFmtId="38" fontId="7" fillId="16" borderId="0" applyNumberFormat="0" applyBorder="0" applyAlignment="0" applyProtection="0"/>
    <xf numFmtId="0" fontId="29" fillId="0" borderId="0" applyFont="0" applyFill="0" applyBorder="0" applyAlignment="0" applyProtection="0"/>
    <xf numFmtId="0" fontId="11" fillId="0" borderId="0" applyFont="0" applyFill="0" applyBorder="0" applyAlignment="0" applyProtection="0"/>
    <xf numFmtId="0" fontId="30" fillId="0" borderId="7"/>
    <xf numFmtId="0" fontId="31" fillId="0" borderId="0"/>
    <xf numFmtId="0" fontId="32" fillId="0" borderId="0" applyNumberFormat="0" applyFill="0" applyBorder="0" applyAlignment="0" applyProtection="0"/>
    <xf numFmtId="10" fontId="7" fillId="17" borderId="8" applyNumberFormat="0" applyBorder="0" applyAlignment="0" applyProtection="0"/>
    <xf numFmtId="168" fontId="33" fillId="0" borderId="0"/>
    <xf numFmtId="0" fontId="26" fillId="0" borderId="0"/>
    <xf numFmtId="0" fontId="9" fillId="0" borderId="0"/>
    <xf numFmtId="0" fontId="9" fillId="0" borderId="0"/>
    <xf numFmtId="0" fontId="9" fillId="0" borderId="0"/>
    <xf numFmtId="0" fontId="9" fillId="0" borderId="0"/>
    <xf numFmtId="0" fontId="9" fillId="0" borderId="0"/>
    <xf numFmtId="0" fontId="9" fillId="0" borderId="0"/>
    <xf numFmtId="0" fontId="28" fillId="0" borderId="0"/>
    <xf numFmtId="5" fontId="34"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5"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5"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5"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25" fillId="0" borderId="0"/>
    <xf numFmtId="0" fontId="1" fillId="0" borderId="0"/>
    <xf numFmtId="0" fontId="1" fillId="0" borderId="0"/>
    <xf numFmtId="0" fontId="25" fillId="0" borderId="0"/>
    <xf numFmtId="0" fontId="25" fillId="0" borderId="0"/>
    <xf numFmtId="0" fontId="25" fillId="0" borderId="0"/>
    <xf numFmtId="0" fontId="25"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25" fillId="0" borderId="0"/>
    <xf numFmtId="0" fontId="1" fillId="0" borderId="0"/>
    <xf numFmtId="0" fontId="1" fillId="0" borderId="0"/>
    <xf numFmtId="0" fontId="25" fillId="0" borderId="0"/>
    <xf numFmtId="0" fontId="25" fillId="0" borderId="0"/>
    <xf numFmtId="0" fontId="25" fillId="0" borderId="0"/>
    <xf numFmtId="0" fontId="25"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9" fillId="0" borderId="0"/>
    <xf numFmtId="0" fontId="1" fillId="0" borderId="0"/>
    <xf numFmtId="0" fontId="1" fillId="0" borderId="0"/>
    <xf numFmtId="0" fontId="9" fillId="0" borderId="0"/>
    <xf numFmtId="0" fontId="1"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9" fillId="0" borderId="0"/>
    <xf numFmtId="0" fontId="1" fillId="0" borderId="0"/>
    <xf numFmtId="0" fontId="25"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9"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9"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9"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9"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9"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9"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9"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25" fillId="0" borderId="0"/>
    <xf numFmtId="0" fontId="25" fillId="0" borderId="0"/>
    <xf numFmtId="0" fontId="1" fillId="0" borderId="0"/>
    <xf numFmtId="0" fontId="9" fillId="0" borderId="0"/>
    <xf numFmtId="0" fontId="1"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9"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9"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9"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9"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9"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9"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9"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25" fillId="0" borderId="0"/>
    <xf numFmtId="0" fontId="25" fillId="0" borderId="0"/>
    <xf numFmtId="0" fontId="25"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25" fillId="0" borderId="0"/>
    <xf numFmtId="0" fontId="25" fillId="0" borderId="0"/>
    <xf numFmtId="0" fontId="25"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9" fillId="0" borderId="0"/>
    <xf numFmtId="0" fontId="1" fillId="0" borderId="0"/>
    <xf numFmtId="0" fontId="1" fillId="0" borderId="0"/>
    <xf numFmtId="0" fontId="1" fillId="0" borderId="0"/>
    <xf numFmtId="0" fontId="1" fillId="0" borderId="0"/>
    <xf numFmtId="0" fontId="28"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5" fontId="34" fillId="0" borderId="0"/>
    <xf numFmtId="0" fontId="1" fillId="0" borderId="0"/>
    <xf numFmtId="0" fontId="9" fillId="0" borderId="0"/>
    <xf numFmtId="5" fontId="3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9" fillId="0" borderId="0"/>
    <xf numFmtId="0" fontId="1" fillId="0" borderId="0"/>
    <xf numFmtId="0" fontId="9" fillId="0" borderId="0"/>
    <xf numFmtId="0" fontId="9" fillId="0" borderId="0"/>
    <xf numFmtId="0" fontId="9" fillId="0" borderId="0"/>
    <xf numFmtId="5" fontId="34"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5" fontId="34" fillId="0" borderId="0"/>
    <xf numFmtId="0" fontId="1" fillId="0" borderId="0"/>
    <xf numFmtId="0" fontId="1" fillId="0" borderId="0"/>
    <xf numFmtId="0" fontId="9" fillId="0" borderId="0"/>
    <xf numFmtId="5" fontId="34" fillId="0" borderId="0"/>
    <xf numFmtId="0" fontId="1"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0" fontId="9" fillId="0" borderId="0"/>
    <xf numFmtId="0" fontId="9" fillId="0" borderId="0"/>
    <xf numFmtId="0" fontId="9" fillId="0" borderId="0"/>
    <xf numFmtId="0" fontId="9" fillId="0" borderId="0"/>
    <xf numFmtId="0" fontId="9" fillId="0" borderId="0"/>
    <xf numFmtId="5" fontId="34" fillId="0" borderId="0"/>
    <xf numFmtId="0" fontId="1" fillId="0" borderId="0"/>
    <xf numFmtId="0" fontId="1" fillId="0" borderId="0"/>
    <xf numFmtId="5" fontId="34" fillId="0" borderId="0"/>
    <xf numFmtId="0" fontId="9" fillId="0" borderId="0"/>
    <xf numFmtId="5" fontId="34" fillId="0" borderId="0"/>
    <xf numFmtId="5" fontId="34" fillId="0" borderId="0"/>
    <xf numFmtId="0" fontId="9" fillId="0" borderId="0"/>
    <xf numFmtId="5" fontId="34" fillId="0" borderId="0"/>
    <xf numFmtId="5" fontId="34" fillId="0" borderId="0"/>
    <xf numFmtId="0" fontId="1" fillId="0" borderId="0"/>
    <xf numFmtId="5" fontId="34" fillId="0" borderId="0"/>
    <xf numFmtId="0" fontId="1" fillId="0" borderId="0"/>
    <xf numFmtId="5" fontId="34" fillId="0" borderId="0"/>
    <xf numFmtId="0" fontId="1"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9" fillId="0" borderId="0"/>
    <xf numFmtId="0" fontId="1"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1" fillId="0" borderId="0"/>
    <xf numFmtId="0" fontId="1" fillId="0" borderId="0"/>
    <xf numFmtId="0" fontId="16"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28"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1" fillId="0" borderId="0"/>
    <xf numFmtId="0" fontId="25" fillId="0" borderId="0"/>
    <xf numFmtId="0" fontId="1" fillId="0" borderId="0"/>
    <xf numFmtId="0" fontId="9" fillId="0" borderId="0"/>
    <xf numFmtId="0" fontId="25" fillId="0" borderId="0"/>
    <xf numFmtId="0" fontId="1" fillId="0" borderId="0"/>
    <xf numFmtId="0" fontId="25" fillId="0" borderId="0"/>
    <xf numFmtId="0" fontId="25" fillId="0" borderId="0"/>
    <xf numFmtId="0" fontId="25" fillId="0" borderId="0"/>
    <xf numFmtId="0" fontId="16" fillId="0" borderId="0"/>
    <xf numFmtId="0" fontId="1"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9" fillId="0" borderId="0"/>
    <xf numFmtId="0" fontId="16" fillId="0" borderId="0"/>
    <xf numFmtId="0" fontId="25" fillId="0" borderId="0"/>
    <xf numFmtId="0" fontId="1" fillId="0" borderId="0"/>
    <xf numFmtId="0" fontId="27" fillId="0" borderId="0"/>
    <xf numFmtId="0" fontId="16"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0" fontId="9" fillId="0" borderId="0"/>
    <xf numFmtId="0" fontId="9" fillId="0" borderId="0"/>
    <xf numFmtId="0" fontId="9" fillId="0" borderId="0"/>
    <xf numFmtId="0" fontId="16" fillId="0" borderId="0"/>
    <xf numFmtId="0" fontId="1" fillId="0" borderId="0"/>
    <xf numFmtId="0" fontId="1" fillId="0" borderId="0"/>
    <xf numFmtId="0" fontId="9" fillId="0" borderId="0"/>
    <xf numFmtId="0" fontId="1" fillId="0" borderId="0"/>
    <xf numFmtId="0" fontId="16" fillId="0" borderId="0"/>
    <xf numFmtId="0" fontId="1" fillId="0" borderId="0"/>
    <xf numFmtId="0" fontId="16" fillId="0" borderId="0"/>
    <xf numFmtId="166" fontId="36" fillId="0" borderId="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6" fontId="36" fillId="0" borderId="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37" fillId="2" borderId="1" applyNumberFormat="0" applyFont="0" applyAlignment="0" applyProtection="0"/>
    <xf numFmtId="0" fontId="37" fillId="2" borderId="1" applyNumberFormat="0" applyFont="0" applyAlignment="0" applyProtection="0"/>
    <xf numFmtId="0" fontId="3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3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37" fillId="2" borderId="1" applyNumberFormat="0" applyFont="0" applyAlignment="0" applyProtection="0"/>
    <xf numFmtId="0" fontId="37" fillId="2" borderId="1" applyNumberFormat="0" applyFont="0" applyAlignment="0" applyProtection="0"/>
    <xf numFmtId="10" fontId="9" fillId="0" borderId="0" applyFont="0" applyFill="0" applyBorder="0" applyAlignment="0" applyProtection="0"/>
    <xf numFmtId="9" fontId="28"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8"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8"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5" fillId="0" borderId="0" applyNumberFormat="0" applyFont="0" applyFill="0" applyBorder="0" applyAlignment="0" applyProtection="0">
      <alignment horizontal="left"/>
    </xf>
    <xf numFmtId="15" fontId="25" fillId="0" borderId="0" applyFont="0" applyFill="0" applyBorder="0" applyAlignment="0" applyProtection="0"/>
    <xf numFmtId="4" fontId="25" fillId="0" borderId="0" applyFont="0" applyFill="0" applyBorder="0" applyAlignment="0" applyProtection="0"/>
    <xf numFmtId="3" fontId="9" fillId="0" borderId="0">
      <alignment horizontal="left" vertical="top"/>
    </xf>
    <xf numFmtId="0" fontId="38" fillId="0" borderId="7">
      <alignment horizontal="center"/>
    </xf>
    <xf numFmtId="3" fontId="25" fillId="0" borderId="0" applyFont="0" applyFill="0" applyBorder="0" applyAlignment="0" applyProtection="0"/>
    <xf numFmtId="0" fontId="25" fillId="18" borderId="0" applyNumberFormat="0" applyFont="0" applyBorder="0" applyAlignment="0" applyProtection="0"/>
    <xf numFmtId="3" fontId="9" fillId="0" borderId="0">
      <alignment horizontal="right" vertical="top"/>
    </xf>
    <xf numFmtId="41" fontId="16" fillId="16" borderId="9" applyFill="0"/>
    <xf numFmtId="0" fontId="39" fillId="0" borderId="0">
      <alignment horizontal="left" indent="7"/>
    </xf>
    <xf numFmtId="41" fontId="16" fillId="0" borderId="9" applyFill="0">
      <alignment horizontal="left" indent="2"/>
    </xf>
    <xf numFmtId="166" fontId="40" fillId="0" borderId="10" applyFill="0">
      <alignment horizontal="right"/>
    </xf>
    <xf numFmtId="0" fontId="41" fillId="0" borderId="8" applyNumberFormat="0" applyFont="0" applyBorder="0">
      <alignment horizontal="right"/>
    </xf>
    <xf numFmtId="0" fontId="42" fillId="0" borderId="0" applyFill="0"/>
    <xf numFmtId="0" fontId="11" fillId="0" borderId="0" applyFill="0"/>
    <xf numFmtId="4" fontId="40" fillId="0" borderId="10" applyFill="0"/>
    <xf numFmtId="0" fontId="9" fillId="0" borderId="0" applyNumberFormat="0" applyFont="0" applyBorder="0" applyAlignment="0"/>
    <xf numFmtId="0" fontId="14" fillId="0" borderId="0" applyFill="0">
      <alignment horizontal="left" indent="1"/>
    </xf>
    <xf numFmtId="0" fontId="43" fillId="0" borderId="0" applyFill="0">
      <alignment horizontal="left" indent="1"/>
    </xf>
    <xf numFmtId="4" fontId="17" fillId="0" borderId="0" applyFill="0"/>
    <xf numFmtId="0" fontId="9" fillId="0" borderId="0" applyNumberFormat="0" applyFont="0" applyFill="0" applyBorder="0" applyAlignment="0"/>
    <xf numFmtId="0" fontId="14" fillId="0" borderId="0" applyFill="0">
      <alignment horizontal="left" indent="2"/>
    </xf>
    <xf numFmtId="0" fontId="11" fillId="0" borderId="0" applyFill="0">
      <alignment horizontal="left" indent="2"/>
    </xf>
    <xf numFmtId="4" fontId="17" fillId="0" borderId="0" applyFill="0"/>
    <xf numFmtId="0" fontId="9" fillId="0" borderId="0" applyNumberFormat="0" applyFont="0" applyBorder="0" applyAlignment="0"/>
    <xf numFmtId="0" fontId="44" fillId="0" borderId="0">
      <alignment horizontal="left" indent="3"/>
    </xf>
    <xf numFmtId="0" fontId="34" fillId="0" borderId="0" applyFill="0">
      <alignment horizontal="left" indent="3"/>
    </xf>
    <xf numFmtId="4" fontId="17" fillId="0" borderId="0" applyFill="0"/>
    <xf numFmtId="0" fontId="9" fillId="0" borderId="0" applyNumberFormat="0" applyFont="0" applyBorder="0" applyAlignment="0"/>
    <xf numFmtId="0" fontId="18" fillId="0" borderId="0">
      <alignment horizontal="left" indent="4"/>
    </xf>
    <xf numFmtId="0" fontId="9" fillId="0" borderId="0" applyFill="0">
      <alignment horizontal="left" indent="4"/>
    </xf>
    <xf numFmtId="4" fontId="19" fillId="0" borderId="0" applyFill="0"/>
    <xf numFmtId="0" fontId="9" fillId="0" borderId="0" applyNumberFormat="0" applyFont="0" applyBorder="0" applyAlignment="0"/>
    <xf numFmtId="0" fontId="20" fillId="0" borderId="0">
      <alignment horizontal="left" indent="5"/>
    </xf>
    <xf numFmtId="0" fontId="21" fillId="0" borderId="0" applyFill="0">
      <alignment horizontal="left" indent="5"/>
    </xf>
    <xf numFmtId="4" fontId="22" fillId="0" borderId="0" applyFill="0"/>
    <xf numFmtId="0" fontId="9" fillId="0" borderId="0" applyNumberFormat="0" applyFont="0" applyFill="0" applyBorder="0" applyAlignment="0"/>
    <xf numFmtId="0" fontId="23" fillId="0" borderId="0" applyFill="0">
      <alignment horizontal="left" indent="6"/>
    </xf>
    <xf numFmtId="0" fontId="19" fillId="0" borderId="0" applyFill="0">
      <alignment horizontal="left" indent="6"/>
    </xf>
    <xf numFmtId="169" fontId="7" fillId="19" borderId="11" applyBorder="0" applyProtection="0">
      <alignment horizontal="center"/>
    </xf>
    <xf numFmtId="0" fontId="45" fillId="0" borderId="0"/>
    <xf numFmtId="0" fontId="9" fillId="0" borderId="0" applyFont="0" applyFill="0" applyBorder="0" applyAlignment="0" applyProtection="0"/>
    <xf numFmtId="38" fontId="51" fillId="0" borderId="0"/>
    <xf numFmtId="0" fontId="16" fillId="20" borderId="0"/>
    <xf numFmtId="0" fontId="16" fillId="0" borderId="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74" fillId="0" borderId="0" applyNumberFormat="0" applyFill="0" applyBorder="0" applyAlignment="0" applyProtection="0"/>
  </cellStyleXfs>
  <cellXfs count="849">
    <xf numFmtId="0" fontId="0" fillId="0" borderId="0" xfId="0"/>
    <xf numFmtId="0" fontId="3" fillId="0" borderId="0" xfId="0" applyFont="1" applyFill="1" applyBorder="1" applyAlignment="1">
      <alignment horizontal="left"/>
    </xf>
    <xf numFmtId="37" fontId="4" fillId="0" borderId="0" xfId="0" applyNumberFormat="1" applyFont="1" applyFill="1" applyBorder="1" applyAlignment="1">
      <alignment horizontal="center"/>
    </xf>
    <xf numFmtId="0" fontId="4" fillId="0" borderId="0" xfId="0" applyFont="1" applyFill="1" applyBorder="1" applyAlignment="1">
      <alignment horizontal="center"/>
    </xf>
    <xf numFmtId="164" fontId="4" fillId="0" borderId="0" xfId="0" applyNumberFormat="1" applyFont="1" applyFill="1" applyBorder="1" applyAlignment="1">
      <alignment horizontal="center"/>
    </xf>
    <xf numFmtId="164" fontId="4" fillId="0" borderId="0" xfId="1" applyNumberFormat="1" applyFont="1" applyFill="1" applyBorder="1" applyAlignment="1">
      <alignment horizontal="center"/>
    </xf>
    <xf numFmtId="0" fontId="4" fillId="0" borderId="0" xfId="0" applyFont="1" applyFill="1" applyBorder="1"/>
    <xf numFmtId="164" fontId="4" fillId="0" borderId="0" xfId="1" applyNumberFormat="1" applyFont="1" applyFill="1" applyBorder="1"/>
    <xf numFmtId="38" fontId="4" fillId="0" borderId="0" xfId="0" applyNumberFormat="1" applyFont="1" applyFill="1" applyBorder="1" applyAlignment="1">
      <alignment horizontal="center"/>
    </xf>
    <xf numFmtId="0" fontId="4" fillId="0" borderId="0" xfId="0" applyFont="1" applyFill="1" applyBorder="1" applyAlignment="1">
      <alignment horizontal="left"/>
    </xf>
    <xf numFmtId="164" fontId="4" fillId="0" borderId="0" xfId="0" applyNumberFormat="1" applyFont="1" applyFill="1" applyBorder="1" applyAlignment="1">
      <alignment horizontal="center" wrapText="1"/>
    </xf>
    <xf numFmtId="0" fontId="3" fillId="0" borderId="0" xfId="0" applyFont="1" applyFill="1" applyBorder="1" applyAlignment="1">
      <alignment horizontal="center"/>
    </xf>
    <xf numFmtId="0" fontId="3" fillId="0" borderId="0" xfId="0" applyFont="1" applyFill="1" applyBorder="1"/>
    <xf numFmtId="164" fontId="3" fillId="0" borderId="0" xfId="0" applyNumberFormat="1" applyFont="1" applyFill="1" applyBorder="1"/>
    <xf numFmtId="164" fontId="3" fillId="0" borderId="0" xfId="1" applyNumberFormat="1" applyFont="1" applyFill="1" applyBorder="1"/>
    <xf numFmtId="38" fontId="3" fillId="0" borderId="0" xfId="0" applyNumberFormat="1" applyFont="1" applyFill="1" applyBorder="1" applyAlignment="1">
      <alignment horizontal="center"/>
    </xf>
    <xf numFmtId="0" fontId="3" fillId="0" borderId="0" xfId="0" applyFont="1" applyFill="1" applyBorder="1" applyAlignment="1">
      <alignment wrapText="1"/>
    </xf>
    <xf numFmtId="38" fontId="3" fillId="0" borderId="0" xfId="0" applyNumberFormat="1" applyFont="1" applyFill="1" applyBorder="1"/>
    <xf numFmtId="0" fontId="4" fillId="0" borderId="2" xfId="0" applyFont="1" applyFill="1" applyBorder="1" applyAlignment="1">
      <alignment horizontal="center"/>
    </xf>
    <xf numFmtId="38" fontId="4" fillId="0" borderId="2" xfId="0" applyNumberFormat="1" applyFont="1" applyFill="1" applyBorder="1"/>
    <xf numFmtId="0" fontId="4" fillId="0" borderId="2" xfId="0" applyFont="1" applyFill="1" applyBorder="1"/>
    <xf numFmtId="164" fontId="4" fillId="0" borderId="2" xfId="0" applyNumberFormat="1" applyFont="1" applyFill="1" applyBorder="1"/>
    <xf numFmtId="164" fontId="4" fillId="0" borderId="2" xfId="1" applyNumberFormat="1" applyFont="1" applyFill="1" applyBorder="1"/>
    <xf numFmtId="38" fontId="4" fillId="0" borderId="0" xfId="0" applyNumberFormat="1" applyFont="1" applyFill="1" applyBorder="1"/>
    <xf numFmtId="0" fontId="4" fillId="0" borderId="0" xfId="0" applyFont="1" applyFill="1" applyBorder="1" applyAlignment="1"/>
    <xf numFmtId="165" fontId="5" fillId="0" borderId="0" xfId="0" applyNumberFormat="1" applyFont="1" applyFill="1" applyBorder="1"/>
    <xf numFmtId="165" fontId="3" fillId="0" borderId="0" xfId="0" applyNumberFormat="1" applyFont="1" applyFill="1" applyBorder="1"/>
    <xf numFmtId="38" fontId="4" fillId="0" borderId="2" xfId="0" applyNumberFormat="1" applyFont="1" applyFill="1" applyBorder="1" applyAlignment="1">
      <alignment wrapText="1"/>
    </xf>
    <xf numFmtId="38" fontId="4" fillId="0" borderId="2" xfId="0" applyNumberFormat="1" applyFont="1" applyFill="1" applyBorder="1" applyAlignment="1">
      <alignment horizontal="center"/>
    </xf>
    <xf numFmtId="0" fontId="4" fillId="0" borderId="0" xfId="0" applyFont="1" applyFill="1" applyBorder="1" applyAlignment="1">
      <alignment vertical="top"/>
    </xf>
    <xf numFmtId="164" fontId="4" fillId="0" borderId="2" xfId="0" applyNumberFormat="1" applyFont="1" applyFill="1" applyBorder="1" applyAlignment="1">
      <alignment horizontal="right"/>
    </xf>
    <xf numFmtId="164" fontId="3" fillId="0" borderId="0" xfId="0" applyNumberFormat="1" applyFont="1" applyFill="1" applyBorder="1" applyAlignment="1">
      <alignment horizontal="center"/>
    </xf>
    <xf numFmtId="164" fontId="3" fillId="0" borderId="0" xfId="0" applyNumberFormat="1" applyFont="1" applyFill="1" applyBorder="1" applyAlignment="1">
      <alignment horizontal="right"/>
    </xf>
    <xf numFmtId="0" fontId="46" fillId="0" borderId="0" xfId="0" applyFont="1" applyBorder="1"/>
    <xf numFmtId="0" fontId="47" fillId="0" borderId="0" xfId="0" applyFont="1" applyBorder="1"/>
    <xf numFmtId="0" fontId="48" fillId="0" borderId="15" xfId="0" applyFont="1" applyFill="1" applyBorder="1" applyAlignment="1">
      <alignment horizontal="center"/>
    </xf>
    <xf numFmtId="0" fontId="3" fillId="0" borderId="15" xfId="38578" applyFont="1" applyFill="1" applyBorder="1" applyAlignment="1"/>
    <xf numFmtId="0" fontId="3" fillId="0" borderId="0" xfId="38578" applyFont="1" applyFill="1" applyAlignment="1"/>
    <xf numFmtId="0" fontId="53" fillId="0" borderId="0" xfId="38578" applyFont="1" applyFill="1" applyAlignment="1"/>
    <xf numFmtId="0" fontId="3" fillId="0" borderId="0" xfId="38578" applyFont="1" applyFill="1" applyAlignment="1">
      <alignment horizontal="right"/>
    </xf>
    <xf numFmtId="0" fontId="3" fillId="0" borderId="0" xfId="38578" applyFont="1" applyFill="1" applyAlignment="1">
      <alignment horizontal="center"/>
    </xf>
    <xf numFmtId="43" fontId="3" fillId="0" borderId="0" xfId="38578" applyNumberFormat="1" applyFont="1" applyFill="1" applyAlignment="1"/>
    <xf numFmtId="164" fontId="3" fillId="0" borderId="18" xfId="38578" applyNumberFormat="1" applyFont="1" applyFill="1" applyBorder="1" applyAlignment="1">
      <alignment horizontal="right"/>
    </xf>
    <xf numFmtId="0" fontId="3" fillId="0" borderId="7" xfId="38578" applyFont="1" applyFill="1" applyBorder="1" applyAlignment="1">
      <alignment horizontal="center"/>
    </xf>
    <xf numFmtId="0" fontId="3" fillId="0" borderId="7" xfId="38578" applyFont="1" applyFill="1" applyBorder="1" applyAlignment="1"/>
    <xf numFmtId="0" fontId="3" fillId="0" borderId="17" xfId="38578" applyFont="1" applyFill="1" applyBorder="1" applyAlignment="1"/>
    <xf numFmtId="164" fontId="3" fillId="0" borderId="16" xfId="1" applyNumberFormat="1" applyFont="1" applyFill="1" applyBorder="1" applyAlignment="1"/>
    <xf numFmtId="164" fontId="3" fillId="0" borderId="0" xfId="1" applyNumberFormat="1" applyFont="1" applyFill="1" applyBorder="1" applyAlignment="1"/>
    <xf numFmtId="164" fontId="3" fillId="0" borderId="22" xfId="1" applyNumberFormat="1" applyFont="1" applyFill="1" applyBorder="1" applyAlignment="1">
      <alignment horizontal="right"/>
    </xf>
    <xf numFmtId="164" fontId="3" fillId="0" borderId="10" xfId="1" applyNumberFormat="1" applyFont="1" applyFill="1" applyBorder="1" applyAlignment="1">
      <alignment horizontal="right"/>
    </xf>
    <xf numFmtId="43" fontId="3" fillId="0" borderId="10" xfId="1" applyFont="1" applyFill="1" applyBorder="1" applyAlignment="1"/>
    <xf numFmtId="164" fontId="3" fillId="0" borderId="10" xfId="1" applyNumberFormat="1" applyFont="1" applyFill="1" applyBorder="1" applyAlignment="1"/>
    <xf numFmtId="0" fontId="3" fillId="0" borderId="15" xfId="38578" applyFont="1" applyFill="1" applyBorder="1" applyAlignment="1">
      <alignment horizontal="right"/>
    </xf>
    <xf numFmtId="164" fontId="3" fillId="0" borderId="16" xfId="1" applyNumberFormat="1" applyFont="1" applyFill="1" applyBorder="1" applyAlignment="1">
      <alignment horizontal="right"/>
    </xf>
    <xf numFmtId="164" fontId="3" fillId="0" borderId="0" xfId="1" applyNumberFormat="1" applyFont="1" applyFill="1" applyBorder="1" applyAlignment="1">
      <alignment horizontal="right"/>
    </xf>
    <xf numFmtId="43" fontId="3" fillId="0" borderId="0" xfId="1" applyFont="1" applyFill="1" applyBorder="1" applyAlignment="1"/>
    <xf numFmtId="0" fontId="53" fillId="0" borderId="0" xfId="38578" applyNumberFormat="1" applyFont="1" applyFill="1"/>
    <xf numFmtId="0" fontId="53" fillId="0" borderId="0" xfId="38578" applyFont="1" applyFill="1" applyBorder="1" applyAlignment="1">
      <alignment horizontal="center"/>
    </xf>
    <xf numFmtId="0" fontId="53" fillId="0" borderId="16" xfId="38578" applyFont="1" applyFill="1" applyBorder="1" applyAlignment="1">
      <alignment horizontal="center"/>
    </xf>
    <xf numFmtId="0" fontId="53" fillId="0" borderId="0" xfId="38578" applyNumberFormat="1" applyFont="1" applyFill="1" applyBorder="1" applyAlignment="1">
      <alignment horizontal="center"/>
    </xf>
    <xf numFmtId="0" fontId="53" fillId="0" borderId="0" xfId="38578" applyFont="1" applyFill="1" applyBorder="1" applyAlignment="1"/>
    <xf numFmtId="0" fontId="53" fillId="0" borderId="14" xfId="38578" applyFont="1" applyFill="1" applyBorder="1" applyAlignment="1">
      <alignment horizontal="right"/>
    </xf>
    <xf numFmtId="0" fontId="53" fillId="0" borderId="13" xfId="38578" applyFont="1" applyFill="1" applyBorder="1" applyAlignment="1">
      <alignment horizontal="center"/>
    </xf>
    <xf numFmtId="0" fontId="53" fillId="0" borderId="13" xfId="38578" applyFont="1" applyFill="1" applyBorder="1" applyAlignment="1"/>
    <xf numFmtId="0" fontId="3" fillId="0" borderId="13" xfId="38578" applyFont="1" applyFill="1" applyBorder="1" applyAlignment="1"/>
    <xf numFmtId="0" fontId="54" fillId="0" borderId="12" xfId="38578" applyFont="1" applyFill="1" applyBorder="1"/>
    <xf numFmtId="0" fontId="53" fillId="0" borderId="0" xfId="38578" applyFont="1" applyFill="1" applyBorder="1" applyAlignment="1">
      <alignment horizontal="right"/>
    </xf>
    <xf numFmtId="0" fontId="54" fillId="0" borderId="0" xfId="38578" applyFont="1" applyFill="1" applyBorder="1"/>
    <xf numFmtId="171" fontId="53" fillId="0" borderId="0" xfId="38578" applyNumberFormat="1" applyFont="1" applyFill="1" applyBorder="1" applyAlignment="1"/>
    <xf numFmtId="172" fontId="53" fillId="0" borderId="0" xfId="38578" applyNumberFormat="1" applyFont="1" applyFill="1" applyBorder="1" applyAlignment="1">
      <alignment horizontal="right"/>
    </xf>
    <xf numFmtId="0" fontId="55" fillId="0" borderId="0" xfId="38578" applyFont="1" applyFill="1" applyBorder="1" applyAlignment="1"/>
    <xf numFmtId="167" fontId="53" fillId="0" borderId="0" xfId="18360" applyNumberFormat="1" applyFont="1" applyFill="1" applyBorder="1" applyAlignment="1"/>
    <xf numFmtId="3" fontId="53" fillId="0" borderId="0" xfId="38578" applyNumberFormat="1" applyFont="1" applyFill="1" applyBorder="1" applyAlignment="1"/>
    <xf numFmtId="37" fontId="53" fillId="0" borderId="0" xfId="38578" applyNumberFormat="1" applyFont="1" applyFill="1" applyBorder="1" applyAlignment="1"/>
    <xf numFmtId="37" fontId="53" fillId="0" borderId="0" xfId="38578" applyNumberFormat="1" applyFont="1" applyFill="1" applyBorder="1" applyAlignment="1">
      <alignment horizontal="right"/>
    </xf>
    <xf numFmtId="37" fontId="53" fillId="0" borderId="0" xfId="38578" applyNumberFormat="1" applyFont="1" applyFill="1" applyBorder="1" applyAlignment="1">
      <alignment horizontal="center"/>
    </xf>
    <xf numFmtId="164" fontId="53" fillId="0" borderId="0" xfId="5447" applyNumberFormat="1" applyFont="1" applyFill="1" applyBorder="1" applyAlignment="1"/>
    <xf numFmtId="0" fontId="55" fillId="0" borderId="0" xfId="38578" applyFont="1" applyFill="1" applyBorder="1" applyAlignment="1">
      <alignment horizontal="center"/>
    </xf>
    <xf numFmtId="0" fontId="53" fillId="0" borderId="0" xfId="38578" applyNumberFormat="1" applyFont="1" applyFill="1" applyBorder="1" applyAlignment="1"/>
    <xf numFmtId="0" fontId="53" fillId="0" borderId="0" xfId="38578" applyNumberFormat="1" applyFont="1" applyFill="1" applyAlignment="1"/>
    <xf numFmtId="0" fontId="53" fillId="0" borderId="0" xfId="38578" applyNumberFormat="1" applyFont="1" applyFill="1" applyAlignment="1">
      <alignment horizontal="left"/>
    </xf>
    <xf numFmtId="0" fontId="53" fillId="0" borderId="0" xfId="38578" applyFont="1" applyFill="1" applyAlignment="1">
      <alignment horizontal="right"/>
    </xf>
    <xf numFmtId="0" fontId="53" fillId="0" borderId="0" xfId="38578" applyFont="1" applyFill="1" applyAlignment="1">
      <alignment horizontal="center"/>
    </xf>
    <xf numFmtId="37" fontId="53" fillId="0" borderId="10" xfId="42321" applyNumberFormat="1" applyFont="1" applyFill="1" applyBorder="1" applyProtection="1"/>
    <xf numFmtId="37" fontId="53" fillId="0" borderId="0" xfId="42321" applyNumberFormat="1" applyFont="1" applyFill="1" applyProtection="1"/>
    <xf numFmtId="37" fontId="53" fillId="0" borderId="10" xfId="42320" applyNumberFormat="1" applyFont="1" applyFill="1" applyBorder="1" applyProtection="1">
      <protection locked="0"/>
    </xf>
    <xf numFmtId="37" fontId="53" fillId="0" borderId="0" xfId="42320" applyNumberFormat="1" applyFont="1" applyFill="1" applyProtection="1">
      <protection locked="0"/>
    </xf>
    <xf numFmtId="0" fontId="53" fillId="0" borderId="0" xfId="38578" applyNumberFormat="1" applyFont="1" applyFill="1" applyAlignment="1">
      <alignment horizontal="right"/>
    </xf>
    <xf numFmtId="37" fontId="53" fillId="0" borderId="10" xfId="42320" applyNumberFormat="1" applyFont="1" applyFill="1" applyBorder="1" applyAlignment="1" applyProtection="1">
      <alignment horizontal="center"/>
      <protection locked="0"/>
    </xf>
    <xf numFmtId="0" fontId="53" fillId="0" borderId="0" xfId="38578" applyNumberFormat="1" applyFont="1" applyFill="1" applyAlignment="1">
      <alignment horizontal="center"/>
    </xf>
    <xf numFmtId="37" fontId="53" fillId="0" borderId="0" xfId="42321" applyNumberFormat="1" applyFont="1" applyFill="1" applyBorder="1" applyAlignment="1" applyProtection="1">
      <alignment horizontal="center"/>
    </xf>
    <xf numFmtId="37" fontId="53" fillId="0" borderId="0" xfId="42320" applyNumberFormat="1" applyFont="1" applyFill="1" applyBorder="1" applyProtection="1">
      <protection locked="0"/>
    </xf>
    <xf numFmtId="3" fontId="53" fillId="0" borderId="0" xfId="38578" applyNumberFormat="1" applyFont="1" applyFill="1" applyAlignment="1">
      <alignment horizontal="right"/>
    </xf>
    <xf numFmtId="3" fontId="53" fillId="0" borderId="0" xfId="38578" applyNumberFormat="1" applyFont="1" applyFill="1" applyAlignment="1">
      <alignment horizontal="center"/>
    </xf>
    <xf numFmtId="3" fontId="53" fillId="0" borderId="18" xfId="38578" applyNumberFormat="1" applyFont="1" applyFill="1" applyBorder="1" applyAlignment="1">
      <alignment horizontal="right"/>
    </xf>
    <xf numFmtId="3" fontId="53" fillId="0" borderId="7" xfId="38578" applyNumberFormat="1" applyFont="1" applyFill="1" applyBorder="1" applyAlignment="1">
      <alignment horizontal="center"/>
    </xf>
    <xf numFmtId="0" fontId="53" fillId="0" borderId="7" xfId="38578" applyNumberFormat="1" applyFont="1" applyFill="1" applyBorder="1"/>
    <xf numFmtId="0" fontId="53" fillId="0" borderId="7" xfId="38578" applyFont="1" applyFill="1" applyBorder="1" applyAlignment="1"/>
    <xf numFmtId="0" fontId="53" fillId="0" borderId="17" xfId="38578" applyNumberFormat="1" applyFont="1" applyFill="1" applyBorder="1"/>
    <xf numFmtId="173" fontId="53" fillId="0" borderId="16" xfId="38578" applyNumberFormat="1" applyFont="1" applyFill="1" applyBorder="1" applyAlignment="1">
      <alignment horizontal="right"/>
    </xf>
    <xf numFmtId="0" fontId="53" fillId="0" borderId="0" xfId="38578" applyNumberFormat="1" applyFont="1" applyFill="1" applyBorder="1"/>
    <xf numFmtId="0" fontId="53" fillId="0" borderId="15" xfId="38578" applyNumberFormat="1" applyFont="1" applyFill="1" applyBorder="1"/>
    <xf numFmtId="164" fontId="53" fillId="0" borderId="16" xfId="38578" applyNumberFormat="1" applyFont="1" applyFill="1" applyBorder="1" applyAlignment="1">
      <alignment horizontal="right"/>
    </xf>
    <xf numFmtId="164" fontId="53" fillId="0" borderId="0" xfId="38578" applyNumberFormat="1" applyFont="1" applyFill="1" applyBorder="1" applyAlignment="1">
      <alignment horizontal="center"/>
    </xf>
    <xf numFmtId="164" fontId="53" fillId="0" borderId="0" xfId="38578" applyNumberFormat="1" applyFont="1" applyFill="1" applyBorder="1"/>
    <xf numFmtId="164" fontId="53" fillId="0" borderId="0" xfId="38578" applyNumberFormat="1" applyFont="1" applyFill="1" applyBorder="1" applyAlignment="1"/>
    <xf numFmtId="0" fontId="53" fillId="0" borderId="16" xfId="38578" applyNumberFormat="1" applyFont="1" applyFill="1" applyBorder="1" applyAlignment="1">
      <alignment horizontal="right"/>
    </xf>
    <xf numFmtId="0" fontId="53" fillId="0" borderId="14" xfId="38578" applyNumberFormat="1" applyFont="1" applyFill="1" applyBorder="1" applyAlignment="1">
      <alignment horizontal="right"/>
    </xf>
    <xf numFmtId="174" fontId="56" fillId="0" borderId="13" xfId="38578" applyNumberFormat="1" applyFont="1" applyFill="1" applyBorder="1" applyAlignment="1">
      <alignment horizontal="center"/>
    </xf>
    <xf numFmtId="174" fontId="56" fillId="0" borderId="13" xfId="38578" applyNumberFormat="1" applyFont="1" applyFill="1" applyBorder="1"/>
    <xf numFmtId="174" fontId="56" fillId="0" borderId="13" xfId="38578" applyNumberFormat="1" applyFont="1" applyFill="1" applyBorder="1" applyAlignment="1"/>
    <xf numFmtId="0" fontId="53" fillId="0" borderId="12" xfId="38578" applyNumberFormat="1" applyFont="1" applyFill="1" applyBorder="1"/>
    <xf numFmtId="164" fontId="53" fillId="0" borderId="18" xfId="5447" applyNumberFormat="1" applyFont="1" applyFill="1" applyBorder="1" applyAlignment="1">
      <alignment horizontal="right"/>
    </xf>
    <xf numFmtId="164" fontId="53" fillId="0" borderId="7" xfId="5447" applyNumberFormat="1" applyFont="1" applyFill="1" applyBorder="1" applyAlignment="1">
      <alignment horizontal="center"/>
    </xf>
    <xf numFmtId="164" fontId="53" fillId="0" borderId="7" xfId="5447" applyNumberFormat="1" applyFont="1" applyFill="1" applyBorder="1" applyAlignment="1"/>
    <xf numFmtId="0" fontId="53" fillId="0" borderId="17" xfId="38578" applyFont="1" applyFill="1" applyBorder="1"/>
    <xf numFmtId="164" fontId="53" fillId="0" borderId="16" xfId="5447" applyNumberFormat="1" applyFont="1" applyFill="1" applyBorder="1" applyAlignment="1">
      <alignment horizontal="right"/>
    </xf>
    <xf numFmtId="164" fontId="53" fillId="0" borderId="0" xfId="5447" applyNumberFormat="1" applyFont="1" applyFill="1" applyBorder="1" applyAlignment="1">
      <alignment horizontal="center"/>
    </xf>
    <xf numFmtId="0" fontId="53" fillId="0" borderId="15" xfId="38578" applyFont="1" applyFill="1" applyBorder="1"/>
    <xf numFmtId="0" fontId="53" fillId="0" borderId="16" xfId="38578" applyFont="1" applyFill="1" applyBorder="1" applyAlignment="1">
      <alignment horizontal="right"/>
    </xf>
    <xf numFmtId="0" fontId="53" fillId="0" borderId="15" xfId="38578" applyFont="1" applyFill="1" applyBorder="1" applyAlignment="1"/>
    <xf numFmtId="164" fontId="53" fillId="0" borderId="14" xfId="5447" applyNumberFormat="1" applyFont="1" applyFill="1" applyBorder="1" applyAlignment="1">
      <alignment horizontal="right"/>
    </xf>
    <xf numFmtId="3" fontId="53" fillId="0" borderId="13" xfId="38578" applyNumberFormat="1" applyFont="1" applyFill="1" applyBorder="1" applyAlignment="1">
      <alignment horizontal="center"/>
    </xf>
    <xf numFmtId="0" fontId="53" fillId="0" borderId="12" xfId="38578" applyNumberFormat="1" applyFont="1" applyFill="1" applyBorder="1" applyAlignment="1"/>
    <xf numFmtId="3" fontId="53" fillId="0" borderId="0" xfId="38578" applyNumberFormat="1" applyFont="1" applyFill="1" applyAlignment="1"/>
    <xf numFmtId="164" fontId="53" fillId="0" borderId="18" xfId="38578" applyNumberFormat="1" applyFont="1" applyFill="1" applyBorder="1" applyAlignment="1">
      <alignment horizontal="right"/>
    </xf>
    <xf numFmtId="0" fontId="53" fillId="0" borderId="7" xfId="38578" applyFont="1" applyFill="1" applyBorder="1" applyAlignment="1">
      <alignment horizontal="center"/>
    </xf>
    <xf numFmtId="164" fontId="53" fillId="0" borderId="23" xfId="38578" applyNumberFormat="1" applyFont="1" applyFill="1" applyBorder="1" applyAlignment="1">
      <alignment horizontal="right"/>
    </xf>
    <xf numFmtId="164" fontId="53" fillId="0" borderId="22" xfId="38578" applyNumberFormat="1" applyFont="1" applyFill="1" applyBorder="1" applyAlignment="1">
      <alignment horizontal="right"/>
    </xf>
    <xf numFmtId="0" fontId="53" fillId="0" borderId="10" xfId="38578" applyNumberFormat="1" applyFont="1" applyFill="1" applyBorder="1" applyAlignment="1">
      <alignment horizontal="center"/>
    </xf>
    <xf numFmtId="164" fontId="53" fillId="0" borderId="10" xfId="5447" applyNumberFormat="1" applyFont="1" applyFill="1" applyBorder="1"/>
    <xf numFmtId="164" fontId="53" fillId="0" borderId="0" xfId="5447" applyNumberFormat="1" applyFont="1" applyFill="1" applyBorder="1"/>
    <xf numFmtId="164" fontId="53" fillId="0" borderId="0" xfId="19384" applyNumberFormat="1" applyFont="1" applyFill="1" applyBorder="1"/>
    <xf numFmtId="164" fontId="53" fillId="0" borderId="14" xfId="38578" applyNumberFormat="1" applyFont="1" applyFill="1" applyBorder="1" applyAlignment="1">
      <alignment horizontal="right"/>
    </xf>
    <xf numFmtId="164" fontId="53" fillId="0" borderId="13" xfId="38578" applyNumberFormat="1" applyFont="1" applyFill="1" applyBorder="1" applyAlignment="1">
      <alignment horizontal="center"/>
    </xf>
    <xf numFmtId="164" fontId="53" fillId="0" borderId="13" xfId="38578" applyNumberFormat="1" applyFont="1" applyFill="1" applyBorder="1" applyAlignment="1"/>
    <xf numFmtId="0" fontId="53" fillId="0" borderId="12" xfId="38578" applyFont="1" applyFill="1" applyBorder="1"/>
    <xf numFmtId="164" fontId="53" fillId="0" borderId="0" xfId="38578" applyNumberFormat="1" applyFont="1" applyFill="1" applyAlignment="1"/>
    <xf numFmtId="164" fontId="53" fillId="0" borderId="22" xfId="5447" applyNumberFormat="1" applyFont="1" applyFill="1" applyBorder="1" applyAlignment="1">
      <alignment horizontal="right"/>
    </xf>
    <xf numFmtId="164" fontId="53" fillId="0" borderId="10" xfId="5447" applyNumberFormat="1" applyFont="1" applyFill="1" applyBorder="1" applyAlignment="1">
      <alignment horizontal="center"/>
    </xf>
    <xf numFmtId="164" fontId="53" fillId="0" borderId="10" xfId="5447" applyNumberFormat="1" applyFont="1" applyFill="1" applyBorder="1" applyAlignment="1"/>
    <xf numFmtId="164" fontId="53" fillId="0" borderId="15" xfId="38578" applyNumberFormat="1" applyFont="1" applyFill="1" applyBorder="1"/>
    <xf numFmtId="38" fontId="53" fillId="0" borderId="0" xfId="42319" applyFont="1" applyFill="1" applyBorder="1" applyAlignment="1">
      <alignment horizontal="right"/>
    </xf>
    <xf numFmtId="0" fontId="53" fillId="0" borderId="24" xfId="38578" applyFont="1" applyFill="1" applyBorder="1"/>
    <xf numFmtId="0" fontId="53" fillId="0" borderId="7" xfId="38578" applyNumberFormat="1" applyFont="1" applyFill="1" applyBorder="1" applyAlignment="1"/>
    <xf numFmtId="0" fontId="53" fillId="0" borderId="17" xfId="38578" applyNumberFormat="1" applyFont="1" applyFill="1" applyBorder="1" applyAlignment="1"/>
    <xf numFmtId="0" fontId="53" fillId="0" borderId="15" xfId="38578" applyNumberFormat="1" applyFont="1" applyFill="1" applyBorder="1" applyAlignment="1"/>
    <xf numFmtId="0" fontId="3" fillId="0" borderId="0" xfId="38578" applyNumberFormat="1" applyFont="1" applyFill="1"/>
    <xf numFmtId="164" fontId="53" fillId="0" borderId="25" xfId="38578" applyNumberFormat="1" applyFont="1" applyFill="1" applyBorder="1" applyAlignment="1">
      <alignment horizontal="right"/>
    </xf>
    <xf numFmtId="0" fontId="53" fillId="0" borderId="10" xfId="38578" applyFont="1" applyFill="1" applyBorder="1" applyAlignment="1">
      <alignment horizontal="center"/>
    </xf>
    <xf numFmtId="0" fontId="3" fillId="0" borderId="0" xfId="38578" applyNumberFormat="1" applyFont="1" applyFill="1" applyAlignment="1">
      <alignment horizontal="center"/>
    </xf>
    <xf numFmtId="0" fontId="53" fillId="0" borderId="0" xfId="38578" applyFont="1" applyFill="1" applyAlignment="1">
      <alignment wrapText="1"/>
    </xf>
    <xf numFmtId="0" fontId="53" fillId="0" borderId="0" xfId="38578" applyFont="1" applyFill="1" applyAlignment="1">
      <alignment horizontal="right" wrapText="1"/>
    </xf>
    <xf numFmtId="0" fontId="53" fillId="0" borderId="0" xfId="38578" applyFont="1" applyFill="1" applyAlignment="1">
      <alignment horizontal="center" wrapText="1"/>
    </xf>
    <xf numFmtId="0" fontId="3" fillId="21" borderId="18" xfId="38578" applyNumberFormat="1" applyFont="1" applyFill="1" applyBorder="1"/>
    <xf numFmtId="3" fontId="3" fillId="21" borderId="7" xfId="38578" applyNumberFormat="1" applyFont="1" applyFill="1" applyBorder="1" applyAlignment="1"/>
    <xf numFmtId="0" fontId="3" fillId="21" borderId="7" xfId="38578" applyNumberFormat="1" applyFont="1" applyFill="1" applyBorder="1"/>
    <xf numFmtId="0" fontId="3" fillId="21" borderId="7" xfId="38578" applyNumberFormat="1" applyFont="1" applyFill="1" applyBorder="1" applyAlignment="1">
      <alignment horizontal="right"/>
    </xf>
    <xf numFmtId="0" fontId="3" fillId="21" borderId="7" xfId="38578" applyNumberFormat="1" applyFont="1" applyFill="1" applyBorder="1" applyAlignment="1">
      <alignment horizontal="center"/>
    </xf>
    <xf numFmtId="0" fontId="3" fillId="21" borderId="7" xfId="38578" applyFont="1" applyFill="1" applyBorder="1"/>
    <xf numFmtId="0" fontId="3" fillId="21" borderId="17" xfId="38578" applyFont="1" applyFill="1" applyBorder="1" applyAlignment="1"/>
    <xf numFmtId="0" fontId="3" fillId="21" borderId="16" xfId="38578" applyNumberFormat="1" applyFont="1" applyFill="1" applyBorder="1"/>
    <xf numFmtId="3" fontId="3" fillId="21" borderId="0" xfId="38578" applyNumberFormat="1" applyFont="1" applyFill="1" applyBorder="1" applyAlignment="1"/>
    <xf numFmtId="0" fontId="3" fillId="21" borderId="0" xfId="38578" applyNumberFormat="1" applyFont="1" applyFill="1" applyBorder="1"/>
    <xf numFmtId="3" fontId="3" fillId="21" borderId="0" xfId="38578" applyNumberFormat="1" applyFont="1" applyFill="1" applyBorder="1" applyAlignment="1">
      <alignment horizontal="right"/>
    </xf>
    <xf numFmtId="0" fontId="3" fillId="21" borderId="0" xfId="38578" applyNumberFormat="1" applyFont="1" applyFill="1" applyBorder="1" applyAlignment="1">
      <alignment horizontal="center"/>
    </xf>
    <xf numFmtId="10" fontId="3" fillId="21" borderId="0" xfId="38578" applyNumberFormat="1" applyFont="1" applyFill="1" applyBorder="1"/>
    <xf numFmtId="0" fontId="3" fillId="21" borderId="0" xfId="38578" applyFont="1" applyFill="1" applyBorder="1"/>
    <xf numFmtId="0" fontId="3" fillId="21" borderId="15" xfId="38578" applyFont="1" applyFill="1" applyBorder="1" applyAlignment="1"/>
    <xf numFmtId="0" fontId="3" fillId="21" borderId="15" xfId="38578" applyFont="1" applyFill="1" applyBorder="1" applyAlignment="1">
      <alignment horizontal="center" vertical="top"/>
    </xf>
    <xf numFmtId="0" fontId="3" fillId="21" borderId="15" xfId="38578" applyFont="1" applyFill="1" applyBorder="1" applyAlignment="1">
      <alignment horizontal="center"/>
    </xf>
    <xf numFmtId="3" fontId="53" fillId="0" borderId="0" xfId="38578" applyNumberFormat="1" applyFont="1" applyFill="1" applyAlignment="1">
      <alignment horizontal="left"/>
    </xf>
    <xf numFmtId="10" fontId="3" fillId="22" borderId="0" xfId="38578" applyNumberFormat="1" applyFont="1" applyFill="1" applyBorder="1"/>
    <xf numFmtId="0" fontId="3" fillId="21" borderId="15" xfId="38578" applyNumberFormat="1" applyFont="1" applyFill="1" applyBorder="1" applyAlignment="1">
      <alignment horizontal="center"/>
    </xf>
    <xf numFmtId="3" fontId="3" fillId="21" borderId="16" xfId="38578" applyNumberFormat="1" applyFont="1" applyFill="1" applyBorder="1" applyAlignment="1"/>
    <xf numFmtId="0" fontId="3" fillId="21" borderId="17" xfId="38578" applyFont="1" applyFill="1" applyBorder="1" applyAlignment="1">
      <alignment horizontal="center"/>
    </xf>
    <xf numFmtId="3" fontId="3" fillId="21" borderId="18" xfId="38578" applyNumberFormat="1" applyFont="1" applyFill="1" applyBorder="1" applyAlignment="1" applyProtection="1"/>
    <xf numFmtId="1" fontId="3" fillId="21" borderId="7" xfId="38578" applyNumberFormat="1" applyFont="1" applyFill="1" applyBorder="1" applyAlignment="1" applyProtection="1">
      <alignment horizontal="right"/>
    </xf>
    <xf numFmtId="3" fontId="3" fillId="21" borderId="7" xfId="38578" applyNumberFormat="1" applyFont="1" applyFill="1" applyBorder="1" applyAlignment="1">
      <alignment horizontal="right"/>
    </xf>
    <xf numFmtId="3" fontId="3" fillId="21" borderId="7" xfId="38578" applyNumberFormat="1" applyFont="1" applyFill="1" applyBorder="1" applyAlignment="1">
      <alignment horizontal="center"/>
    </xf>
    <xf numFmtId="166" fontId="3" fillId="21" borderId="7" xfId="38578" applyNumberFormat="1" applyFont="1" applyFill="1" applyBorder="1" applyAlignment="1"/>
    <xf numFmtId="0" fontId="3" fillId="21" borderId="17" xfId="38578" applyNumberFormat="1" applyFont="1" applyFill="1" applyBorder="1" applyAlignment="1">
      <alignment horizontal="center"/>
    </xf>
    <xf numFmtId="3" fontId="3" fillId="21" borderId="16" xfId="38578" applyNumberFormat="1" applyFont="1" applyFill="1" applyBorder="1" applyAlignment="1" applyProtection="1"/>
    <xf numFmtId="1" fontId="3" fillId="22" borderId="7" xfId="38578" applyNumberFormat="1" applyFont="1" applyFill="1" applyBorder="1" applyAlignment="1" applyProtection="1">
      <alignment horizontal="right"/>
      <protection locked="0"/>
    </xf>
    <xf numFmtId="0" fontId="3" fillId="21" borderId="0" xfId="38578" applyNumberFormat="1" applyFont="1" applyFill="1" applyBorder="1" applyAlignment="1">
      <alignment horizontal="right"/>
    </xf>
    <xf numFmtId="0" fontId="3" fillId="21" borderId="7" xfId="38578" applyFont="1" applyFill="1" applyBorder="1" applyAlignment="1"/>
    <xf numFmtId="1" fontId="3" fillId="22" borderId="0" xfId="38578" applyNumberFormat="1" applyFont="1" applyFill="1" applyBorder="1" applyAlignment="1" applyProtection="1">
      <alignment horizontal="right"/>
      <protection locked="0"/>
    </xf>
    <xf numFmtId="3" fontId="3" fillId="21" borderId="0" xfId="38578" applyNumberFormat="1" applyFont="1" applyFill="1" applyBorder="1" applyAlignment="1">
      <alignment horizontal="center"/>
    </xf>
    <xf numFmtId="0" fontId="3" fillId="21" borderId="0" xfId="38578" applyFont="1" applyFill="1" applyBorder="1" applyAlignment="1"/>
    <xf numFmtId="0" fontId="3" fillId="22" borderId="0" xfId="38578" applyFont="1" applyFill="1" applyBorder="1" applyAlignment="1">
      <alignment horizontal="right"/>
    </xf>
    <xf numFmtId="0" fontId="3" fillId="21" borderId="16" xfId="38578" applyFont="1" applyFill="1" applyBorder="1" applyAlignment="1"/>
    <xf numFmtId="3" fontId="3" fillId="22" borderId="0" xfId="38578" applyNumberFormat="1" applyFont="1" applyFill="1" applyBorder="1" applyAlignment="1">
      <alignment horizontal="right"/>
    </xf>
    <xf numFmtId="173" fontId="3" fillId="21" borderId="0" xfId="38578" applyNumberFormat="1" applyFont="1" applyFill="1" applyBorder="1" applyAlignment="1">
      <alignment horizontal="right"/>
    </xf>
    <xf numFmtId="0" fontId="3" fillId="21" borderId="16" xfId="38578" applyFont="1" applyFill="1" applyBorder="1" applyAlignment="1">
      <alignment horizontal="right"/>
    </xf>
    <xf numFmtId="3" fontId="3" fillId="22" borderId="7" xfId="38578" applyNumberFormat="1" applyFont="1" applyFill="1" applyBorder="1" applyAlignment="1">
      <alignment horizontal="right"/>
    </xf>
    <xf numFmtId="0" fontId="57" fillId="21" borderId="0" xfId="38578" applyFont="1" applyFill="1" applyBorder="1" applyAlignment="1"/>
    <xf numFmtId="0" fontId="3" fillId="21" borderId="0" xfId="38578" applyFont="1" applyFill="1" applyBorder="1" applyAlignment="1">
      <alignment horizontal="right"/>
    </xf>
    <xf numFmtId="0" fontId="3" fillId="21" borderId="0" xfId="38578" applyFont="1" applyFill="1" applyBorder="1" applyAlignment="1">
      <alignment horizontal="center"/>
    </xf>
    <xf numFmtId="0" fontId="3" fillId="0" borderId="0" xfId="38578" applyNumberFormat="1" applyFont="1" applyFill="1" applyAlignment="1"/>
    <xf numFmtId="0" fontId="3" fillId="0" borderId="0" xfId="38578" applyNumberFormat="1" applyFont="1" applyFill="1" applyAlignment="1">
      <alignment horizontal="right"/>
    </xf>
    <xf numFmtId="175" fontId="3" fillId="0" borderId="0" xfId="38578" applyNumberFormat="1" applyFont="1" applyFill="1"/>
    <xf numFmtId="0" fontId="3" fillId="21" borderId="0" xfId="38578" applyFont="1" applyFill="1" applyBorder="1" applyAlignment="1" applyProtection="1">
      <alignment horizontal="right"/>
    </xf>
    <xf numFmtId="0" fontId="57" fillId="21" borderId="0" xfId="38578" applyFont="1" applyFill="1" applyBorder="1" applyAlignment="1">
      <alignment horizontal="right"/>
    </xf>
    <xf numFmtId="0" fontId="3" fillId="21" borderId="7" xfId="38578" applyFont="1" applyFill="1" applyBorder="1" applyAlignment="1">
      <alignment horizontal="center"/>
    </xf>
    <xf numFmtId="0" fontId="3" fillId="21" borderId="0" xfId="38578" applyNumberFormat="1" applyFont="1" applyFill="1" applyBorder="1" applyAlignment="1"/>
    <xf numFmtId="3" fontId="3" fillId="0" borderId="0" xfId="38578" applyNumberFormat="1" applyFont="1" applyFill="1" applyAlignment="1" applyProtection="1"/>
    <xf numFmtId="171" fontId="3" fillId="0" borderId="0" xfId="38578" applyNumberFormat="1" applyFont="1" applyFill="1" applyBorder="1" applyAlignment="1" applyProtection="1"/>
    <xf numFmtId="3" fontId="3" fillId="0" borderId="0" xfId="38578" applyNumberFormat="1" applyFont="1" applyFill="1" applyAlignment="1"/>
    <xf numFmtId="1" fontId="3" fillId="0" borderId="0" xfId="38578" applyNumberFormat="1" applyFont="1" applyFill="1" applyProtection="1"/>
    <xf numFmtId="0" fontId="3" fillId="0" borderId="0" xfId="38578" applyFont="1" applyFill="1" applyAlignment="1" applyProtection="1"/>
    <xf numFmtId="171" fontId="3" fillId="0" borderId="0" xfId="38578" applyNumberFormat="1" applyFont="1" applyFill="1" applyBorder="1" applyProtection="1"/>
    <xf numFmtId="4" fontId="3" fillId="21" borderId="0" xfId="38578" applyNumberFormat="1" applyFont="1" applyFill="1" applyBorder="1" applyAlignment="1">
      <alignment horizontal="right"/>
    </xf>
    <xf numFmtId="3" fontId="3" fillId="0" borderId="0" xfId="38578" applyNumberFormat="1" applyFont="1" applyFill="1" applyAlignment="1">
      <alignment horizontal="center"/>
    </xf>
    <xf numFmtId="10" fontId="3" fillId="21" borderId="0" xfId="38578" applyNumberFormat="1" applyFont="1" applyFill="1" applyBorder="1" applyAlignment="1">
      <alignment horizontal="right"/>
    </xf>
    <xf numFmtId="175" fontId="3" fillId="21" borderId="0" xfId="38578" applyNumberFormat="1" applyFont="1" applyFill="1" applyBorder="1" applyAlignment="1">
      <alignment horizontal="right"/>
    </xf>
    <xf numFmtId="9" fontId="3" fillId="21" borderId="0" xfId="38578" applyNumberFormat="1" applyFont="1" applyFill="1" applyBorder="1" applyAlignment="1">
      <alignment horizontal="center"/>
    </xf>
    <xf numFmtId="175" fontId="3" fillId="21" borderId="7" xfId="38578" applyNumberFormat="1" applyFont="1" applyFill="1" applyBorder="1" applyAlignment="1">
      <alignment horizontal="right"/>
    </xf>
    <xf numFmtId="3" fontId="3" fillId="21" borderId="16" xfId="38578" quotePrefix="1" applyNumberFormat="1" applyFont="1" applyFill="1" applyBorder="1" applyAlignment="1"/>
    <xf numFmtId="0" fontId="3" fillId="21" borderId="0" xfId="38578" applyFont="1" applyFill="1" applyBorder="1" applyAlignment="1">
      <alignment wrapText="1"/>
    </xf>
    <xf numFmtId="0" fontId="3" fillId="21" borderId="7" xfId="38578" applyFont="1" applyFill="1" applyBorder="1" applyAlignment="1">
      <alignment horizontal="right"/>
    </xf>
    <xf numFmtId="171" fontId="3" fillId="21" borderId="0" xfId="38578" applyNumberFormat="1" applyFont="1" applyFill="1" applyBorder="1" applyAlignment="1"/>
    <xf numFmtId="3" fontId="3" fillId="21" borderId="16" xfId="38578" applyNumberFormat="1" applyFont="1" applyFill="1" applyBorder="1" applyAlignment="1">
      <alignment horizontal="center"/>
    </xf>
    <xf numFmtId="3" fontId="3" fillId="22" borderId="7" xfId="38578" applyNumberFormat="1" applyFont="1" applyFill="1" applyBorder="1" applyAlignment="1"/>
    <xf numFmtId="174" fontId="3" fillId="21" borderId="0" xfId="38578" applyNumberFormat="1" applyFont="1" applyFill="1" applyBorder="1" applyAlignment="1"/>
    <xf numFmtId="174" fontId="3" fillId="21" borderId="0" xfId="38578" applyNumberFormat="1" applyFont="1" applyFill="1" applyBorder="1" applyAlignment="1">
      <alignment horizontal="right"/>
    </xf>
    <xf numFmtId="3" fontId="3" fillId="22" borderId="0" xfId="38578" applyNumberFormat="1" applyFont="1" applyFill="1" applyBorder="1" applyAlignment="1"/>
    <xf numFmtId="174" fontId="3" fillId="21" borderId="0" xfId="38578" applyNumberFormat="1" applyFont="1" applyFill="1" applyBorder="1" applyAlignment="1">
      <alignment horizontal="center"/>
    </xf>
    <xf numFmtId="174" fontId="3" fillId="21" borderId="16" xfId="38578" applyNumberFormat="1" applyFont="1" applyFill="1" applyBorder="1" applyAlignment="1"/>
    <xf numFmtId="170" fontId="3" fillId="21" borderId="0" xfId="38578" applyNumberFormat="1" applyFont="1" applyFill="1" applyBorder="1" applyAlignment="1">
      <alignment horizontal="center"/>
    </xf>
    <xf numFmtId="0" fontId="3" fillId="21" borderId="16" xfId="38578" applyFont="1" applyFill="1" applyBorder="1" applyAlignment="1">
      <alignment horizontal="center"/>
    </xf>
    <xf numFmtId="176" fontId="3" fillId="21" borderId="0" xfId="38578" applyNumberFormat="1" applyFont="1" applyFill="1" applyBorder="1" applyAlignment="1">
      <alignment horizontal="right"/>
    </xf>
    <xf numFmtId="176" fontId="3" fillId="21" borderId="0" xfId="38578" applyNumberFormat="1" applyFont="1" applyFill="1" applyBorder="1" applyAlignment="1"/>
    <xf numFmtId="4" fontId="3" fillId="21" borderId="0" xfId="38578" applyNumberFormat="1" applyFont="1" applyFill="1" applyBorder="1" applyAlignment="1">
      <alignment horizontal="center"/>
    </xf>
    <xf numFmtId="177" fontId="53" fillId="0" borderId="0" xfId="38578" applyNumberFormat="1" applyFont="1" applyFill="1" applyAlignment="1"/>
    <xf numFmtId="10" fontId="3" fillId="21" borderId="0" xfId="38578" applyNumberFormat="1" applyFont="1" applyFill="1" applyBorder="1" applyAlignment="1">
      <alignment horizontal="left"/>
    </xf>
    <xf numFmtId="49" fontId="3" fillId="21" borderId="0" xfId="38578" applyNumberFormat="1" applyFont="1" applyFill="1" applyBorder="1" applyAlignment="1"/>
    <xf numFmtId="49" fontId="3" fillId="21" borderId="0" xfId="38578" applyNumberFormat="1" applyFont="1" applyFill="1" applyBorder="1" applyAlignment="1">
      <alignment horizontal="right"/>
    </xf>
    <xf numFmtId="49" fontId="3" fillId="21" borderId="0" xfId="38578" applyNumberFormat="1" applyFont="1" applyFill="1" applyBorder="1" applyAlignment="1">
      <alignment horizontal="center"/>
    </xf>
    <xf numFmtId="0" fontId="3" fillId="0" borderId="0" xfId="38578" applyFont="1" applyFill="1" applyBorder="1" applyAlignment="1"/>
    <xf numFmtId="3" fontId="3" fillId="23" borderId="7" xfId="38578" applyNumberFormat="1" applyFont="1" applyFill="1" applyBorder="1" applyAlignment="1">
      <alignment horizontal="right"/>
    </xf>
    <xf numFmtId="3" fontId="3" fillId="23" borderId="0" xfId="38578" applyNumberFormat="1" applyFont="1" applyFill="1" applyBorder="1" applyAlignment="1">
      <alignment horizontal="right"/>
    </xf>
    <xf numFmtId="3" fontId="3" fillId="21" borderId="14" xfId="38578" applyNumberFormat="1" applyFont="1" applyFill="1" applyBorder="1" applyAlignment="1"/>
    <xf numFmtId="0" fontId="3" fillId="21" borderId="13" xfId="38578" applyNumberFormat="1" applyFont="1" applyFill="1" applyBorder="1" applyAlignment="1">
      <alignment horizontal="right"/>
    </xf>
    <xf numFmtId="0" fontId="3" fillId="21" borderId="13" xfId="38578" applyNumberFormat="1" applyFont="1" applyFill="1" applyBorder="1"/>
    <xf numFmtId="0" fontId="3" fillId="21" borderId="13" xfId="38578" applyNumberFormat="1" applyFont="1" applyFill="1" applyBorder="1" applyAlignment="1">
      <alignment horizontal="center"/>
    </xf>
    <xf numFmtId="0" fontId="3" fillId="21" borderId="13" xfId="38578" applyFont="1" applyFill="1" applyBorder="1" applyAlignment="1"/>
    <xf numFmtId="0" fontId="4" fillId="21" borderId="13" xfId="38578" applyFont="1" applyFill="1" applyBorder="1" applyAlignment="1"/>
    <xf numFmtId="0" fontId="3" fillId="21" borderId="12" xfId="38578" applyNumberFormat="1" applyFont="1" applyFill="1" applyBorder="1" applyAlignment="1">
      <alignment horizontal="center"/>
    </xf>
    <xf numFmtId="0" fontId="3" fillId="21" borderId="26" xfId="38578" applyNumberFormat="1" applyFont="1" applyFill="1" applyBorder="1"/>
    <xf numFmtId="3" fontId="3" fillId="21" borderId="27" xfId="38578" applyNumberFormat="1" applyFont="1" applyFill="1" applyBorder="1" applyAlignment="1">
      <alignment horizontal="right"/>
    </xf>
    <xf numFmtId="3" fontId="3" fillId="21" borderId="28" xfId="38578" applyNumberFormat="1" applyFont="1" applyFill="1" applyBorder="1" applyAlignment="1">
      <alignment horizontal="right"/>
    </xf>
    <xf numFmtId="3" fontId="3" fillId="21" borderId="28" xfId="38578" applyNumberFormat="1" applyFont="1" applyFill="1" applyBorder="1" applyAlignment="1">
      <alignment horizontal="center"/>
    </xf>
    <xf numFmtId="3" fontId="3" fillId="21" borderId="29" xfId="38578" applyNumberFormat="1" applyFont="1" applyFill="1" applyBorder="1" applyAlignment="1"/>
    <xf numFmtId="3" fontId="3" fillId="21" borderId="28" xfId="38578" applyNumberFormat="1" applyFont="1" applyFill="1" applyBorder="1" applyAlignment="1"/>
    <xf numFmtId="0" fontId="3" fillId="21" borderId="30" xfId="38578" applyNumberFormat="1" applyFont="1" applyFill="1" applyBorder="1"/>
    <xf numFmtId="3" fontId="3" fillId="21" borderId="31" xfId="38578" applyNumberFormat="1" applyFont="1" applyFill="1" applyBorder="1" applyAlignment="1">
      <alignment horizontal="right"/>
    </xf>
    <xf numFmtId="174" fontId="3" fillId="21" borderId="19" xfId="38578" applyNumberFormat="1" applyFont="1" applyFill="1" applyBorder="1" applyAlignment="1">
      <alignment horizontal="right"/>
    </xf>
    <xf numFmtId="3" fontId="3" fillId="21" borderId="19" xfId="38578" applyNumberFormat="1" applyFont="1" applyFill="1" applyBorder="1" applyAlignment="1">
      <alignment horizontal="center"/>
    </xf>
    <xf numFmtId="3" fontId="3" fillId="21" borderId="32" xfId="38578" applyNumberFormat="1" applyFont="1" applyFill="1" applyBorder="1" applyAlignment="1"/>
    <xf numFmtId="0" fontId="3" fillId="21" borderId="19" xfId="38578" applyFont="1" applyFill="1" applyBorder="1" applyAlignment="1"/>
    <xf numFmtId="3" fontId="3" fillId="21" borderId="32" xfId="38578" applyNumberFormat="1" applyFont="1" applyFill="1" applyBorder="1" applyAlignment="1">
      <alignment horizontal="right"/>
    </xf>
    <xf numFmtId="10" fontId="3" fillId="21" borderId="19" xfId="38578" applyNumberFormat="1" applyFont="1" applyFill="1" applyBorder="1" applyAlignment="1">
      <alignment horizontal="left"/>
    </xf>
    <xf numFmtId="170" fontId="3" fillId="21" borderId="0" xfId="38578" applyNumberFormat="1" applyFont="1" applyFill="1" applyBorder="1" applyAlignment="1">
      <alignment horizontal="left"/>
    </xf>
    <xf numFmtId="3" fontId="3" fillId="21" borderId="19" xfId="38578" applyNumberFormat="1" applyFont="1" applyFill="1" applyBorder="1" applyAlignment="1">
      <alignment horizontal="right"/>
    </xf>
    <xf numFmtId="0" fontId="3" fillId="21" borderId="19" xfId="38578" applyFont="1" applyFill="1" applyBorder="1" applyAlignment="1">
      <alignment horizontal="center"/>
    </xf>
    <xf numFmtId="3" fontId="3" fillId="21" borderId="19" xfId="38578" applyNumberFormat="1" applyFont="1" applyFill="1" applyBorder="1" applyAlignment="1"/>
    <xf numFmtId="0" fontId="3" fillId="21" borderId="19" xfId="38578" applyFont="1" applyFill="1" applyBorder="1" applyAlignment="1">
      <alignment horizontal="right"/>
    </xf>
    <xf numFmtId="3" fontId="3" fillId="22" borderId="19" xfId="38578" applyNumberFormat="1" applyFont="1" applyFill="1" applyBorder="1" applyAlignment="1"/>
    <xf numFmtId="175" fontId="3" fillId="21" borderId="19" xfId="38578" applyNumberFormat="1" applyFont="1" applyFill="1" applyBorder="1" applyAlignment="1">
      <alignment horizontal="right"/>
    </xf>
    <xf numFmtId="170" fontId="3" fillId="21" borderId="16" xfId="38578" applyNumberFormat="1" applyFont="1" applyFill="1" applyBorder="1" applyAlignment="1">
      <alignment horizontal="center"/>
    </xf>
    <xf numFmtId="10" fontId="3" fillId="21" borderId="0" xfId="38578" applyNumberFormat="1" applyFont="1" applyFill="1" applyBorder="1" applyAlignment="1">
      <alignment horizontal="left" wrapText="1"/>
    </xf>
    <xf numFmtId="0" fontId="58" fillId="21" borderId="19" xfId="19383" applyFont="1" applyFill="1" applyBorder="1" applyAlignment="1">
      <alignment horizontal="right" vertical="center" indent="1"/>
    </xf>
    <xf numFmtId="10" fontId="3" fillId="21" borderId="19" xfId="38578" applyNumberFormat="1" applyFont="1" applyFill="1" applyBorder="1" applyAlignment="1">
      <alignment horizontal="right"/>
    </xf>
    <xf numFmtId="3" fontId="3" fillId="21" borderId="19" xfId="38578" applyNumberFormat="1" applyFont="1" applyFill="1" applyBorder="1" applyAlignment="1">
      <alignment wrapText="1"/>
    </xf>
    <xf numFmtId="3" fontId="3" fillId="21" borderId="9" xfId="38578" applyNumberFormat="1" applyFont="1" applyFill="1" applyBorder="1" applyAlignment="1"/>
    <xf numFmtId="0" fontId="3" fillId="21" borderId="30" xfId="38578" applyFont="1" applyFill="1" applyBorder="1" applyAlignment="1"/>
    <xf numFmtId="0" fontId="53" fillId="0" borderId="0" xfId="38578" applyNumberFormat="1" applyFont="1" applyFill="1" applyAlignment="1">
      <alignment wrapText="1"/>
    </xf>
    <xf numFmtId="0" fontId="3" fillId="0" borderId="0" xfId="38578" applyFont="1" applyFill="1" applyAlignment="1">
      <alignment wrapText="1"/>
    </xf>
    <xf numFmtId="3" fontId="3" fillId="21" borderId="30" xfId="38578" applyNumberFormat="1" applyFont="1" applyFill="1" applyBorder="1" applyAlignment="1"/>
    <xf numFmtId="176" fontId="3" fillId="21" borderId="19" xfId="38578" applyNumberFormat="1" applyFont="1" applyFill="1" applyBorder="1" applyAlignment="1">
      <alignment horizontal="right"/>
    </xf>
    <xf numFmtId="3" fontId="3" fillId="23" borderId="19" xfId="38578" applyNumberFormat="1" applyFont="1" applyFill="1" applyBorder="1" applyAlignment="1"/>
    <xf numFmtId="3" fontId="3" fillId="23" borderId="33" xfId="38578" applyNumberFormat="1" applyFont="1" applyFill="1" applyBorder="1" applyAlignment="1"/>
    <xf numFmtId="3" fontId="3" fillId="21" borderId="14" xfId="38578" applyNumberFormat="1" applyFont="1" applyFill="1" applyBorder="1"/>
    <xf numFmtId="3" fontId="3" fillId="21" borderId="34" xfId="38578" applyNumberFormat="1" applyFont="1" applyFill="1" applyBorder="1" applyAlignment="1">
      <alignment horizontal="right"/>
    </xf>
    <xf numFmtId="3" fontId="3" fillId="21" borderId="13" xfId="38578" applyNumberFormat="1" applyFont="1" applyFill="1" applyBorder="1" applyAlignment="1"/>
    <xf numFmtId="3" fontId="3" fillId="21" borderId="34" xfId="38578" applyNumberFormat="1" applyFont="1" applyFill="1" applyBorder="1" applyAlignment="1">
      <alignment horizontal="center"/>
    </xf>
    <xf numFmtId="3" fontId="3" fillId="21" borderId="34" xfId="38578" applyNumberFormat="1" applyFont="1" applyFill="1" applyBorder="1" applyAlignment="1"/>
    <xf numFmtId="3" fontId="3" fillId="21" borderId="18" xfId="38578" applyNumberFormat="1" applyFont="1" applyFill="1" applyBorder="1" applyAlignment="1"/>
    <xf numFmtId="3" fontId="3" fillId="21" borderId="35" xfId="38578" applyNumberFormat="1" applyFont="1" applyFill="1" applyBorder="1" applyAlignment="1"/>
    <xf numFmtId="170" fontId="3" fillId="21" borderId="28" xfId="38578" applyNumberFormat="1" applyFont="1" applyFill="1" applyBorder="1" applyAlignment="1">
      <alignment horizontal="right"/>
    </xf>
    <xf numFmtId="3" fontId="3" fillId="21" borderId="21" xfId="38578" applyNumberFormat="1" applyFont="1" applyFill="1" applyBorder="1" applyAlignment="1">
      <alignment horizontal="center"/>
    </xf>
    <xf numFmtId="3" fontId="3" fillId="21" borderId="21" xfId="38578" applyNumberFormat="1" applyFont="1" applyFill="1" applyBorder="1" applyAlignment="1"/>
    <xf numFmtId="0" fontId="3" fillId="21" borderId="36" xfId="38578" applyNumberFormat="1" applyFont="1" applyFill="1" applyBorder="1"/>
    <xf numFmtId="3" fontId="3" fillId="21" borderId="37" xfId="38578" applyNumberFormat="1" applyFont="1" applyFill="1" applyBorder="1" applyAlignment="1">
      <alignment horizontal="right"/>
    </xf>
    <xf numFmtId="0" fontId="3" fillId="21" borderId="6" xfId="38578" applyNumberFormat="1" applyFont="1" applyFill="1" applyBorder="1"/>
    <xf numFmtId="0" fontId="3" fillId="21" borderId="19" xfId="38578" applyNumberFormat="1" applyFont="1" applyFill="1" applyBorder="1" applyAlignment="1">
      <alignment horizontal="right"/>
    </xf>
    <xf numFmtId="0" fontId="3" fillId="21" borderId="9" xfId="38578" applyNumberFormat="1" applyFont="1" applyFill="1" applyBorder="1" applyAlignment="1">
      <alignment horizontal="center"/>
    </xf>
    <xf numFmtId="3" fontId="3" fillId="21" borderId="8" xfId="38578" applyNumberFormat="1" applyFont="1" applyFill="1" applyBorder="1" applyAlignment="1"/>
    <xf numFmtId="3" fontId="3" fillId="21" borderId="6" xfId="38578" applyNumberFormat="1" applyFont="1" applyFill="1" applyBorder="1" applyAlignment="1"/>
    <xf numFmtId="3" fontId="3" fillId="21" borderId="9" xfId="38578" applyNumberFormat="1" applyFont="1" applyFill="1" applyBorder="1" applyAlignment="1">
      <alignment horizontal="center"/>
    </xf>
    <xf numFmtId="3" fontId="3" fillId="22" borderId="9" xfId="38578" applyNumberFormat="1" applyFont="1" applyFill="1" applyBorder="1" applyAlignment="1"/>
    <xf numFmtId="0" fontId="3" fillId="21" borderId="9" xfId="38578" applyFont="1" applyFill="1" applyBorder="1" applyAlignment="1"/>
    <xf numFmtId="0" fontId="3" fillId="21" borderId="16" xfId="38578" applyNumberFormat="1" applyFont="1" applyFill="1" applyBorder="1" applyAlignment="1">
      <alignment horizontal="right"/>
    </xf>
    <xf numFmtId="3" fontId="3" fillId="21" borderId="0" xfId="38578" applyNumberFormat="1" applyFont="1" applyFill="1" applyBorder="1" applyAlignment="1">
      <alignment horizontal="right" wrapText="1"/>
    </xf>
    <xf numFmtId="3" fontId="3" fillId="21" borderId="6" xfId="38578" applyNumberFormat="1" applyFont="1" applyFill="1" applyBorder="1" applyAlignment="1">
      <alignment wrapText="1"/>
    </xf>
    <xf numFmtId="176" fontId="3" fillId="21" borderId="19" xfId="38578" applyNumberFormat="1" applyFont="1" applyFill="1" applyBorder="1" applyAlignment="1">
      <alignment horizontal="right" wrapText="1"/>
    </xf>
    <xf numFmtId="3" fontId="3" fillId="21" borderId="9" xfId="38578" applyNumberFormat="1" applyFont="1" applyFill="1" applyBorder="1" applyAlignment="1">
      <alignment horizontal="center" wrapText="1"/>
    </xf>
    <xf numFmtId="3" fontId="3" fillId="23" borderId="9" xfId="38578" applyNumberFormat="1" applyFont="1" applyFill="1" applyBorder="1" applyAlignment="1">
      <alignment wrapText="1"/>
    </xf>
    <xf numFmtId="0" fontId="3" fillId="21" borderId="9" xfId="38578" applyFont="1" applyFill="1" applyBorder="1" applyAlignment="1">
      <alignment wrapText="1"/>
    </xf>
    <xf numFmtId="170" fontId="3" fillId="21" borderId="19" xfId="38578" applyNumberFormat="1" applyFont="1" applyFill="1" applyBorder="1" applyAlignment="1">
      <alignment horizontal="right"/>
    </xf>
    <xf numFmtId="3" fontId="3" fillId="21" borderId="6" xfId="38578" applyNumberFormat="1" applyFont="1" applyFill="1" applyBorder="1" applyAlignment="1">
      <alignment horizontal="center"/>
    </xf>
    <xf numFmtId="3" fontId="3" fillId="23" borderId="9" xfId="38578" applyNumberFormat="1" applyFont="1" applyFill="1" applyBorder="1" applyAlignment="1"/>
    <xf numFmtId="170" fontId="3" fillId="21" borderId="16" xfId="38578" applyNumberFormat="1" applyFont="1" applyFill="1" applyBorder="1" applyAlignment="1">
      <alignment horizontal="center" wrapText="1"/>
    </xf>
    <xf numFmtId="170" fontId="3" fillId="21" borderId="30" xfId="38578" applyNumberFormat="1" applyFont="1" applyFill="1" applyBorder="1" applyAlignment="1">
      <alignment horizontal="center"/>
    </xf>
    <xf numFmtId="0" fontId="3" fillId="21" borderId="0" xfId="38578" applyNumberFormat="1" applyFont="1" applyFill="1" applyBorder="1" applyAlignment="1">
      <alignment wrapText="1"/>
    </xf>
    <xf numFmtId="164" fontId="3" fillId="23" borderId="9" xfId="1" applyNumberFormat="1" applyFont="1" applyFill="1" applyBorder="1" applyAlignment="1"/>
    <xf numFmtId="164" fontId="3" fillId="23" borderId="9" xfId="1" applyNumberFormat="1" applyFont="1" applyFill="1" applyBorder="1" applyAlignment="1">
      <alignment wrapText="1"/>
    </xf>
    <xf numFmtId="3" fontId="3" fillId="21" borderId="16" xfId="38578" applyNumberFormat="1" applyFont="1" applyFill="1" applyBorder="1" applyAlignment="1">
      <alignment wrapText="1"/>
    </xf>
    <xf numFmtId="164" fontId="3" fillId="21" borderId="9" xfId="1" applyNumberFormat="1" applyFont="1" applyFill="1" applyBorder="1" applyAlignment="1"/>
    <xf numFmtId="170" fontId="3" fillId="21" borderId="14" xfId="38578" applyNumberFormat="1" applyFont="1" applyFill="1" applyBorder="1" applyAlignment="1">
      <alignment horizontal="center"/>
    </xf>
    <xf numFmtId="0" fontId="3" fillId="21" borderId="13" xfId="38578" applyFont="1" applyFill="1" applyBorder="1" applyAlignment="1">
      <alignment horizontal="center"/>
    </xf>
    <xf numFmtId="3" fontId="4" fillId="21" borderId="11" xfId="38578" applyNumberFormat="1" applyFont="1" applyFill="1" applyBorder="1" applyAlignment="1"/>
    <xf numFmtId="0" fontId="3" fillId="21" borderId="34" xfId="38578" applyFont="1" applyFill="1" applyBorder="1" applyAlignment="1">
      <alignment horizontal="right"/>
    </xf>
    <xf numFmtId="0" fontId="3" fillId="21" borderId="38" xfId="38578" applyFont="1" applyFill="1" applyBorder="1" applyAlignment="1">
      <alignment horizontal="center"/>
    </xf>
    <xf numFmtId="0" fontId="3" fillId="21" borderId="38" xfId="38578" applyFont="1" applyFill="1" applyBorder="1" applyAlignment="1"/>
    <xf numFmtId="42" fontId="3" fillId="21" borderId="28" xfId="38578" applyNumberFormat="1" applyFont="1" applyFill="1" applyBorder="1" applyAlignment="1">
      <alignment horizontal="right"/>
    </xf>
    <xf numFmtId="3" fontId="3" fillId="21" borderId="7" xfId="38578" applyNumberFormat="1" applyFont="1" applyFill="1" applyBorder="1" applyAlignment="1">
      <alignment horizontal="fill"/>
    </xf>
    <xf numFmtId="164" fontId="3" fillId="21" borderId="0" xfId="1" applyNumberFormat="1" applyFont="1" applyFill="1" applyBorder="1"/>
    <xf numFmtId="0" fontId="3" fillId="21" borderId="9" xfId="38578" applyNumberFormat="1" applyFont="1" applyFill="1" applyBorder="1"/>
    <xf numFmtId="3" fontId="3" fillId="23" borderId="0" xfId="38578" applyNumberFormat="1" applyFont="1" applyFill="1" applyBorder="1" applyAlignment="1"/>
    <xf numFmtId="38" fontId="3" fillId="22" borderId="0" xfId="38578" applyNumberFormat="1" applyFont="1" applyFill="1" applyBorder="1"/>
    <xf numFmtId="3" fontId="3" fillId="21" borderId="19" xfId="5447" applyNumberFormat="1" applyFont="1" applyFill="1" applyBorder="1" applyAlignment="1">
      <alignment horizontal="right"/>
    </xf>
    <xf numFmtId="3" fontId="3" fillId="21" borderId="19" xfId="38578" applyNumberFormat="1" applyFont="1" applyFill="1" applyBorder="1"/>
    <xf numFmtId="0" fontId="3" fillId="21" borderId="9" xfId="38578" applyFont="1" applyFill="1" applyBorder="1"/>
    <xf numFmtId="0" fontId="3" fillId="21" borderId="39" xfId="38578" applyNumberFormat="1" applyFont="1" applyFill="1" applyBorder="1"/>
    <xf numFmtId="42" fontId="3" fillId="21" borderId="40" xfId="38578" applyNumberFormat="1" applyFont="1" applyFill="1" applyBorder="1"/>
    <xf numFmtId="0" fontId="3" fillId="21" borderId="38" xfId="38578" applyNumberFormat="1" applyFont="1" applyFill="1" applyBorder="1" applyAlignment="1">
      <alignment horizontal="center"/>
    </xf>
    <xf numFmtId="3" fontId="3" fillId="21" borderId="13" xfId="38578" applyNumberFormat="1" applyFont="1" applyFill="1" applyBorder="1"/>
    <xf numFmtId="0" fontId="3" fillId="21" borderId="38" xfId="38578" applyNumberFormat="1" applyFont="1" applyFill="1" applyBorder="1"/>
    <xf numFmtId="0" fontId="3" fillId="21" borderId="13" xfId="38578" applyFont="1" applyFill="1" applyBorder="1"/>
    <xf numFmtId="49" fontId="3" fillId="21" borderId="7" xfId="38578" applyNumberFormat="1" applyFont="1" applyFill="1" applyBorder="1" applyAlignment="1">
      <alignment horizontal="center"/>
    </xf>
    <xf numFmtId="49" fontId="3" fillId="21" borderId="7" xfId="38578" applyNumberFormat="1" applyFont="1" applyFill="1" applyBorder="1" applyAlignment="1">
      <alignment horizontal="right"/>
    </xf>
    <xf numFmtId="0" fontId="4" fillId="21" borderId="0" xfId="38578" applyFont="1" applyFill="1" applyBorder="1" applyAlignment="1">
      <alignment horizontal="center"/>
    </xf>
    <xf numFmtId="0" fontId="3" fillId="21" borderId="0" xfId="38578" applyNumberFormat="1" applyFont="1" applyFill="1" applyBorder="1" applyAlignment="1">
      <alignment horizontal="left"/>
    </xf>
    <xf numFmtId="3" fontId="3" fillId="21" borderId="15" xfId="38578" applyNumberFormat="1" applyFont="1" applyFill="1" applyBorder="1" applyAlignment="1"/>
    <xf numFmtId="0" fontId="3" fillId="21" borderId="14" xfId="38578" applyFont="1" applyFill="1" applyBorder="1" applyAlignment="1">
      <alignment horizontal="right"/>
    </xf>
    <xf numFmtId="0" fontId="3" fillId="21" borderId="13" xfId="38578" applyFont="1" applyFill="1" applyBorder="1" applyAlignment="1">
      <alignment horizontal="right"/>
    </xf>
    <xf numFmtId="0" fontId="3" fillId="21" borderId="12" xfId="38578" applyFont="1" applyFill="1" applyBorder="1" applyAlignment="1">
      <alignment horizontal="left"/>
    </xf>
    <xf numFmtId="0" fontId="53" fillId="0" borderId="0" xfId="0" applyFont="1" applyBorder="1"/>
    <xf numFmtId="0" fontId="53" fillId="0" borderId="0" xfId="0" applyFont="1" applyBorder="1" applyAlignment="1">
      <alignment horizontal="center"/>
    </xf>
    <xf numFmtId="3" fontId="3" fillId="0" borderId="0" xfId="0" applyNumberFormat="1" applyFont="1" applyFill="1" applyBorder="1"/>
    <xf numFmtId="0" fontId="53" fillId="0" borderId="0" xfId="0" applyFont="1"/>
    <xf numFmtId="37" fontId="56" fillId="0" borderId="10" xfId="38578" applyNumberFormat="1" applyFont="1" applyFill="1" applyBorder="1" applyAlignment="1"/>
    <xf numFmtId="0" fontId="53" fillId="21" borderId="13" xfId="0" applyFont="1" applyFill="1" applyBorder="1"/>
    <xf numFmtId="0" fontId="53" fillId="21" borderId="0" xfId="0" applyFont="1" applyFill="1" applyBorder="1"/>
    <xf numFmtId="0" fontId="53" fillId="21" borderId="15" xfId="0" applyFont="1" applyFill="1" applyBorder="1"/>
    <xf numFmtId="0" fontId="50" fillId="21" borderId="0" xfId="0" applyFont="1" applyFill="1" applyBorder="1" applyAlignment="1">
      <alignment horizontal="centerContinuous" wrapText="1"/>
    </xf>
    <xf numFmtId="0" fontId="50" fillId="21" borderId="0" xfId="0" applyFont="1" applyFill="1" applyBorder="1" applyAlignment="1">
      <alignment horizontal="center" wrapText="1"/>
    </xf>
    <xf numFmtId="0" fontId="50" fillId="21" borderId="16" xfId="0" applyFont="1" applyFill="1" applyBorder="1" applyAlignment="1">
      <alignment horizontal="centerContinuous" wrapText="1"/>
    </xf>
    <xf numFmtId="0" fontId="48" fillId="21" borderId="17" xfId="0" applyFont="1" applyFill="1" applyBorder="1" applyAlignment="1">
      <alignment horizontal="center"/>
    </xf>
    <xf numFmtId="37" fontId="3" fillId="21" borderId="7" xfId="42319" applyNumberFormat="1" applyFont="1" applyFill="1" applyBorder="1" applyAlignment="1">
      <alignment horizontal="center"/>
    </xf>
    <xf numFmtId="37" fontId="3" fillId="21" borderId="18" xfId="42319" applyNumberFormat="1" applyFont="1" applyFill="1" applyBorder="1" applyAlignment="1">
      <alignment horizontal="center"/>
    </xf>
    <xf numFmtId="0" fontId="3" fillId="21" borderId="15" xfId="38787" applyFont="1" applyFill="1" applyBorder="1" applyAlignment="1">
      <alignment horizontal="center"/>
    </xf>
    <xf numFmtId="0" fontId="3" fillId="21" borderId="0" xfId="39548" applyFont="1" applyFill="1" applyBorder="1"/>
    <xf numFmtId="170" fontId="3" fillId="21" borderId="11" xfId="42188" applyNumberFormat="1" applyFont="1" applyFill="1" applyBorder="1"/>
    <xf numFmtId="0" fontId="53" fillId="21" borderId="14" xfId="0" quotePrefix="1" applyFont="1" applyFill="1" applyBorder="1"/>
    <xf numFmtId="0" fontId="3" fillId="21" borderId="0" xfId="38791" applyFont="1" applyFill="1" applyBorder="1"/>
    <xf numFmtId="167" fontId="3" fillId="21" borderId="46" xfId="18360" applyNumberFormat="1" applyFont="1" applyFill="1" applyBorder="1"/>
    <xf numFmtId="0" fontId="53" fillId="21" borderId="16" xfId="0" quotePrefix="1" applyFont="1" applyFill="1" applyBorder="1"/>
    <xf numFmtId="167" fontId="3" fillId="21" borderId="0" xfId="18360" applyNumberFormat="1" applyFont="1" applyFill="1" applyBorder="1"/>
    <xf numFmtId="0" fontId="3" fillId="21" borderId="0" xfId="39550" applyFont="1" applyFill="1" applyBorder="1"/>
    <xf numFmtId="44" fontId="3" fillId="21" borderId="0" xfId="18360" applyFont="1" applyFill="1" applyBorder="1"/>
    <xf numFmtId="44" fontId="3" fillId="21" borderId="0" xfId="18360" applyFont="1" applyFill="1" applyBorder="1" applyAlignment="1">
      <alignment horizontal="center"/>
    </xf>
    <xf numFmtId="0" fontId="3" fillId="21" borderId="0" xfId="39552" applyFont="1" applyFill="1" applyBorder="1"/>
    <xf numFmtId="3" fontId="3" fillId="21" borderId="0" xfId="18360" applyNumberFormat="1" applyFont="1" applyFill="1" applyBorder="1" applyAlignment="1">
      <alignment horizontal="right"/>
    </xf>
    <xf numFmtId="0" fontId="53" fillId="21" borderId="43" xfId="0" quotePrefix="1" applyFont="1" applyFill="1" applyBorder="1"/>
    <xf numFmtId="3" fontId="3" fillId="21" borderId="0" xfId="18360" applyNumberFormat="1" applyFont="1" applyFill="1" applyBorder="1"/>
    <xf numFmtId="0" fontId="3" fillId="21" borderId="37" xfId="39554" applyFont="1" applyFill="1" applyBorder="1"/>
    <xf numFmtId="49" fontId="3" fillId="21" borderId="15" xfId="39562" applyNumberFormat="1" applyFont="1" applyFill="1" applyBorder="1" applyAlignment="1">
      <alignment horizontal="center"/>
    </xf>
    <xf numFmtId="0" fontId="53" fillId="21" borderId="7" xfId="0" applyFont="1" applyFill="1" applyBorder="1"/>
    <xf numFmtId="0" fontId="53" fillId="21" borderId="14" xfId="0" applyFont="1" applyFill="1" applyBorder="1"/>
    <xf numFmtId="0" fontId="53" fillId="21" borderId="16" xfId="0" applyFont="1" applyFill="1" applyBorder="1"/>
    <xf numFmtId="6" fontId="3" fillId="21" borderId="0" xfId="38789" applyNumberFormat="1" applyFont="1" applyFill="1" applyBorder="1"/>
    <xf numFmtId="0" fontId="53" fillId="21" borderId="44" xfId="0" quotePrefix="1" applyFont="1" applyFill="1" applyBorder="1"/>
    <xf numFmtId="6" fontId="3" fillId="21" borderId="6" xfId="38789" applyNumberFormat="1" applyFont="1" applyFill="1" applyBorder="1"/>
    <xf numFmtId="0" fontId="53" fillId="21" borderId="43" xfId="0" applyFont="1" applyFill="1" applyBorder="1"/>
    <xf numFmtId="175" fontId="3" fillId="21" borderId="20" xfId="1" applyNumberFormat="1" applyFont="1" applyFill="1" applyBorder="1"/>
    <xf numFmtId="38" fontId="3" fillId="21" borderId="0" xfId="38789" applyNumberFormat="1" applyFont="1" applyFill="1" applyBorder="1"/>
    <xf numFmtId="49" fontId="3" fillId="21" borderId="15" xfId="38787" applyNumberFormat="1" applyFont="1" applyFill="1" applyBorder="1" applyAlignment="1">
      <alignment horizontal="center"/>
    </xf>
    <xf numFmtId="0" fontId="3" fillId="21" borderId="15" xfId="38790" applyFont="1" applyFill="1" applyBorder="1" applyAlignment="1">
      <alignment horizontal="center"/>
    </xf>
    <xf numFmtId="170" fontId="3" fillId="21" borderId="0" xfId="42188" applyNumberFormat="1" applyFont="1" applyFill="1" applyBorder="1"/>
    <xf numFmtId="167" fontId="3" fillId="21" borderId="3" xfId="18360" applyNumberFormat="1" applyFont="1" applyFill="1" applyBorder="1"/>
    <xf numFmtId="38" fontId="3" fillId="21" borderId="0" xfId="38792" applyNumberFormat="1" applyFont="1" applyFill="1" applyBorder="1"/>
    <xf numFmtId="5" fontId="3" fillId="21" borderId="0" xfId="38792" applyNumberFormat="1" applyFont="1" applyFill="1" applyBorder="1"/>
    <xf numFmtId="49" fontId="3" fillId="21" borderId="15" xfId="38790" applyNumberFormat="1" applyFont="1" applyFill="1" applyBorder="1" applyAlignment="1">
      <alignment horizontal="center"/>
    </xf>
    <xf numFmtId="0" fontId="52" fillId="21" borderId="13" xfId="0" applyFont="1" applyFill="1" applyBorder="1" applyAlignment="1">
      <alignment horizontal="centerContinuous" wrapText="1"/>
    </xf>
    <xf numFmtId="0" fontId="48" fillId="21" borderId="13" xfId="0" applyFont="1" applyFill="1" applyBorder="1" applyAlignment="1">
      <alignment horizontal="centerContinuous" wrapText="1"/>
    </xf>
    <xf numFmtId="0" fontId="48" fillId="21" borderId="14" xfId="0" applyFont="1" applyFill="1" applyBorder="1" applyAlignment="1">
      <alignment horizontal="centerContinuous" wrapText="1"/>
    </xf>
    <xf numFmtId="0" fontId="48" fillId="21" borderId="0" xfId="0" applyFont="1" applyFill="1" applyBorder="1" applyAlignment="1">
      <alignment horizontal="centerContinuous" wrapText="1"/>
    </xf>
    <xf numFmtId="0" fontId="48" fillId="21" borderId="16" xfId="0" applyFont="1" applyFill="1" applyBorder="1" applyAlignment="1">
      <alignment horizontal="centerContinuous" wrapText="1"/>
    </xf>
    <xf numFmtId="0" fontId="48" fillId="21" borderId="15" xfId="0" applyFont="1" applyFill="1" applyBorder="1" applyAlignment="1">
      <alignment horizontal="center"/>
    </xf>
    <xf numFmtId="0" fontId="50" fillId="21" borderId="10" xfId="0" applyFont="1" applyFill="1" applyBorder="1"/>
    <xf numFmtId="5" fontId="48" fillId="21" borderId="9" xfId="0" applyNumberFormat="1" applyFont="1" applyFill="1" applyBorder="1"/>
    <xf numFmtId="0" fontId="48" fillId="21" borderId="16" xfId="0" applyFont="1" applyFill="1" applyBorder="1"/>
    <xf numFmtId="0" fontId="48" fillId="21" borderId="16" xfId="0" applyFont="1" applyFill="1" applyBorder="1" applyAlignment="1">
      <alignment wrapText="1"/>
    </xf>
    <xf numFmtId="0" fontId="48" fillId="21" borderId="9" xfId="0" applyFont="1" applyFill="1" applyBorder="1"/>
    <xf numFmtId="0" fontId="48" fillId="21" borderId="0" xfId="0" applyFont="1" applyFill="1" applyBorder="1"/>
    <xf numFmtId="170" fontId="48" fillId="21" borderId="9" xfId="0" applyNumberFormat="1" applyFont="1" applyFill="1" applyBorder="1"/>
    <xf numFmtId="3" fontId="48" fillId="21" borderId="16" xfId="0" applyNumberFormat="1" applyFont="1" applyFill="1" applyBorder="1" applyAlignment="1">
      <alignment horizontal="right"/>
    </xf>
    <xf numFmtId="0" fontId="48" fillId="21" borderId="7" xfId="0" applyFont="1" applyFill="1" applyBorder="1"/>
    <xf numFmtId="5" fontId="48" fillId="21" borderId="21" xfId="0" applyNumberFormat="1" applyFont="1" applyFill="1" applyBorder="1"/>
    <xf numFmtId="0" fontId="48" fillId="21" borderId="18" xfId="0" applyFont="1" applyFill="1" applyBorder="1"/>
    <xf numFmtId="0" fontId="49" fillId="21" borderId="0" xfId="0" applyFont="1" applyFill="1" applyBorder="1"/>
    <xf numFmtId="0" fontId="48" fillId="21" borderId="19" xfId="0" applyFont="1" applyFill="1" applyBorder="1"/>
    <xf numFmtId="0" fontId="48" fillId="21" borderId="38" xfId="0" applyFont="1" applyFill="1" applyBorder="1"/>
    <xf numFmtId="5" fontId="48" fillId="21" borderId="19" xfId="0" applyNumberFormat="1" applyFont="1" applyFill="1" applyBorder="1"/>
    <xf numFmtId="170" fontId="48" fillId="21" borderId="42" xfId="0" applyNumberFormat="1" applyFont="1" applyFill="1" applyBorder="1"/>
    <xf numFmtId="170" fontId="48" fillId="21" borderId="41" xfId="0" applyNumberFormat="1" applyFont="1" applyFill="1" applyBorder="1"/>
    <xf numFmtId="170" fontId="48" fillId="21" borderId="19" xfId="0" applyNumberFormat="1" applyFont="1" applyFill="1" applyBorder="1"/>
    <xf numFmtId="3" fontId="48" fillId="21" borderId="16" xfId="0" applyNumberFormat="1" applyFont="1" applyFill="1" applyBorder="1" applyAlignment="1">
      <alignment horizontal="left"/>
    </xf>
    <xf numFmtId="5" fontId="48" fillId="21" borderId="19" xfId="0" applyNumberFormat="1" applyFont="1" applyFill="1" applyBorder="1" applyAlignment="1">
      <alignment horizontal="right"/>
    </xf>
    <xf numFmtId="5" fontId="48" fillId="21" borderId="9" xfId="0" applyNumberFormat="1" applyFont="1" applyFill="1" applyBorder="1" applyAlignment="1">
      <alignment horizontal="right"/>
    </xf>
    <xf numFmtId="5" fontId="48" fillId="21" borderId="28" xfId="0" applyNumberFormat="1" applyFont="1" applyFill="1" applyBorder="1"/>
    <xf numFmtId="0" fontId="3" fillId="21" borderId="13" xfId="38578" applyFont="1" applyFill="1" applyBorder="1" applyAlignment="1">
      <alignment horizontal="left"/>
    </xf>
    <xf numFmtId="0" fontId="53" fillId="21" borderId="15" xfId="0" applyFont="1" applyFill="1" applyBorder="1" applyAlignment="1">
      <alignment horizontal="center"/>
    </xf>
    <xf numFmtId="0" fontId="56" fillId="21" borderId="0" xfId="0" applyFont="1" applyFill="1" applyBorder="1" applyAlignment="1">
      <alignment horizontal="center"/>
    </xf>
    <xf numFmtId="37" fontId="4" fillId="21" borderId="0" xfId="19386" applyNumberFormat="1" applyFont="1" applyFill="1" applyBorder="1" applyAlignment="1">
      <alignment horizontal="center"/>
    </xf>
    <xf numFmtId="37" fontId="4" fillId="21" borderId="0" xfId="42319" applyNumberFormat="1" applyFont="1" applyFill="1" applyBorder="1" applyAlignment="1">
      <alignment horizontal="center"/>
    </xf>
    <xf numFmtId="37" fontId="3" fillId="21" borderId="0" xfId="42319" applyNumberFormat="1" applyFont="1" applyFill="1" applyBorder="1" applyAlignment="1">
      <alignment horizontal="center"/>
    </xf>
    <xf numFmtId="37" fontId="3" fillId="21" borderId="0" xfId="19386" applyNumberFormat="1" applyFont="1" applyFill="1" applyBorder="1" applyAlignment="1">
      <alignment horizontal="center"/>
    </xf>
    <xf numFmtId="0" fontId="3" fillId="21" borderId="0" xfId="19386" applyFont="1" applyFill="1" applyBorder="1" applyAlignment="1">
      <alignment horizontal="center"/>
    </xf>
    <xf numFmtId="38" fontId="3" fillId="21" borderId="0" xfId="42319" applyFont="1" applyFill="1" applyBorder="1" applyAlignment="1">
      <alignment horizontal="center"/>
    </xf>
    <xf numFmtId="0" fontId="53" fillId="21" borderId="16" xfId="0" applyFont="1" applyFill="1" applyBorder="1" applyAlignment="1">
      <alignment horizontal="center"/>
    </xf>
    <xf numFmtId="0" fontId="53" fillId="21" borderId="12" xfId="0" applyFont="1" applyFill="1" applyBorder="1" applyAlignment="1">
      <alignment horizontal="center"/>
    </xf>
    <xf numFmtId="3" fontId="4" fillId="21" borderId="13" xfId="42319" applyNumberFormat="1" applyFont="1" applyFill="1" applyBorder="1" applyAlignment="1">
      <alignment horizontal="left"/>
    </xf>
    <xf numFmtId="38" fontId="3" fillId="21" borderId="13" xfId="42319" applyFont="1" applyFill="1" applyBorder="1" applyAlignment="1">
      <alignment horizontal="centerContinuous"/>
    </xf>
    <xf numFmtId="38" fontId="3" fillId="21" borderId="0" xfId="42319" applyFont="1" applyFill="1" applyBorder="1"/>
    <xf numFmtId="38" fontId="3" fillId="21" borderId="0" xfId="42319" applyFont="1" applyFill="1" applyBorder="1" applyAlignment="1">
      <alignment horizontal="right"/>
    </xf>
    <xf numFmtId="174" fontId="3" fillId="21" borderId="0" xfId="42319" applyNumberFormat="1" applyFont="1" applyFill="1" applyBorder="1"/>
    <xf numFmtId="175" fontId="3" fillId="21" borderId="0" xfId="42319" applyNumberFormat="1" applyFont="1" applyFill="1" applyBorder="1" applyAlignment="1">
      <alignment horizontal="center"/>
    </xf>
    <xf numFmtId="38" fontId="3" fillId="21" borderId="0" xfId="19386" applyNumberFormat="1" applyFont="1" applyFill="1" applyBorder="1" applyAlignment="1">
      <alignment horizontal="center"/>
    </xf>
    <xf numFmtId="38" fontId="3" fillId="21" borderId="10" xfId="42319" applyFont="1" applyFill="1" applyBorder="1"/>
    <xf numFmtId="38" fontId="3" fillId="21" borderId="10" xfId="42319" applyFont="1" applyFill="1" applyBorder="1" applyAlignment="1">
      <alignment horizontal="center"/>
    </xf>
    <xf numFmtId="38" fontId="3" fillId="21" borderId="10" xfId="42319" applyFont="1" applyFill="1" applyBorder="1" applyAlignment="1">
      <alignment horizontal="right"/>
    </xf>
    <xf numFmtId="3" fontId="3" fillId="21" borderId="0" xfId="19386" applyNumberFormat="1" applyFont="1" applyFill="1" applyBorder="1"/>
    <xf numFmtId="178" fontId="3" fillId="21" borderId="0" xfId="42319" applyNumberFormat="1" applyFont="1" applyFill="1" applyBorder="1"/>
    <xf numFmtId="0" fontId="53" fillId="21" borderId="17" xfId="0" applyFont="1" applyFill="1" applyBorder="1" applyAlignment="1">
      <alignment horizontal="center"/>
    </xf>
    <xf numFmtId="38" fontId="3" fillId="21" borderId="7" xfId="42319" applyFont="1" applyFill="1" applyBorder="1"/>
    <xf numFmtId="0" fontId="53" fillId="21" borderId="18" xfId="0" applyFont="1" applyFill="1" applyBorder="1"/>
    <xf numFmtId="38" fontId="3" fillId="21" borderId="10" xfId="0" applyNumberFormat="1" applyFont="1" applyFill="1" applyBorder="1"/>
    <xf numFmtId="38" fontId="3" fillId="21" borderId="10" xfId="0" applyNumberFormat="1" applyFont="1" applyFill="1" applyBorder="1" applyAlignment="1">
      <alignment horizontal="center"/>
    </xf>
    <xf numFmtId="38" fontId="3" fillId="21" borderId="16" xfId="42319" applyFont="1" applyFill="1" applyBorder="1"/>
    <xf numFmtId="38" fontId="3" fillId="21" borderId="0" xfId="0" applyNumberFormat="1" applyFont="1" applyFill="1" applyBorder="1"/>
    <xf numFmtId="3" fontId="3" fillId="21" borderId="0" xfId="0" applyNumberFormat="1" applyFont="1" applyFill="1" applyBorder="1"/>
    <xf numFmtId="3" fontId="3" fillId="21" borderId="7" xfId="0" applyNumberFormat="1" applyFont="1" applyFill="1" applyBorder="1"/>
    <xf numFmtId="38" fontId="3" fillId="21" borderId="18" xfId="42319" applyFont="1" applyFill="1" applyBorder="1"/>
    <xf numFmtId="38" fontId="3" fillId="21" borderId="14" xfId="42319" applyFont="1" applyFill="1" applyBorder="1"/>
    <xf numFmtId="38" fontId="4" fillId="21" borderId="0" xfId="42319" applyFont="1" applyFill="1" applyBorder="1"/>
    <xf numFmtId="170" fontId="3" fillId="21" borderId="0" xfId="42319" applyNumberFormat="1" applyFont="1" applyFill="1" applyBorder="1"/>
    <xf numFmtId="10" fontId="3" fillId="21" borderId="0" xfId="42319" applyNumberFormat="1" applyFont="1" applyFill="1" applyBorder="1" applyAlignment="1">
      <alignment horizontal="center"/>
    </xf>
    <xf numFmtId="10" fontId="3" fillId="21" borderId="0" xfId="42319" applyNumberFormat="1" applyFont="1" applyFill="1" applyBorder="1"/>
    <xf numFmtId="175" fontId="3" fillId="21" borderId="0" xfId="42319" applyNumberFormat="1" applyFont="1" applyFill="1" applyBorder="1"/>
    <xf numFmtId="38" fontId="3" fillId="21" borderId="16" xfId="42319" applyFont="1" applyFill="1" applyBorder="1" applyAlignment="1">
      <alignment horizontal="center"/>
    </xf>
    <xf numFmtId="10" fontId="3" fillId="21" borderId="0" xfId="42319" applyNumberFormat="1" applyFont="1" applyFill="1" applyBorder="1" applyAlignment="1">
      <alignment horizontal="centerContinuous"/>
    </xf>
    <xf numFmtId="3" fontId="3" fillId="21" borderId="13" xfId="0" applyNumberFormat="1" applyFont="1" applyFill="1" applyBorder="1" applyAlignment="1">
      <alignment horizontal="centerContinuous"/>
    </xf>
    <xf numFmtId="38" fontId="3" fillId="21" borderId="13" xfId="42319" applyFont="1" applyFill="1" applyBorder="1"/>
    <xf numFmtId="3" fontId="4" fillId="21" borderId="0" xfId="0" applyNumberFormat="1" applyFont="1" applyFill="1" applyBorder="1" applyAlignment="1">
      <alignment horizontal="center"/>
    </xf>
    <xf numFmtId="3" fontId="3" fillId="21" borderId="0" xfId="0" applyNumberFormat="1" applyFont="1" applyFill="1" applyBorder="1" applyAlignment="1">
      <alignment horizontal="center"/>
    </xf>
    <xf numFmtId="0" fontId="53" fillId="21" borderId="10" xfId="0" applyFont="1" applyFill="1" applyBorder="1"/>
    <xf numFmtId="38" fontId="4" fillId="21" borderId="0" xfId="0" applyNumberFormat="1" applyFont="1" applyFill="1" applyBorder="1" applyAlignment="1">
      <alignment horizontal="left" vertical="center"/>
    </xf>
    <xf numFmtId="38" fontId="3" fillId="21" borderId="0" xfId="0" applyNumberFormat="1" applyFont="1" applyFill="1" applyBorder="1" applyAlignment="1">
      <alignment vertical="center"/>
    </xf>
    <xf numFmtId="38" fontId="3" fillId="21" borderId="0" xfId="0" applyNumberFormat="1" applyFont="1" applyFill="1" applyBorder="1" applyAlignment="1">
      <alignment horizontal="left" vertical="center"/>
    </xf>
    <xf numFmtId="38" fontId="3" fillId="21" borderId="7" xfId="0" applyNumberFormat="1" applyFont="1" applyFill="1" applyBorder="1" applyAlignment="1">
      <alignment horizontal="left" vertical="center"/>
    </xf>
    <xf numFmtId="38" fontId="3" fillId="21" borderId="7" xfId="0" applyNumberFormat="1" applyFont="1" applyFill="1" applyBorder="1" applyAlignment="1">
      <alignment vertical="center"/>
    </xf>
    <xf numFmtId="3" fontId="4" fillId="21" borderId="0" xfId="0" applyNumberFormat="1" applyFont="1" applyFill="1" applyBorder="1" applyAlignment="1">
      <alignment horizontal="left"/>
    </xf>
    <xf numFmtId="3" fontId="4" fillId="21" borderId="10" xfId="0" applyNumberFormat="1" applyFont="1" applyFill="1" applyBorder="1" applyAlignment="1">
      <alignment horizontal="left"/>
    </xf>
    <xf numFmtId="3" fontId="3" fillId="21" borderId="10" xfId="0" applyNumberFormat="1" applyFont="1" applyFill="1" applyBorder="1"/>
    <xf numFmtId="3" fontId="4" fillId="21" borderId="0" xfId="0" applyNumberFormat="1" applyFont="1" applyFill="1" applyBorder="1" applyAlignment="1">
      <alignment vertical="center"/>
    </xf>
    <xf numFmtId="3" fontId="3" fillId="21" borderId="0" xfId="0" applyNumberFormat="1" applyFont="1" applyFill="1" applyBorder="1" applyAlignment="1">
      <alignment vertical="center"/>
    </xf>
    <xf numFmtId="167" fontId="47" fillId="21" borderId="0" xfId="2" applyNumberFormat="1" applyFont="1" applyFill="1" applyBorder="1"/>
    <xf numFmtId="49" fontId="3" fillId="21" borderId="17" xfId="38790" applyNumberFormat="1" applyFont="1" applyFill="1" applyBorder="1" applyAlignment="1">
      <alignment horizontal="center"/>
    </xf>
    <xf numFmtId="0" fontId="53" fillId="21" borderId="47" xfId="0" applyFont="1" applyFill="1" applyBorder="1"/>
    <xf numFmtId="0" fontId="47" fillId="21" borderId="16" xfId="0" applyFont="1" applyFill="1" applyBorder="1"/>
    <xf numFmtId="0" fontId="49" fillId="21" borderId="7" xfId="0" applyFont="1" applyFill="1" applyBorder="1"/>
    <xf numFmtId="5" fontId="47" fillId="21" borderId="7" xfId="0" applyNumberFormat="1" applyFont="1" applyFill="1" applyBorder="1"/>
    <xf numFmtId="0" fontId="47" fillId="21" borderId="18" xfId="0" applyFont="1" applyFill="1" applyBorder="1"/>
    <xf numFmtId="5" fontId="3" fillId="21" borderId="10" xfId="38792" applyNumberFormat="1" applyFont="1" applyFill="1" applyBorder="1"/>
    <xf numFmtId="0" fontId="61" fillId="21" borderId="0" xfId="0" applyFont="1" applyFill="1"/>
    <xf numFmtId="0" fontId="2" fillId="0" borderId="0" xfId="0" applyFont="1" applyAlignment="1">
      <alignment horizontal="center"/>
    </xf>
    <xf numFmtId="0" fontId="0" fillId="21" borderId="0" xfId="0" applyFill="1"/>
    <xf numFmtId="0" fontId="3" fillId="21" borderId="0" xfId="38578" applyFont="1" applyFill="1" applyBorder="1" applyAlignment="1">
      <alignment wrapText="1"/>
    </xf>
    <xf numFmtId="37" fontId="3" fillId="21" borderId="19" xfId="38578" applyNumberFormat="1" applyFont="1" applyFill="1" applyBorder="1" applyAlignment="1">
      <alignment horizontal="right"/>
    </xf>
    <xf numFmtId="3" fontId="4" fillId="21" borderId="0" xfId="42319" applyNumberFormat="1" applyFont="1" applyFill="1" applyBorder="1" applyAlignment="1">
      <alignment horizontal="left"/>
    </xf>
    <xf numFmtId="3" fontId="3" fillId="21" borderId="0" xfId="0" applyNumberFormat="1" applyFont="1" applyFill="1" applyBorder="1" applyAlignment="1">
      <alignment horizontal="centerContinuous"/>
    </xf>
    <xf numFmtId="3" fontId="4" fillId="21" borderId="0" xfId="0" applyNumberFormat="1" applyFont="1" applyFill="1" applyBorder="1" applyAlignment="1">
      <alignment horizontal="centerContinuous"/>
    </xf>
    <xf numFmtId="38" fontId="3" fillId="0" borderId="0" xfId="0" applyNumberFormat="1" applyFont="1" applyFill="1" applyBorder="1" applyAlignment="1">
      <alignment wrapText="1"/>
    </xf>
    <xf numFmtId="0" fontId="3" fillId="0" borderId="0" xfId="0" applyFont="1" applyFill="1" applyBorder="1" applyAlignment="1">
      <alignment vertical="top"/>
    </xf>
    <xf numFmtId="3" fontId="3" fillId="21" borderId="0" xfId="42319" applyNumberFormat="1" applyFont="1" applyFill="1" applyBorder="1" applyAlignment="1">
      <alignment horizontal="right"/>
    </xf>
    <xf numFmtId="164" fontId="4" fillId="0" borderId="0" xfId="1" applyNumberFormat="1" applyFont="1" applyFill="1" applyBorder="1" applyAlignment="1">
      <alignment horizontal="center" wrapText="1"/>
    </xf>
    <xf numFmtId="0" fontId="3" fillId="0" borderId="12" xfId="38578" applyFont="1" applyFill="1" applyBorder="1" applyAlignment="1">
      <alignment horizontal="left"/>
    </xf>
    <xf numFmtId="0" fontId="3" fillId="21" borderId="0" xfId="38788" applyFont="1" applyFill="1" applyBorder="1"/>
    <xf numFmtId="0" fontId="56" fillId="21" borderId="0" xfId="0" applyFont="1" applyFill="1" applyBorder="1"/>
    <xf numFmtId="0" fontId="3" fillId="21" borderId="0" xfId="38791" applyFont="1" applyFill="1" applyBorder="1" applyAlignment="1">
      <alignment vertical="center"/>
    </xf>
    <xf numFmtId="0" fontId="3" fillId="21" borderId="0" xfId="38791" applyFont="1" applyFill="1" applyBorder="1" applyAlignment="1">
      <alignment horizontal="left"/>
    </xf>
    <xf numFmtId="0" fontId="3" fillId="21" borderId="7" xfId="38791" applyFont="1" applyFill="1" applyBorder="1"/>
    <xf numFmtId="0" fontId="3" fillId="21" borderId="0" xfId="39562" applyFont="1" applyFill="1" applyBorder="1"/>
    <xf numFmtId="38" fontId="3" fillId="0" borderId="0" xfId="0" applyNumberFormat="1" applyFont="1" applyFill="1" applyBorder="1" applyAlignment="1">
      <alignment horizontal="left"/>
    </xf>
    <xf numFmtId="0" fontId="4" fillId="0" borderId="3" xfId="0" applyFont="1" applyFill="1" applyBorder="1" applyAlignment="1">
      <alignment horizontal="center"/>
    </xf>
    <xf numFmtId="0" fontId="4" fillId="0" borderId="3" xfId="0" applyFont="1" applyFill="1" applyBorder="1"/>
    <xf numFmtId="164" fontId="4" fillId="0" borderId="3" xfId="0" applyNumberFormat="1" applyFont="1" applyFill="1" applyBorder="1" applyAlignment="1">
      <alignment horizontal="right"/>
    </xf>
    <xf numFmtId="0" fontId="3" fillId="21" borderId="0" xfId="0" applyFont="1" applyFill="1" applyBorder="1"/>
    <xf numFmtId="3" fontId="3" fillId="21" borderId="10" xfId="38447" applyNumberFormat="1" applyFont="1" applyFill="1" applyBorder="1"/>
    <xf numFmtId="0" fontId="53" fillId="0" borderId="0" xfId="0" applyFont="1" applyFill="1" applyBorder="1"/>
    <xf numFmtId="3" fontId="3" fillId="0" borderId="0" xfId="0" applyNumberFormat="1" applyFont="1" applyFill="1" applyBorder="1" applyAlignment="1">
      <alignment vertical="center"/>
    </xf>
    <xf numFmtId="38" fontId="3" fillId="0" borderId="0" xfId="0" applyNumberFormat="1" applyFont="1" applyFill="1" applyBorder="1" applyAlignment="1">
      <alignment wrapText="1"/>
    </xf>
    <xf numFmtId="0" fontId="3" fillId="0" borderId="0" xfId="0" applyFont="1" applyFill="1" applyBorder="1" applyAlignment="1"/>
    <xf numFmtId="38" fontId="3" fillId="21" borderId="43" xfId="0" applyNumberFormat="1" applyFont="1" applyFill="1" applyBorder="1"/>
    <xf numFmtId="164" fontId="3" fillId="21" borderId="0" xfId="1" applyNumberFormat="1" applyFont="1" applyFill="1" applyBorder="1" applyAlignment="1">
      <alignment horizontal="left"/>
    </xf>
    <xf numFmtId="164" fontId="3" fillId="21" borderId="16" xfId="1" applyNumberFormat="1" applyFont="1" applyFill="1" applyBorder="1"/>
    <xf numFmtId="0" fontId="3" fillId="21" borderId="7" xfId="0" applyFont="1" applyFill="1" applyBorder="1"/>
    <xf numFmtId="164" fontId="3" fillId="21" borderId="7" xfId="1" applyNumberFormat="1" applyFont="1" applyFill="1" applyBorder="1"/>
    <xf numFmtId="38" fontId="3" fillId="21" borderId="7" xfId="0" applyNumberFormat="1" applyFont="1" applyFill="1" applyBorder="1"/>
    <xf numFmtId="164" fontId="3" fillId="21" borderId="18" xfId="1" applyNumberFormat="1" applyFont="1" applyFill="1" applyBorder="1"/>
    <xf numFmtId="0" fontId="4" fillId="21" borderId="15" xfId="0" applyFont="1" applyFill="1" applyBorder="1" applyAlignment="1">
      <alignment horizontal="center"/>
    </xf>
    <xf numFmtId="0" fontId="3" fillId="21" borderId="12" xfId="0" applyFont="1" applyFill="1" applyBorder="1"/>
    <xf numFmtId="0" fontId="3" fillId="21" borderId="13" xfId="0" applyFont="1" applyFill="1" applyBorder="1"/>
    <xf numFmtId="164" fontId="3" fillId="21" borderId="13" xfId="1" applyNumberFormat="1" applyFont="1" applyFill="1" applyBorder="1"/>
    <xf numFmtId="43" fontId="3" fillId="21" borderId="13" xfId="0" applyNumberFormat="1" applyFont="1" applyFill="1" applyBorder="1"/>
    <xf numFmtId="38" fontId="3" fillId="21" borderId="13" xfId="0" applyNumberFormat="1" applyFont="1" applyFill="1" applyBorder="1"/>
    <xf numFmtId="164" fontId="3" fillId="21" borderId="13" xfId="0" applyNumberFormat="1" applyFont="1" applyFill="1" applyBorder="1"/>
    <xf numFmtId="164" fontId="3" fillId="21" borderId="14" xfId="0" applyNumberFormat="1" applyFont="1" applyFill="1" applyBorder="1"/>
    <xf numFmtId="164" fontId="56" fillId="21" borderId="15" xfId="1" applyNumberFormat="1" applyFont="1" applyFill="1" applyBorder="1" applyAlignment="1">
      <alignment horizontal="center" wrapText="1"/>
    </xf>
    <xf numFmtId="38" fontId="4" fillId="21" borderId="43" xfId="0" applyNumberFormat="1" applyFont="1" applyFill="1" applyBorder="1" applyAlignment="1">
      <alignment horizontal="center"/>
    </xf>
    <xf numFmtId="0" fontId="4" fillId="21" borderId="15" xfId="0" applyFont="1" applyFill="1" applyBorder="1" applyAlignment="1">
      <alignment horizontal="left"/>
    </xf>
    <xf numFmtId="0" fontId="4" fillId="21" borderId="0" xfId="0" applyFont="1" applyFill="1" applyBorder="1" applyAlignment="1">
      <alignment horizontal="left"/>
    </xf>
    <xf numFmtId="164" fontId="56" fillId="21" borderId="0" xfId="1" applyNumberFormat="1" applyFont="1" applyFill="1" applyBorder="1" applyAlignment="1">
      <alignment horizontal="center" wrapText="1"/>
    </xf>
    <xf numFmtId="164" fontId="56" fillId="21" borderId="0" xfId="1" applyNumberFormat="1" applyFont="1" applyFill="1" applyBorder="1" applyAlignment="1">
      <alignment horizontal="center"/>
    </xf>
    <xf numFmtId="38" fontId="56" fillId="21" borderId="0" xfId="0" applyNumberFormat="1" applyFont="1" applyFill="1" applyBorder="1" applyAlignment="1">
      <alignment horizontal="center"/>
    </xf>
    <xf numFmtId="164" fontId="56" fillId="21" borderId="16" xfId="0" applyNumberFormat="1" applyFont="1" applyFill="1" applyBorder="1" applyAlignment="1">
      <alignment horizontal="center" wrapText="1"/>
    </xf>
    <xf numFmtId="164" fontId="53" fillId="21" borderId="15" xfId="1" applyNumberFormat="1" applyFont="1" applyFill="1" applyBorder="1"/>
    <xf numFmtId="164" fontId="53" fillId="21" borderId="43" xfId="1" applyNumberFormat="1" applyFont="1" applyFill="1" applyBorder="1"/>
    <xf numFmtId="10" fontId="53" fillId="21" borderId="0" xfId="3" applyNumberFormat="1" applyFont="1" applyFill="1" applyBorder="1"/>
    <xf numFmtId="38" fontId="53" fillId="21" borderId="0" xfId="0" applyNumberFormat="1" applyFont="1" applyFill="1" applyBorder="1"/>
    <xf numFmtId="164" fontId="53" fillId="21" borderId="16" xfId="0" applyNumberFormat="1" applyFont="1" applyFill="1" applyBorder="1"/>
    <xf numFmtId="164" fontId="53" fillId="21" borderId="48" xfId="1" applyNumberFormat="1" applyFont="1" applyFill="1" applyBorder="1"/>
    <xf numFmtId="0" fontId="53" fillId="21" borderId="2" xfId="0" applyFont="1" applyFill="1" applyBorder="1"/>
    <xf numFmtId="164" fontId="3" fillId="21" borderId="2" xfId="1" applyNumberFormat="1" applyFont="1" applyFill="1" applyBorder="1"/>
    <xf numFmtId="10" fontId="53" fillId="21" borderId="2" xfId="3" applyNumberFormat="1" applyFont="1" applyFill="1" applyBorder="1"/>
    <xf numFmtId="38" fontId="3" fillId="21" borderId="2" xfId="0" applyNumberFormat="1" applyFont="1" applyFill="1" applyBorder="1"/>
    <xf numFmtId="164" fontId="3" fillId="21" borderId="23" xfId="0" applyNumberFormat="1" applyFont="1" applyFill="1" applyBorder="1"/>
    <xf numFmtId="164" fontId="53" fillId="21" borderId="51" xfId="1" applyNumberFormat="1" applyFont="1" applyFill="1" applyBorder="1"/>
    <xf numFmtId="0" fontId="53" fillId="21" borderId="5" xfId="0" applyFont="1" applyFill="1" applyBorder="1"/>
    <xf numFmtId="164" fontId="3" fillId="21" borderId="5" xfId="1" applyNumberFormat="1" applyFont="1" applyFill="1" applyBorder="1"/>
    <xf numFmtId="10" fontId="53" fillId="21" borderId="5" xfId="3" applyNumberFormat="1" applyFont="1" applyFill="1" applyBorder="1"/>
    <xf numFmtId="38" fontId="3" fillId="21" borderId="5" xfId="0" applyNumberFormat="1" applyFont="1" applyFill="1" applyBorder="1"/>
    <xf numFmtId="164" fontId="3" fillId="21" borderId="30" xfId="0" applyNumberFormat="1" applyFont="1" applyFill="1" applyBorder="1"/>
    <xf numFmtId="49" fontId="62" fillId="21" borderId="12" xfId="19632" applyNumberFormat="1" applyFont="1" applyFill="1" applyBorder="1" applyAlignment="1">
      <alignment horizontal="left"/>
    </xf>
    <xf numFmtId="10" fontId="53" fillId="21" borderId="13" xfId="3" applyNumberFormat="1" applyFont="1" applyFill="1" applyBorder="1"/>
    <xf numFmtId="38" fontId="53" fillId="21" borderId="13" xfId="0" applyNumberFormat="1" applyFont="1" applyFill="1" applyBorder="1"/>
    <xf numFmtId="164" fontId="53" fillId="21" borderId="14" xfId="0" applyNumberFormat="1" applyFont="1" applyFill="1" applyBorder="1"/>
    <xf numFmtId="49" fontId="62" fillId="21" borderId="15" xfId="19632" applyNumberFormat="1" applyFont="1" applyFill="1" applyBorder="1" applyAlignment="1">
      <alignment horizontal="left"/>
    </xf>
    <xf numFmtId="49" fontId="62" fillId="21" borderId="48" xfId="19632" applyNumberFormat="1" applyFont="1" applyFill="1" applyBorder="1" applyAlignment="1">
      <alignment horizontal="left"/>
    </xf>
    <xf numFmtId="0" fontId="53" fillId="0" borderId="0" xfId="0" applyFont="1" applyFill="1"/>
    <xf numFmtId="49" fontId="62" fillId="21" borderId="24" xfId="19632" applyNumberFormat="1" applyFont="1" applyFill="1" applyBorder="1" applyAlignment="1">
      <alignment horizontal="left"/>
    </xf>
    <xf numFmtId="0" fontId="53" fillId="21" borderId="17" xfId="0" applyFont="1" applyFill="1" applyBorder="1"/>
    <xf numFmtId="49" fontId="62" fillId="24" borderId="17" xfId="19632" applyNumberFormat="1" applyFont="1" applyFill="1" applyBorder="1" applyAlignment="1">
      <alignment horizontal="left"/>
    </xf>
    <xf numFmtId="0" fontId="53" fillId="21" borderId="49" xfId="0" applyFont="1" applyFill="1" applyBorder="1"/>
    <xf numFmtId="164" fontId="53" fillId="21" borderId="49" xfId="1" applyNumberFormat="1" applyFont="1" applyFill="1" applyBorder="1"/>
    <xf numFmtId="38" fontId="53" fillId="21" borderId="49" xfId="0" applyNumberFormat="1" applyFont="1" applyFill="1" applyBorder="1"/>
    <xf numFmtId="164" fontId="53" fillId="21" borderId="26" xfId="0" applyNumberFormat="1" applyFont="1" applyFill="1" applyBorder="1"/>
    <xf numFmtId="164" fontId="53" fillId="0" borderId="0" xfId="1" applyNumberFormat="1" applyFont="1"/>
    <xf numFmtId="38" fontId="53" fillId="0" borderId="0" xfId="0" applyNumberFormat="1" applyFont="1"/>
    <xf numFmtId="164" fontId="53" fillId="0" borderId="0" xfId="0" applyNumberFormat="1" applyFont="1"/>
    <xf numFmtId="164" fontId="4" fillId="21" borderId="0" xfId="1" applyNumberFormat="1" applyFont="1" applyFill="1" applyBorder="1" applyAlignment="1">
      <alignment horizontal="center" wrapText="1"/>
    </xf>
    <xf numFmtId="38" fontId="4" fillId="21" borderId="0" xfId="0" applyNumberFormat="1" applyFont="1" applyFill="1" applyBorder="1" applyAlignment="1">
      <alignment horizontal="center" wrapText="1"/>
    </xf>
    <xf numFmtId="164" fontId="4" fillId="21" borderId="16" xfId="1" applyNumberFormat="1" applyFont="1" applyFill="1" applyBorder="1" applyAlignment="1">
      <alignment horizontal="center" wrapText="1"/>
    </xf>
    <xf numFmtId="164" fontId="53" fillId="21" borderId="0" xfId="1" applyNumberFormat="1" applyFont="1" applyFill="1" applyBorder="1"/>
    <xf numFmtId="0" fontId="3" fillId="21" borderId="0" xfId="0" applyFont="1" applyFill="1" applyBorder="1" applyAlignment="1">
      <alignment horizontal="left"/>
    </xf>
    <xf numFmtId="164" fontId="53" fillId="21" borderId="13" xfId="1" applyNumberFormat="1" applyFont="1" applyFill="1" applyBorder="1"/>
    <xf numFmtId="38" fontId="4" fillId="21" borderId="16" xfId="0" applyNumberFormat="1" applyFont="1" applyFill="1" applyBorder="1" applyAlignment="1">
      <alignment horizontal="center"/>
    </xf>
    <xf numFmtId="38" fontId="3" fillId="21" borderId="16" xfId="0" applyNumberFormat="1" applyFont="1" applyFill="1" applyBorder="1"/>
    <xf numFmtId="38" fontId="3" fillId="21" borderId="18" xfId="0" applyNumberFormat="1" applyFont="1" applyFill="1" applyBorder="1"/>
    <xf numFmtId="0" fontId="3" fillId="21" borderId="53" xfId="38578" applyFont="1" applyFill="1" applyBorder="1" applyAlignment="1">
      <alignment horizontal="left"/>
    </xf>
    <xf numFmtId="0" fontId="4" fillId="21" borderId="54" xfId="0" applyFont="1" applyFill="1" applyBorder="1" applyAlignment="1">
      <alignment horizontal="center" wrapText="1"/>
    </xf>
    <xf numFmtId="0" fontId="3" fillId="21" borderId="54" xfId="0" applyFont="1" applyFill="1" applyBorder="1" applyAlignment="1">
      <alignment horizontal="center"/>
    </xf>
    <xf numFmtId="0" fontId="3" fillId="21" borderId="55" xfId="0" applyFont="1" applyFill="1" applyBorder="1" applyAlignment="1">
      <alignment horizontal="center"/>
    </xf>
    <xf numFmtId="0" fontId="53" fillId="0" borderId="14" xfId="0" applyFont="1" applyFill="1" applyBorder="1"/>
    <xf numFmtId="0" fontId="46" fillId="0" borderId="13" xfId="0" applyFont="1" applyFill="1" applyBorder="1" applyAlignment="1">
      <alignment horizontal="left" vertical="top" wrapText="1"/>
    </xf>
    <xf numFmtId="0" fontId="46" fillId="0" borderId="13" xfId="0" applyFont="1" applyFill="1" applyBorder="1"/>
    <xf numFmtId="0" fontId="46" fillId="0" borderId="13" xfId="0" applyFont="1" applyFill="1" applyBorder="1" applyAlignment="1">
      <alignment horizontal="center" vertical="top"/>
    </xf>
    <xf numFmtId="167" fontId="46" fillId="0" borderId="13" xfId="2" applyNumberFormat="1" applyFont="1" applyFill="1" applyBorder="1"/>
    <xf numFmtId="0" fontId="46" fillId="0" borderId="14" xfId="0" applyFont="1" applyFill="1" applyBorder="1"/>
    <xf numFmtId="0" fontId="46" fillId="0" borderId="15" xfId="0" applyFont="1" applyFill="1" applyBorder="1" applyAlignment="1">
      <alignment horizontal="left" vertical="top"/>
    </xf>
    <xf numFmtId="0" fontId="63" fillId="0" borderId="15" xfId="0" applyFont="1" applyFill="1" applyBorder="1" applyAlignment="1">
      <alignment horizontal="center" vertical="center" wrapText="1" readingOrder="1"/>
    </xf>
    <xf numFmtId="0" fontId="63" fillId="0" borderId="6" xfId="0" applyFont="1" applyFill="1" applyBorder="1" applyAlignment="1">
      <alignment horizontal="center" vertical="center" wrapText="1"/>
    </xf>
    <xf numFmtId="0" fontId="63" fillId="0" borderId="0" xfId="0" applyFont="1" applyFill="1" applyBorder="1" applyAlignment="1">
      <alignment horizontal="center" vertical="center" wrapText="1" readingOrder="1"/>
    </xf>
    <xf numFmtId="167" fontId="63" fillId="0" borderId="0" xfId="2" applyNumberFormat="1" applyFont="1" applyFill="1" applyBorder="1" applyAlignment="1">
      <alignment horizontal="center" vertical="center" wrapText="1" readingOrder="1"/>
    </xf>
    <xf numFmtId="0" fontId="64" fillId="0" borderId="9" xfId="0" applyFont="1" applyFill="1" applyBorder="1" applyAlignment="1">
      <alignment horizontal="center" vertical="center" wrapText="1" readingOrder="1"/>
    </xf>
    <xf numFmtId="0" fontId="63" fillId="0" borderId="16" xfId="0" applyFont="1" applyFill="1" applyBorder="1" applyAlignment="1">
      <alignment horizontal="center" vertical="center" wrapText="1" readingOrder="1"/>
    </xf>
    <xf numFmtId="0" fontId="46" fillId="0" borderId="15" xfId="0" applyFont="1" applyFill="1" applyBorder="1" applyAlignment="1">
      <alignment horizontal="center" vertical="top" readingOrder="1"/>
    </xf>
    <xf numFmtId="0" fontId="63" fillId="0" borderId="0" xfId="0" applyFont="1" applyFill="1" applyBorder="1" applyAlignment="1">
      <alignment horizontal="left" vertical="top" wrapText="1"/>
    </xf>
    <xf numFmtId="0" fontId="63" fillId="0" borderId="0" xfId="0" applyFont="1" applyFill="1" applyBorder="1" applyAlignment="1">
      <alignment vertical="top" wrapText="1"/>
    </xf>
    <xf numFmtId="0" fontId="63" fillId="0" borderId="0" xfId="0" applyFont="1" applyFill="1" applyBorder="1" applyAlignment="1">
      <alignment horizontal="center" vertical="top"/>
    </xf>
    <xf numFmtId="167" fontId="63" fillId="0" borderId="0" xfId="2" applyNumberFormat="1" applyFont="1" applyFill="1" applyBorder="1"/>
    <xf numFmtId="0" fontId="63" fillId="0" borderId="9" xfId="0" applyFont="1" applyFill="1" applyBorder="1" applyAlignment="1">
      <alignment vertical="top" wrapText="1"/>
    </xf>
    <xf numFmtId="0" fontId="63" fillId="0" borderId="9" xfId="0" applyFont="1" applyFill="1" applyBorder="1" applyAlignment="1">
      <alignment vertical="top"/>
    </xf>
    <xf numFmtId="167" fontId="63" fillId="0" borderId="9" xfId="2" applyNumberFormat="1" applyFont="1" applyFill="1" applyBorder="1" applyAlignment="1">
      <alignment vertical="top"/>
    </xf>
    <xf numFmtId="0" fontId="63" fillId="0" borderId="16" xfId="0" applyFont="1" applyFill="1" applyBorder="1" applyAlignment="1">
      <alignment wrapText="1"/>
    </xf>
    <xf numFmtId="0" fontId="46" fillId="0" borderId="0" xfId="0" applyFont="1" applyFill="1" applyBorder="1" applyAlignment="1">
      <alignment horizontal="left" vertical="top" wrapText="1"/>
    </xf>
    <xf numFmtId="0" fontId="46" fillId="0" borderId="0" xfId="0" applyFont="1" applyFill="1" applyBorder="1" applyAlignment="1">
      <alignment vertical="top" wrapText="1"/>
    </xf>
    <xf numFmtId="0" fontId="46" fillId="0" borderId="0" xfId="0" applyFont="1" applyFill="1" applyBorder="1" applyAlignment="1">
      <alignment horizontal="center" vertical="top"/>
    </xf>
    <xf numFmtId="167" fontId="65" fillId="0" borderId="0" xfId="2" applyNumberFormat="1" applyFont="1" applyFill="1" applyBorder="1"/>
    <xf numFmtId="0" fontId="46" fillId="0" borderId="9" xfId="0" applyFont="1" applyFill="1" applyBorder="1" applyAlignment="1">
      <alignment vertical="top" wrapText="1"/>
    </xf>
    <xf numFmtId="0" fontId="46" fillId="0" borderId="9" xfId="0" applyFont="1" applyFill="1" applyBorder="1" applyAlignment="1">
      <alignment vertical="top"/>
    </xf>
    <xf numFmtId="167" fontId="46" fillId="0" borderId="9" xfId="2" applyNumberFormat="1" applyFont="1" applyFill="1" applyBorder="1" applyAlignment="1">
      <alignment vertical="top"/>
    </xf>
    <xf numFmtId="0" fontId="46" fillId="0" borderId="16" xfId="0" applyFont="1" applyFill="1" applyBorder="1" applyAlignment="1">
      <alignment wrapText="1"/>
    </xf>
    <xf numFmtId="167" fontId="46" fillId="0" borderId="0" xfId="2" applyNumberFormat="1" applyFont="1" applyFill="1" applyBorder="1"/>
    <xf numFmtId="0" fontId="46" fillId="0" borderId="16" xfId="0" applyFont="1" applyFill="1" applyBorder="1" applyAlignment="1">
      <alignment vertical="top" wrapText="1"/>
    </xf>
    <xf numFmtId="0" fontId="67" fillId="0" borderId="0" xfId="0" applyFont="1" applyFill="1" applyBorder="1" applyAlignment="1">
      <alignment vertical="top" wrapText="1"/>
    </xf>
    <xf numFmtId="167" fontId="67" fillId="0" borderId="0" xfId="2" applyNumberFormat="1" applyFont="1" applyFill="1" applyBorder="1"/>
    <xf numFmtId="167" fontId="66" fillId="0" borderId="0" xfId="2" applyNumberFormat="1" applyFont="1" applyFill="1" applyBorder="1"/>
    <xf numFmtId="179" fontId="46" fillId="0" borderId="16" xfId="0" applyNumberFormat="1" applyFont="1" applyFill="1" applyBorder="1" applyAlignment="1">
      <alignment wrapText="1"/>
    </xf>
    <xf numFmtId="0" fontId="46" fillId="0" borderId="19" xfId="0" applyFont="1" applyFill="1" applyBorder="1" applyAlignment="1">
      <alignment vertical="top"/>
    </xf>
    <xf numFmtId="0" fontId="46" fillId="0" borderId="19" xfId="0" applyFont="1" applyFill="1" applyBorder="1" applyAlignment="1">
      <alignment horizontal="left" vertical="top"/>
    </xf>
    <xf numFmtId="0" fontId="46" fillId="0" borderId="19" xfId="0" applyFont="1" applyFill="1" applyBorder="1" applyAlignment="1">
      <alignment horizontal="center" vertical="top"/>
    </xf>
    <xf numFmtId="167" fontId="65" fillId="0" borderId="9" xfId="2" applyNumberFormat="1" applyFont="1" applyFill="1" applyBorder="1" applyAlignment="1">
      <alignment vertical="top"/>
    </xf>
    <xf numFmtId="167" fontId="66" fillId="0" borderId="9" xfId="2" applyNumberFormat="1" applyFont="1" applyFill="1" applyBorder="1" applyAlignment="1">
      <alignment vertical="top"/>
    </xf>
    <xf numFmtId="0" fontId="48" fillId="0" borderId="0" xfId="0" applyFont="1" applyFill="1" applyBorder="1" applyAlignment="1">
      <alignment vertical="top"/>
    </xf>
    <xf numFmtId="167" fontId="65" fillId="0" borderId="19" xfId="2" applyNumberFormat="1" applyFont="1" applyFill="1" applyBorder="1" applyAlignment="1">
      <alignment vertical="top"/>
    </xf>
    <xf numFmtId="0" fontId="46" fillId="0" borderId="43" xfId="0" applyFont="1" applyFill="1" applyBorder="1" applyAlignment="1">
      <alignment wrapText="1"/>
    </xf>
    <xf numFmtId="167" fontId="46" fillId="0" borderId="19" xfId="2" applyNumberFormat="1" applyFont="1" applyFill="1" applyBorder="1" applyAlignment="1">
      <alignment vertical="top"/>
    </xf>
    <xf numFmtId="179" fontId="46" fillId="0" borderId="43" xfId="0" applyNumberFormat="1" applyFont="1" applyFill="1" applyBorder="1" applyAlignment="1">
      <alignment wrapText="1"/>
    </xf>
    <xf numFmtId="0" fontId="46" fillId="0" borderId="0" xfId="0" applyFont="1" applyFill="1" applyBorder="1"/>
    <xf numFmtId="0" fontId="63" fillId="0" borderId="0" xfId="0" applyFont="1" applyFill="1" applyBorder="1" applyAlignment="1">
      <alignment wrapText="1"/>
    </xf>
    <xf numFmtId="0" fontId="46" fillId="0" borderId="0" xfId="0" applyFont="1" applyFill="1" applyBorder="1" applyAlignment="1">
      <alignment wrapText="1"/>
    </xf>
    <xf numFmtId="0" fontId="46" fillId="0" borderId="9" xfId="0" applyFont="1" applyFill="1" applyBorder="1" applyAlignment="1">
      <alignment horizontal="left" vertical="top"/>
    </xf>
    <xf numFmtId="0" fontId="46" fillId="0" borderId="9" xfId="0" applyFont="1" applyFill="1" applyBorder="1" applyAlignment="1">
      <alignment horizontal="center" vertical="top"/>
    </xf>
    <xf numFmtId="167" fontId="46" fillId="0" borderId="16" xfId="2" applyNumberFormat="1" applyFont="1" applyFill="1" applyBorder="1" applyAlignment="1">
      <alignment wrapText="1"/>
    </xf>
    <xf numFmtId="0" fontId="46" fillId="0" borderId="0" xfId="0" applyFont="1" applyFill="1" applyBorder="1" applyAlignment="1">
      <alignment horizontal="left" vertical="top"/>
    </xf>
    <xf numFmtId="0" fontId="46" fillId="0" borderId="16" xfId="0" applyFont="1" applyFill="1" applyBorder="1"/>
    <xf numFmtId="0" fontId="63" fillId="0" borderId="0" xfId="0" applyFont="1" applyFill="1" applyBorder="1" applyAlignment="1">
      <alignment horizontal="left" vertical="top"/>
    </xf>
    <xf numFmtId="0" fontId="64" fillId="0" borderId="0" xfId="0" applyFont="1" applyFill="1" applyBorder="1" applyAlignment="1">
      <alignment horizontal="center" vertical="center" wrapText="1" readingOrder="1"/>
    </xf>
    <xf numFmtId="0" fontId="46" fillId="0" borderId="17" xfId="0" applyFont="1" applyFill="1" applyBorder="1" applyAlignment="1">
      <alignment horizontal="left" vertical="top"/>
    </xf>
    <xf numFmtId="0" fontId="48" fillId="0" borderId="13" xfId="0" applyFont="1" applyFill="1" applyBorder="1"/>
    <xf numFmtId="0" fontId="50" fillId="0" borderId="0" xfId="0" applyFont="1" applyFill="1" applyBorder="1" applyAlignment="1">
      <alignment horizontal="center" readingOrder="1"/>
    </xf>
    <xf numFmtId="0" fontId="50" fillId="0" borderId="0" xfId="0" applyFont="1" applyFill="1" applyBorder="1" applyAlignment="1">
      <alignment horizontal="center" wrapText="1" readingOrder="1"/>
    </xf>
    <xf numFmtId="0" fontId="50" fillId="0" borderId="52" xfId="0" applyFont="1" applyFill="1" applyBorder="1" applyAlignment="1">
      <alignment horizontal="center" readingOrder="1"/>
    </xf>
    <xf numFmtId="0" fontId="48" fillId="25" borderId="15" xfId="0" applyFont="1" applyFill="1" applyBorder="1" applyAlignment="1">
      <alignment horizontal="left" vertical="top"/>
    </xf>
    <xf numFmtId="0" fontId="50" fillId="0" borderId="0" xfId="0" applyFont="1" applyFill="1" applyBorder="1" applyAlignment="1">
      <alignment horizontal="left" vertical="top"/>
    </xf>
    <xf numFmtId="0" fontId="50" fillId="0" borderId="0" xfId="0" applyFont="1" applyFill="1" applyBorder="1"/>
    <xf numFmtId="0" fontId="50" fillId="0" borderId="52" xfId="0" applyFont="1" applyFill="1" applyBorder="1"/>
    <xf numFmtId="0" fontId="48" fillId="0" borderId="15" xfId="0" applyFont="1" applyFill="1" applyBorder="1" applyAlignment="1">
      <alignment horizontal="left" vertical="top"/>
    </xf>
    <xf numFmtId="0" fontId="48" fillId="0" borderId="0" xfId="0" applyFont="1" applyFill="1" applyBorder="1" applyAlignment="1">
      <alignment horizontal="left" vertical="top"/>
    </xf>
    <xf numFmtId="0" fontId="48" fillId="26" borderId="0" xfId="0" applyFont="1" applyFill="1" applyBorder="1"/>
    <xf numFmtId="0" fontId="48" fillId="0" borderId="52" xfId="0" applyFont="1" applyFill="1" applyBorder="1"/>
    <xf numFmtId="0" fontId="48" fillId="0" borderId="0" xfId="0" applyFont="1" applyFill="1" applyBorder="1"/>
    <xf numFmtId="0" fontId="46" fillId="26" borderId="15" xfId="0" applyFont="1" applyFill="1" applyBorder="1" applyAlignment="1">
      <alignment horizontal="left" vertical="top"/>
    </xf>
    <xf numFmtId="0" fontId="48" fillId="26" borderId="0" xfId="0" applyFont="1" applyFill="1" applyBorder="1" applyAlignment="1">
      <alignment horizontal="left" vertical="top"/>
    </xf>
    <xf numFmtId="0" fontId="48" fillId="26" borderId="16" xfId="0" applyFont="1" applyFill="1" applyBorder="1"/>
    <xf numFmtId="164" fontId="3" fillId="0" borderId="0" xfId="1" applyNumberFormat="1" applyFont="1" applyFill="1" applyBorder="1" applyAlignment="1">
      <alignment horizontal="left"/>
    </xf>
    <xf numFmtId="164" fontId="3" fillId="21" borderId="0" xfId="0" applyNumberFormat="1" applyFont="1" applyFill="1" applyBorder="1"/>
    <xf numFmtId="0" fontId="63" fillId="0" borderId="19" xfId="0" applyFont="1" applyFill="1" applyBorder="1" applyAlignment="1">
      <alignment horizontal="center" vertical="center" wrapText="1" readingOrder="1"/>
    </xf>
    <xf numFmtId="0" fontId="63" fillId="0" borderId="0" xfId="0" applyFont="1" applyFill="1" applyBorder="1"/>
    <xf numFmtId="0" fontId="46" fillId="0" borderId="0" xfId="0" applyFont="1" applyFill="1" applyBorder="1" applyAlignment="1">
      <alignment vertical="top"/>
    </xf>
    <xf numFmtId="0" fontId="67" fillId="0" borderId="0" xfId="0" applyFont="1" applyFill="1" applyBorder="1" applyAlignment="1">
      <alignment horizontal="left" vertical="top"/>
    </xf>
    <xf numFmtId="0" fontId="70" fillId="0" borderId="0" xfId="0" applyFont="1" applyFill="1" applyBorder="1" applyAlignment="1">
      <alignment horizontal="left" vertical="top"/>
    </xf>
    <xf numFmtId="0" fontId="70" fillId="0" borderId="15" xfId="0" applyFont="1" applyFill="1" applyBorder="1" applyAlignment="1">
      <alignment horizontal="left" vertical="top"/>
    </xf>
    <xf numFmtId="0" fontId="70" fillId="0" borderId="0" xfId="0" applyFont="1" applyFill="1" applyBorder="1" applyAlignment="1">
      <alignment horizontal="left" vertical="top" wrapText="1"/>
    </xf>
    <xf numFmtId="0" fontId="70" fillId="0" borderId="0" xfId="0" applyFont="1" applyFill="1" applyBorder="1"/>
    <xf numFmtId="0" fontId="70" fillId="0" borderId="0" xfId="0" applyFont="1" applyFill="1" applyBorder="1" applyAlignment="1">
      <alignment horizontal="center" vertical="top"/>
    </xf>
    <xf numFmtId="167" fontId="71" fillId="0" borderId="0" xfId="0" applyNumberFormat="1" applyFont="1" applyFill="1" applyBorder="1"/>
    <xf numFmtId="0" fontId="70" fillId="0" borderId="16" xfId="0" applyFont="1" applyFill="1" applyBorder="1"/>
    <xf numFmtId="0" fontId="48" fillId="0" borderId="16" xfId="0" applyFont="1" applyFill="1" applyBorder="1"/>
    <xf numFmtId="0" fontId="48" fillId="0" borderId="17" xfId="0" applyFont="1" applyFill="1" applyBorder="1"/>
    <xf numFmtId="0" fontId="3" fillId="0" borderId="0" xfId="0" applyFont="1" applyFill="1" applyBorder="1" applyAlignment="1"/>
    <xf numFmtId="0" fontId="3" fillId="21" borderId="0" xfId="38578" applyFont="1" applyFill="1" applyBorder="1" applyAlignment="1">
      <alignment horizontal="left"/>
    </xf>
    <xf numFmtId="0" fontId="3" fillId="21" borderId="0" xfId="38578" applyFont="1" applyFill="1" applyBorder="1" applyAlignment="1"/>
    <xf numFmtId="5" fontId="48" fillId="21" borderId="0" xfId="0" applyNumberFormat="1" applyFont="1" applyFill="1" applyBorder="1"/>
    <xf numFmtId="170" fontId="48" fillId="21" borderId="0" xfId="0" applyNumberFormat="1" applyFont="1" applyFill="1" applyBorder="1"/>
    <xf numFmtId="0" fontId="52" fillId="21" borderId="0" xfId="0" applyFont="1" applyFill="1" applyBorder="1" applyAlignment="1">
      <alignment horizontal="centerContinuous" wrapText="1"/>
    </xf>
    <xf numFmtId="0" fontId="48" fillId="21" borderId="0" xfId="0" applyFont="1" applyFill="1" applyBorder="1" applyAlignment="1">
      <alignment horizontal="center"/>
    </xf>
    <xf numFmtId="0" fontId="48" fillId="21" borderId="0" xfId="0" applyFont="1" applyFill="1" applyBorder="1" applyAlignment="1">
      <alignment wrapText="1"/>
    </xf>
    <xf numFmtId="3" fontId="48" fillId="21" borderId="0" xfId="0" applyNumberFormat="1" applyFont="1" applyFill="1" applyBorder="1" applyAlignment="1">
      <alignment horizontal="right"/>
    </xf>
    <xf numFmtId="0" fontId="47" fillId="21" borderId="0" xfId="0" applyFont="1" applyFill="1" applyBorder="1"/>
    <xf numFmtId="0" fontId="48" fillId="21" borderId="10" xfId="0" applyFont="1" applyFill="1" applyBorder="1" applyAlignment="1">
      <alignment horizontal="center"/>
    </xf>
    <xf numFmtId="37" fontId="3" fillId="21" borderId="10" xfId="42319" applyNumberFormat="1" applyFont="1" applyFill="1" applyBorder="1" applyAlignment="1">
      <alignment horizontal="center"/>
    </xf>
    <xf numFmtId="0" fontId="50" fillId="21" borderId="0" xfId="0" applyFont="1" applyFill="1" applyBorder="1" applyAlignment="1">
      <alignment horizontal="left"/>
    </xf>
    <xf numFmtId="0" fontId="48" fillId="21" borderId="0" xfId="0" applyFont="1" applyFill="1" applyBorder="1" applyAlignment="1">
      <alignment horizontal="left"/>
    </xf>
    <xf numFmtId="0" fontId="49" fillId="21" borderId="0" xfId="0" applyFont="1" applyFill="1" applyBorder="1" applyAlignment="1">
      <alignment horizontal="left"/>
    </xf>
    <xf numFmtId="5" fontId="48" fillId="21" borderId="0" xfId="0" applyNumberFormat="1" applyFont="1" applyFill="1" applyBorder="1" applyAlignment="1">
      <alignment horizontal="center"/>
    </xf>
    <xf numFmtId="38" fontId="48" fillId="21" borderId="0" xfId="0" applyNumberFormat="1" applyFont="1" applyFill="1" applyBorder="1"/>
    <xf numFmtId="0" fontId="0" fillId="0" borderId="32" xfId="0" applyBorder="1"/>
    <xf numFmtId="0" fontId="72" fillId="0" borderId="32" xfId="0" applyFont="1" applyBorder="1" applyAlignment="1">
      <alignment vertical="center" wrapText="1"/>
    </xf>
    <xf numFmtId="0" fontId="3" fillId="21" borderId="0" xfId="38578" applyFont="1" applyFill="1" applyBorder="1" applyAlignment="1">
      <alignment horizontal="left"/>
    </xf>
    <xf numFmtId="0" fontId="3" fillId="21" borderId="0" xfId="38578" applyFont="1" applyFill="1" applyBorder="1" applyAlignment="1"/>
    <xf numFmtId="170" fontId="48" fillId="21" borderId="0" xfId="3" applyNumberFormat="1" applyFont="1" applyFill="1" applyBorder="1"/>
    <xf numFmtId="167" fontId="48" fillId="21" borderId="0" xfId="2" applyNumberFormat="1" applyFont="1" applyFill="1" applyBorder="1"/>
    <xf numFmtId="167" fontId="48" fillId="21" borderId="0" xfId="0" applyNumberFormat="1" applyFont="1" applyFill="1" applyBorder="1"/>
    <xf numFmtId="0" fontId="3" fillId="27" borderId="0" xfId="0" applyFont="1" applyFill="1" applyBorder="1" applyAlignment="1">
      <alignment horizontal="center"/>
    </xf>
    <xf numFmtId="38" fontId="3" fillId="27" borderId="0" xfId="0" applyNumberFormat="1" applyFont="1" applyFill="1" applyBorder="1"/>
    <xf numFmtId="0" fontId="3" fillId="27" borderId="0" xfId="0" applyFont="1" applyFill="1" applyBorder="1"/>
    <xf numFmtId="164" fontId="3" fillId="27" borderId="0" xfId="0" applyNumberFormat="1" applyFont="1" applyFill="1" applyBorder="1"/>
    <xf numFmtId="164" fontId="3" fillId="27" borderId="0" xfId="1" applyNumberFormat="1" applyFont="1" applyFill="1" applyBorder="1"/>
    <xf numFmtId="164" fontId="48" fillId="21" borderId="0" xfId="1" applyNumberFormat="1" applyFont="1" applyFill="1" applyBorder="1"/>
    <xf numFmtId="0" fontId="46" fillId="21" borderId="0" xfId="0" applyFont="1" applyFill="1" applyBorder="1"/>
    <xf numFmtId="5" fontId="48" fillId="27" borderId="9" xfId="0" applyNumberFormat="1" applyFont="1" applyFill="1" applyBorder="1"/>
    <xf numFmtId="0" fontId="3" fillId="21" borderId="13" xfId="38578" applyNumberFormat="1" applyFont="1" applyFill="1" applyBorder="1" applyAlignment="1"/>
    <xf numFmtId="0" fontId="3" fillId="21" borderId="13" xfId="38578" applyNumberFormat="1" applyFont="1" applyFill="1" applyBorder="1" applyAlignment="1">
      <alignment horizontal="left"/>
    </xf>
    <xf numFmtId="0" fontId="4" fillId="21" borderId="13" xfId="38578" applyFont="1" applyFill="1" applyBorder="1" applyAlignment="1">
      <alignment horizontal="center"/>
    </xf>
    <xf numFmtId="0" fontId="3" fillId="21" borderId="14" xfId="38578" applyNumberFormat="1" applyFont="1" applyFill="1" applyBorder="1" applyAlignment="1">
      <alignment horizontal="right"/>
    </xf>
    <xf numFmtId="9" fontId="3" fillId="21" borderId="0" xfId="3" applyFont="1" applyFill="1" applyBorder="1" applyAlignment="1">
      <alignment horizontal="right"/>
    </xf>
    <xf numFmtId="0" fontId="3" fillId="21" borderId="38" xfId="38578" applyFont="1" applyFill="1" applyBorder="1"/>
    <xf numFmtId="0" fontId="3" fillId="21" borderId="11" xfId="38578" applyFont="1" applyFill="1" applyBorder="1" applyAlignment="1">
      <alignment horizontal="center"/>
    </xf>
    <xf numFmtId="3" fontId="3" fillId="21" borderId="38" xfId="38578" applyNumberFormat="1" applyFont="1" applyFill="1" applyBorder="1" applyAlignment="1">
      <alignment horizontal="center"/>
    </xf>
    <xf numFmtId="3" fontId="3" fillId="21" borderId="34" xfId="38578" applyNumberFormat="1" applyFont="1" applyFill="1" applyBorder="1"/>
    <xf numFmtId="0" fontId="3" fillId="21" borderId="14" xfId="38578" applyNumberFormat="1" applyFont="1" applyFill="1" applyBorder="1"/>
    <xf numFmtId="38" fontId="3" fillId="21" borderId="8" xfId="38578" applyNumberFormat="1" applyFont="1" applyFill="1" applyBorder="1"/>
    <xf numFmtId="0" fontId="3" fillId="21" borderId="56" xfId="38578" applyNumberFormat="1" applyFont="1" applyFill="1" applyBorder="1"/>
    <xf numFmtId="37" fontId="3" fillId="23" borderId="0" xfId="38578" applyNumberFormat="1" applyFont="1" applyFill="1" applyBorder="1" applyAlignment="1"/>
    <xf numFmtId="0" fontId="3" fillId="0" borderId="0" xfId="0" applyFont="1" applyFill="1" applyBorder="1" applyAlignment="1"/>
    <xf numFmtId="38" fontId="3" fillId="21" borderId="0" xfId="19386" applyNumberFormat="1" applyFont="1" applyFill="1" applyBorder="1"/>
    <xf numFmtId="37" fontId="3" fillId="21" borderId="37" xfId="38578" applyNumberFormat="1" applyFont="1" applyFill="1" applyBorder="1" applyAlignment="1">
      <alignment horizontal="right"/>
    </xf>
    <xf numFmtId="0" fontId="73" fillId="0" borderId="0" xfId="0" applyFont="1"/>
    <xf numFmtId="0" fontId="3" fillId="21" borderId="0" xfId="38578" applyFont="1" applyFill="1" applyBorder="1"/>
    <xf numFmtId="0" fontId="3" fillId="21" borderId="15" xfId="0" applyFont="1" applyFill="1" applyBorder="1"/>
    <xf numFmtId="164" fontId="3" fillId="21" borderId="16" xfId="0" applyNumberFormat="1" applyFont="1" applyFill="1" applyBorder="1"/>
    <xf numFmtId="0" fontId="3" fillId="21" borderId="10" xfId="0" applyFont="1" applyFill="1" applyBorder="1"/>
    <xf numFmtId="164" fontId="3" fillId="21" borderId="10" xfId="1" applyNumberFormat="1" applyFont="1" applyFill="1" applyBorder="1"/>
    <xf numFmtId="164" fontId="3" fillId="21" borderId="10" xfId="0" applyNumberFormat="1" applyFont="1" applyFill="1" applyBorder="1"/>
    <xf numFmtId="0" fontId="4" fillId="21" borderId="15" xfId="0" applyFont="1" applyFill="1" applyBorder="1" applyAlignment="1">
      <alignment horizontal="center" wrapText="1"/>
    </xf>
    <xf numFmtId="0" fontId="3" fillId="21" borderId="17" xfId="0" applyFont="1" applyFill="1" applyBorder="1" applyAlignment="1">
      <alignment horizontal="center"/>
    </xf>
    <xf numFmtId="38" fontId="3" fillId="21" borderId="15" xfId="0" applyNumberFormat="1" applyFont="1" applyFill="1" applyBorder="1"/>
    <xf numFmtId="164" fontId="53" fillId="21" borderId="2" xfId="1" applyNumberFormat="1" applyFont="1" applyFill="1" applyBorder="1"/>
    <xf numFmtId="164" fontId="53" fillId="21" borderId="7" xfId="1" applyNumberFormat="1" applyFont="1" applyFill="1" applyBorder="1"/>
    <xf numFmtId="38" fontId="53" fillId="21" borderId="7" xfId="0" applyNumberFormat="1" applyFont="1" applyFill="1" applyBorder="1"/>
    <xf numFmtId="164" fontId="53" fillId="21" borderId="18" xfId="0" applyNumberFormat="1" applyFont="1" applyFill="1" applyBorder="1"/>
    <xf numFmtId="0" fontId="53" fillId="21" borderId="12" xfId="0" applyFont="1" applyFill="1" applyBorder="1"/>
    <xf numFmtId="38" fontId="4" fillId="21" borderId="15" xfId="0" applyNumberFormat="1" applyFont="1" applyFill="1" applyBorder="1" applyAlignment="1">
      <alignment horizontal="center"/>
    </xf>
    <xf numFmtId="0" fontId="3" fillId="21" borderId="24" xfId="0" applyFont="1" applyFill="1" applyBorder="1"/>
    <xf numFmtId="0" fontId="3" fillId="21" borderId="15" xfId="0" applyFont="1" applyFill="1" applyBorder="1" applyAlignment="1">
      <alignment horizontal="left"/>
    </xf>
    <xf numFmtId="164" fontId="53" fillId="21" borderId="0" xfId="1" applyNumberFormat="1" applyFont="1" applyFill="1" applyBorder="1" applyAlignment="1">
      <alignment horizontal="center" wrapText="1"/>
    </xf>
    <xf numFmtId="164" fontId="3" fillId="21" borderId="22" xfId="1" applyNumberFormat="1" applyFont="1" applyFill="1" applyBorder="1"/>
    <xf numFmtId="164" fontId="56" fillId="21" borderId="15" xfId="1" applyNumberFormat="1" applyFont="1" applyFill="1" applyBorder="1"/>
    <xf numFmtId="164" fontId="56" fillId="21" borderId="51" xfId="1" applyNumberFormat="1" applyFont="1" applyFill="1" applyBorder="1"/>
    <xf numFmtId="0" fontId="56" fillId="21" borderId="15" xfId="0" applyFont="1" applyFill="1" applyBorder="1"/>
    <xf numFmtId="0" fontId="56" fillId="21" borderId="48" xfId="0" applyFont="1" applyFill="1" applyBorder="1"/>
    <xf numFmtId="164" fontId="56" fillId="21" borderId="48" xfId="1" applyNumberFormat="1" applyFont="1" applyFill="1" applyBorder="1"/>
    <xf numFmtId="164" fontId="4" fillId="21" borderId="0" xfId="1" applyNumberFormat="1" applyFont="1" applyFill="1" applyBorder="1" applyAlignment="1">
      <alignment horizontal="center" vertical="top" wrapText="1"/>
    </xf>
    <xf numFmtId="38" fontId="4" fillId="21" borderId="0" xfId="0" applyNumberFormat="1" applyFont="1" applyFill="1" applyBorder="1" applyAlignment="1">
      <alignment horizontal="center" vertical="top" wrapText="1"/>
    </xf>
    <xf numFmtId="164" fontId="4" fillId="21" borderId="16" xfId="1" applyNumberFormat="1" applyFont="1" applyFill="1" applyBorder="1" applyAlignment="1">
      <alignment horizontal="center" vertical="top" wrapText="1"/>
    </xf>
    <xf numFmtId="38" fontId="4" fillId="21" borderId="15" xfId="0" applyNumberFormat="1" applyFont="1" applyFill="1" applyBorder="1" applyAlignment="1">
      <alignment horizontal="center" vertical="top"/>
    </xf>
    <xf numFmtId="0" fontId="4" fillId="21" borderId="15" xfId="0" applyFont="1" applyFill="1" applyBorder="1" applyAlignment="1">
      <alignment horizontal="left" vertical="top"/>
    </xf>
    <xf numFmtId="0" fontId="48" fillId="21" borderId="5" xfId="0" applyFont="1" applyFill="1" applyBorder="1" applyAlignment="1">
      <alignment horizontal="center"/>
    </xf>
    <xf numFmtId="0" fontId="49" fillId="21" borderId="5" xfId="0" applyFont="1" applyFill="1" applyBorder="1" applyAlignment="1">
      <alignment horizontal="left"/>
    </xf>
    <xf numFmtId="5" fontId="49" fillId="21" borderId="5" xfId="0" applyNumberFormat="1" applyFont="1" applyFill="1" applyBorder="1"/>
    <xf numFmtId="38" fontId="49" fillId="21" borderId="5" xfId="0" applyNumberFormat="1" applyFont="1" applyFill="1" applyBorder="1"/>
    <xf numFmtId="0" fontId="49" fillId="21" borderId="5" xfId="0" applyFont="1" applyFill="1" applyBorder="1"/>
    <xf numFmtId="0" fontId="50" fillId="21" borderId="5" xfId="0" applyFont="1" applyFill="1" applyBorder="1" applyAlignment="1">
      <alignment horizontal="center"/>
    </xf>
    <xf numFmtId="170" fontId="49" fillId="21" borderId="5" xfId="0" applyNumberFormat="1" applyFont="1" applyFill="1" applyBorder="1"/>
    <xf numFmtId="164" fontId="49" fillId="21" borderId="5" xfId="0" applyNumberFormat="1" applyFont="1" applyFill="1" applyBorder="1"/>
    <xf numFmtId="0" fontId="48" fillId="0" borderId="7" xfId="0" applyFont="1" applyFill="1" applyBorder="1" applyAlignment="1">
      <alignment horizontal="left" vertical="top"/>
    </xf>
    <xf numFmtId="0" fontId="48" fillId="0" borderId="7" xfId="0" applyFont="1" applyFill="1" applyBorder="1"/>
    <xf numFmtId="0" fontId="48" fillId="0" borderId="18" xfId="0" applyFont="1" applyFill="1" applyBorder="1"/>
    <xf numFmtId="0" fontId="74" fillId="21" borderId="0" xfId="42329" applyFill="1"/>
    <xf numFmtId="17" fontId="3" fillId="21" borderId="11" xfId="38578" applyNumberFormat="1" applyFont="1" applyFill="1" applyBorder="1" applyAlignment="1">
      <alignment horizontal="left"/>
    </xf>
    <xf numFmtId="0" fontId="3" fillId="21" borderId="11" xfId="38578" applyFont="1" applyFill="1" applyBorder="1"/>
    <xf numFmtId="164" fontId="3" fillId="22" borderId="11" xfId="1" applyNumberFormat="1" applyFont="1" applyFill="1" applyBorder="1" applyAlignment="1">
      <alignment horizontal="right"/>
    </xf>
    <xf numFmtId="9" fontId="3" fillId="21" borderId="13" xfId="3" applyFont="1" applyFill="1" applyBorder="1" applyAlignment="1">
      <alignment horizontal="right"/>
    </xf>
    <xf numFmtId="0" fontId="3" fillId="21" borderId="6" xfId="38578" applyNumberFormat="1" applyFont="1" applyFill="1" applyBorder="1" applyAlignment="1">
      <alignment horizontal="center"/>
    </xf>
    <xf numFmtId="17" fontId="3" fillId="21" borderId="19" xfId="38578" applyNumberFormat="1" applyFont="1" applyFill="1" applyBorder="1"/>
    <xf numFmtId="164" fontId="3" fillId="22" borderId="33" xfId="1" applyNumberFormat="1" applyFont="1" applyFill="1" applyBorder="1" applyAlignment="1">
      <alignment horizontal="right"/>
    </xf>
    <xf numFmtId="3" fontId="3" fillId="21" borderId="57" xfId="38578" applyNumberFormat="1" applyFont="1" applyFill="1" applyBorder="1"/>
    <xf numFmtId="0" fontId="3" fillId="21" borderId="10" xfId="38578" applyNumberFormat="1" applyFont="1" applyFill="1" applyBorder="1"/>
    <xf numFmtId="0" fontId="3" fillId="21" borderId="22" xfId="38578" applyNumberFormat="1" applyFont="1" applyFill="1" applyBorder="1"/>
    <xf numFmtId="0" fontId="3" fillId="21" borderId="21" xfId="38578" applyNumberFormat="1" applyFont="1" applyFill="1" applyBorder="1"/>
    <xf numFmtId="164" fontId="3" fillId="21" borderId="7" xfId="1" applyNumberFormat="1" applyFont="1" applyFill="1" applyBorder="1" applyAlignment="1">
      <alignment horizontal="right"/>
    </xf>
    <xf numFmtId="0" fontId="3" fillId="21" borderId="21" xfId="38578" applyNumberFormat="1" applyFont="1" applyFill="1" applyBorder="1" applyAlignment="1">
      <alignment horizontal="center"/>
    </xf>
    <xf numFmtId="0" fontId="3" fillId="21" borderId="19" xfId="38578" applyNumberFormat="1" applyFont="1" applyFill="1" applyBorder="1"/>
    <xf numFmtId="3" fontId="3" fillId="21" borderId="57" xfId="38578" applyNumberFormat="1" applyFont="1" applyFill="1" applyBorder="1" applyAlignment="1">
      <alignment horizontal="right"/>
    </xf>
    <xf numFmtId="0" fontId="3" fillId="21" borderId="0" xfId="38578" applyFont="1" applyFill="1" applyBorder="1"/>
    <xf numFmtId="0" fontId="0" fillId="21" borderId="17" xfId="0" applyFont="1" applyFill="1" applyBorder="1" applyAlignment="1">
      <alignment horizontal="center"/>
    </xf>
    <xf numFmtId="10" fontId="3" fillId="21" borderId="0" xfId="3" applyNumberFormat="1" applyFont="1" applyFill="1" applyBorder="1" applyAlignment="1">
      <alignment horizontal="right"/>
    </xf>
    <xf numFmtId="0" fontId="3" fillId="21" borderId="0" xfId="38578" applyFont="1" applyFill="1" applyBorder="1"/>
    <xf numFmtId="0" fontId="3" fillId="21" borderId="0" xfId="38578" applyFont="1" applyFill="1" applyBorder="1" applyAlignment="1"/>
    <xf numFmtId="0" fontId="53" fillId="0" borderId="15" xfId="0" applyFont="1" applyBorder="1"/>
    <xf numFmtId="164" fontId="53" fillId="21" borderId="23" xfId="1" applyNumberFormat="1" applyFont="1" applyFill="1" applyBorder="1"/>
    <xf numFmtId="167" fontId="3" fillId="21" borderId="45" xfId="2" applyNumberFormat="1" applyFont="1" applyFill="1" applyBorder="1"/>
    <xf numFmtId="167" fontId="3" fillId="21" borderId="50" xfId="2" applyNumberFormat="1" applyFont="1" applyFill="1" applyBorder="1"/>
    <xf numFmtId="167" fontId="3" fillId="21" borderId="0" xfId="2" applyNumberFormat="1" applyFont="1" applyFill="1" applyBorder="1"/>
    <xf numFmtId="167" fontId="3" fillId="21" borderId="6" xfId="2" applyNumberFormat="1" applyFont="1" applyFill="1" applyBorder="1"/>
    <xf numFmtId="164" fontId="3" fillId="21" borderId="3" xfId="5447" applyNumberFormat="1" applyFont="1" applyFill="1" applyBorder="1"/>
    <xf numFmtId="38" fontId="3" fillId="21" borderId="46" xfId="38792" applyNumberFormat="1" applyFont="1" applyFill="1" applyBorder="1"/>
    <xf numFmtId="0" fontId="3" fillId="21" borderId="9" xfId="38578" applyNumberFormat="1" applyFont="1" applyFill="1" applyBorder="1" applyAlignment="1">
      <alignment horizontal="right"/>
    </xf>
    <xf numFmtId="0" fontId="3" fillId="21" borderId="0" xfId="38578" applyFont="1" applyFill="1" applyBorder="1" applyAlignment="1">
      <alignment horizontal="left"/>
    </xf>
    <xf numFmtId="0" fontId="3" fillId="21" borderId="0" xfId="38578" applyFont="1" applyFill="1" applyBorder="1" applyAlignment="1"/>
    <xf numFmtId="0" fontId="3" fillId="21" borderId="15" xfId="38578" applyFont="1" applyFill="1" applyBorder="1" applyAlignment="1">
      <alignment horizontal="left"/>
    </xf>
    <xf numFmtId="0" fontId="4" fillId="0" borderId="12" xfId="0" applyFont="1" applyFill="1" applyBorder="1" applyAlignment="1">
      <alignment horizontal="left"/>
    </xf>
    <xf numFmtId="0" fontId="46" fillId="0" borderId="58" xfId="0" applyFont="1" applyFill="1" applyBorder="1" applyAlignment="1">
      <alignment horizontal="left" vertical="top"/>
    </xf>
    <xf numFmtId="0" fontId="46" fillId="0" borderId="49" xfId="0" applyFont="1" applyFill="1" applyBorder="1" applyAlignment="1">
      <alignment horizontal="left" vertical="top" wrapText="1"/>
    </xf>
    <xf numFmtId="0" fontId="46" fillId="0" borderId="49" xfId="0" applyFont="1" applyFill="1" applyBorder="1"/>
    <xf numFmtId="0" fontId="46" fillId="0" borderId="49" xfId="0" applyFont="1" applyFill="1" applyBorder="1" applyAlignment="1">
      <alignment horizontal="center" vertical="top"/>
    </xf>
    <xf numFmtId="167" fontId="46" fillId="0" borderId="49" xfId="2" applyNumberFormat="1" applyFont="1" applyFill="1" applyBorder="1"/>
    <xf numFmtId="0" fontId="46" fillId="0" borderId="26" xfId="0" applyFont="1" applyFill="1" applyBorder="1"/>
    <xf numFmtId="0" fontId="50" fillId="0" borderId="24" xfId="0" applyFont="1" applyFill="1" applyBorder="1" applyAlignment="1">
      <alignment horizontal="center" readingOrder="1"/>
    </xf>
    <xf numFmtId="0" fontId="50" fillId="0" borderId="12" xfId="0" applyFont="1" applyFill="1" applyBorder="1"/>
    <xf numFmtId="0" fontId="48" fillId="0" borderId="13" xfId="0" applyFont="1" applyFill="1" applyBorder="1" applyAlignment="1">
      <alignment horizontal="left" vertical="top"/>
    </xf>
    <xf numFmtId="0" fontId="48" fillId="0" borderId="14" xfId="0" applyFont="1" applyFill="1" applyBorder="1"/>
    <xf numFmtId="0" fontId="69" fillId="0" borderId="7" xfId="0" applyFont="1" applyFill="1" applyBorder="1" applyAlignment="1">
      <alignment horizontal="left" vertical="top"/>
    </xf>
    <xf numFmtId="0" fontId="3" fillId="0" borderId="15" xfId="38578" applyFont="1" applyFill="1" applyBorder="1" applyAlignment="1">
      <alignment horizontal="left"/>
    </xf>
    <xf numFmtId="0" fontId="53" fillId="0" borderId="16" xfId="0" applyFont="1" applyFill="1" applyBorder="1"/>
    <xf numFmtId="0" fontId="3" fillId="21" borderId="54" xfId="38578" applyFont="1" applyFill="1" applyBorder="1" applyAlignment="1">
      <alignment horizontal="left"/>
    </xf>
    <xf numFmtId="0" fontId="3" fillId="21" borderId="15" xfId="38578" applyFont="1" applyFill="1" applyBorder="1"/>
    <xf numFmtId="37" fontId="3" fillId="21" borderId="34" xfId="38578" applyNumberFormat="1" applyFont="1" applyFill="1" applyBorder="1"/>
    <xf numFmtId="37" fontId="3" fillId="21" borderId="57" xfId="38578" applyNumberFormat="1" applyFont="1" applyFill="1" applyBorder="1"/>
    <xf numFmtId="37" fontId="3" fillId="21" borderId="28" xfId="38578" applyNumberFormat="1" applyFont="1" applyFill="1" applyBorder="1" applyAlignment="1">
      <alignment horizontal="right"/>
    </xf>
    <xf numFmtId="0" fontId="0" fillId="0" borderId="60" xfId="0" applyBorder="1"/>
    <xf numFmtId="0" fontId="0" fillId="0" borderId="61" xfId="0" applyBorder="1" applyAlignment="1">
      <alignment wrapText="1"/>
    </xf>
    <xf numFmtId="37" fontId="3" fillId="21" borderId="0" xfId="0" applyNumberFormat="1" applyFont="1" applyFill="1" applyBorder="1"/>
    <xf numFmtId="37" fontId="3" fillId="21" borderId="7" xfId="0" applyNumberFormat="1" applyFont="1" applyFill="1" applyBorder="1"/>
    <xf numFmtId="0" fontId="2" fillId="21" borderId="0" xfId="0" applyFont="1" applyFill="1" applyBorder="1" applyAlignment="1">
      <alignment horizontal="center"/>
    </xf>
    <xf numFmtId="0" fontId="76" fillId="0" borderId="15" xfId="0" applyFont="1" applyFill="1" applyBorder="1" applyAlignment="1">
      <alignment horizontal="left" vertical="top"/>
    </xf>
    <xf numFmtId="0" fontId="50" fillId="0" borderId="15" xfId="0" applyFont="1" applyFill="1" applyBorder="1" applyAlignment="1">
      <alignment horizontal="left" vertical="top"/>
    </xf>
    <xf numFmtId="0" fontId="50" fillId="0" borderId="17" xfId="0" applyFont="1" applyFill="1" applyBorder="1" applyAlignment="1">
      <alignment horizontal="left" vertical="top"/>
    </xf>
    <xf numFmtId="0" fontId="77" fillId="21" borderId="0" xfId="0" applyFont="1" applyFill="1" applyBorder="1" applyAlignment="1">
      <alignment horizontal="left"/>
    </xf>
    <xf numFmtId="0" fontId="3" fillId="21" borderId="0" xfId="38578" applyFont="1" applyFill="1" applyBorder="1"/>
    <xf numFmtId="3" fontId="0" fillId="0" borderId="0" xfId="0" applyNumberFormat="1"/>
    <xf numFmtId="0" fontId="3" fillId="0" borderId="15" xfId="38578" applyFont="1" applyFill="1" applyBorder="1"/>
    <xf numFmtId="0" fontId="3" fillId="0" borderId="0" xfId="38578" applyNumberFormat="1" applyFont="1" applyFill="1" applyBorder="1" applyAlignment="1"/>
    <xf numFmtId="0" fontId="3" fillId="21" borderId="12" xfId="38578" applyFont="1" applyFill="1" applyBorder="1"/>
    <xf numFmtId="0" fontId="2" fillId="21" borderId="0" xfId="0" applyFont="1" applyFill="1" applyBorder="1" applyAlignment="1">
      <alignment horizontal="center"/>
    </xf>
    <xf numFmtId="0" fontId="61" fillId="21" borderId="0" xfId="0" applyFont="1" applyFill="1" applyAlignment="1">
      <alignment horizontal="center"/>
    </xf>
    <xf numFmtId="0" fontId="75" fillId="21" borderId="0" xfId="0" applyFont="1" applyFill="1" applyAlignment="1">
      <alignment horizontal="center"/>
    </xf>
    <xf numFmtId="0" fontId="3" fillId="21" borderId="0" xfId="38578" applyFont="1" applyFill="1" applyBorder="1" applyAlignment="1">
      <alignment wrapText="1"/>
    </xf>
    <xf numFmtId="0" fontId="3" fillId="21" borderId="16" xfId="38578" applyFont="1" applyFill="1" applyBorder="1" applyAlignment="1">
      <alignment wrapText="1"/>
    </xf>
    <xf numFmtId="0" fontId="3" fillId="21" borderId="0" xfId="38578" applyFont="1" applyFill="1" applyBorder="1" applyAlignment="1">
      <alignment horizontal="left"/>
    </xf>
    <xf numFmtId="0" fontId="3" fillId="21" borderId="16" xfId="38578" applyFont="1" applyFill="1" applyBorder="1" applyAlignment="1">
      <alignment horizontal="left"/>
    </xf>
    <xf numFmtId="0" fontId="3" fillId="21" borderId="0" xfId="38578" applyFont="1" applyFill="1" applyBorder="1" applyAlignment="1"/>
    <xf numFmtId="0" fontId="3" fillId="21" borderId="16" xfId="38578" applyFont="1" applyFill="1" applyBorder="1" applyAlignment="1"/>
    <xf numFmtId="0" fontId="3" fillId="21" borderId="0" xfId="38578" applyFont="1" applyFill="1" applyBorder="1"/>
    <xf numFmtId="0" fontId="3" fillId="21" borderId="16" xfId="38578" applyFont="1" applyFill="1" applyBorder="1"/>
    <xf numFmtId="38" fontId="3" fillId="0" borderId="0" xfId="0" applyNumberFormat="1" applyFont="1" applyFill="1" applyBorder="1" applyAlignment="1">
      <alignment wrapText="1"/>
    </xf>
    <xf numFmtId="0" fontId="3" fillId="0" borderId="0" xfId="0" applyFont="1" applyFill="1" applyBorder="1" applyAlignment="1"/>
    <xf numFmtId="38" fontId="3" fillId="0" borderId="0" xfId="0" applyNumberFormat="1" applyFont="1" applyFill="1" applyBorder="1" applyAlignment="1">
      <alignment horizontal="left" vertical="top" wrapText="1"/>
    </xf>
    <xf numFmtId="0" fontId="3" fillId="0" borderId="0" xfId="0" applyFont="1" applyFill="1" applyBorder="1" applyAlignment="1">
      <alignment vertical="top"/>
    </xf>
    <xf numFmtId="0" fontId="63" fillId="0" borderId="27" xfId="0" applyFont="1" applyFill="1" applyBorder="1" applyAlignment="1">
      <alignment horizontal="center"/>
    </xf>
    <xf numFmtId="0" fontId="63" fillId="0" borderId="49" xfId="0" applyFont="1" applyFill="1" applyBorder="1" applyAlignment="1">
      <alignment horizontal="center"/>
    </xf>
    <xf numFmtId="0" fontId="63" fillId="0" borderId="59" xfId="0" applyFont="1" applyFill="1" applyBorder="1" applyAlignment="1">
      <alignment horizontal="center"/>
    </xf>
    <xf numFmtId="0" fontId="46" fillId="0" borderId="7" xfId="0" applyFont="1" applyFill="1" applyBorder="1" applyAlignment="1">
      <alignment horizontal="left" vertical="top" wrapText="1"/>
    </xf>
    <xf numFmtId="0" fontId="46" fillId="0" borderId="18" xfId="0" applyFont="1" applyFill="1" applyBorder="1" applyAlignment="1">
      <alignment horizontal="left" vertical="top" wrapText="1"/>
    </xf>
  </cellXfs>
  <cellStyles count="42330">
    <cellStyle name="20% - Accent1 10" xfId="4"/>
    <cellStyle name="20% - Accent1 10 2" xfId="5"/>
    <cellStyle name="20% - Accent1 10 2 2" xfId="6"/>
    <cellStyle name="20% - Accent1 10 2 2 2" xfId="7"/>
    <cellStyle name="20% - Accent1 10 2 3" xfId="8"/>
    <cellStyle name="20% - Accent1 10 2 4" xfId="9"/>
    <cellStyle name="20% - Accent1 10 2 5" xfId="10"/>
    <cellStyle name="20% - Accent1 10 3" xfId="11"/>
    <cellStyle name="20% - Accent1 10 3 2" xfId="12"/>
    <cellStyle name="20% - Accent1 10 3 3" xfId="13"/>
    <cellStyle name="20% - Accent1 10 3 4" xfId="14"/>
    <cellStyle name="20% - Accent1 10 4" xfId="15"/>
    <cellStyle name="20% - Accent1 10 4 2" xfId="16"/>
    <cellStyle name="20% - Accent1 10 5" xfId="17"/>
    <cellStyle name="20% - Accent1 10 6" xfId="18"/>
    <cellStyle name="20% - Accent1 10 7" xfId="19"/>
    <cellStyle name="20% - Accent1 10 8" xfId="20"/>
    <cellStyle name="20% - Accent1 11" xfId="21"/>
    <cellStyle name="20% - Accent1 11 2" xfId="22"/>
    <cellStyle name="20% - Accent1 11 2 2" xfId="23"/>
    <cellStyle name="20% - Accent1 11 2 2 2" xfId="24"/>
    <cellStyle name="20% - Accent1 11 2 3" xfId="25"/>
    <cellStyle name="20% - Accent1 11 2 4" xfId="26"/>
    <cellStyle name="20% - Accent1 11 2 5" xfId="27"/>
    <cellStyle name="20% - Accent1 11 3" xfId="28"/>
    <cellStyle name="20% - Accent1 11 3 2" xfId="29"/>
    <cellStyle name="20% - Accent1 11 3 3" xfId="30"/>
    <cellStyle name="20% - Accent1 11 3 4" xfId="31"/>
    <cellStyle name="20% - Accent1 11 4" xfId="32"/>
    <cellStyle name="20% - Accent1 11 4 2" xfId="33"/>
    <cellStyle name="20% - Accent1 11 5" xfId="34"/>
    <cellStyle name="20% - Accent1 11 6" xfId="35"/>
    <cellStyle name="20% - Accent1 11 7" xfId="36"/>
    <cellStyle name="20% - Accent1 11 8" xfId="37"/>
    <cellStyle name="20% - Accent1 12" xfId="38"/>
    <cellStyle name="20% - Accent1 12 2" xfId="39"/>
    <cellStyle name="20% - Accent1 12 2 2" xfId="40"/>
    <cellStyle name="20% - Accent1 12 2 2 2" xfId="41"/>
    <cellStyle name="20% - Accent1 12 2 3" xfId="42"/>
    <cellStyle name="20% - Accent1 12 2 4" xfId="43"/>
    <cellStyle name="20% - Accent1 12 2 5" xfId="44"/>
    <cellStyle name="20% - Accent1 12 3" xfId="45"/>
    <cellStyle name="20% - Accent1 12 3 2" xfId="46"/>
    <cellStyle name="20% - Accent1 12 3 3" xfId="47"/>
    <cellStyle name="20% - Accent1 12 3 4" xfId="48"/>
    <cellStyle name="20% - Accent1 12 4" xfId="49"/>
    <cellStyle name="20% - Accent1 12 4 2" xfId="50"/>
    <cellStyle name="20% - Accent1 12 5" xfId="51"/>
    <cellStyle name="20% - Accent1 12 6" xfId="52"/>
    <cellStyle name="20% - Accent1 12 7" xfId="53"/>
    <cellStyle name="20% - Accent1 12 8" xfId="54"/>
    <cellStyle name="20% - Accent1 13" xfId="55"/>
    <cellStyle name="20% - Accent1 13 2" xfId="56"/>
    <cellStyle name="20% - Accent1 13 2 2" xfId="57"/>
    <cellStyle name="20% - Accent1 13 2 3" xfId="58"/>
    <cellStyle name="20% - Accent1 13 2 4" xfId="59"/>
    <cellStyle name="20% - Accent1 13 3" xfId="60"/>
    <cellStyle name="20% - Accent1 13 3 2" xfId="61"/>
    <cellStyle name="20% - Accent1 13 4" xfId="62"/>
    <cellStyle name="20% - Accent1 13 5" xfId="63"/>
    <cellStyle name="20% - Accent1 13 6" xfId="64"/>
    <cellStyle name="20% - Accent1 14" xfId="65"/>
    <cellStyle name="20% - Accent1 14 2" xfId="66"/>
    <cellStyle name="20% - Accent1 14 2 2" xfId="67"/>
    <cellStyle name="20% - Accent1 14 3" xfId="68"/>
    <cellStyle name="20% - Accent1 14 4" xfId="69"/>
    <cellStyle name="20% - Accent1 14 5" xfId="70"/>
    <cellStyle name="20% - Accent1 15" xfId="71"/>
    <cellStyle name="20% - Accent1 15 2" xfId="72"/>
    <cellStyle name="20% - Accent1 15 2 2" xfId="73"/>
    <cellStyle name="20% - Accent1 15 3" xfId="74"/>
    <cellStyle name="20% - Accent1 15 4" xfId="75"/>
    <cellStyle name="20% - Accent1 15 5" xfId="76"/>
    <cellStyle name="20% - Accent1 16" xfId="77"/>
    <cellStyle name="20% - Accent1 16 2" xfId="78"/>
    <cellStyle name="20% - Accent1 17" xfId="79"/>
    <cellStyle name="20% - Accent1 18" xfId="80"/>
    <cellStyle name="20% - Accent1 19" xfId="81"/>
    <cellStyle name="20% - Accent1 2" xfId="82"/>
    <cellStyle name="20% - Accent1 2 10" xfId="83"/>
    <cellStyle name="20% - Accent1 2 11" xfId="84"/>
    <cellStyle name="20% - Accent1 2 2" xfId="85"/>
    <cellStyle name="20% - Accent1 2 2 10" xfId="86"/>
    <cellStyle name="20% - Accent1 2 2 2" xfId="87"/>
    <cellStyle name="20% - Accent1 2 2 2 2" xfId="88"/>
    <cellStyle name="20% - Accent1 2 2 2 2 2" xfId="89"/>
    <cellStyle name="20% - Accent1 2 2 2 2 2 2" xfId="90"/>
    <cellStyle name="20% - Accent1 2 2 2 2 2 3" xfId="91"/>
    <cellStyle name="20% - Accent1 2 2 2 2 3" xfId="92"/>
    <cellStyle name="20% - Accent1 2 2 2 2 4" xfId="93"/>
    <cellStyle name="20% - Accent1 2 2 2 2 5" xfId="94"/>
    <cellStyle name="20% - Accent1 2 2 2 2 6" xfId="95"/>
    <cellStyle name="20% - Accent1 2 2 2 3" xfId="96"/>
    <cellStyle name="20% - Accent1 2 2 2 3 2" xfId="97"/>
    <cellStyle name="20% - Accent1 2 2 2 3 2 2" xfId="98"/>
    <cellStyle name="20% - Accent1 2 2 2 3 3" xfId="99"/>
    <cellStyle name="20% - Accent1 2 2 2 3 4" xfId="100"/>
    <cellStyle name="20% - Accent1 2 2 2 3 5" xfId="101"/>
    <cellStyle name="20% - Accent1 2 2 2 4" xfId="102"/>
    <cellStyle name="20% - Accent1 2 2 2 4 2" xfId="103"/>
    <cellStyle name="20% - Accent1 2 2 2 4 3" xfId="104"/>
    <cellStyle name="20% - Accent1 2 2 2 4 4" xfId="105"/>
    <cellStyle name="20% - Accent1 2 2 2 5" xfId="106"/>
    <cellStyle name="20% - Accent1 2 2 2 5 2" xfId="107"/>
    <cellStyle name="20% - Accent1 2 2 2 6" xfId="108"/>
    <cellStyle name="20% - Accent1 2 2 2 7" xfId="109"/>
    <cellStyle name="20% - Accent1 2 2 2 8" xfId="110"/>
    <cellStyle name="20% - Accent1 2 2 2 9" xfId="111"/>
    <cellStyle name="20% - Accent1 2 2 3" xfId="112"/>
    <cellStyle name="20% - Accent1 2 2 3 2" xfId="113"/>
    <cellStyle name="20% - Accent1 2 2 3 2 2" xfId="114"/>
    <cellStyle name="20% - Accent1 2 2 3 2 3" xfId="115"/>
    <cellStyle name="20% - Accent1 2 2 3 3" xfId="116"/>
    <cellStyle name="20% - Accent1 2 2 3 4" xfId="117"/>
    <cellStyle name="20% - Accent1 2 2 3 5" xfId="118"/>
    <cellStyle name="20% - Accent1 2 2 3 6" xfId="119"/>
    <cellStyle name="20% - Accent1 2 2 4" xfId="120"/>
    <cellStyle name="20% - Accent1 2 2 4 2" xfId="121"/>
    <cellStyle name="20% - Accent1 2 2 4 2 2" xfId="122"/>
    <cellStyle name="20% - Accent1 2 2 4 3" xfId="123"/>
    <cellStyle name="20% - Accent1 2 2 4 4" xfId="124"/>
    <cellStyle name="20% - Accent1 2 2 4 5" xfId="125"/>
    <cellStyle name="20% - Accent1 2 2 5" xfId="126"/>
    <cellStyle name="20% - Accent1 2 2 5 2" xfId="127"/>
    <cellStyle name="20% - Accent1 2 2 5 3" xfId="128"/>
    <cellStyle name="20% - Accent1 2 2 5 4" xfId="129"/>
    <cellStyle name="20% - Accent1 2 2 6" xfId="130"/>
    <cellStyle name="20% - Accent1 2 2 6 2" xfId="131"/>
    <cellStyle name="20% - Accent1 2 2 7" xfId="132"/>
    <cellStyle name="20% - Accent1 2 2 8" xfId="133"/>
    <cellStyle name="20% - Accent1 2 2 9" xfId="134"/>
    <cellStyle name="20% - Accent1 2 3" xfId="135"/>
    <cellStyle name="20% - Accent1 2 3 2" xfId="136"/>
    <cellStyle name="20% - Accent1 2 3 2 2" xfId="137"/>
    <cellStyle name="20% - Accent1 2 3 2 2 2" xfId="138"/>
    <cellStyle name="20% - Accent1 2 3 2 2 3" xfId="139"/>
    <cellStyle name="20% - Accent1 2 3 2 3" xfId="140"/>
    <cellStyle name="20% - Accent1 2 3 2 4" xfId="141"/>
    <cellStyle name="20% - Accent1 2 3 2 5" xfId="142"/>
    <cellStyle name="20% - Accent1 2 3 2 6" xfId="143"/>
    <cellStyle name="20% - Accent1 2 3 3" xfId="144"/>
    <cellStyle name="20% - Accent1 2 3 3 2" xfId="145"/>
    <cellStyle name="20% - Accent1 2 3 3 2 2" xfId="146"/>
    <cellStyle name="20% - Accent1 2 3 3 3" xfId="147"/>
    <cellStyle name="20% - Accent1 2 3 3 4" xfId="148"/>
    <cellStyle name="20% - Accent1 2 3 3 5" xfId="149"/>
    <cellStyle name="20% - Accent1 2 3 4" xfId="150"/>
    <cellStyle name="20% - Accent1 2 3 4 2" xfId="151"/>
    <cellStyle name="20% - Accent1 2 3 4 3" xfId="152"/>
    <cellStyle name="20% - Accent1 2 3 4 4" xfId="153"/>
    <cellStyle name="20% - Accent1 2 3 5" xfId="154"/>
    <cellStyle name="20% - Accent1 2 3 5 2" xfId="155"/>
    <cellStyle name="20% - Accent1 2 3 6" xfId="156"/>
    <cellStyle name="20% - Accent1 2 3 7" xfId="157"/>
    <cellStyle name="20% - Accent1 2 3 8" xfId="158"/>
    <cellStyle name="20% - Accent1 2 3 9" xfId="159"/>
    <cellStyle name="20% - Accent1 2 4" xfId="160"/>
    <cellStyle name="20% - Accent1 2 4 2" xfId="161"/>
    <cellStyle name="20% - Accent1 2 4 2 2" xfId="162"/>
    <cellStyle name="20% - Accent1 2 4 2 3" xfId="163"/>
    <cellStyle name="20% - Accent1 2 4 3" xfId="164"/>
    <cellStyle name="20% - Accent1 2 4 4" xfId="165"/>
    <cellStyle name="20% - Accent1 2 4 5" xfId="166"/>
    <cellStyle name="20% - Accent1 2 4 6" xfId="167"/>
    <cellStyle name="20% - Accent1 2 5" xfId="168"/>
    <cellStyle name="20% - Accent1 2 5 2" xfId="169"/>
    <cellStyle name="20% - Accent1 2 5 2 2" xfId="170"/>
    <cellStyle name="20% - Accent1 2 5 3" xfId="171"/>
    <cellStyle name="20% - Accent1 2 5 4" xfId="172"/>
    <cellStyle name="20% - Accent1 2 5 5" xfId="173"/>
    <cellStyle name="20% - Accent1 2 6" xfId="174"/>
    <cellStyle name="20% - Accent1 2 6 2" xfId="175"/>
    <cellStyle name="20% - Accent1 2 6 2 2" xfId="176"/>
    <cellStyle name="20% - Accent1 2 6 3" xfId="177"/>
    <cellStyle name="20% - Accent1 2 6 4" xfId="178"/>
    <cellStyle name="20% - Accent1 2 6 5" xfId="179"/>
    <cellStyle name="20% - Accent1 2 7" xfId="180"/>
    <cellStyle name="20% - Accent1 2 7 2" xfId="181"/>
    <cellStyle name="20% - Accent1 2 8" xfId="182"/>
    <cellStyle name="20% - Accent1 2 9" xfId="183"/>
    <cellStyle name="20% - Accent1 3" xfId="184"/>
    <cellStyle name="20% - Accent1 3 10" xfId="185"/>
    <cellStyle name="20% - Accent1 3 2" xfId="186"/>
    <cellStyle name="20% - Accent1 3 2 2" xfId="187"/>
    <cellStyle name="20% - Accent1 3 2 2 2" xfId="188"/>
    <cellStyle name="20% - Accent1 3 2 2 2 2" xfId="189"/>
    <cellStyle name="20% - Accent1 3 2 2 2 3" xfId="190"/>
    <cellStyle name="20% - Accent1 3 2 2 3" xfId="191"/>
    <cellStyle name="20% - Accent1 3 2 2 4" xfId="192"/>
    <cellStyle name="20% - Accent1 3 2 2 5" xfId="193"/>
    <cellStyle name="20% - Accent1 3 2 2 6" xfId="194"/>
    <cellStyle name="20% - Accent1 3 2 3" xfId="195"/>
    <cellStyle name="20% - Accent1 3 2 3 2" xfId="196"/>
    <cellStyle name="20% - Accent1 3 2 3 2 2" xfId="197"/>
    <cellStyle name="20% - Accent1 3 2 3 3" xfId="198"/>
    <cellStyle name="20% - Accent1 3 2 3 4" xfId="199"/>
    <cellStyle name="20% - Accent1 3 2 3 5" xfId="200"/>
    <cellStyle name="20% - Accent1 3 2 4" xfId="201"/>
    <cellStyle name="20% - Accent1 3 2 4 2" xfId="202"/>
    <cellStyle name="20% - Accent1 3 2 4 3" xfId="203"/>
    <cellStyle name="20% - Accent1 3 2 4 4" xfId="204"/>
    <cellStyle name="20% - Accent1 3 2 5" xfId="205"/>
    <cellStyle name="20% - Accent1 3 2 5 2" xfId="206"/>
    <cellStyle name="20% - Accent1 3 2 6" xfId="207"/>
    <cellStyle name="20% - Accent1 3 2 7" xfId="208"/>
    <cellStyle name="20% - Accent1 3 2 8" xfId="209"/>
    <cellStyle name="20% - Accent1 3 2 9" xfId="210"/>
    <cellStyle name="20% - Accent1 3 3" xfId="211"/>
    <cellStyle name="20% - Accent1 3 3 2" xfId="212"/>
    <cellStyle name="20% - Accent1 3 3 2 2" xfId="213"/>
    <cellStyle name="20% - Accent1 3 3 2 3" xfId="214"/>
    <cellStyle name="20% - Accent1 3 3 3" xfId="215"/>
    <cellStyle name="20% - Accent1 3 3 4" xfId="216"/>
    <cellStyle name="20% - Accent1 3 3 5" xfId="217"/>
    <cellStyle name="20% - Accent1 3 3 6" xfId="218"/>
    <cellStyle name="20% - Accent1 3 4" xfId="219"/>
    <cellStyle name="20% - Accent1 3 4 2" xfId="220"/>
    <cellStyle name="20% - Accent1 3 4 2 2" xfId="221"/>
    <cellStyle name="20% - Accent1 3 4 3" xfId="222"/>
    <cellStyle name="20% - Accent1 3 4 4" xfId="223"/>
    <cellStyle name="20% - Accent1 3 4 5" xfId="224"/>
    <cellStyle name="20% - Accent1 3 5" xfId="225"/>
    <cellStyle name="20% - Accent1 3 5 2" xfId="226"/>
    <cellStyle name="20% - Accent1 3 5 2 2" xfId="227"/>
    <cellStyle name="20% - Accent1 3 5 3" xfId="228"/>
    <cellStyle name="20% - Accent1 3 5 4" xfId="229"/>
    <cellStyle name="20% - Accent1 3 5 5" xfId="230"/>
    <cellStyle name="20% - Accent1 3 6" xfId="231"/>
    <cellStyle name="20% - Accent1 3 6 2" xfId="232"/>
    <cellStyle name="20% - Accent1 3 7" xfId="233"/>
    <cellStyle name="20% - Accent1 3 8" xfId="234"/>
    <cellStyle name="20% - Accent1 3 9" xfId="235"/>
    <cellStyle name="20% - Accent1 4" xfId="236"/>
    <cellStyle name="20% - Accent1 4 10" xfId="237"/>
    <cellStyle name="20% - Accent1 4 2" xfId="238"/>
    <cellStyle name="20% - Accent1 4 2 2" xfId="239"/>
    <cellStyle name="20% - Accent1 4 2 2 2" xfId="240"/>
    <cellStyle name="20% - Accent1 4 2 2 2 2" xfId="241"/>
    <cellStyle name="20% - Accent1 4 2 2 2 3" xfId="242"/>
    <cellStyle name="20% - Accent1 4 2 2 3" xfId="243"/>
    <cellStyle name="20% - Accent1 4 2 2 4" xfId="244"/>
    <cellStyle name="20% - Accent1 4 2 2 5" xfId="245"/>
    <cellStyle name="20% - Accent1 4 2 2 6" xfId="246"/>
    <cellStyle name="20% - Accent1 4 2 3" xfId="247"/>
    <cellStyle name="20% - Accent1 4 2 3 2" xfId="248"/>
    <cellStyle name="20% - Accent1 4 2 3 2 2" xfId="249"/>
    <cellStyle name="20% - Accent1 4 2 3 3" xfId="250"/>
    <cellStyle name="20% - Accent1 4 2 3 4" xfId="251"/>
    <cellStyle name="20% - Accent1 4 2 3 5" xfId="252"/>
    <cellStyle name="20% - Accent1 4 2 4" xfId="253"/>
    <cellStyle name="20% - Accent1 4 2 4 2" xfId="254"/>
    <cellStyle name="20% - Accent1 4 2 4 3" xfId="255"/>
    <cellStyle name="20% - Accent1 4 2 4 4" xfId="256"/>
    <cellStyle name="20% - Accent1 4 2 5" xfId="257"/>
    <cellStyle name="20% - Accent1 4 2 5 2" xfId="258"/>
    <cellStyle name="20% - Accent1 4 2 6" xfId="259"/>
    <cellStyle name="20% - Accent1 4 2 7" xfId="260"/>
    <cellStyle name="20% - Accent1 4 2 8" xfId="261"/>
    <cellStyle name="20% - Accent1 4 2 9" xfId="262"/>
    <cellStyle name="20% - Accent1 4 3" xfId="263"/>
    <cellStyle name="20% - Accent1 4 3 2" xfId="264"/>
    <cellStyle name="20% - Accent1 4 3 2 2" xfId="265"/>
    <cellStyle name="20% - Accent1 4 3 2 3" xfId="266"/>
    <cellStyle name="20% - Accent1 4 3 3" xfId="267"/>
    <cellStyle name="20% - Accent1 4 3 4" xfId="268"/>
    <cellStyle name="20% - Accent1 4 3 5" xfId="269"/>
    <cellStyle name="20% - Accent1 4 3 6" xfId="270"/>
    <cellStyle name="20% - Accent1 4 4" xfId="271"/>
    <cellStyle name="20% - Accent1 4 4 2" xfId="272"/>
    <cellStyle name="20% - Accent1 4 4 2 2" xfId="273"/>
    <cellStyle name="20% - Accent1 4 4 3" xfId="274"/>
    <cellStyle name="20% - Accent1 4 4 4" xfId="275"/>
    <cellStyle name="20% - Accent1 4 4 5" xfId="276"/>
    <cellStyle name="20% - Accent1 4 5" xfId="277"/>
    <cellStyle name="20% - Accent1 4 5 2" xfId="278"/>
    <cellStyle name="20% - Accent1 4 5 2 2" xfId="279"/>
    <cellStyle name="20% - Accent1 4 5 3" xfId="280"/>
    <cellStyle name="20% - Accent1 4 5 4" xfId="281"/>
    <cellStyle name="20% - Accent1 4 5 5" xfId="282"/>
    <cellStyle name="20% - Accent1 4 6" xfId="283"/>
    <cellStyle name="20% - Accent1 4 6 2" xfId="284"/>
    <cellStyle name="20% - Accent1 4 7" xfId="285"/>
    <cellStyle name="20% - Accent1 4 8" xfId="286"/>
    <cellStyle name="20% - Accent1 4 9" xfId="287"/>
    <cellStyle name="20% - Accent1 5" xfId="288"/>
    <cellStyle name="20% - Accent1 5 10" xfId="289"/>
    <cellStyle name="20% - Accent1 5 2" xfId="290"/>
    <cellStyle name="20% - Accent1 5 2 2" xfId="291"/>
    <cellStyle name="20% - Accent1 5 2 2 2" xfId="292"/>
    <cellStyle name="20% - Accent1 5 2 2 2 2" xfId="293"/>
    <cellStyle name="20% - Accent1 5 2 2 2 3" xfId="294"/>
    <cellStyle name="20% - Accent1 5 2 2 3" xfId="295"/>
    <cellStyle name="20% - Accent1 5 2 2 4" xfId="296"/>
    <cellStyle name="20% - Accent1 5 2 2 5" xfId="297"/>
    <cellStyle name="20% - Accent1 5 2 2 6" xfId="298"/>
    <cellStyle name="20% - Accent1 5 2 3" xfId="299"/>
    <cellStyle name="20% - Accent1 5 2 3 2" xfId="300"/>
    <cellStyle name="20% - Accent1 5 2 3 2 2" xfId="301"/>
    <cellStyle name="20% - Accent1 5 2 3 3" xfId="302"/>
    <cellStyle name="20% - Accent1 5 2 3 4" xfId="303"/>
    <cellStyle name="20% - Accent1 5 2 3 5" xfId="304"/>
    <cellStyle name="20% - Accent1 5 2 4" xfId="305"/>
    <cellStyle name="20% - Accent1 5 2 4 2" xfId="306"/>
    <cellStyle name="20% - Accent1 5 2 4 3" xfId="307"/>
    <cellStyle name="20% - Accent1 5 2 4 4" xfId="308"/>
    <cellStyle name="20% - Accent1 5 2 5" xfId="309"/>
    <cellStyle name="20% - Accent1 5 2 5 2" xfId="310"/>
    <cellStyle name="20% - Accent1 5 2 6" xfId="311"/>
    <cellStyle name="20% - Accent1 5 2 7" xfId="312"/>
    <cellStyle name="20% - Accent1 5 2 8" xfId="313"/>
    <cellStyle name="20% - Accent1 5 2 9" xfId="314"/>
    <cellStyle name="20% - Accent1 5 3" xfId="315"/>
    <cellStyle name="20% - Accent1 5 3 2" xfId="316"/>
    <cellStyle name="20% - Accent1 5 3 2 2" xfId="317"/>
    <cellStyle name="20% - Accent1 5 3 2 3" xfId="318"/>
    <cellStyle name="20% - Accent1 5 3 3" xfId="319"/>
    <cellStyle name="20% - Accent1 5 3 4" xfId="320"/>
    <cellStyle name="20% - Accent1 5 3 5" xfId="321"/>
    <cellStyle name="20% - Accent1 5 3 6" xfId="322"/>
    <cellStyle name="20% - Accent1 5 4" xfId="323"/>
    <cellStyle name="20% - Accent1 5 4 2" xfId="324"/>
    <cellStyle name="20% - Accent1 5 4 2 2" xfId="325"/>
    <cellStyle name="20% - Accent1 5 4 3" xfId="326"/>
    <cellStyle name="20% - Accent1 5 4 4" xfId="327"/>
    <cellStyle name="20% - Accent1 5 4 5" xfId="328"/>
    <cellStyle name="20% - Accent1 5 5" xfId="329"/>
    <cellStyle name="20% - Accent1 5 5 2" xfId="330"/>
    <cellStyle name="20% - Accent1 5 5 3" xfId="331"/>
    <cellStyle name="20% - Accent1 5 5 4" xfId="332"/>
    <cellStyle name="20% - Accent1 5 6" xfId="333"/>
    <cellStyle name="20% - Accent1 5 6 2" xfId="334"/>
    <cellStyle name="20% - Accent1 5 7" xfId="335"/>
    <cellStyle name="20% - Accent1 5 8" xfId="336"/>
    <cellStyle name="20% - Accent1 5 9" xfId="337"/>
    <cellStyle name="20% - Accent1 6" xfId="338"/>
    <cellStyle name="20% - Accent1 6 10" xfId="339"/>
    <cellStyle name="20% - Accent1 6 2" xfId="340"/>
    <cellStyle name="20% - Accent1 6 2 2" xfId="341"/>
    <cellStyle name="20% - Accent1 6 2 2 2" xfId="342"/>
    <cellStyle name="20% - Accent1 6 2 2 2 2" xfId="343"/>
    <cellStyle name="20% - Accent1 6 2 2 2 3" xfId="344"/>
    <cellStyle name="20% - Accent1 6 2 2 3" xfId="345"/>
    <cellStyle name="20% - Accent1 6 2 2 4" xfId="346"/>
    <cellStyle name="20% - Accent1 6 2 2 5" xfId="347"/>
    <cellStyle name="20% - Accent1 6 2 2 6" xfId="348"/>
    <cellStyle name="20% - Accent1 6 2 3" xfId="349"/>
    <cellStyle name="20% - Accent1 6 2 3 2" xfId="350"/>
    <cellStyle name="20% - Accent1 6 2 3 2 2" xfId="351"/>
    <cellStyle name="20% - Accent1 6 2 3 3" xfId="352"/>
    <cellStyle name="20% - Accent1 6 2 3 4" xfId="353"/>
    <cellStyle name="20% - Accent1 6 2 3 5" xfId="354"/>
    <cellStyle name="20% - Accent1 6 2 4" xfId="355"/>
    <cellStyle name="20% - Accent1 6 2 4 2" xfId="356"/>
    <cellStyle name="20% - Accent1 6 2 4 3" xfId="357"/>
    <cellStyle name="20% - Accent1 6 2 4 4" xfId="358"/>
    <cellStyle name="20% - Accent1 6 2 5" xfId="359"/>
    <cellStyle name="20% - Accent1 6 2 5 2" xfId="360"/>
    <cellStyle name="20% - Accent1 6 2 6" xfId="361"/>
    <cellStyle name="20% - Accent1 6 2 7" xfId="362"/>
    <cellStyle name="20% - Accent1 6 2 8" xfId="363"/>
    <cellStyle name="20% - Accent1 6 2 9" xfId="364"/>
    <cellStyle name="20% - Accent1 6 3" xfId="365"/>
    <cellStyle name="20% - Accent1 6 3 2" xfId="366"/>
    <cellStyle name="20% - Accent1 6 3 2 2" xfId="367"/>
    <cellStyle name="20% - Accent1 6 3 2 3" xfId="368"/>
    <cellStyle name="20% - Accent1 6 3 3" xfId="369"/>
    <cellStyle name="20% - Accent1 6 3 4" xfId="370"/>
    <cellStyle name="20% - Accent1 6 3 5" xfId="371"/>
    <cellStyle name="20% - Accent1 6 3 6" xfId="372"/>
    <cellStyle name="20% - Accent1 6 4" xfId="373"/>
    <cellStyle name="20% - Accent1 6 4 2" xfId="374"/>
    <cellStyle name="20% - Accent1 6 4 2 2" xfId="375"/>
    <cellStyle name="20% - Accent1 6 4 3" xfId="376"/>
    <cellStyle name="20% - Accent1 6 4 4" xfId="377"/>
    <cellStyle name="20% - Accent1 6 4 5" xfId="378"/>
    <cellStyle name="20% - Accent1 6 5" xfId="379"/>
    <cellStyle name="20% - Accent1 6 5 2" xfId="380"/>
    <cellStyle name="20% - Accent1 6 5 3" xfId="381"/>
    <cellStyle name="20% - Accent1 6 5 4" xfId="382"/>
    <cellStyle name="20% - Accent1 6 6" xfId="383"/>
    <cellStyle name="20% - Accent1 6 6 2" xfId="384"/>
    <cellStyle name="20% - Accent1 6 7" xfId="385"/>
    <cellStyle name="20% - Accent1 6 8" xfId="386"/>
    <cellStyle name="20% - Accent1 6 9" xfId="387"/>
    <cellStyle name="20% - Accent1 7" xfId="388"/>
    <cellStyle name="20% - Accent1 7 2" xfId="389"/>
    <cellStyle name="20% - Accent1 7 2 2" xfId="390"/>
    <cellStyle name="20% - Accent1 7 2 2 2" xfId="391"/>
    <cellStyle name="20% - Accent1 7 2 2 3" xfId="392"/>
    <cellStyle name="20% - Accent1 7 2 3" xfId="393"/>
    <cellStyle name="20% - Accent1 7 2 4" xfId="394"/>
    <cellStyle name="20% - Accent1 7 2 5" xfId="395"/>
    <cellStyle name="20% - Accent1 7 2 6" xfId="396"/>
    <cellStyle name="20% - Accent1 7 3" xfId="397"/>
    <cellStyle name="20% - Accent1 7 3 2" xfId="398"/>
    <cellStyle name="20% - Accent1 7 3 2 2" xfId="399"/>
    <cellStyle name="20% - Accent1 7 3 3" xfId="400"/>
    <cellStyle name="20% - Accent1 7 3 4" xfId="401"/>
    <cellStyle name="20% - Accent1 7 3 5" xfId="402"/>
    <cellStyle name="20% - Accent1 7 4" xfId="403"/>
    <cellStyle name="20% - Accent1 7 4 2" xfId="404"/>
    <cellStyle name="20% - Accent1 7 4 3" xfId="405"/>
    <cellStyle name="20% - Accent1 7 4 4" xfId="406"/>
    <cellStyle name="20% - Accent1 7 5" xfId="407"/>
    <cellStyle name="20% - Accent1 7 5 2" xfId="408"/>
    <cellStyle name="20% - Accent1 7 6" xfId="409"/>
    <cellStyle name="20% - Accent1 7 7" xfId="410"/>
    <cellStyle name="20% - Accent1 7 8" xfId="411"/>
    <cellStyle name="20% - Accent1 7 9" xfId="412"/>
    <cellStyle name="20% - Accent1 8" xfId="413"/>
    <cellStyle name="20% - Accent1 8 2" xfId="414"/>
    <cellStyle name="20% - Accent1 8 2 2" xfId="415"/>
    <cellStyle name="20% - Accent1 8 2 2 2" xfId="416"/>
    <cellStyle name="20% - Accent1 8 2 2 3" xfId="417"/>
    <cellStyle name="20% - Accent1 8 2 3" xfId="418"/>
    <cellStyle name="20% - Accent1 8 2 4" xfId="419"/>
    <cellStyle name="20% - Accent1 8 2 5" xfId="420"/>
    <cellStyle name="20% - Accent1 8 2 6" xfId="421"/>
    <cellStyle name="20% - Accent1 8 3" xfId="422"/>
    <cellStyle name="20% - Accent1 8 3 2" xfId="423"/>
    <cellStyle name="20% - Accent1 8 3 2 2" xfId="424"/>
    <cellStyle name="20% - Accent1 8 3 3" xfId="425"/>
    <cellStyle name="20% - Accent1 8 3 4" xfId="426"/>
    <cellStyle name="20% - Accent1 8 3 5" xfId="427"/>
    <cellStyle name="20% - Accent1 8 4" xfId="428"/>
    <cellStyle name="20% - Accent1 8 4 2" xfId="429"/>
    <cellStyle name="20% - Accent1 8 4 3" xfId="430"/>
    <cellStyle name="20% - Accent1 8 4 4" xfId="431"/>
    <cellStyle name="20% - Accent1 8 5" xfId="432"/>
    <cellStyle name="20% - Accent1 8 5 2" xfId="433"/>
    <cellStyle name="20% - Accent1 8 6" xfId="434"/>
    <cellStyle name="20% - Accent1 8 7" xfId="435"/>
    <cellStyle name="20% - Accent1 8 8" xfId="436"/>
    <cellStyle name="20% - Accent1 8 9" xfId="437"/>
    <cellStyle name="20% - Accent1 9" xfId="438"/>
    <cellStyle name="20% - Accent1 9 2" xfId="439"/>
    <cellStyle name="20% - Accent1 9 2 2" xfId="440"/>
    <cellStyle name="20% - Accent1 9 2 2 2" xfId="441"/>
    <cellStyle name="20% - Accent1 9 2 3" xfId="442"/>
    <cellStyle name="20% - Accent1 9 2 4" xfId="443"/>
    <cellStyle name="20% - Accent1 9 2 5" xfId="444"/>
    <cellStyle name="20% - Accent1 9 3" xfId="445"/>
    <cellStyle name="20% - Accent1 9 3 2" xfId="446"/>
    <cellStyle name="20% - Accent1 9 3 3" xfId="447"/>
    <cellStyle name="20% - Accent1 9 3 4" xfId="448"/>
    <cellStyle name="20% - Accent1 9 4" xfId="449"/>
    <cellStyle name="20% - Accent1 9 4 2" xfId="450"/>
    <cellStyle name="20% - Accent1 9 5" xfId="451"/>
    <cellStyle name="20% - Accent1 9 6" xfId="452"/>
    <cellStyle name="20% - Accent1 9 7" xfId="453"/>
    <cellStyle name="20% - Accent1 9 8" xfId="454"/>
    <cellStyle name="20% - Accent2 10" xfId="455"/>
    <cellStyle name="20% - Accent2 10 2" xfId="456"/>
    <cellStyle name="20% - Accent2 10 2 2" xfId="457"/>
    <cellStyle name="20% - Accent2 10 2 2 2" xfId="458"/>
    <cellStyle name="20% - Accent2 10 2 3" xfId="459"/>
    <cellStyle name="20% - Accent2 10 2 4" xfId="460"/>
    <cellStyle name="20% - Accent2 10 2 5" xfId="461"/>
    <cellStyle name="20% - Accent2 10 3" xfId="462"/>
    <cellStyle name="20% - Accent2 10 3 2" xfId="463"/>
    <cellStyle name="20% - Accent2 10 3 3" xfId="464"/>
    <cellStyle name="20% - Accent2 10 3 4" xfId="465"/>
    <cellStyle name="20% - Accent2 10 4" xfId="466"/>
    <cellStyle name="20% - Accent2 10 4 2" xfId="467"/>
    <cellStyle name="20% - Accent2 10 5" xfId="468"/>
    <cellStyle name="20% - Accent2 10 6" xfId="469"/>
    <cellStyle name="20% - Accent2 10 7" xfId="470"/>
    <cellStyle name="20% - Accent2 10 8" xfId="471"/>
    <cellStyle name="20% - Accent2 11" xfId="472"/>
    <cellStyle name="20% - Accent2 11 2" xfId="473"/>
    <cellStyle name="20% - Accent2 11 2 2" xfId="474"/>
    <cellStyle name="20% - Accent2 11 2 2 2" xfId="475"/>
    <cellStyle name="20% - Accent2 11 2 3" xfId="476"/>
    <cellStyle name="20% - Accent2 11 2 4" xfId="477"/>
    <cellStyle name="20% - Accent2 11 2 5" xfId="478"/>
    <cellStyle name="20% - Accent2 11 3" xfId="479"/>
    <cellStyle name="20% - Accent2 11 3 2" xfId="480"/>
    <cellStyle name="20% - Accent2 11 3 3" xfId="481"/>
    <cellStyle name="20% - Accent2 11 3 4" xfId="482"/>
    <cellStyle name="20% - Accent2 11 4" xfId="483"/>
    <cellStyle name="20% - Accent2 11 4 2" xfId="484"/>
    <cellStyle name="20% - Accent2 11 5" xfId="485"/>
    <cellStyle name="20% - Accent2 11 6" xfId="486"/>
    <cellStyle name="20% - Accent2 11 7" xfId="487"/>
    <cellStyle name="20% - Accent2 11 8" xfId="488"/>
    <cellStyle name="20% - Accent2 12" xfId="489"/>
    <cellStyle name="20% - Accent2 12 2" xfId="490"/>
    <cellStyle name="20% - Accent2 12 2 2" xfId="491"/>
    <cellStyle name="20% - Accent2 12 2 2 2" xfId="492"/>
    <cellStyle name="20% - Accent2 12 2 3" xfId="493"/>
    <cellStyle name="20% - Accent2 12 2 4" xfId="494"/>
    <cellStyle name="20% - Accent2 12 2 5" xfId="495"/>
    <cellStyle name="20% - Accent2 12 3" xfId="496"/>
    <cellStyle name="20% - Accent2 12 3 2" xfId="497"/>
    <cellStyle name="20% - Accent2 12 3 3" xfId="498"/>
    <cellStyle name="20% - Accent2 12 3 4" xfId="499"/>
    <cellStyle name="20% - Accent2 12 4" xfId="500"/>
    <cellStyle name="20% - Accent2 12 4 2" xfId="501"/>
    <cellStyle name="20% - Accent2 12 5" xfId="502"/>
    <cellStyle name="20% - Accent2 12 6" xfId="503"/>
    <cellStyle name="20% - Accent2 12 7" xfId="504"/>
    <cellStyle name="20% - Accent2 12 8" xfId="505"/>
    <cellStyle name="20% - Accent2 13" xfId="506"/>
    <cellStyle name="20% - Accent2 13 2" xfId="507"/>
    <cellStyle name="20% - Accent2 13 2 2" xfId="508"/>
    <cellStyle name="20% - Accent2 13 2 3" xfId="509"/>
    <cellStyle name="20% - Accent2 13 2 4" xfId="510"/>
    <cellStyle name="20% - Accent2 13 3" xfId="511"/>
    <cellStyle name="20% - Accent2 13 3 2" xfId="512"/>
    <cellStyle name="20% - Accent2 13 4" xfId="513"/>
    <cellStyle name="20% - Accent2 13 5" xfId="514"/>
    <cellStyle name="20% - Accent2 13 6" xfId="515"/>
    <cellStyle name="20% - Accent2 14" xfId="516"/>
    <cellStyle name="20% - Accent2 14 2" xfId="517"/>
    <cellStyle name="20% - Accent2 14 2 2" xfId="518"/>
    <cellStyle name="20% - Accent2 14 3" xfId="519"/>
    <cellStyle name="20% - Accent2 14 4" xfId="520"/>
    <cellStyle name="20% - Accent2 14 5" xfId="521"/>
    <cellStyle name="20% - Accent2 15" xfId="522"/>
    <cellStyle name="20% - Accent2 15 2" xfId="523"/>
    <cellStyle name="20% - Accent2 15 2 2" xfId="524"/>
    <cellStyle name="20% - Accent2 15 3" xfId="525"/>
    <cellStyle name="20% - Accent2 15 4" xfId="526"/>
    <cellStyle name="20% - Accent2 15 5" xfId="527"/>
    <cellStyle name="20% - Accent2 16" xfId="528"/>
    <cellStyle name="20% - Accent2 16 2" xfId="529"/>
    <cellStyle name="20% - Accent2 17" xfId="530"/>
    <cellStyle name="20% - Accent2 18" xfId="531"/>
    <cellStyle name="20% - Accent2 19" xfId="532"/>
    <cellStyle name="20% - Accent2 2" xfId="533"/>
    <cellStyle name="20% - Accent2 2 10" xfId="534"/>
    <cellStyle name="20% - Accent2 2 11" xfId="535"/>
    <cellStyle name="20% - Accent2 2 2" xfId="536"/>
    <cellStyle name="20% - Accent2 2 2 10" xfId="537"/>
    <cellStyle name="20% - Accent2 2 2 2" xfId="538"/>
    <cellStyle name="20% - Accent2 2 2 2 2" xfId="539"/>
    <cellStyle name="20% - Accent2 2 2 2 2 2" xfId="540"/>
    <cellStyle name="20% - Accent2 2 2 2 2 2 2" xfId="541"/>
    <cellStyle name="20% - Accent2 2 2 2 2 2 3" xfId="542"/>
    <cellStyle name="20% - Accent2 2 2 2 2 3" xfId="543"/>
    <cellStyle name="20% - Accent2 2 2 2 2 4" xfId="544"/>
    <cellStyle name="20% - Accent2 2 2 2 2 5" xfId="545"/>
    <cellStyle name="20% - Accent2 2 2 2 2 6" xfId="546"/>
    <cellStyle name="20% - Accent2 2 2 2 3" xfId="547"/>
    <cellStyle name="20% - Accent2 2 2 2 3 2" xfId="548"/>
    <cellStyle name="20% - Accent2 2 2 2 3 2 2" xfId="549"/>
    <cellStyle name="20% - Accent2 2 2 2 3 3" xfId="550"/>
    <cellStyle name="20% - Accent2 2 2 2 3 4" xfId="551"/>
    <cellStyle name="20% - Accent2 2 2 2 3 5" xfId="552"/>
    <cellStyle name="20% - Accent2 2 2 2 4" xfId="553"/>
    <cellStyle name="20% - Accent2 2 2 2 4 2" xfId="554"/>
    <cellStyle name="20% - Accent2 2 2 2 4 3" xfId="555"/>
    <cellStyle name="20% - Accent2 2 2 2 4 4" xfId="556"/>
    <cellStyle name="20% - Accent2 2 2 2 5" xfId="557"/>
    <cellStyle name="20% - Accent2 2 2 2 5 2" xfId="558"/>
    <cellStyle name="20% - Accent2 2 2 2 6" xfId="559"/>
    <cellStyle name="20% - Accent2 2 2 2 7" xfId="560"/>
    <cellStyle name="20% - Accent2 2 2 2 8" xfId="561"/>
    <cellStyle name="20% - Accent2 2 2 2 9" xfId="562"/>
    <cellStyle name="20% - Accent2 2 2 3" xfId="563"/>
    <cellStyle name="20% - Accent2 2 2 3 2" xfId="564"/>
    <cellStyle name="20% - Accent2 2 2 3 2 2" xfId="565"/>
    <cellStyle name="20% - Accent2 2 2 3 2 3" xfId="566"/>
    <cellStyle name="20% - Accent2 2 2 3 3" xfId="567"/>
    <cellStyle name="20% - Accent2 2 2 3 4" xfId="568"/>
    <cellStyle name="20% - Accent2 2 2 3 5" xfId="569"/>
    <cellStyle name="20% - Accent2 2 2 3 6" xfId="570"/>
    <cellStyle name="20% - Accent2 2 2 4" xfId="571"/>
    <cellStyle name="20% - Accent2 2 2 4 2" xfId="572"/>
    <cellStyle name="20% - Accent2 2 2 4 2 2" xfId="573"/>
    <cellStyle name="20% - Accent2 2 2 4 3" xfId="574"/>
    <cellStyle name="20% - Accent2 2 2 4 4" xfId="575"/>
    <cellStyle name="20% - Accent2 2 2 4 5" xfId="576"/>
    <cellStyle name="20% - Accent2 2 2 5" xfId="577"/>
    <cellStyle name="20% - Accent2 2 2 5 2" xfId="578"/>
    <cellStyle name="20% - Accent2 2 2 5 3" xfId="579"/>
    <cellStyle name="20% - Accent2 2 2 5 4" xfId="580"/>
    <cellStyle name="20% - Accent2 2 2 6" xfId="581"/>
    <cellStyle name="20% - Accent2 2 2 6 2" xfId="582"/>
    <cellStyle name="20% - Accent2 2 2 7" xfId="583"/>
    <cellStyle name="20% - Accent2 2 2 8" xfId="584"/>
    <cellStyle name="20% - Accent2 2 2 9" xfId="585"/>
    <cellStyle name="20% - Accent2 2 3" xfId="586"/>
    <cellStyle name="20% - Accent2 2 3 2" xfId="587"/>
    <cellStyle name="20% - Accent2 2 3 2 2" xfId="588"/>
    <cellStyle name="20% - Accent2 2 3 2 2 2" xfId="589"/>
    <cellStyle name="20% - Accent2 2 3 2 2 3" xfId="590"/>
    <cellStyle name="20% - Accent2 2 3 2 3" xfId="591"/>
    <cellStyle name="20% - Accent2 2 3 2 4" xfId="592"/>
    <cellStyle name="20% - Accent2 2 3 2 5" xfId="593"/>
    <cellStyle name="20% - Accent2 2 3 2 6" xfId="594"/>
    <cellStyle name="20% - Accent2 2 3 3" xfId="595"/>
    <cellStyle name="20% - Accent2 2 3 3 2" xfId="596"/>
    <cellStyle name="20% - Accent2 2 3 3 2 2" xfId="597"/>
    <cellStyle name="20% - Accent2 2 3 3 3" xfId="598"/>
    <cellStyle name="20% - Accent2 2 3 3 4" xfId="599"/>
    <cellStyle name="20% - Accent2 2 3 3 5" xfId="600"/>
    <cellStyle name="20% - Accent2 2 3 4" xfId="601"/>
    <cellStyle name="20% - Accent2 2 3 4 2" xfId="602"/>
    <cellStyle name="20% - Accent2 2 3 4 3" xfId="603"/>
    <cellStyle name="20% - Accent2 2 3 4 4" xfId="604"/>
    <cellStyle name="20% - Accent2 2 3 5" xfId="605"/>
    <cellStyle name="20% - Accent2 2 3 5 2" xfId="606"/>
    <cellStyle name="20% - Accent2 2 3 6" xfId="607"/>
    <cellStyle name="20% - Accent2 2 3 7" xfId="608"/>
    <cellStyle name="20% - Accent2 2 3 8" xfId="609"/>
    <cellStyle name="20% - Accent2 2 3 9" xfId="610"/>
    <cellStyle name="20% - Accent2 2 4" xfId="611"/>
    <cellStyle name="20% - Accent2 2 4 2" xfId="612"/>
    <cellStyle name="20% - Accent2 2 4 2 2" xfId="613"/>
    <cellStyle name="20% - Accent2 2 4 2 3" xfId="614"/>
    <cellStyle name="20% - Accent2 2 4 3" xfId="615"/>
    <cellStyle name="20% - Accent2 2 4 4" xfId="616"/>
    <cellStyle name="20% - Accent2 2 4 5" xfId="617"/>
    <cellStyle name="20% - Accent2 2 4 6" xfId="618"/>
    <cellStyle name="20% - Accent2 2 5" xfId="619"/>
    <cellStyle name="20% - Accent2 2 5 2" xfId="620"/>
    <cellStyle name="20% - Accent2 2 5 2 2" xfId="621"/>
    <cellStyle name="20% - Accent2 2 5 3" xfId="622"/>
    <cellStyle name="20% - Accent2 2 5 4" xfId="623"/>
    <cellStyle name="20% - Accent2 2 5 5" xfId="624"/>
    <cellStyle name="20% - Accent2 2 6" xfId="625"/>
    <cellStyle name="20% - Accent2 2 6 2" xfId="626"/>
    <cellStyle name="20% - Accent2 2 6 2 2" xfId="627"/>
    <cellStyle name="20% - Accent2 2 6 3" xfId="628"/>
    <cellStyle name="20% - Accent2 2 6 4" xfId="629"/>
    <cellStyle name="20% - Accent2 2 6 5" xfId="630"/>
    <cellStyle name="20% - Accent2 2 7" xfId="631"/>
    <cellStyle name="20% - Accent2 2 7 2" xfId="632"/>
    <cellStyle name="20% - Accent2 2 8" xfId="633"/>
    <cellStyle name="20% - Accent2 2 9" xfId="634"/>
    <cellStyle name="20% - Accent2 3" xfId="635"/>
    <cellStyle name="20% - Accent2 3 10" xfId="636"/>
    <cellStyle name="20% - Accent2 3 2" xfId="637"/>
    <cellStyle name="20% - Accent2 3 2 2" xfId="638"/>
    <cellStyle name="20% - Accent2 3 2 2 2" xfId="639"/>
    <cellStyle name="20% - Accent2 3 2 2 2 2" xfId="640"/>
    <cellStyle name="20% - Accent2 3 2 2 2 3" xfId="641"/>
    <cellStyle name="20% - Accent2 3 2 2 3" xfId="642"/>
    <cellStyle name="20% - Accent2 3 2 2 4" xfId="643"/>
    <cellStyle name="20% - Accent2 3 2 2 5" xfId="644"/>
    <cellStyle name="20% - Accent2 3 2 2 6" xfId="645"/>
    <cellStyle name="20% - Accent2 3 2 3" xfId="646"/>
    <cellStyle name="20% - Accent2 3 2 3 2" xfId="647"/>
    <cellStyle name="20% - Accent2 3 2 3 2 2" xfId="648"/>
    <cellStyle name="20% - Accent2 3 2 3 3" xfId="649"/>
    <cellStyle name="20% - Accent2 3 2 3 4" xfId="650"/>
    <cellStyle name="20% - Accent2 3 2 3 5" xfId="651"/>
    <cellStyle name="20% - Accent2 3 2 4" xfId="652"/>
    <cellStyle name="20% - Accent2 3 2 4 2" xfId="653"/>
    <cellStyle name="20% - Accent2 3 2 4 3" xfId="654"/>
    <cellStyle name="20% - Accent2 3 2 4 4" xfId="655"/>
    <cellStyle name="20% - Accent2 3 2 5" xfId="656"/>
    <cellStyle name="20% - Accent2 3 2 5 2" xfId="657"/>
    <cellStyle name="20% - Accent2 3 2 6" xfId="658"/>
    <cellStyle name="20% - Accent2 3 2 7" xfId="659"/>
    <cellStyle name="20% - Accent2 3 2 8" xfId="660"/>
    <cellStyle name="20% - Accent2 3 2 9" xfId="661"/>
    <cellStyle name="20% - Accent2 3 3" xfId="662"/>
    <cellStyle name="20% - Accent2 3 3 2" xfId="663"/>
    <cellStyle name="20% - Accent2 3 3 2 2" xfId="664"/>
    <cellStyle name="20% - Accent2 3 3 2 3" xfId="665"/>
    <cellStyle name="20% - Accent2 3 3 3" xfId="666"/>
    <cellStyle name="20% - Accent2 3 3 4" xfId="667"/>
    <cellStyle name="20% - Accent2 3 3 5" xfId="668"/>
    <cellStyle name="20% - Accent2 3 3 6" xfId="669"/>
    <cellStyle name="20% - Accent2 3 4" xfId="670"/>
    <cellStyle name="20% - Accent2 3 4 2" xfId="671"/>
    <cellStyle name="20% - Accent2 3 4 2 2" xfId="672"/>
    <cellStyle name="20% - Accent2 3 4 3" xfId="673"/>
    <cellStyle name="20% - Accent2 3 4 4" xfId="674"/>
    <cellStyle name="20% - Accent2 3 4 5" xfId="675"/>
    <cellStyle name="20% - Accent2 3 5" xfId="676"/>
    <cellStyle name="20% - Accent2 3 5 2" xfId="677"/>
    <cellStyle name="20% - Accent2 3 5 2 2" xfId="678"/>
    <cellStyle name="20% - Accent2 3 5 3" xfId="679"/>
    <cellStyle name="20% - Accent2 3 5 4" xfId="680"/>
    <cellStyle name="20% - Accent2 3 5 5" xfId="681"/>
    <cellStyle name="20% - Accent2 3 6" xfId="682"/>
    <cellStyle name="20% - Accent2 3 6 2" xfId="683"/>
    <cellStyle name="20% - Accent2 3 7" xfId="684"/>
    <cellStyle name="20% - Accent2 3 8" xfId="685"/>
    <cellStyle name="20% - Accent2 3 9" xfId="686"/>
    <cellStyle name="20% - Accent2 4" xfId="687"/>
    <cellStyle name="20% - Accent2 4 10" xfId="688"/>
    <cellStyle name="20% - Accent2 4 2" xfId="689"/>
    <cellStyle name="20% - Accent2 4 2 2" xfId="690"/>
    <cellStyle name="20% - Accent2 4 2 2 2" xfId="691"/>
    <cellStyle name="20% - Accent2 4 2 2 2 2" xfId="692"/>
    <cellStyle name="20% - Accent2 4 2 2 2 3" xfId="693"/>
    <cellStyle name="20% - Accent2 4 2 2 3" xfId="694"/>
    <cellStyle name="20% - Accent2 4 2 2 4" xfId="695"/>
    <cellStyle name="20% - Accent2 4 2 2 5" xfId="696"/>
    <cellStyle name="20% - Accent2 4 2 2 6" xfId="697"/>
    <cellStyle name="20% - Accent2 4 2 3" xfId="698"/>
    <cellStyle name="20% - Accent2 4 2 3 2" xfId="699"/>
    <cellStyle name="20% - Accent2 4 2 3 2 2" xfId="700"/>
    <cellStyle name="20% - Accent2 4 2 3 3" xfId="701"/>
    <cellStyle name="20% - Accent2 4 2 3 4" xfId="702"/>
    <cellStyle name="20% - Accent2 4 2 3 5" xfId="703"/>
    <cellStyle name="20% - Accent2 4 2 4" xfId="704"/>
    <cellStyle name="20% - Accent2 4 2 4 2" xfId="705"/>
    <cellStyle name="20% - Accent2 4 2 4 3" xfId="706"/>
    <cellStyle name="20% - Accent2 4 2 4 4" xfId="707"/>
    <cellStyle name="20% - Accent2 4 2 5" xfId="708"/>
    <cellStyle name="20% - Accent2 4 2 5 2" xfId="709"/>
    <cellStyle name="20% - Accent2 4 2 6" xfId="710"/>
    <cellStyle name="20% - Accent2 4 2 7" xfId="711"/>
    <cellStyle name="20% - Accent2 4 2 8" xfId="712"/>
    <cellStyle name="20% - Accent2 4 2 9" xfId="713"/>
    <cellStyle name="20% - Accent2 4 3" xfId="714"/>
    <cellStyle name="20% - Accent2 4 3 2" xfId="715"/>
    <cellStyle name="20% - Accent2 4 3 2 2" xfId="716"/>
    <cellStyle name="20% - Accent2 4 3 2 3" xfId="717"/>
    <cellStyle name="20% - Accent2 4 3 3" xfId="718"/>
    <cellStyle name="20% - Accent2 4 3 4" xfId="719"/>
    <cellStyle name="20% - Accent2 4 3 5" xfId="720"/>
    <cellStyle name="20% - Accent2 4 3 6" xfId="721"/>
    <cellStyle name="20% - Accent2 4 4" xfId="722"/>
    <cellStyle name="20% - Accent2 4 4 2" xfId="723"/>
    <cellStyle name="20% - Accent2 4 4 2 2" xfId="724"/>
    <cellStyle name="20% - Accent2 4 4 3" xfId="725"/>
    <cellStyle name="20% - Accent2 4 4 4" xfId="726"/>
    <cellStyle name="20% - Accent2 4 4 5" xfId="727"/>
    <cellStyle name="20% - Accent2 4 5" xfId="728"/>
    <cellStyle name="20% - Accent2 4 5 2" xfId="729"/>
    <cellStyle name="20% - Accent2 4 5 2 2" xfId="730"/>
    <cellStyle name="20% - Accent2 4 5 3" xfId="731"/>
    <cellStyle name="20% - Accent2 4 5 4" xfId="732"/>
    <cellStyle name="20% - Accent2 4 5 5" xfId="733"/>
    <cellStyle name="20% - Accent2 4 6" xfId="734"/>
    <cellStyle name="20% - Accent2 4 6 2" xfId="735"/>
    <cellStyle name="20% - Accent2 4 7" xfId="736"/>
    <cellStyle name="20% - Accent2 4 8" xfId="737"/>
    <cellStyle name="20% - Accent2 4 9" xfId="738"/>
    <cellStyle name="20% - Accent2 5" xfId="739"/>
    <cellStyle name="20% - Accent2 5 10" xfId="740"/>
    <cellStyle name="20% - Accent2 5 2" xfId="741"/>
    <cellStyle name="20% - Accent2 5 2 2" xfId="742"/>
    <cellStyle name="20% - Accent2 5 2 2 2" xfId="743"/>
    <cellStyle name="20% - Accent2 5 2 2 2 2" xfId="744"/>
    <cellStyle name="20% - Accent2 5 2 2 2 3" xfId="745"/>
    <cellStyle name="20% - Accent2 5 2 2 3" xfId="746"/>
    <cellStyle name="20% - Accent2 5 2 2 4" xfId="747"/>
    <cellStyle name="20% - Accent2 5 2 2 5" xfId="748"/>
    <cellStyle name="20% - Accent2 5 2 2 6" xfId="749"/>
    <cellStyle name="20% - Accent2 5 2 3" xfId="750"/>
    <cellStyle name="20% - Accent2 5 2 3 2" xfId="751"/>
    <cellStyle name="20% - Accent2 5 2 3 2 2" xfId="752"/>
    <cellStyle name="20% - Accent2 5 2 3 3" xfId="753"/>
    <cellStyle name="20% - Accent2 5 2 3 4" xfId="754"/>
    <cellStyle name="20% - Accent2 5 2 3 5" xfId="755"/>
    <cellStyle name="20% - Accent2 5 2 4" xfId="756"/>
    <cellStyle name="20% - Accent2 5 2 4 2" xfId="757"/>
    <cellStyle name="20% - Accent2 5 2 4 3" xfId="758"/>
    <cellStyle name="20% - Accent2 5 2 4 4" xfId="759"/>
    <cellStyle name="20% - Accent2 5 2 5" xfId="760"/>
    <cellStyle name="20% - Accent2 5 2 5 2" xfId="761"/>
    <cellStyle name="20% - Accent2 5 2 6" xfId="762"/>
    <cellStyle name="20% - Accent2 5 2 7" xfId="763"/>
    <cellStyle name="20% - Accent2 5 2 8" xfId="764"/>
    <cellStyle name="20% - Accent2 5 2 9" xfId="765"/>
    <cellStyle name="20% - Accent2 5 3" xfId="766"/>
    <cellStyle name="20% - Accent2 5 3 2" xfId="767"/>
    <cellStyle name="20% - Accent2 5 3 2 2" xfId="768"/>
    <cellStyle name="20% - Accent2 5 3 2 3" xfId="769"/>
    <cellStyle name="20% - Accent2 5 3 3" xfId="770"/>
    <cellStyle name="20% - Accent2 5 3 4" xfId="771"/>
    <cellStyle name="20% - Accent2 5 3 5" xfId="772"/>
    <cellStyle name="20% - Accent2 5 3 6" xfId="773"/>
    <cellStyle name="20% - Accent2 5 4" xfId="774"/>
    <cellStyle name="20% - Accent2 5 4 2" xfId="775"/>
    <cellStyle name="20% - Accent2 5 4 2 2" xfId="776"/>
    <cellStyle name="20% - Accent2 5 4 3" xfId="777"/>
    <cellStyle name="20% - Accent2 5 4 4" xfId="778"/>
    <cellStyle name="20% - Accent2 5 4 5" xfId="779"/>
    <cellStyle name="20% - Accent2 5 5" xfId="780"/>
    <cellStyle name="20% - Accent2 5 5 2" xfId="781"/>
    <cellStyle name="20% - Accent2 5 5 3" xfId="782"/>
    <cellStyle name="20% - Accent2 5 5 4" xfId="783"/>
    <cellStyle name="20% - Accent2 5 6" xfId="784"/>
    <cellStyle name="20% - Accent2 5 6 2" xfId="785"/>
    <cellStyle name="20% - Accent2 5 7" xfId="786"/>
    <cellStyle name="20% - Accent2 5 8" xfId="787"/>
    <cellStyle name="20% - Accent2 5 9" xfId="788"/>
    <cellStyle name="20% - Accent2 6" xfId="789"/>
    <cellStyle name="20% - Accent2 6 10" xfId="790"/>
    <cellStyle name="20% - Accent2 6 2" xfId="791"/>
    <cellStyle name="20% - Accent2 6 2 2" xfId="792"/>
    <cellStyle name="20% - Accent2 6 2 2 2" xfId="793"/>
    <cellStyle name="20% - Accent2 6 2 2 2 2" xfId="794"/>
    <cellStyle name="20% - Accent2 6 2 2 2 3" xfId="795"/>
    <cellStyle name="20% - Accent2 6 2 2 3" xfId="796"/>
    <cellStyle name="20% - Accent2 6 2 2 4" xfId="797"/>
    <cellStyle name="20% - Accent2 6 2 2 5" xfId="798"/>
    <cellStyle name="20% - Accent2 6 2 2 6" xfId="799"/>
    <cellStyle name="20% - Accent2 6 2 3" xfId="800"/>
    <cellStyle name="20% - Accent2 6 2 3 2" xfId="801"/>
    <cellStyle name="20% - Accent2 6 2 3 2 2" xfId="802"/>
    <cellStyle name="20% - Accent2 6 2 3 3" xfId="803"/>
    <cellStyle name="20% - Accent2 6 2 3 4" xfId="804"/>
    <cellStyle name="20% - Accent2 6 2 3 5" xfId="805"/>
    <cellStyle name="20% - Accent2 6 2 4" xfId="806"/>
    <cellStyle name="20% - Accent2 6 2 4 2" xfId="807"/>
    <cellStyle name="20% - Accent2 6 2 4 3" xfId="808"/>
    <cellStyle name="20% - Accent2 6 2 4 4" xfId="809"/>
    <cellStyle name="20% - Accent2 6 2 5" xfId="810"/>
    <cellStyle name="20% - Accent2 6 2 5 2" xfId="811"/>
    <cellStyle name="20% - Accent2 6 2 6" xfId="812"/>
    <cellStyle name="20% - Accent2 6 2 7" xfId="813"/>
    <cellStyle name="20% - Accent2 6 2 8" xfId="814"/>
    <cellStyle name="20% - Accent2 6 2 9" xfId="815"/>
    <cellStyle name="20% - Accent2 6 3" xfId="816"/>
    <cellStyle name="20% - Accent2 6 3 2" xfId="817"/>
    <cellStyle name="20% - Accent2 6 3 2 2" xfId="818"/>
    <cellStyle name="20% - Accent2 6 3 2 3" xfId="819"/>
    <cellStyle name="20% - Accent2 6 3 3" xfId="820"/>
    <cellStyle name="20% - Accent2 6 3 4" xfId="821"/>
    <cellStyle name="20% - Accent2 6 3 5" xfId="822"/>
    <cellStyle name="20% - Accent2 6 3 6" xfId="823"/>
    <cellStyle name="20% - Accent2 6 4" xfId="824"/>
    <cellStyle name="20% - Accent2 6 4 2" xfId="825"/>
    <cellStyle name="20% - Accent2 6 4 2 2" xfId="826"/>
    <cellStyle name="20% - Accent2 6 4 3" xfId="827"/>
    <cellStyle name="20% - Accent2 6 4 4" xfId="828"/>
    <cellStyle name="20% - Accent2 6 4 5" xfId="829"/>
    <cellStyle name="20% - Accent2 6 5" xfId="830"/>
    <cellStyle name="20% - Accent2 6 5 2" xfId="831"/>
    <cellStyle name="20% - Accent2 6 5 3" xfId="832"/>
    <cellStyle name="20% - Accent2 6 5 4" xfId="833"/>
    <cellStyle name="20% - Accent2 6 6" xfId="834"/>
    <cellStyle name="20% - Accent2 6 6 2" xfId="835"/>
    <cellStyle name="20% - Accent2 6 7" xfId="836"/>
    <cellStyle name="20% - Accent2 6 8" xfId="837"/>
    <cellStyle name="20% - Accent2 6 9" xfId="838"/>
    <cellStyle name="20% - Accent2 7" xfId="839"/>
    <cellStyle name="20% - Accent2 7 2" xfId="840"/>
    <cellStyle name="20% - Accent2 7 2 2" xfId="841"/>
    <cellStyle name="20% - Accent2 7 2 2 2" xfId="842"/>
    <cellStyle name="20% - Accent2 7 2 2 3" xfId="843"/>
    <cellStyle name="20% - Accent2 7 2 3" xfId="844"/>
    <cellStyle name="20% - Accent2 7 2 4" xfId="845"/>
    <cellStyle name="20% - Accent2 7 2 5" xfId="846"/>
    <cellStyle name="20% - Accent2 7 2 6" xfId="847"/>
    <cellStyle name="20% - Accent2 7 3" xfId="848"/>
    <cellStyle name="20% - Accent2 7 3 2" xfId="849"/>
    <cellStyle name="20% - Accent2 7 3 2 2" xfId="850"/>
    <cellStyle name="20% - Accent2 7 3 3" xfId="851"/>
    <cellStyle name="20% - Accent2 7 3 4" xfId="852"/>
    <cellStyle name="20% - Accent2 7 3 5" xfId="853"/>
    <cellStyle name="20% - Accent2 7 4" xfId="854"/>
    <cellStyle name="20% - Accent2 7 4 2" xfId="855"/>
    <cellStyle name="20% - Accent2 7 4 3" xfId="856"/>
    <cellStyle name="20% - Accent2 7 4 4" xfId="857"/>
    <cellStyle name="20% - Accent2 7 5" xfId="858"/>
    <cellStyle name="20% - Accent2 7 5 2" xfId="859"/>
    <cellStyle name="20% - Accent2 7 6" xfId="860"/>
    <cellStyle name="20% - Accent2 7 7" xfId="861"/>
    <cellStyle name="20% - Accent2 7 8" xfId="862"/>
    <cellStyle name="20% - Accent2 7 9" xfId="863"/>
    <cellStyle name="20% - Accent2 8" xfId="864"/>
    <cellStyle name="20% - Accent2 8 2" xfId="865"/>
    <cellStyle name="20% - Accent2 8 2 2" xfId="866"/>
    <cellStyle name="20% - Accent2 8 2 2 2" xfId="867"/>
    <cellStyle name="20% - Accent2 8 2 2 3" xfId="868"/>
    <cellStyle name="20% - Accent2 8 2 3" xfId="869"/>
    <cellStyle name="20% - Accent2 8 2 4" xfId="870"/>
    <cellStyle name="20% - Accent2 8 2 5" xfId="871"/>
    <cellStyle name="20% - Accent2 8 2 6" xfId="872"/>
    <cellStyle name="20% - Accent2 8 3" xfId="873"/>
    <cellStyle name="20% - Accent2 8 3 2" xfId="874"/>
    <cellStyle name="20% - Accent2 8 3 2 2" xfId="875"/>
    <cellStyle name="20% - Accent2 8 3 3" xfId="876"/>
    <cellStyle name="20% - Accent2 8 3 4" xfId="877"/>
    <cellStyle name="20% - Accent2 8 3 5" xfId="878"/>
    <cellStyle name="20% - Accent2 8 4" xfId="879"/>
    <cellStyle name="20% - Accent2 8 4 2" xfId="880"/>
    <cellStyle name="20% - Accent2 8 4 3" xfId="881"/>
    <cellStyle name="20% - Accent2 8 4 4" xfId="882"/>
    <cellStyle name="20% - Accent2 8 5" xfId="883"/>
    <cellStyle name="20% - Accent2 8 5 2" xfId="884"/>
    <cellStyle name="20% - Accent2 8 6" xfId="885"/>
    <cellStyle name="20% - Accent2 8 7" xfId="886"/>
    <cellStyle name="20% - Accent2 8 8" xfId="887"/>
    <cellStyle name="20% - Accent2 8 9" xfId="888"/>
    <cellStyle name="20% - Accent2 9" xfId="889"/>
    <cellStyle name="20% - Accent2 9 2" xfId="890"/>
    <cellStyle name="20% - Accent2 9 2 2" xfId="891"/>
    <cellStyle name="20% - Accent2 9 2 2 2" xfId="892"/>
    <cellStyle name="20% - Accent2 9 2 3" xfId="893"/>
    <cellStyle name="20% - Accent2 9 2 4" xfId="894"/>
    <cellStyle name="20% - Accent2 9 2 5" xfId="895"/>
    <cellStyle name="20% - Accent2 9 3" xfId="896"/>
    <cellStyle name="20% - Accent2 9 3 2" xfId="897"/>
    <cellStyle name="20% - Accent2 9 3 3" xfId="898"/>
    <cellStyle name="20% - Accent2 9 3 4" xfId="899"/>
    <cellStyle name="20% - Accent2 9 4" xfId="900"/>
    <cellStyle name="20% - Accent2 9 4 2" xfId="901"/>
    <cellStyle name="20% - Accent2 9 5" xfId="902"/>
    <cellStyle name="20% - Accent2 9 6" xfId="903"/>
    <cellStyle name="20% - Accent2 9 7" xfId="904"/>
    <cellStyle name="20% - Accent2 9 8" xfId="905"/>
    <cellStyle name="20% - Accent3 10" xfId="906"/>
    <cellStyle name="20% - Accent3 10 2" xfId="907"/>
    <cellStyle name="20% - Accent3 10 2 2" xfId="908"/>
    <cellStyle name="20% - Accent3 10 2 2 2" xfId="909"/>
    <cellStyle name="20% - Accent3 10 2 3" xfId="910"/>
    <cellStyle name="20% - Accent3 10 2 4" xfId="911"/>
    <cellStyle name="20% - Accent3 10 2 5" xfId="912"/>
    <cellStyle name="20% - Accent3 10 3" xfId="913"/>
    <cellStyle name="20% - Accent3 10 3 2" xfId="914"/>
    <cellStyle name="20% - Accent3 10 3 3" xfId="915"/>
    <cellStyle name="20% - Accent3 10 3 4" xfId="916"/>
    <cellStyle name="20% - Accent3 10 4" xfId="917"/>
    <cellStyle name="20% - Accent3 10 4 2" xfId="918"/>
    <cellStyle name="20% - Accent3 10 5" xfId="919"/>
    <cellStyle name="20% - Accent3 10 6" xfId="920"/>
    <cellStyle name="20% - Accent3 10 7" xfId="921"/>
    <cellStyle name="20% - Accent3 10 8" xfId="922"/>
    <cellStyle name="20% - Accent3 11" xfId="923"/>
    <cellStyle name="20% - Accent3 11 2" xfId="924"/>
    <cellStyle name="20% - Accent3 11 2 2" xfId="925"/>
    <cellStyle name="20% - Accent3 11 2 2 2" xfId="926"/>
    <cellStyle name="20% - Accent3 11 2 3" xfId="927"/>
    <cellStyle name="20% - Accent3 11 2 4" xfId="928"/>
    <cellStyle name="20% - Accent3 11 2 5" xfId="929"/>
    <cellStyle name="20% - Accent3 11 3" xfId="930"/>
    <cellStyle name="20% - Accent3 11 3 2" xfId="931"/>
    <cellStyle name="20% - Accent3 11 3 3" xfId="932"/>
    <cellStyle name="20% - Accent3 11 3 4" xfId="933"/>
    <cellStyle name="20% - Accent3 11 4" xfId="934"/>
    <cellStyle name="20% - Accent3 11 4 2" xfId="935"/>
    <cellStyle name="20% - Accent3 11 5" xfId="936"/>
    <cellStyle name="20% - Accent3 11 6" xfId="937"/>
    <cellStyle name="20% - Accent3 11 7" xfId="938"/>
    <cellStyle name="20% - Accent3 11 8" xfId="939"/>
    <cellStyle name="20% - Accent3 12" xfId="940"/>
    <cellStyle name="20% - Accent3 12 2" xfId="941"/>
    <cellStyle name="20% - Accent3 12 2 2" xfId="942"/>
    <cellStyle name="20% - Accent3 12 2 2 2" xfId="943"/>
    <cellStyle name="20% - Accent3 12 2 3" xfId="944"/>
    <cellStyle name="20% - Accent3 12 2 4" xfId="945"/>
    <cellStyle name="20% - Accent3 12 2 5" xfId="946"/>
    <cellStyle name="20% - Accent3 12 3" xfId="947"/>
    <cellStyle name="20% - Accent3 12 3 2" xfId="948"/>
    <cellStyle name="20% - Accent3 12 3 3" xfId="949"/>
    <cellStyle name="20% - Accent3 12 3 4" xfId="950"/>
    <cellStyle name="20% - Accent3 12 4" xfId="951"/>
    <cellStyle name="20% - Accent3 12 4 2" xfId="952"/>
    <cellStyle name="20% - Accent3 12 5" xfId="953"/>
    <cellStyle name="20% - Accent3 12 6" xfId="954"/>
    <cellStyle name="20% - Accent3 12 7" xfId="955"/>
    <cellStyle name="20% - Accent3 12 8" xfId="956"/>
    <cellStyle name="20% - Accent3 13" xfId="957"/>
    <cellStyle name="20% - Accent3 13 2" xfId="958"/>
    <cellStyle name="20% - Accent3 13 2 2" xfId="959"/>
    <cellStyle name="20% - Accent3 13 2 3" xfId="960"/>
    <cellStyle name="20% - Accent3 13 2 4" xfId="961"/>
    <cellStyle name="20% - Accent3 13 3" xfId="962"/>
    <cellStyle name="20% - Accent3 13 3 2" xfId="963"/>
    <cellStyle name="20% - Accent3 13 4" xfId="964"/>
    <cellStyle name="20% - Accent3 13 5" xfId="965"/>
    <cellStyle name="20% - Accent3 13 6" xfId="966"/>
    <cellStyle name="20% - Accent3 14" xfId="967"/>
    <cellStyle name="20% - Accent3 14 2" xfId="968"/>
    <cellStyle name="20% - Accent3 14 2 2" xfId="969"/>
    <cellStyle name="20% - Accent3 14 3" xfId="970"/>
    <cellStyle name="20% - Accent3 14 4" xfId="971"/>
    <cellStyle name="20% - Accent3 14 5" xfId="972"/>
    <cellStyle name="20% - Accent3 15" xfId="973"/>
    <cellStyle name="20% - Accent3 15 2" xfId="974"/>
    <cellStyle name="20% - Accent3 15 2 2" xfId="975"/>
    <cellStyle name="20% - Accent3 15 3" xfId="976"/>
    <cellStyle name="20% - Accent3 15 4" xfId="977"/>
    <cellStyle name="20% - Accent3 15 5" xfId="978"/>
    <cellStyle name="20% - Accent3 16" xfId="979"/>
    <cellStyle name="20% - Accent3 16 2" xfId="980"/>
    <cellStyle name="20% - Accent3 17" xfId="981"/>
    <cellStyle name="20% - Accent3 18" xfId="982"/>
    <cellStyle name="20% - Accent3 19" xfId="983"/>
    <cellStyle name="20% - Accent3 2" xfId="984"/>
    <cellStyle name="20% - Accent3 2 10" xfId="985"/>
    <cellStyle name="20% - Accent3 2 11" xfId="986"/>
    <cellStyle name="20% - Accent3 2 2" xfId="987"/>
    <cellStyle name="20% - Accent3 2 2 10" xfId="988"/>
    <cellStyle name="20% - Accent3 2 2 2" xfId="989"/>
    <cellStyle name="20% - Accent3 2 2 2 2" xfId="990"/>
    <cellStyle name="20% - Accent3 2 2 2 2 2" xfId="991"/>
    <cellStyle name="20% - Accent3 2 2 2 2 2 2" xfId="992"/>
    <cellStyle name="20% - Accent3 2 2 2 2 2 3" xfId="993"/>
    <cellStyle name="20% - Accent3 2 2 2 2 3" xfId="994"/>
    <cellStyle name="20% - Accent3 2 2 2 2 4" xfId="995"/>
    <cellStyle name="20% - Accent3 2 2 2 2 5" xfId="996"/>
    <cellStyle name="20% - Accent3 2 2 2 2 6" xfId="997"/>
    <cellStyle name="20% - Accent3 2 2 2 3" xfId="998"/>
    <cellStyle name="20% - Accent3 2 2 2 3 2" xfId="999"/>
    <cellStyle name="20% - Accent3 2 2 2 3 2 2" xfId="1000"/>
    <cellStyle name="20% - Accent3 2 2 2 3 3" xfId="1001"/>
    <cellStyle name="20% - Accent3 2 2 2 3 4" xfId="1002"/>
    <cellStyle name="20% - Accent3 2 2 2 3 5" xfId="1003"/>
    <cellStyle name="20% - Accent3 2 2 2 4" xfId="1004"/>
    <cellStyle name="20% - Accent3 2 2 2 4 2" xfId="1005"/>
    <cellStyle name="20% - Accent3 2 2 2 4 3" xfId="1006"/>
    <cellStyle name="20% - Accent3 2 2 2 4 4" xfId="1007"/>
    <cellStyle name="20% - Accent3 2 2 2 5" xfId="1008"/>
    <cellStyle name="20% - Accent3 2 2 2 5 2" xfId="1009"/>
    <cellStyle name="20% - Accent3 2 2 2 6" xfId="1010"/>
    <cellStyle name="20% - Accent3 2 2 2 7" xfId="1011"/>
    <cellStyle name="20% - Accent3 2 2 2 8" xfId="1012"/>
    <cellStyle name="20% - Accent3 2 2 2 9" xfId="1013"/>
    <cellStyle name="20% - Accent3 2 2 3" xfId="1014"/>
    <cellStyle name="20% - Accent3 2 2 3 2" xfId="1015"/>
    <cellStyle name="20% - Accent3 2 2 3 2 2" xfId="1016"/>
    <cellStyle name="20% - Accent3 2 2 3 2 3" xfId="1017"/>
    <cellStyle name="20% - Accent3 2 2 3 3" xfId="1018"/>
    <cellStyle name="20% - Accent3 2 2 3 4" xfId="1019"/>
    <cellStyle name="20% - Accent3 2 2 3 5" xfId="1020"/>
    <cellStyle name="20% - Accent3 2 2 3 6" xfId="1021"/>
    <cellStyle name="20% - Accent3 2 2 4" xfId="1022"/>
    <cellStyle name="20% - Accent3 2 2 4 2" xfId="1023"/>
    <cellStyle name="20% - Accent3 2 2 4 2 2" xfId="1024"/>
    <cellStyle name="20% - Accent3 2 2 4 3" xfId="1025"/>
    <cellStyle name="20% - Accent3 2 2 4 4" xfId="1026"/>
    <cellStyle name="20% - Accent3 2 2 4 5" xfId="1027"/>
    <cellStyle name="20% - Accent3 2 2 5" xfId="1028"/>
    <cellStyle name="20% - Accent3 2 2 5 2" xfId="1029"/>
    <cellStyle name="20% - Accent3 2 2 5 3" xfId="1030"/>
    <cellStyle name="20% - Accent3 2 2 5 4" xfId="1031"/>
    <cellStyle name="20% - Accent3 2 2 6" xfId="1032"/>
    <cellStyle name="20% - Accent3 2 2 6 2" xfId="1033"/>
    <cellStyle name="20% - Accent3 2 2 7" xfId="1034"/>
    <cellStyle name="20% - Accent3 2 2 8" xfId="1035"/>
    <cellStyle name="20% - Accent3 2 2 9" xfId="1036"/>
    <cellStyle name="20% - Accent3 2 3" xfId="1037"/>
    <cellStyle name="20% - Accent3 2 3 2" xfId="1038"/>
    <cellStyle name="20% - Accent3 2 3 2 2" xfId="1039"/>
    <cellStyle name="20% - Accent3 2 3 2 2 2" xfId="1040"/>
    <cellStyle name="20% - Accent3 2 3 2 2 3" xfId="1041"/>
    <cellStyle name="20% - Accent3 2 3 2 3" xfId="1042"/>
    <cellStyle name="20% - Accent3 2 3 2 4" xfId="1043"/>
    <cellStyle name="20% - Accent3 2 3 2 5" xfId="1044"/>
    <cellStyle name="20% - Accent3 2 3 2 6" xfId="1045"/>
    <cellStyle name="20% - Accent3 2 3 3" xfId="1046"/>
    <cellStyle name="20% - Accent3 2 3 3 2" xfId="1047"/>
    <cellStyle name="20% - Accent3 2 3 3 2 2" xfId="1048"/>
    <cellStyle name="20% - Accent3 2 3 3 3" xfId="1049"/>
    <cellStyle name="20% - Accent3 2 3 3 4" xfId="1050"/>
    <cellStyle name="20% - Accent3 2 3 3 5" xfId="1051"/>
    <cellStyle name="20% - Accent3 2 3 4" xfId="1052"/>
    <cellStyle name="20% - Accent3 2 3 4 2" xfId="1053"/>
    <cellStyle name="20% - Accent3 2 3 4 3" xfId="1054"/>
    <cellStyle name="20% - Accent3 2 3 4 4" xfId="1055"/>
    <cellStyle name="20% - Accent3 2 3 5" xfId="1056"/>
    <cellStyle name="20% - Accent3 2 3 5 2" xfId="1057"/>
    <cellStyle name="20% - Accent3 2 3 6" xfId="1058"/>
    <cellStyle name="20% - Accent3 2 3 7" xfId="1059"/>
    <cellStyle name="20% - Accent3 2 3 8" xfId="1060"/>
    <cellStyle name="20% - Accent3 2 3 9" xfId="1061"/>
    <cellStyle name="20% - Accent3 2 4" xfId="1062"/>
    <cellStyle name="20% - Accent3 2 4 2" xfId="1063"/>
    <cellStyle name="20% - Accent3 2 4 2 2" xfId="1064"/>
    <cellStyle name="20% - Accent3 2 4 2 3" xfId="1065"/>
    <cellStyle name="20% - Accent3 2 4 3" xfId="1066"/>
    <cellStyle name="20% - Accent3 2 4 4" xfId="1067"/>
    <cellStyle name="20% - Accent3 2 4 5" xfId="1068"/>
    <cellStyle name="20% - Accent3 2 4 6" xfId="1069"/>
    <cellStyle name="20% - Accent3 2 5" xfId="1070"/>
    <cellStyle name="20% - Accent3 2 5 2" xfId="1071"/>
    <cellStyle name="20% - Accent3 2 5 2 2" xfId="1072"/>
    <cellStyle name="20% - Accent3 2 5 3" xfId="1073"/>
    <cellStyle name="20% - Accent3 2 5 4" xfId="1074"/>
    <cellStyle name="20% - Accent3 2 5 5" xfId="1075"/>
    <cellStyle name="20% - Accent3 2 6" xfId="1076"/>
    <cellStyle name="20% - Accent3 2 6 2" xfId="1077"/>
    <cellStyle name="20% - Accent3 2 6 2 2" xfId="1078"/>
    <cellStyle name="20% - Accent3 2 6 3" xfId="1079"/>
    <cellStyle name="20% - Accent3 2 6 4" xfId="1080"/>
    <cellStyle name="20% - Accent3 2 6 5" xfId="1081"/>
    <cellStyle name="20% - Accent3 2 7" xfId="1082"/>
    <cellStyle name="20% - Accent3 2 7 2" xfId="1083"/>
    <cellStyle name="20% - Accent3 2 8" xfId="1084"/>
    <cellStyle name="20% - Accent3 2 9" xfId="1085"/>
    <cellStyle name="20% - Accent3 3" xfId="1086"/>
    <cellStyle name="20% - Accent3 3 10" xfId="1087"/>
    <cellStyle name="20% - Accent3 3 2" xfId="1088"/>
    <cellStyle name="20% - Accent3 3 2 2" xfId="1089"/>
    <cellStyle name="20% - Accent3 3 2 2 2" xfId="1090"/>
    <cellStyle name="20% - Accent3 3 2 2 2 2" xfId="1091"/>
    <cellStyle name="20% - Accent3 3 2 2 2 3" xfId="1092"/>
    <cellStyle name="20% - Accent3 3 2 2 3" xfId="1093"/>
    <cellStyle name="20% - Accent3 3 2 2 4" xfId="1094"/>
    <cellStyle name="20% - Accent3 3 2 2 5" xfId="1095"/>
    <cellStyle name="20% - Accent3 3 2 2 6" xfId="1096"/>
    <cellStyle name="20% - Accent3 3 2 3" xfId="1097"/>
    <cellStyle name="20% - Accent3 3 2 3 2" xfId="1098"/>
    <cellStyle name="20% - Accent3 3 2 3 2 2" xfId="1099"/>
    <cellStyle name="20% - Accent3 3 2 3 3" xfId="1100"/>
    <cellStyle name="20% - Accent3 3 2 3 4" xfId="1101"/>
    <cellStyle name="20% - Accent3 3 2 3 5" xfId="1102"/>
    <cellStyle name="20% - Accent3 3 2 4" xfId="1103"/>
    <cellStyle name="20% - Accent3 3 2 4 2" xfId="1104"/>
    <cellStyle name="20% - Accent3 3 2 4 3" xfId="1105"/>
    <cellStyle name="20% - Accent3 3 2 4 4" xfId="1106"/>
    <cellStyle name="20% - Accent3 3 2 5" xfId="1107"/>
    <cellStyle name="20% - Accent3 3 2 5 2" xfId="1108"/>
    <cellStyle name="20% - Accent3 3 2 6" xfId="1109"/>
    <cellStyle name="20% - Accent3 3 2 7" xfId="1110"/>
    <cellStyle name="20% - Accent3 3 2 8" xfId="1111"/>
    <cellStyle name="20% - Accent3 3 2 9" xfId="1112"/>
    <cellStyle name="20% - Accent3 3 3" xfId="1113"/>
    <cellStyle name="20% - Accent3 3 3 2" xfId="1114"/>
    <cellStyle name="20% - Accent3 3 3 2 2" xfId="1115"/>
    <cellStyle name="20% - Accent3 3 3 2 3" xfId="1116"/>
    <cellStyle name="20% - Accent3 3 3 3" xfId="1117"/>
    <cellStyle name="20% - Accent3 3 3 4" xfId="1118"/>
    <cellStyle name="20% - Accent3 3 3 5" xfId="1119"/>
    <cellStyle name="20% - Accent3 3 3 6" xfId="1120"/>
    <cellStyle name="20% - Accent3 3 4" xfId="1121"/>
    <cellStyle name="20% - Accent3 3 4 2" xfId="1122"/>
    <cellStyle name="20% - Accent3 3 4 2 2" xfId="1123"/>
    <cellStyle name="20% - Accent3 3 4 3" xfId="1124"/>
    <cellStyle name="20% - Accent3 3 4 4" xfId="1125"/>
    <cellStyle name="20% - Accent3 3 4 5" xfId="1126"/>
    <cellStyle name="20% - Accent3 3 5" xfId="1127"/>
    <cellStyle name="20% - Accent3 3 5 2" xfId="1128"/>
    <cellStyle name="20% - Accent3 3 5 2 2" xfId="1129"/>
    <cellStyle name="20% - Accent3 3 5 3" xfId="1130"/>
    <cellStyle name="20% - Accent3 3 5 4" xfId="1131"/>
    <cellStyle name="20% - Accent3 3 5 5" xfId="1132"/>
    <cellStyle name="20% - Accent3 3 6" xfId="1133"/>
    <cellStyle name="20% - Accent3 3 6 2" xfId="1134"/>
    <cellStyle name="20% - Accent3 3 7" xfId="1135"/>
    <cellStyle name="20% - Accent3 3 8" xfId="1136"/>
    <cellStyle name="20% - Accent3 3 9" xfId="1137"/>
    <cellStyle name="20% - Accent3 4" xfId="1138"/>
    <cellStyle name="20% - Accent3 4 10" xfId="1139"/>
    <cellStyle name="20% - Accent3 4 2" xfId="1140"/>
    <cellStyle name="20% - Accent3 4 2 2" xfId="1141"/>
    <cellStyle name="20% - Accent3 4 2 2 2" xfId="1142"/>
    <cellStyle name="20% - Accent3 4 2 2 2 2" xfId="1143"/>
    <cellStyle name="20% - Accent3 4 2 2 2 3" xfId="1144"/>
    <cellStyle name="20% - Accent3 4 2 2 3" xfId="1145"/>
    <cellStyle name="20% - Accent3 4 2 2 4" xfId="1146"/>
    <cellStyle name="20% - Accent3 4 2 2 5" xfId="1147"/>
    <cellStyle name="20% - Accent3 4 2 2 6" xfId="1148"/>
    <cellStyle name="20% - Accent3 4 2 3" xfId="1149"/>
    <cellStyle name="20% - Accent3 4 2 3 2" xfId="1150"/>
    <cellStyle name="20% - Accent3 4 2 3 2 2" xfId="1151"/>
    <cellStyle name="20% - Accent3 4 2 3 3" xfId="1152"/>
    <cellStyle name="20% - Accent3 4 2 3 4" xfId="1153"/>
    <cellStyle name="20% - Accent3 4 2 3 5" xfId="1154"/>
    <cellStyle name="20% - Accent3 4 2 4" xfId="1155"/>
    <cellStyle name="20% - Accent3 4 2 4 2" xfId="1156"/>
    <cellStyle name="20% - Accent3 4 2 4 3" xfId="1157"/>
    <cellStyle name="20% - Accent3 4 2 4 4" xfId="1158"/>
    <cellStyle name="20% - Accent3 4 2 5" xfId="1159"/>
    <cellStyle name="20% - Accent3 4 2 5 2" xfId="1160"/>
    <cellStyle name="20% - Accent3 4 2 6" xfId="1161"/>
    <cellStyle name="20% - Accent3 4 2 7" xfId="1162"/>
    <cellStyle name="20% - Accent3 4 2 8" xfId="1163"/>
    <cellStyle name="20% - Accent3 4 2 9" xfId="1164"/>
    <cellStyle name="20% - Accent3 4 3" xfId="1165"/>
    <cellStyle name="20% - Accent3 4 3 2" xfId="1166"/>
    <cellStyle name="20% - Accent3 4 3 2 2" xfId="1167"/>
    <cellStyle name="20% - Accent3 4 3 2 3" xfId="1168"/>
    <cellStyle name="20% - Accent3 4 3 3" xfId="1169"/>
    <cellStyle name="20% - Accent3 4 3 4" xfId="1170"/>
    <cellStyle name="20% - Accent3 4 3 5" xfId="1171"/>
    <cellStyle name="20% - Accent3 4 3 6" xfId="1172"/>
    <cellStyle name="20% - Accent3 4 4" xfId="1173"/>
    <cellStyle name="20% - Accent3 4 4 2" xfId="1174"/>
    <cellStyle name="20% - Accent3 4 4 2 2" xfId="1175"/>
    <cellStyle name="20% - Accent3 4 4 3" xfId="1176"/>
    <cellStyle name="20% - Accent3 4 4 4" xfId="1177"/>
    <cellStyle name="20% - Accent3 4 4 5" xfId="1178"/>
    <cellStyle name="20% - Accent3 4 5" xfId="1179"/>
    <cellStyle name="20% - Accent3 4 5 2" xfId="1180"/>
    <cellStyle name="20% - Accent3 4 5 2 2" xfId="1181"/>
    <cellStyle name="20% - Accent3 4 5 3" xfId="1182"/>
    <cellStyle name="20% - Accent3 4 5 4" xfId="1183"/>
    <cellStyle name="20% - Accent3 4 5 5" xfId="1184"/>
    <cellStyle name="20% - Accent3 4 6" xfId="1185"/>
    <cellStyle name="20% - Accent3 4 6 2" xfId="1186"/>
    <cellStyle name="20% - Accent3 4 7" xfId="1187"/>
    <cellStyle name="20% - Accent3 4 8" xfId="1188"/>
    <cellStyle name="20% - Accent3 4 9" xfId="1189"/>
    <cellStyle name="20% - Accent3 5" xfId="1190"/>
    <cellStyle name="20% - Accent3 5 10" xfId="1191"/>
    <cellStyle name="20% - Accent3 5 2" xfId="1192"/>
    <cellStyle name="20% - Accent3 5 2 2" xfId="1193"/>
    <cellStyle name="20% - Accent3 5 2 2 2" xfId="1194"/>
    <cellStyle name="20% - Accent3 5 2 2 2 2" xfId="1195"/>
    <cellStyle name="20% - Accent3 5 2 2 2 3" xfId="1196"/>
    <cellStyle name="20% - Accent3 5 2 2 3" xfId="1197"/>
    <cellStyle name="20% - Accent3 5 2 2 4" xfId="1198"/>
    <cellStyle name="20% - Accent3 5 2 2 5" xfId="1199"/>
    <cellStyle name="20% - Accent3 5 2 2 6" xfId="1200"/>
    <cellStyle name="20% - Accent3 5 2 3" xfId="1201"/>
    <cellStyle name="20% - Accent3 5 2 3 2" xfId="1202"/>
    <cellStyle name="20% - Accent3 5 2 3 2 2" xfId="1203"/>
    <cellStyle name="20% - Accent3 5 2 3 3" xfId="1204"/>
    <cellStyle name="20% - Accent3 5 2 3 4" xfId="1205"/>
    <cellStyle name="20% - Accent3 5 2 3 5" xfId="1206"/>
    <cellStyle name="20% - Accent3 5 2 4" xfId="1207"/>
    <cellStyle name="20% - Accent3 5 2 4 2" xfId="1208"/>
    <cellStyle name="20% - Accent3 5 2 4 3" xfId="1209"/>
    <cellStyle name="20% - Accent3 5 2 4 4" xfId="1210"/>
    <cellStyle name="20% - Accent3 5 2 5" xfId="1211"/>
    <cellStyle name="20% - Accent3 5 2 5 2" xfId="1212"/>
    <cellStyle name="20% - Accent3 5 2 6" xfId="1213"/>
    <cellStyle name="20% - Accent3 5 2 7" xfId="1214"/>
    <cellStyle name="20% - Accent3 5 2 8" xfId="1215"/>
    <cellStyle name="20% - Accent3 5 2 9" xfId="1216"/>
    <cellStyle name="20% - Accent3 5 3" xfId="1217"/>
    <cellStyle name="20% - Accent3 5 3 2" xfId="1218"/>
    <cellStyle name="20% - Accent3 5 3 2 2" xfId="1219"/>
    <cellStyle name="20% - Accent3 5 3 2 3" xfId="1220"/>
    <cellStyle name="20% - Accent3 5 3 3" xfId="1221"/>
    <cellStyle name="20% - Accent3 5 3 4" xfId="1222"/>
    <cellStyle name="20% - Accent3 5 3 5" xfId="1223"/>
    <cellStyle name="20% - Accent3 5 3 6" xfId="1224"/>
    <cellStyle name="20% - Accent3 5 4" xfId="1225"/>
    <cellStyle name="20% - Accent3 5 4 2" xfId="1226"/>
    <cellStyle name="20% - Accent3 5 4 2 2" xfId="1227"/>
    <cellStyle name="20% - Accent3 5 4 3" xfId="1228"/>
    <cellStyle name="20% - Accent3 5 4 4" xfId="1229"/>
    <cellStyle name="20% - Accent3 5 4 5" xfId="1230"/>
    <cellStyle name="20% - Accent3 5 5" xfId="1231"/>
    <cellStyle name="20% - Accent3 5 5 2" xfId="1232"/>
    <cellStyle name="20% - Accent3 5 5 3" xfId="1233"/>
    <cellStyle name="20% - Accent3 5 5 4" xfId="1234"/>
    <cellStyle name="20% - Accent3 5 6" xfId="1235"/>
    <cellStyle name="20% - Accent3 5 6 2" xfId="1236"/>
    <cellStyle name="20% - Accent3 5 7" xfId="1237"/>
    <cellStyle name="20% - Accent3 5 8" xfId="1238"/>
    <cellStyle name="20% - Accent3 5 9" xfId="1239"/>
    <cellStyle name="20% - Accent3 6" xfId="1240"/>
    <cellStyle name="20% - Accent3 6 10" xfId="1241"/>
    <cellStyle name="20% - Accent3 6 2" xfId="1242"/>
    <cellStyle name="20% - Accent3 6 2 2" xfId="1243"/>
    <cellStyle name="20% - Accent3 6 2 2 2" xfId="1244"/>
    <cellStyle name="20% - Accent3 6 2 2 2 2" xfId="1245"/>
    <cellStyle name="20% - Accent3 6 2 2 2 3" xfId="1246"/>
    <cellStyle name="20% - Accent3 6 2 2 3" xfId="1247"/>
    <cellStyle name="20% - Accent3 6 2 2 4" xfId="1248"/>
    <cellStyle name="20% - Accent3 6 2 2 5" xfId="1249"/>
    <cellStyle name="20% - Accent3 6 2 2 6" xfId="1250"/>
    <cellStyle name="20% - Accent3 6 2 3" xfId="1251"/>
    <cellStyle name="20% - Accent3 6 2 3 2" xfId="1252"/>
    <cellStyle name="20% - Accent3 6 2 3 2 2" xfId="1253"/>
    <cellStyle name="20% - Accent3 6 2 3 3" xfId="1254"/>
    <cellStyle name="20% - Accent3 6 2 3 4" xfId="1255"/>
    <cellStyle name="20% - Accent3 6 2 3 5" xfId="1256"/>
    <cellStyle name="20% - Accent3 6 2 4" xfId="1257"/>
    <cellStyle name="20% - Accent3 6 2 4 2" xfId="1258"/>
    <cellStyle name="20% - Accent3 6 2 4 3" xfId="1259"/>
    <cellStyle name="20% - Accent3 6 2 4 4" xfId="1260"/>
    <cellStyle name="20% - Accent3 6 2 5" xfId="1261"/>
    <cellStyle name="20% - Accent3 6 2 5 2" xfId="1262"/>
    <cellStyle name="20% - Accent3 6 2 6" xfId="1263"/>
    <cellStyle name="20% - Accent3 6 2 7" xfId="1264"/>
    <cellStyle name="20% - Accent3 6 2 8" xfId="1265"/>
    <cellStyle name="20% - Accent3 6 2 9" xfId="1266"/>
    <cellStyle name="20% - Accent3 6 3" xfId="1267"/>
    <cellStyle name="20% - Accent3 6 3 2" xfId="1268"/>
    <cellStyle name="20% - Accent3 6 3 2 2" xfId="1269"/>
    <cellStyle name="20% - Accent3 6 3 2 3" xfId="1270"/>
    <cellStyle name="20% - Accent3 6 3 3" xfId="1271"/>
    <cellStyle name="20% - Accent3 6 3 4" xfId="1272"/>
    <cellStyle name="20% - Accent3 6 3 5" xfId="1273"/>
    <cellStyle name="20% - Accent3 6 3 6" xfId="1274"/>
    <cellStyle name="20% - Accent3 6 4" xfId="1275"/>
    <cellStyle name="20% - Accent3 6 4 2" xfId="1276"/>
    <cellStyle name="20% - Accent3 6 4 2 2" xfId="1277"/>
    <cellStyle name="20% - Accent3 6 4 3" xfId="1278"/>
    <cellStyle name="20% - Accent3 6 4 4" xfId="1279"/>
    <cellStyle name="20% - Accent3 6 4 5" xfId="1280"/>
    <cellStyle name="20% - Accent3 6 5" xfId="1281"/>
    <cellStyle name="20% - Accent3 6 5 2" xfId="1282"/>
    <cellStyle name="20% - Accent3 6 5 3" xfId="1283"/>
    <cellStyle name="20% - Accent3 6 5 4" xfId="1284"/>
    <cellStyle name="20% - Accent3 6 6" xfId="1285"/>
    <cellStyle name="20% - Accent3 6 6 2" xfId="1286"/>
    <cellStyle name="20% - Accent3 6 7" xfId="1287"/>
    <cellStyle name="20% - Accent3 6 8" xfId="1288"/>
    <cellStyle name="20% - Accent3 6 9" xfId="1289"/>
    <cellStyle name="20% - Accent3 7" xfId="1290"/>
    <cellStyle name="20% - Accent3 7 2" xfId="1291"/>
    <cellStyle name="20% - Accent3 7 2 2" xfId="1292"/>
    <cellStyle name="20% - Accent3 7 2 2 2" xfId="1293"/>
    <cellStyle name="20% - Accent3 7 2 2 3" xfId="1294"/>
    <cellStyle name="20% - Accent3 7 2 3" xfId="1295"/>
    <cellStyle name="20% - Accent3 7 2 4" xfId="1296"/>
    <cellStyle name="20% - Accent3 7 2 5" xfId="1297"/>
    <cellStyle name="20% - Accent3 7 2 6" xfId="1298"/>
    <cellStyle name="20% - Accent3 7 3" xfId="1299"/>
    <cellStyle name="20% - Accent3 7 3 2" xfId="1300"/>
    <cellStyle name="20% - Accent3 7 3 2 2" xfId="1301"/>
    <cellStyle name="20% - Accent3 7 3 3" xfId="1302"/>
    <cellStyle name="20% - Accent3 7 3 4" xfId="1303"/>
    <cellStyle name="20% - Accent3 7 3 5" xfId="1304"/>
    <cellStyle name="20% - Accent3 7 4" xfId="1305"/>
    <cellStyle name="20% - Accent3 7 4 2" xfId="1306"/>
    <cellStyle name="20% - Accent3 7 4 3" xfId="1307"/>
    <cellStyle name="20% - Accent3 7 4 4" xfId="1308"/>
    <cellStyle name="20% - Accent3 7 5" xfId="1309"/>
    <cellStyle name="20% - Accent3 7 5 2" xfId="1310"/>
    <cellStyle name="20% - Accent3 7 6" xfId="1311"/>
    <cellStyle name="20% - Accent3 7 7" xfId="1312"/>
    <cellStyle name="20% - Accent3 7 8" xfId="1313"/>
    <cellStyle name="20% - Accent3 7 9" xfId="1314"/>
    <cellStyle name="20% - Accent3 8" xfId="1315"/>
    <cellStyle name="20% - Accent3 8 2" xfId="1316"/>
    <cellStyle name="20% - Accent3 8 2 2" xfId="1317"/>
    <cellStyle name="20% - Accent3 8 2 2 2" xfId="1318"/>
    <cellStyle name="20% - Accent3 8 2 2 3" xfId="1319"/>
    <cellStyle name="20% - Accent3 8 2 3" xfId="1320"/>
    <cellStyle name="20% - Accent3 8 2 4" xfId="1321"/>
    <cellStyle name="20% - Accent3 8 2 5" xfId="1322"/>
    <cellStyle name="20% - Accent3 8 2 6" xfId="1323"/>
    <cellStyle name="20% - Accent3 8 3" xfId="1324"/>
    <cellStyle name="20% - Accent3 8 3 2" xfId="1325"/>
    <cellStyle name="20% - Accent3 8 3 2 2" xfId="1326"/>
    <cellStyle name="20% - Accent3 8 3 3" xfId="1327"/>
    <cellStyle name="20% - Accent3 8 3 4" xfId="1328"/>
    <cellStyle name="20% - Accent3 8 3 5" xfId="1329"/>
    <cellStyle name="20% - Accent3 8 4" xfId="1330"/>
    <cellStyle name="20% - Accent3 8 4 2" xfId="1331"/>
    <cellStyle name="20% - Accent3 8 4 3" xfId="1332"/>
    <cellStyle name="20% - Accent3 8 4 4" xfId="1333"/>
    <cellStyle name="20% - Accent3 8 5" xfId="1334"/>
    <cellStyle name="20% - Accent3 8 5 2" xfId="1335"/>
    <cellStyle name="20% - Accent3 8 6" xfId="1336"/>
    <cellStyle name="20% - Accent3 8 7" xfId="1337"/>
    <cellStyle name="20% - Accent3 8 8" xfId="1338"/>
    <cellStyle name="20% - Accent3 8 9" xfId="1339"/>
    <cellStyle name="20% - Accent3 9" xfId="1340"/>
    <cellStyle name="20% - Accent3 9 2" xfId="1341"/>
    <cellStyle name="20% - Accent3 9 2 2" xfId="1342"/>
    <cellStyle name="20% - Accent3 9 2 2 2" xfId="1343"/>
    <cellStyle name="20% - Accent3 9 2 3" xfId="1344"/>
    <cellStyle name="20% - Accent3 9 2 4" xfId="1345"/>
    <cellStyle name="20% - Accent3 9 2 5" xfId="1346"/>
    <cellStyle name="20% - Accent3 9 3" xfId="1347"/>
    <cellStyle name="20% - Accent3 9 3 2" xfId="1348"/>
    <cellStyle name="20% - Accent3 9 3 3" xfId="1349"/>
    <cellStyle name="20% - Accent3 9 3 4" xfId="1350"/>
    <cellStyle name="20% - Accent3 9 4" xfId="1351"/>
    <cellStyle name="20% - Accent3 9 4 2" xfId="1352"/>
    <cellStyle name="20% - Accent3 9 5" xfId="1353"/>
    <cellStyle name="20% - Accent3 9 6" xfId="1354"/>
    <cellStyle name="20% - Accent3 9 7" xfId="1355"/>
    <cellStyle name="20% - Accent3 9 8" xfId="1356"/>
    <cellStyle name="20% - Accent4 10" xfId="1357"/>
    <cellStyle name="20% - Accent4 10 2" xfId="1358"/>
    <cellStyle name="20% - Accent4 10 2 2" xfId="1359"/>
    <cellStyle name="20% - Accent4 10 2 2 2" xfId="1360"/>
    <cellStyle name="20% - Accent4 10 2 3" xfId="1361"/>
    <cellStyle name="20% - Accent4 10 2 4" xfId="1362"/>
    <cellStyle name="20% - Accent4 10 2 5" xfId="1363"/>
    <cellStyle name="20% - Accent4 10 3" xfId="1364"/>
    <cellStyle name="20% - Accent4 10 3 2" xfId="1365"/>
    <cellStyle name="20% - Accent4 10 3 3" xfId="1366"/>
    <cellStyle name="20% - Accent4 10 3 4" xfId="1367"/>
    <cellStyle name="20% - Accent4 10 4" xfId="1368"/>
    <cellStyle name="20% - Accent4 10 4 2" xfId="1369"/>
    <cellStyle name="20% - Accent4 10 5" xfId="1370"/>
    <cellStyle name="20% - Accent4 10 6" xfId="1371"/>
    <cellStyle name="20% - Accent4 10 7" xfId="1372"/>
    <cellStyle name="20% - Accent4 10 8" xfId="1373"/>
    <cellStyle name="20% - Accent4 11" xfId="1374"/>
    <cellStyle name="20% - Accent4 11 2" xfId="1375"/>
    <cellStyle name="20% - Accent4 11 2 2" xfId="1376"/>
    <cellStyle name="20% - Accent4 11 2 2 2" xfId="1377"/>
    <cellStyle name="20% - Accent4 11 2 3" xfId="1378"/>
    <cellStyle name="20% - Accent4 11 2 4" xfId="1379"/>
    <cellStyle name="20% - Accent4 11 2 5" xfId="1380"/>
    <cellStyle name="20% - Accent4 11 3" xfId="1381"/>
    <cellStyle name="20% - Accent4 11 3 2" xfId="1382"/>
    <cellStyle name="20% - Accent4 11 3 3" xfId="1383"/>
    <cellStyle name="20% - Accent4 11 3 4" xfId="1384"/>
    <cellStyle name="20% - Accent4 11 4" xfId="1385"/>
    <cellStyle name="20% - Accent4 11 4 2" xfId="1386"/>
    <cellStyle name="20% - Accent4 11 5" xfId="1387"/>
    <cellStyle name="20% - Accent4 11 6" xfId="1388"/>
    <cellStyle name="20% - Accent4 11 7" xfId="1389"/>
    <cellStyle name="20% - Accent4 11 8" xfId="1390"/>
    <cellStyle name="20% - Accent4 12" xfId="1391"/>
    <cellStyle name="20% - Accent4 12 2" xfId="1392"/>
    <cellStyle name="20% - Accent4 12 2 2" xfId="1393"/>
    <cellStyle name="20% - Accent4 12 2 2 2" xfId="1394"/>
    <cellStyle name="20% - Accent4 12 2 3" xfId="1395"/>
    <cellStyle name="20% - Accent4 12 2 4" xfId="1396"/>
    <cellStyle name="20% - Accent4 12 2 5" xfId="1397"/>
    <cellStyle name="20% - Accent4 12 3" xfId="1398"/>
    <cellStyle name="20% - Accent4 12 3 2" xfId="1399"/>
    <cellStyle name="20% - Accent4 12 3 3" xfId="1400"/>
    <cellStyle name="20% - Accent4 12 3 4" xfId="1401"/>
    <cellStyle name="20% - Accent4 12 4" xfId="1402"/>
    <cellStyle name="20% - Accent4 12 4 2" xfId="1403"/>
    <cellStyle name="20% - Accent4 12 5" xfId="1404"/>
    <cellStyle name="20% - Accent4 12 6" xfId="1405"/>
    <cellStyle name="20% - Accent4 12 7" xfId="1406"/>
    <cellStyle name="20% - Accent4 12 8" xfId="1407"/>
    <cellStyle name="20% - Accent4 13" xfId="1408"/>
    <cellStyle name="20% - Accent4 13 2" xfId="1409"/>
    <cellStyle name="20% - Accent4 13 2 2" xfId="1410"/>
    <cellStyle name="20% - Accent4 13 2 3" xfId="1411"/>
    <cellStyle name="20% - Accent4 13 2 4" xfId="1412"/>
    <cellStyle name="20% - Accent4 13 3" xfId="1413"/>
    <cellStyle name="20% - Accent4 13 3 2" xfId="1414"/>
    <cellStyle name="20% - Accent4 13 4" xfId="1415"/>
    <cellStyle name="20% - Accent4 13 5" xfId="1416"/>
    <cellStyle name="20% - Accent4 13 6" xfId="1417"/>
    <cellStyle name="20% - Accent4 14" xfId="1418"/>
    <cellStyle name="20% - Accent4 14 2" xfId="1419"/>
    <cellStyle name="20% - Accent4 14 2 2" xfId="1420"/>
    <cellStyle name="20% - Accent4 14 3" xfId="1421"/>
    <cellStyle name="20% - Accent4 14 4" xfId="1422"/>
    <cellStyle name="20% - Accent4 14 5" xfId="1423"/>
    <cellStyle name="20% - Accent4 15" xfId="1424"/>
    <cellStyle name="20% - Accent4 15 2" xfId="1425"/>
    <cellStyle name="20% - Accent4 15 2 2" xfId="1426"/>
    <cellStyle name="20% - Accent4 15 3" xfId="1427"/>
    <cellStyle name="20% - Accent4 15 4" xfId="1428"/>
    <cellStyle name="20% - Accent4 15 5" xfId="1429"/>
    <cellStyle name="20% - Accent4 16" xfId="1430"/>
    <cellStyle name="20% - Accent4 16 2" xfId="1431"/>
    <cellStyle name="20% - Accent4 17" xfId="1432"/>
    <cellStyle name="20% - Accent4 18" xfId="1433"/>
    <cellStyle name="20% - Accent4 19" xfId="1434"/>
    <cellStyle name="20% - Accent4 2" xfId="1435"/>
    <cellStyle name="20% - Accent4 2 10" xfId="1436"/>
    <cellStyle name="20% - Accent4 2 11" xfId="1437"/>
    <cellStyle name="20% - Accent4 2 2" xfId="1438"/>
    <cellStyle name="20% - Accent4 2 2 10" xfId="1439"/>
    <cellStyle name="20% - Accent4 2 2 2" xfId="1440"/>
    <cellStyle name="20% - Accent4 2 2 2 2" xfId="1441"/>
    <cellStyle name="20% - Accent4 2 2 2 2 2" xfId="1442"/>
    <cellStyle name="20% - Accent4 2 2 2 2 2 2" xfId="1443"/>
    <cellStyle name="20% - Accent4 2 2 2 2 2 3" xfId="1444"/>
    <cellStyle name="20% - Accent4 2 2 2 2 3" xfId="1445"/>
    <cellStyle name="20% - Accent4 2 2 2 2 4" xfId="1446"/>
    <cellStyle name="20% - Accent4 2 2 2 2 5" xfId="1447"/>
    <cellStyle name="20% - Accent4 2 2 2 2 6" xfId="1448"/>
    <cellStyle name="20% - Accent4 2 2 2 3" xfId="1449"/>
    <cellStyle name="20% - Accent4 2 2 2 3 2" xfId="1450"/>
    <cellStyle name="20% - Accent4 2 2 2 3 2 2" xfId="1451"/>
    <cellStyle name="20% - Accent4 2 2 2 3 3" xfId="1452"/>
    <cellStyle name="20% - Accent4 2 2 2 3 4" xfId="1453"/>
    <cellStyle name="20% - Accent4 2 2 2 3 5" xfId="1454"/>
    <cellStyle name="20% - Accent4 2 2 2 4" xfId="1455"/>
    <cellStyle name="20% - Accent4 2 2 2 4 2" xfId="1456"/>
    <cellStyle name="20% - Accent4 2 2 2 4 3" xfId="1457"/>
    <cellStyle name="20% - Accent4 2 2 2 4 4" xfId="1458"/>
    <cellStyle name="20% - Accent4 2 2 2 5" xfId="1459"/>
    <cellStyle name="20% - Accent4 2 2 2 5 2" xfId="1460"/>
    <cellStyle name="20% - Accent4 2 2 2 6" xfId="1461"/>
    <cellStyle name="20% - Accent4 2 2 2 7" xfId="1462"/>
    <cellStyle name="20% - Accent4 2 2 2 8" xfId="1463"/>
    <cellStyle name="20% - Accent4 2 2 2 9" xfId="1464"/>
    <cellStyle name="20% - Accent4 2 2 3" xfId="1465"/>
    <cellStyle name="20% - Accent4 2 2 3 2" xfId="1466"/>
    <cellStyle name="20% - Accent4 2 2 3 2 2" xfId="1467"/>
    <cellStyle name="20% - Accent4 2 2 3 2 3" xfId="1468"/>
    <cellStyle name="20% - Accent4 2 2 3 3" xfId="1469"/>
    <cellStyle name="20% - Accent4 2 2 3 4" xfId="1470"/>
    <cellStyle name="20% - Accent4 2 2 3 5" xfId="1471"/>
    <cellStyle name="20% - Accent4 2 2 3 6" xfId="1472"/>
    <cellStyle name="20% - Accent4 2 2 4" xfId="1473"/>
    <cellStyle name="20% - Accent4 2 2 4 2" xfId="1474"/>
    <cellStyle name="20% - Accent4 2 2 4 2 2" xfId="1475"/>
    <cellStyle name="20% - Accent4 2 2 4 3" xfId="1476"/>
    <cellStyle name="20% - Accent4 2 2 4 4" xfId="1477"/>
    <cellStyle name="20% - Accent4 2 2 4 5" xfId="1478"/>
    <cellStyle name="20% - Accent4 2 2 5" xfId="1479"/>
    <cellStyle name="20% - Accent4 2 2 5 2" xfId="1480"/>
    <cellStyle name="20% - Accent4 2 2 5 3" xfId="1481"/>
    <cellStyle name="20% - Accent4 2 2 5 4" xfId="1482"/>
    <cellStyle name="20% - Accent4 2 2 6" xfId="1483"/>
    <cellStyle name="20% - Accent4 2 2 6 2" xfId="1484"/>
    <cellStyle name="20% - Accent4 2 2 7" xfId="1485"/>
    <cellStyle name="20% - Accent4 2 2 8" xfId="1486"/>
    <cellStyle name="20% - Accent4 2 2 9" xfId="1487"/>
    <cellStyle name="20% - Accent4 2 3" xfId="1488"/>
    <cellStyle name="20% - Accent4 2 3 2" xfId="1489"/>
    <cellStyle name="20% - Accent4 2 3 2 2" xfId="1490"/>
    <cellStyle name="20% - Accent4 2 3 2 2 2" xfId="1491"/>
    <cellStyle name="20% - Accent4 2 3 2 2 3" xfId="1492"/>
    <cellStyle name="20% - Accent4 2 3 2 3" xfId="1493"/>
    <cellStyle name="20% - Accent4 2 3 2 4" xfId="1494"/>
    <cellStyle name="20% - Accent4 2 3 2 5" xfId="1495"/>
    <cellStyle name="20% - Accent4 2 3 2 6" xfId="1496"/>
    <cellStyle name="20% - Accent4 2 3 3" xfId="1497"/>
    <cellStyle name="20% - Accent4 2 3 3 2" xfId="1498"/>
    <cellStyle name="20% - Accent4 2 3 3 2 2" xfId="1499"/>
    <cellStyle name="20% - Accent4 2 3 3 3" xfId="1500"/>
    <cellStyle name="20% - Accent4 2 3 3 4" xfId="1501"/>
    <cellStyle name="20% - Accent4 2 3 3 5" xfId="1502"/>
    <cellStyle name="20% - Accent4 2 3 4" xfId="1503"/>
    <cellStyle name="20% - Accent4 2 3 4 2" xfId="1504"/>
    <cellStyle name="20% - Accent4 2 3 4 3" xfId="1505"/>
    <cellStyle name="20% - Accent4 2 3 4 4" xfId="1506"/>
    <cellStyle name="20% - Accent4 2 3 5" xfId="1507"/>
    <cellStyle name="20% - Accent4 2 3 5 2" xfId="1508"/>
    <cellStyle name="20% - Accent4 2 3 6" xfId="1509"/>
    <cellStyle name="20% - Accent4 2 3 7" xfId="1510"/>
    <cellStyle name="20% - Accent4 2 3 8" xfId="1511"/>
    <cellStyle name="20% - Accent4 2 3 9" xfId="1512"/>
    <cellStyle name="20% - Accent4 2 4" xfId="1513"/>
    <cellStyle name="20% - Accent4 2 4 2" xfId="1514"/>
    <cellStyle name="20% - Accent4 2 4 2 2" xfId="1515"/>
    <cellStyle name="20% - Accent4 2 4 2 3" xfId="1516"/>
    <cellStyle name="20% - Accent4 2 4 3" xfId="1517"/>
    <cellStyle name="20% - Accent4 2 4 4" xfId="1518"/>
    <cellStyle name="20% - Accent4 2 4 5" xfId="1519"/>
    <cellStyle name="20% - Accent4 2 4 6" xfId="1520"/>
    <cellStyle name="20% - Accent4 2 5" xfId="1521"/>
    <cellStyle name="20% - Accent4 2 5 2" xfId="1522"/>
    <cellStyle name="20% - Accent4 2 5 2 2" xfId="1523"/>
    <cellStyle name="20% - Accent4 2 5 3" xfId="1524"/>
    <cellStyle name="20% - Accent4 2 5 4" xfId="1525"/>
    <cellStyle name="20% - Accent4 2 5 5" xfId="1526"/>
    <cellStyle name="20% - Accent4 2 6" xfId="1527"/>
    <cellStyle name="20% - Accent4 2 6 2" xfId="1528"/>
    <cellStyle name="20% - Accent4 2 6 2 2" xfId="1529"/>
    <cellStyle name="20% - Accent4 2 6 3" xfId="1530"/>
    <cellStyle name="20% - Accent4 2 6 4" xfId="1531"/>
    <cellStyle name="20% - Accent4 2 6 5" xfId="1532"/>
    <cellStyle name="20% - Accent4 2 7" xfId="1533"/>
    <cellStyle name="20% - Accent4 2 7 2" xfId="1534"/>
    <cellStyle name="20% - Accent4 2 8" xfId="1535"/>
    <cellStyle name="20% - Accent4 2 9" xfId="1536"/>
    <cellStyle name="20% - Accent4 3" xfId="1537"/>
    <cellStyle name="20% - Accent4 3 10" xfId="1538"/>
    <cellStyle name="20% - Accent4 3 2" xfId="1539"/>
    <cellStyle name="20% - Accent4 3 2 2" xfId="1540"/>
    <cellStyle name="20% - Accent4 3 2 2 2" xfId="1541"/>
    <cellStyle name="20% - Accent4 3 2 2 2 2" xfId="1542"/>
    <cellStyle name="20% - Accent4 3 2 2 2 3" xfId="1543"/>
    <cellStyle name="20% - Accent4 3 2 2 3" xfId="1544"/>
    <cellStyle name="20% - Accent4 3 2 2 4" xfId="1545"/>
    <cellStyle name="20% - Accent4 3 2 2 5" xfId="1546"/>
    <cellStyle name="20% - Accent4 3 2 2 6" xfId="1547"/>
    <cellStyle name="20% - Accent4 3 2 3" xfId="1548"/>
    <cellStyle name="20% - Accent4 3 2 3 2" xfId="1549"/>
    <cellStyle name="20% - Accent4 3 2 3 2 2" xfId="1550"/>
    <cellStyle name="20% - Accent4 3 2 3 3" xfId="1551"/>
    <cellStyle name="20% - Accent4 3 2 3 4" xfId="1552"/>
    <cellStyle name="20% - Accent4 3 2 3 5" xfId="1553"/>
    <cellStyle name="20% - Accent4 3 2 4" xfId="1554"/>
    <cellStyle name="20% - Accent4 3 2 4 2" xfId="1555"/>
    <cellStyle name="20% - Accent4 3 2 4 3" xfId="1556"/>
    <cellStyle name="20% - Accent4 3 2 4 4" xfId="1557"/>
    <cellStyle name="20% - Accent4 3 2 5" xfId="1558"/>
    <cellStyle name="20% - Accent4 3 2 5 2" xfId="1559"/>
    <cellStyle name="20% - Accent4 3 2 6" xfId="1560"/>
    <cellStyle name="20% - Accent4 3 2 7" xfId="1561"/>
    <cellStyle name="20% - Accent4 3 2 8" xfId="1562"/>
    <cellStyle name="20% - Accent4 3 2 9" xfId="1563"/>
    <cellStyle name="20% - Accent4 3 3" xfId="1564"/>
    <cellStyle name="20% - Accent4 3 3 2" xfId="1565"/>
    <cellStyle name="20% - Accent4 3 3 2 2" xfId="1566"/>
    <cellStyle name="20% - Accent4 3 3 2 3" xfId="1567"/>
    <cellStyle name="20% - Accent4 3 3 3" xfId="1568"/>
    <cellStyle name="20% - Accent4 3 3 4" xfId="1569"/>
    <cellStyle name="20% - Accent4 3 3 5" xfId="1570"/>
    <cellStyle name="20% - Accent4 3 3 6" xfId="1571"/>
    <cellStyle name="20% - Accent4 3 4" xfId="1572"/>
    <cellStyle name="20% - Accent4 3 4 2" xfId="1573"/>
    <cellStyle name="20% - Accent4 3 4 2 2" xfId="1574"/>
    <cellStyle name="20% - Accent4 3 4 3" xfId="1575"/>
    <cellStyle name="20% - Accent4 3 4 4" xfId="1576"/>
    <cellStyle name="20% - Accent4 3 4 5" xfId="1577"/>
    <cellStyle name="20% - Accent4 3 5" xfId="1578"/>
    <cellStyle name="20% - Accent4 3 5 2" xfId="1579"/>
    <cellStyle name="20% - Accent4 3 5 2 2" xfId="1580"/>
    <cellStyle name="20% - Accent4 3 5 3" xfId="1581"/>
    <cellStyle name="20% - Accent4 3 5 4" xfId="1582"/>
    <cellStyle name="20% - Accent4 3 5 5" xfId="1583"/>
    <cellStyle name="20% - Accent4 3 6" xfId="1584"/>
    <cellStyle name="20% - Accent4 3 6 2" xfId="1585"/>
    <cellStyle name="20% - Accent4 3 7" xfId="1586"/>
    <cellStyle name="20% - Accent4 3 8" xfId="1587"/>
    <cellStyle name="20% - Accent4 3 9" xfId="1588"/>
    <cellStyle name="20% - Accent4 4" xfId="1589"/>
    <cellStyle name="20% - Accent4 4 10" xfId="1590"/>
    <cellStyle name="20% - Accent4 4 2" xfId="1591"/>
    <cellStyle name="20% - Accent4 4 2 2" xfId="1592"/>
    <cellStyle name="20% - Accent4 4 2 2 2" xfId="1593"/>
    <cellStyle name="20% - Accent4 4 2 2 2 2" xfId="1594"/>
    <cellStyle name="20% - Accent4 4 2 2 2 3" xfId="1595"/>
    <cellStyle name="20% - Accent4 4 2 2 3" xfId="1596"/>
    <cellStyle name="20% - Accent4 4 2 2 4" xfId="1597"/>
    <cellStyle name="20% - Accent4 4 2 2 5" xfId="1598"/>
    <cellStyle name="20% - Accent4 4 2 2 6" xfId="1599"/>
    <cellStyle name="20% - Accent4 4 2 3" xfId="1600"/>
    <cellStyle name="20% - Accent4 4 2 3 2" xfId="1601"/>
    <cellStyle name="20% - Accent4 4 2 3 2 2" xfId="1602"/>
    <cellStyle name="20% - Accent4 4 2 3 3" xfId="1603"/>
    <cellStyle name="20% - Accent4 4 2 3 4" xfId="1604"/>
    <cellStyle name="20% - Accent4 4 2 3 5" xfId="1605"/>
    <cellStyle name="20% - Accent4 4 2 4" xfId="1606"/>
    <cellStyle name="20% - Accent4 4 2 4 2" xfId="1607"/>
    <cellStyle name="20% - Accent4 4 2 4 3" xfId="1608"/>
    <cellStyle name="20% - Accent4 4 2 4 4" xfId="1609"/>
    <cellStyle name="20% - Accent4 4 2 5" xfId="1610"/>
    <cellStyle name="20% - Accent4 4 2 5 2" xfId="1611"/>
    <cellStyle name="20% - Accent4 4 2 6" xfId="1612"/>
    <cellStyle name="20% - Accent4 4 2 7" xfId="1613"/>
    <cellStyle name="20% - Accent4 4 2 8" xfId="1614"/>
    <cellStyle name="20% - Accent4 4 2 9" xfId="1615"/>
    <cellStyle name="20% - Accent4 4 3" xfId="1616"/>
    <cellStyle name="20% - Accent4 4 3 2" xfId="1617"/>
    <cellStyle name="20% - Accent4 4 3 2 2" xfId="1618"/>
    <cellStyle name="20% - Accent4 4 3 2 3" xfId="1619"/>
    <cellStyle name="20% - Accent4 4 3 3" xfId="1620"/>
    <cellStyle name="20% - Accent4 4 3 4" xfId="1621"/>
    <cellStyle name="20% - Accent4 4 3 5" xfId="1622"/>
    <cellStyle name="20% - Accent4 4 3 6" xfId="1623"/>
    <cellStyle name="20% - Accent4 4 4" xfId="1624"/>
    <cellStyle name="20% - Accent4 4 4 2" xfId="1625"/>
    <cellStyle name="20% - Accent4 4 4 2 2" xfId="1626"/>
    <cellStyle name="20% - Accent4 4 4 3" xfId="1627"/>
    <cellStyle name="20% - Accent4 4 4 4" xfId="1628"/>
    <cellStyle name="20% - Accent4 4 4 5" xfId="1629"/>
    <cellStyle name="20% - Accent4 4 5" xfId="1630"/>
    <cellStyle name="20% - Accent4 4 5 2" xfId="1631"/>
    <cellStyle name="20% - Accent4 4 5 2 2" xfId="1632"/>
    <cellStyle name="20% - Accent4 4 5 3" xfId="1633"/>
    <cellStyle name="20% - Accent4 4 5 4" xfId="1634"/>
    <cellStyle name="20% - Accent4 4 5 5" xfId="1635"/>
    <cellStyle name="20% - Accent4 4 6" xfId="1636"/>
    <cellStyle name="20% - Accent4 4 6 2" xfId="1637"/>
    <cellStyle name="20% - Accent4 4 7" xfId="1638"/>
    <cellStyle name="20% - Accent4 4 8" xfId="1639"/>
    <cellStyle name="20% - Accent4 4 9" xfId="1640"/>
    <cellStyle name="20% - Accent4 5" xfId="1641"/>
    <cellStyle name="20% - Accent4 5 10" xfId="1642"/>
    <cellStyle name="20% - Accent4 5 2" xfId="1643"/>
    <cellStyle name="20% - Accent4 5 2 2" xfId="1644"/>
    <cellStyle name="20% - Accent4 5 2 2 2" xfId="1645"/>
    <cellStyle name="20% - Accent4 5 2 2 2 2" xfId="1646"/>
    <cellStyle name="20% - Accent4 5 2 2 2 3" xfId="1647"/>
    <cellStyle name="20% - Accent4 5 2 2 3" xfId="1648"/>
    <cellStyle name="20% - Accent4 5 2 2 4" xfId="1649"/>
    <cellStyle name="20% - Accent4 5 2 2 5" xfId="1650"/>
    <cellStyle name="20% - Accent4 5 2 2 6" xfId="1651"/>
    <cellStyle name="20% - Accent4 5 2 3" xfId="1652"/>
    <cellStyle name="20% - Accent4 5 2 3 2" xfId="1653"/>
    <cellStyle name="20% - Accent4 5 2 3 2 2" xfId="1654"/>
    <cellStyle name="20% - Accent4 5 2 3 3" xfId="1655"/>
    <cellStyle name="20% - Accent4 5 2 3 4" xfId="1656"/>
    <cellStyle name="20% - Accent4 5 2 3 5" xfId="1657"/>
    <cellStyle name="20% - Accent4 5 2 4" xfId="1658"/>
    <cellStyle name="20% - Accent4 5 2 4 2" xfId="1659"/>
    <cellStyle name="20% - Accent4 5 2 4 3" xfId="1660"/>
    <cellStyle name="20% - Accent4 5 2 4 4" xfId="1661"/>
    <cellStyle name="20% - Accent4 5 2 5" xfId="1662"/>
    <cellStyle name="20% - Accent4 5 2 5 2" xfId="1663"/>
    <cellStyle name="20% - Accent4 5 2 6" xfId="1664"/>
    <cellStyle name="20% - Accent4 5 2 7" xfId="1665"/>
    <cellStyle name="20% - Accent4 5 2 8" xfId="1666"/>
    <cellStyle name="20% - Accent4 5 2 9" xfId="1667"/>
    <cellStyle name="20% - Accent4 5 3" xfId="1668"/>
    <cellStyle name="20% - Accent4 5 3 2" xfId="1669"/>
    <cellStyle name="20% - Accent4 5 3 2 2" xfId="1670"/>
    <cellStyle name="20% - Accent4 5 3 2 3" xfId="1671"/>
    <cellStyle name="20% - Accent4 5 3 3" xfId="1672"/>
    <cellStyle name="20% - Accent4 5 3 4" xfId="1673"/>
    <cellStyle name="20% - Accent4 5 3 5" xfId="1674"/>
    <cellStyle name="20% - Accent4 5 3 6" xfId="1675"/>
    <cellStyle name="20% - Accent4 5 4" xfId="1676"/>
    <cellStyle name="20% - Accent4 5 4 2" xfId="1677"/>
    <cellStyle name="20% - Accent4 5 4 2 2" xfId="1678"/>
    <cellStyle name="20% - Accent4 5 4 3" xfId="1679"/>
    <cellStyle name="20% - Accent4 5 4 4" xfId="1680"/>
    <cellStyle name="20% - Accent4 5 4 5" xfId="1681"/>
    <cellStyle name="20% - Accent4 5 5" xfId="1682"/>
    <cellStyle name="20% - Accent4 5 5 2" xfId="1683"/>
    <cellStyle name="20% - Accent4 5 5 3" xfId="1684"/>
    <cellStyle name="20% - Accent4 5 5 4" xfId="1685"/>
    <cellStyle name="20% - Accent4 5 6" xfId="1686"/>
    <cellStyle name="20% - Accent4 5 6 2" xfId="1687"/>
    <cellStyle name="20% - Accent4 5 7" xfId="1688"/>
    <cellStyle name="20% - Accent4 5 8" xfId="1689"/>
    <cellStyle name="20% - Accent4 5 9" xfId="1690"/>
    <cellStyle name="20% - Accent4 6" xfId="1691"/>
    <cellStyle name="20% - Accent4 6 10" xfId="1692"/>
    <cellStyle name="20% - Accent4 6 2" xfId="1693"/>
    <cellStyle name="20% - Accent4 6 2 2" xfId="1694"/>
    <cellStyle name="20% - Accent4 6 2 2 2" xfId="1695"/>
    <cellStyle name="20% - Accent4 6 2 2 2 2" xfId="1696"/>
    <cellStyle name="20% - Accent4 6 2 2 2 3" xfId="1697"/>
    <cellStyle name="20% - Accent4 6 2 2 3" xfId="1698"/>
    <cellStyle name="20% - Accent4 6 2 2 4" xfId="1699"/>
    <cellStyle name="20% - Accent4 6 2 2 5" xfId="1700"/>
    <cellStyle name="20% - Accent4 6 2 2 6" xfId="1701"/>
    <cellStyle name="20% - Accent4 6 2 3" xfId="1702"/>
    <cellStyle name="20% - Accent4 6 2 3 2" xfId="1703"/>
    <cellStyle name="20% - Accent4 6 2 3 2 2" xfId="1704"/>
    <cellStyle name="20% - Accent4 6 2 3 3" xfId="1705"/>
    <cellStyle name="20% - Accent4 6 2 3 4" xfId="1706"/>
    <cellStyle name="20% - Accent4 6 2 3 5" xfId="1707"/>
    <cellStyle name="20% - Accent4 6 2 4" xfId="1708"/>
    <cellStyle name="20% - Accent4 6 2 4 2" xfId="1709"/>
    <cellStyle name="20% - Accent4 6 2 4 3" xfId="1710"/>
    <cellStyle name="20% - Accent4 6 2 4 4" xfId="1711"/>
    <cellStyle name="20% - Accent4 6 2 5" xfId="1712"/>
    <cellStyle name="20% - Accent4 6 2 5 2" xfId="1713"/>
    <cellStyle name="20% - Accent4 6 2 6" xfId="1714"/>
    <cellStyle name="20% - Accent4 6 2 7" xfId="1715"/>
    <cellStyle name="20% - Accent4 6 2 8" xfId="1716"/>
    <cellStyle name="20% - Accent4 6 2 9" xfId="1717"/>
    <cellStyle name="20% - Accent4 6 3" xfId="1718"/>
    <cellStyle name="20% - Accent4 6 3 2" xfId="1719"/>
    <cellStyle name="20% - Accent4 6 3 2 2" xfId="1720"/>
    <cellStyle name="20% - Accent4 6 3 2 3" xfId="1721"/>
    <cellStyle name="20% - Accent4 6 3 3" xfId="1722"/>
    <cellStyle name="20% - Accent4 6 3 4" xfId="1723"/>
    <cellStyle name="20% - Accent4 6 3 5" xfId="1724"/>
    <cellStyle name="20% - Accent4 6 3 6" xfId="1725"/>
    <cellStyle name="20% - Accent4 6 4" xfId="1726"/>
    <cellStyle name="20% - Accent4 6 4 2" xfId="1727"/>
    <cellStyle name="20% - Accent4 6 4 2 2" xfId="1728"/>
    <cellStyle name="20% - Accent4 6 4 3" xfId="1729"/>
    <cellStyle name="20% - Accent4 6 4 4" xfId="1730"/>
    <cellStyle name="20% - Accent4 6 4 5" xfId="1731"/>
    <cellStyle name="20% - Accent4 6 5" xfId="1732"/>
    <cellStyle name="20% - Accent4 6 5 2" xfId="1733"/>
    <cellStyle name="20% - Accent4 6 5 3" xfId="1734"/>
    <cellStyle name="20% - Accent4 6 5 4" xfId="1735"/>
    <cellStyle name="20% - Accent4 6 6" xfId="1736"/>
    <cellStyle name="20% - Accent4 6 6 2" xfId="1737"/>
    <cellStyle name="20% - Accent4 6 7" xfId="1738"/>
    <cellStyle name="20% - Accent4 6 8" xfId="1739"/>
    <cellStyle name="20% - Accent4 6 9" xfId="1740"/>
    <cellStyle name="20% - Accent4 7" xfId="1741"/>
    <cellStyle name="20% - Accent4 7 2" xfId="1742"/>
    <cellStyle name="20% - Accent4 7 2 2" xfId="1743"/>
    <cellStyle name="20% - Accent4 7 2 2 2" xfId="1744"/>
    <cellStyle name="20% - Accent4 7 2 2 3" xfId="1745"/>
    <cellStyle name="20% - Accent4 7 2 3" xfId="1746"/>
    <cellStyle name="20% - Accent4 7 2 4" xfId="1747"/>
    <cellStyle name="20% - Accent4 7 2 5" xfId="1748"/>
    <cellStyle name="20% - Accent4 7 2 6" xfId="1749"/>
    <cellStyle name="20% - Accent4 7 3" xfId="1750"/>
    <cellStyle name="20% - Accent4 7 3 2" xfId="1751"/>
    <cellStyle name="20% - Accent4 7 3 2 2" xfId="1752"/>
    <cellStyle name="20% - Accent4 7 3 3" xfId="1753"/>
    <cellStyle name="20% - Accent4 7 3 4" xfId="1754"/>
    <cellStyle name="20% - Accent4 7 3 5" xfId="1755"/>
    <cellStyle name="20% - Accent4 7 4" xfId="1756"/>
    <cellStyle name="20% - Accent4 7 4 2" xfId="1757"/>
    <cellStyle name="20% - Accent4 7 4 3" xfId="1758"/>
    <cellStyle name="20% - Accent4 7 4 4" xfId="1759"/>
    <cellStyle name="20% - Accent4 7 5" xfId="1760"/>
    <cellStyle name="20% - Accent4 7 5 2" xfId="1761"/>
    <cellStyle name="20% - Accent4 7 6" xfId="1762"/>
    <cellStyle name="20% - Accent4 7 7" xfId="1763"/>
    <cellStyle name="20% - Accent4 7 8" xfId="1764"/>
    <cellStyle name="20% - Accent4 7 9" xfId="1765"/>
    <cellStyle name="20% - Accent4 8" xfId="1766"/>
    <cellStyle name="20% - Accent4 8 2" xfId="1767"/>
    <cellStyle name="20% - Accent4 8 2 2" xfId="1768"/>
    <cellStyle name="20% - Accent4 8 2 2 2" xfId="1769"/>
    <cellStyle name="20% - Accent4 8 2 2 3" xfId="1770"/>
    <cellStyle name="20% - Accent4 8 2 3" xfId="1771"/>
    <cellStyle name="20% - Accent4 8 2 4" xfId="1772"/>
    <cellStyle name="20% - Accent4 8 2 5" xfId="1773"/>
    <cellStyle name="20% - Accent4 8 2 6" xfId="1774"/>
    <cellStyle name="20% - Accent4 8 3" xfId="1775"/>
    <cellStyle name="20% - Accent4 8 3 2" xfId="1776"/>
    <cellStyle name="20% - Accent4 8 3 2 2" xfId="1777"/>
    <cellStyle name="20% - Accent4 8 3 3" xfId="1778"/>
    <cellStyle name="20% - Accent4 8 3 4" xfId="1779"/>
    <cellStyle name="20% - Accent4 8 3 5" xfId="1780"/>
    <cellStyle name="20% - Accent4 8 4" xfId="1781"/>
    <cellStyle name="20% - Accent4 8 4 2" xfId="1782"/>
    <cellStyle name="20% - Accent4 8 4 3" xfId="1783"/>
    <cellStyle name="20% - Accent4 8 4 4" xfId="1784"/>
    <cellStyle name="20% - Accent4 8 5" xfId="1785"/>
    <cellStyle name="20% - Accent4 8 5 2" xfId="1786"/>
    <cellStyle name="20% - Accent4 8 6" xfId="1787"/>
    <cellStyle name="20% - Accent4 8 7" xfId="1788"/>
    <cellStyle name="20% - Accent4 8 8" xfId="1789"/>
    <cellStyle name="20% - Accent4 8 9" xfId="1790"/>
    <cellStyle name="20% - Accent4 9" xfId="1791"/>
    <cellStyle name="20% - Accent4 9 2" xfId="1792"/>
    <cellStyle name="20% - Accent4 9 2 2" xfId="1793"/>
    <cellStyle name="20% - Accent4 9 2 2 2" xfId="1794"/>
    <cellStyle name="20% - Accent4 9 2 3" xfId="1795"/>
    <cellStyle name="20% - Accent4 9 2 4" xfId="1796"/>
    <cellStyle name="20% - Accent4 9 2 5" xfId="1797"/>
    <cellStyle name="20% - Accent4 9 3" xfId="1798"/>
    <cellStyle name="20% - Accent4 9 3 2" xfId="1799"/>
    <cellStyle name="20% - Accent4 9 3 3" xfId="1800"/>
    <cellStyle name="20% - Accent4 9 3 4" xfId="1801"/>
    <cellStyle name="20% - Accent4 9 4" xfId="1802"/>
    <cellStyle name="20% - Accent4 9 4 2" xfId="1803"/>
    <cellStyle name="20% - Accent4 9 5" xfId="1804"/>
    <cellStyle name="20% - Accent4 9 6" xfId="1805"/>
    <cellStyle name="20% - Accent4 9 7" xfId="1806"/>
    <cellStyle name="20% - Accent4 9 8" xfId="1807"/>
    <cellStyle name="20% - Accent5 10" xfId="1808"/>
    <cellStyle name="20% - Accent5 10 2" xfId="1809"/>
    <cellStyle name="20% - Accent5 10 2 2" xfId="1810"/>
    <cellStyle name="20% - Accent5 10 2 2 2" xfId="1811"/>
    <cellStyle name="20% - Accent5 10 2 3" xfId="1812"/>
    <cellStyle name="20% - Accent5 10 2 4" xfId="1813"/>
    <cellStyle name="20% - Accent5 10 2 5" xfId="1814"/>
    <cellStyle name="20% - Accent5 10 3" xfId="1815"/>
    <cellStyle name="20% - Accent5 10 3 2" xfId="1816"/>
    <cellStyle name="20% - Accent5 10 3 3" xfId="1817"/>
    <cellStyle name="20% - Accent5 10 3 4" xfId="1818"/>
    <cellStyle name="20% - Accent5 10 4" xfId="1819"/>
    <cellStyle name="20% - Accent5 10 4 2" xfId="1820"/>
    <cellStyle name="20% - Accent5 10 5" xfId="1821"/>
    <cellStyle name="20% - Accent5 10 6" xfId="1822"/>
    <cellStyle name="20% - Accent5 10 7" xfId="1823"/>
    <cellStyle name="20% - Accent5 10 8" xfId="1824"/>
    <cellStyle name="20% - Accent5 11" xfId="1825"/>
    <cellStyle name="20% - Accent5 11 2" xfId="1826"/>
    <cellStyle name="20% - Accent5 11 2 2" xfId="1827"/>
    <cellStyle name="20% - Accent5 11 2 2 2" xfId="1828"/>
    <cellStyle name="20% - Accent5 11 2 3" xfId="1829"/>
    <cellStyle name="20% - Accent5 11 2 4" xfId="1830"/>
    <cellStyle name="20% - Accent5 11 2 5" xfId="1831"/>
    <cellStyle name="20% - Accent5 11 3" xfId="1832"/>
    <cellStyle name="20% - Accent5 11 3 2" xfId="1833"/>
    <cellStyle name="20% - Accent5 11 3 3" xfId="1834"/>
    <cellStyle name="20% - Accent5 11 3 4" xfId="1835"/>
    <cellStyle name="20% - Accent5 11 4" xfId="1836"/>
    <cellStyle name="20% - Accent5 11 4 2" xfId="1837"/>
    <cellStyle name="20% - Accent5 11 5" xfId="1838"/>
    <cellStyle name="20% - Accent5 11 6" xfId="1839"/>
    <cellStyle name="20% - Accent5 11 7" xfId="1840"/>
    <cellStyle name="20% - Accent5 11 8" xfId="1841"/>
    <cellStyle name="20% - Accent5 12" xfId="1842"/>
    <cellStyle name="20% - Accent5 12 2" xfId="1843"/>
    <cellStyle name="20% - Accent5 12 2 2" xfId="1844"/>
    <cellStyle name="20% - Accent5 12 2 2 2" xfId="1845"/>
    <cellStyle name="20% - Accent5 12 2 3" xfId="1846"/>
    <cellStyle name="20% - Accent5 12 2 4" xfId="1847"/>
    <cellStyle name="20% - Accent5 12 2 5" xfId="1848"/>
    <cellStyle name="20% - Accent5 12 3" xfId="1849"/>
    <cellStyle name="20% - Accent5 12 3 2" xfId="1850"/>
    <cellStyle name="20% - Accent5 12 3 3" xfId="1851"/>
    <cellStyle name="20% - Accent5 12 3 4" xfId="1852"/>
    <cellStyle name="20% - Accent5 12 4" xfId="1853"/>
    <cellStyle name="20% - Accent5 12 4 2" xfId="1854"/>
    <cellStyle name="20% - Accent5 12 5" xfId="1855"/>
    <cellStyle name="20% - Accent5 12 6" xfId="1856"/>
    <cellStyle name="20% - Accent5 12 7" xfId="1857"/>
    <cellStyle name="20% - Accent5 12 8" xfId="1858"/>
    <cellStyle name="20% - Accent5 13" xfId="1859"/>
    <cellStyle name="20% - Accent5 13 2" xfId="1860"/>
    <cellStyle name="20% - Accent5 13 2 2" xfId="1861"/>
    <cellStyle name="20% - Accent5 13 2 3" xfId="1862"/>
    <cellStyle name="20% - Accent5 13 2 4" xfId="1863"/>
    <cellStyle name="20% - Accent5 13 3" xfId="1864"/>
    <cellStyle name="20% - Accent5 13 3 2" xfId="1865"/>
    <cellStyle name="20% - Accent5 13 4" xfId="1866"/>
    <cellStyle name="20% - Accent5 13 5" xfId="1867"/>
    <cellStyle name="20% - Accent5 13 6" xfId="1868"/>
    <cellStyle name="20% - Accent5 14" xfId="1869"/>
    <cellStyle name="20% - Accent5 14 2" xfId="1870"/>
    <cellStyle name="20% - Accent5 14 2 2" xfId="1871"/>
    <cellStyle name="20% - Accent5 14 3" xfId="1872"/>
    <cellStyle name="20% - Accent5 14 4" xfId="1873"/>
    <cellStyle name="20% - Accent5 14 5" xfId="1874"/>
    <cellStyle name="20% - Accent5 15" xfId="1875"/>
    <cellStyle name="20% - Accent5 15 2" xfId="1876"/>
    <cellStyle name="20% - Accent5 15 2 2" xfId="1877"/>
    <cellStyle name="20% - Accent5 15 3" xfId="1878"/>
    <cellStyle name="20% - Accent5 15 4" xfId="1879"/>
    <cellStyle name="20% - Accent5 15 5" xfId="1880"/>
    <cellStyle name="20% - Accent5 16" xfId="1881"/>
    <cellStyle name="20% - Accent5 16 2" xfId="1882"/>
    <cellStyle name="20% - Accent5 17" xfId="1883"/>
    <cellStyle name="20% - Accent5 18" xfId="1884"/>
    <cellStyle name="20% - Accent5 19" xfId="1885"/>
    <cellStyle name="20% - Accent5 2" xfId="1886"/>
    <cellStyle name="20% - Accent5 2 10" xfId="1887"/>
    <cellStyle name="20% - Accent5 2 11" xfId="1888"/>
    <cellStyle name="20% - Accent5 2 2" xfId="1889"/>
    <cellStyle name="20% - Accent5 2 2 10" xfId="1890"/>
    <cellStyle name="20% - Accent5 2 2 2" xfId="1891"/>
    <cellStyle name="20% - Accent5 2 2 2 2" xfId="1892"/>
    <cellStyle name="20% - Accent5 2 2 2 2 2" xfId="1893"/>
    <cellStyle name="20% - Accent5 2 2 2 2 2 2" xfId="1894"/>
    <cellStyle name="20% - Accent5 2 2 2 2 2 3" xfId="1895"/>
    <cellStyle name="20% - Accent5 2 2 2 2 3" xfId="1896"/>
    <cellStyle name="20% - Accent5 2 2 2 2 4" xfId="1897"/>
    <cellStyle name="20% - Accent5 2 2 2 2 5" xfId="1898"/>
    <cellStyle name="20% - Accent5 2 2 2 2 6" xfId="1899"/>
    <cellStyle name="20% - Accent5 2 2 2 3" xfId="1900"/>
    <cellStyle name="20% - Accent5 2 2 2 3 2" xfId="1901"/>
    <cellStyle name="20% - Accent5 2 2 2 3 2 2" xfId="1902"/>
    <cellStyle name="20% - Accent5 2 2 2 3 3" xfId="1903"/>
    <cellStyle name="20% - Accent5 2 2 2 3 4" xfId="1904"/>
    <cellStyle name="20% - Accent5 2 2 2 3 5" xfId="1905"/>
    <cellStyle name="20% - Accent5 2 2 2 4" xfId="1906"/>
    <cellStyle name="20% - Accent5 2 2 2 4 2" xfId="1907"/>
    <cellStyle name="20% - Accent5 2 2 2 4 3" xfId="1908"/>
    <cellStyle name="20% - Accent5 2 2 2 4 4" xfId="1909"/>
    <cellStyle name="20% - Accent5 2 2 2 5" xfId="1910"/>
    <cellStyle name="20% - Accent5 2 2 2 5 2" xfId="1911"/>
    <cellStyle name="20% - Accent5 2 2 2 6" xfId="1912"/>
    <cellStyle name="20% - Accent5 2 2 2 7" xfId="1913"/>
    <cellStyle name="20% - Accent5 2 2 2 8" xfId="1914"/>
    <cellStyle name="20% - Accent5 2 2 2 9" xfId="1915"/>
    <cellStyle name="20% - Accent5 2 2 3" xfId="1916"/>
    <cellStyle name="20% - Accent5 2 2 3 2" xfId="1917"/>
    <cellStyle name="20% - Accent5 2 2 3 2 2" xfId="1918"/>
    <cellStyle name="20% - Accent5 2 2 3 2 3" xfId="1919"/>
    <cellStyle name="20% - Accent5 2 2 3 3" xfId="1920"/>
    <cellStyle name="20% - Accent5 2 2 3 4" xfId="1921"/>
    <cellStyle name="20% - Accent5 2 2 3 5" xfId="1922"/>
    <cellStyle name="20% - Accent5 2 2 3 6" xfId="1923"/>
    <cellStyle name="20% - Accent5 2 2 4" xfId="1924"/>
    <cellStyle name="20% - Accent5 2 2 4 2" xfId="1925"/>
    <cellStyle name="20% - Accent5 2 2 4 2 2" xfId="1926"/>
    <cellStyle name="20% - Accent5 2 2 4 3" xfId="1927"/>
    <cellStyle name="20% - Accent5 2 2 4 4" xfId="1928"/>
    <cellStyle name="20% - Accent5 2 2 4 5" xfId="1929"/>
    <cellStyle name="20% - Accent5 2 2 5" xfId="1930"/>
    <cellStyle name="20% - Accent5 2 2 5 2" xfId="1931"/>
    <cellStyle name="20% - Accent5 2 2 5 3" xfId="1932"/>
    <cellStyle name="20% - Accent5 2 2 5 4" xfId="1933"/>
    <cellStyle name="20% - Accent5 2 2 6" xfId="1934"/>
    <cellStyle name="20% - Accent5 2 2 6 2" xfId="1935"/>
    <cellStyle name="20% - Accent5 2 2 7" xfId="1936"/>
    <cellStyle name="20% - Accent5 2 2 8" xfId="1937"/>
    <cellStyle name="20% - Accent5 2 2 9" xfId="1938"/>
    <cellStyle name="20% - Accent5 2 3" xfId="1939"/>
    <cellStyle name="20% - Accent5 2 3 2" xfId="1940"/>
    <cellStyle name="20% - Accent5 2 3 2 2" xfId="1941"/>
    <cellStyle name="20% - Accent5 2 3 2 2 2" xfId="1942"/>
    <cellStyle name="20% - Accent5 2 3 2 2 3" xfId="1943"/>
    <cellStyle name="20% - Accent5 2 3 2 3" xfId="1944"/>
    <cellStyle name="20% - Accent5 2 3 2 4" xfId="1945"/>
    <cellStyle name="20% - Accent5 2 3 2 5" xfId="1946"/>
    <cellStyle name="20% - Accent5 2 3 2 6" xfId="1947"/>
    <cellStyle name="20% - Accent5 2 3 3" xfId="1948"/>
    <cellStyle name="20% - Accent5 2 3 3 2" xfId="1949"/>
    <cellStyle name="20% - Accent5 2 3 3 2 2" xfId="1950"/>
    <cellStyle name="20% - Accent5 2 3 3 3" xfId="1951"/>
    <cellStyle name="20% - Accent5 2 3 3 4" xfId="1952"/>
    <cellStyle name="20% - Accent5 2 3 3 5" xfId="1953"/>
    <cellStyle name="20% - Accent5 2 3 4" xfId="1954"/>
    <cellStyle name="20% - Accent5 2 3 4 2" xfId="1955"/>
    <cellStyle name="20% - Accent5 2 3 4 3" xfId="1956"/>
    <cellStyle name="20% - Accent5 2 3 4 4" xfId="1957"/>
    <cellStyle name="20% - Accent5 2 3 5" xfId="1958"/>
    <cellStyle name="20% - Accent5 2 3 5 2" xfId="1959"/>
    <cellStyle name="20% - Accent5 2 3 6" xfId="1960"/>
    <cellStyle name="20% - Accent5 2 3 7" xfId="1961"/>
    <cellStyle name="20% - Accent5 2 3 8" xfId="1962"/>
    <cellStyle name="20% - Accent5 2 3 9" xfId="1963"/>
    <cellStyle name="20% - Accent5 2 4" xfId="1964"/>
    <cellStyle name="20% - Accent5 2 4 2" xfId="1965"/>
    <cellStyle name="20% - Accent5 2 4 2 2" xfId="1966"/>
    <cellStyle name="20% - Accent5 2 4 2 3" xfId="1967"/>
    <cellStyle name="20% - Accent5 2 4 3" xfId="1968"/>
    <cellStyle name="20% - Accent5 2 4 4" xfId="1969"/>
    <cellStyle name="20% - Accent5 2 4 5" xfId="1970"/>
    <cellStyle name="20% - Accent5 2 4 6" xfId="1971"/>
    <cellStyle name="20% - Accent5 2 5" xfId="1972"/>
    <cellStyle name="20% - Accent5 2 5 2" xfId="1973"/>
    <cellStyle name="20% - Accent5 2 5 2 2" xfId="1974"/>
    <cellStyle name="20% - Accent5 2 5 3" xfId="1975"/>
    <cellStyle name="20% - Accent5 2 5 4" xfId="1976"/>
    <cellStyle name="20% - Accent5 2 5 5" xfId="1977"/>
    <cellStyle name="20% - Accent5 2 6" xfId="1978"/>
    <cellStyle name="20% - Accent5 2 6 2" xfId="1979"/>
    <cellStyle name="20% - Accent5 2 6 2 2" xfId="1980"/>
    <cellStyle name="20% - Accent5 2 6 3" xfId="1981"/>
    <cellStyle name="20% - Accent5 2 6 4" xfId="1982"/>
    <cellStyle name="20% - Accent5 2 6 5" xfId="1983"/>
    <cellStyle name="20% - Accent5 2 7" xfId="1984"/>
    <cellStyle name="20% - Accent5 2 7 2" xfId="1985"/>
    <cellStyle name="20% - Accent5 2 8" xfId="1986"/>
    <cellStyle name="20% - Accent5 2 9" xfId="1987"/>
    <cellStyle name="20% - Accent5 3" xfId="1988"/>
    <cellStyle name="20% - Accent5 3 10" xfId="1989"/>
    <cellStyle name="20% - Accent5 3 2" xfId="1990"/>
    <cellStyle name="20% - Accent5 3 2 2" xfId="1991"/>
    <cellStyle name="20% - Accent5 3 2 2 2" xfId="1992"/>
    <cellStyle name="20% - Accent5 3 2 2 2 2" xfId="1993"/>
    <cellStyle name="20% - Accent5 3 2 2 2 3" xfId="1994"/>
    <cellStyle name="20% - Accent5 3 2 2 3" xfId="1995"/>
    <cellStyle name="20% - Accent5 3 2 2 4" xfId="1996"/>
    <cellStyle name="20% - Accent5 3 2 2 5" xfId="1997"/>
    <cellStyle name="20% - Accent5 3 2 2 6" xfId="1998"/>
    <cellStyle name="20% - Accent5 3 2 3" xfId="1999"/>
    <cellStyle name="20% - Accent5 3 2 3 2" xfId="2000"/>
    <cellStyle name="20% - Accent5 3 2 3 2 2" xfId="2001"/>
    <cellStyle name="20% - Accent5 3 2 3 3" xfId="2002"/>
    <cellStyle name="20% - Accent5 3 2 3 4" xfId="2003"/>
    <cellStyle name="20% - Accent5 3 2 3 5" xfId="2004"/>
    <cellStyle name="20% - Accent5 3 2 4" xfId="2005"/>
    <cellStyle name="20% - Accent5 3 2 4 2" xfId="2006"/>
    <cellStyle name="20% - Accent5 3 2 4 3" xfId="2007"/>
    <cellStyle name="20% - Accent5 3 2 4 4" xfId="2008"/>
    <cellStyle name="20% - Accent5 3 2 5" xfId="2009"/>
    <cellStyle name="20% - Accent5 3 2 5 2" xfId="2010"/>
    <cellStyle name="20% - Accent5 3 2 6" xfId="2011"/>
    <cellStyle name="20% - Accent5 3 2 7" xfId="2012"/>
    <cellStyle name="20% - Accent5 3 2 8" xfId="2013"/>
    <cellStyle name="20% - Accent5 3 2 9" xfId="2014"/>
    <cellStyle name="20% - Accent5 3 3" xfId="2015"/>
    <cellStyle name="20% - Accent5 3 3 2" xfId="2016"/>
    <cellStyle name="20% - Accent5 3 3 2 2" xfId="2017"/>
    <cellStyle name="20% - Accent5 3 3 2 3" xfId="2018"/>
    <cellStyle name="20% - Accent5 3 3 3" xfId="2019"/>
    <cellStyle name="20% - Accent5 3 3 4" xfId="2020"/>
    <cellStyle name="20% - Accent5 3 3 5" xfId="2021"/>
    <cellStyle name="20% - Accent5 3 3 6" xfId="2022"/>
    <cellStyle name="20% - Accent5 3 4" xfId="2023"/>
    <cellStyle name="20% - Accent5 3 4 2" xfId="2024"/>
    <cellStyle name="20% - Accent5 3 4 2 2" xfId="2025"/>
    <cellStyle name="20% - Accent5 3 4 3" xfId="2026"/>
    <cellStyle name="20% - Accent5 3 4 4" xfId="2027"/>
    <cellStyle name="20% - Accent5 3 4 5" xfId="2028"/>
    <cellStyle name="20% - Accent5 3 5" xfId="2029"/>
    <cellStyle name="20% - Accent5 3 5 2" xfId="2030"/>
    <cellStyle name="20% - Accent5 3 5 2 2" xfId="2031"/>
    <cellStyle name="20% - Accent5 3 5 3" xfId="2032"/>
    <cellStyle name="20% - Accent5 3 5 4" xfId="2033"/>
    <cellStyle name="20% - Accent5 3 5 5" xfId="2034"/>
    <cellStyle name="20% - Accent5 3 6" xfId="2035"/>
    <cellStyle name="20% - Accent5 3 6 2" xfId="2036"/>
    <cellStyle name="20% - Accent5 3 7" xfId="2037"/>
    <cellStyle name="20% - Accent5 3 8" xfId="2038"/>
    <cellStyle name="20% - Accent5 3 9" xfId="2039"/>
    <cellStyle name="20% - Accent5 4" xfId="2040"/>
    <cellStyle name="20% - Accent5 4 10" xfId="2041"/>
    <cellStyle name="20% - Accent5 4 2" xfId="2042"/>
    <cellStyle name="20% - Accent5 4 2 2" xfId="2043"/>
    <cellStyle name="20% - Accent5 4 2 2 2" xfId="2044"/>
    <cellStyle name="20% - Accent5 4 2 2 2 2" xfId="2045"/>
    <cellStyle name="20% - Accent5 4 2 2 2 3" xfId="2046"/>
    <cellStyle name="20% - Accent5 4 2 2 3" xfId="2047"/>
    <cellStyle name="20% - Accent5 4 2 2 4" xfId="2048"/>
    <cellStyle name="20% - Accent5 4 2 2 5" xfId="2049"/>
    <cellStyle name="20% - Accent5 4 2 2 6" xfId="2050"/>
    <cellStyle name="20% - Accent5 4 2 3" xfId="2051"/>
    <cellStyle name="20% - Accent5 4 2 3 2" xfId="2052"/>
    <cellStyle name="20% - Accent5 4 2 3 2 2" xfId="2053"/>
    <cellStyle name="20% - Accent5 4 2 3 3" xfId="2054"/>
    <cellStyle name="20% - Accent5 4 2 3 4" xfId="2055"/>
    <cellStyle name="20% - Accent5 4 2 3 5" xfId="2056"/>
    <cellStyle name="20% - Accent5 4 2 4" xfId="2057"/>
    <cellStyle name="20% - Accent5 4 2 4 2" xfId="2058"/>
    <cellStyle name="20% - Accent5 4 2 4 3" xfId="2059"/>
    <cellStyle name="20% - Accent5 4 2 4 4" xfId="2060"/>
    <cellStyle name="20% - Accent5 4 2 5" xfId="2061"/>
    <cellStyle name="20% - Accent5 4 2 5 2" xfId="2062"/>
    <cellStyle name="20% - Accent5 4 2 6" xfId="2063"/>
    <cellStyle name="20% - Accent5 4 2 7" xfId="2064"/>
    <cellStyle name="20% - Accent5 4 2 8" xfId="2065"/>
    <cellStyle name="20% - Accent5 4 2 9" xfId="2066"/>
    <cellStyle name="20% - Accent5 4 3" xfId="2067"/>
    <cellStyle name="20% - Accent5 4 3 2" xfId="2068"/>
    <cellStyle name="20% - Accent5 4 3 2 2" xfId="2069"/>
    <cellStyle name="20% - Accent5 4 3 2 3" xfId="2070"/>
    <cellStyle name="20% - Accent5 4 3 3" xfId="2071"/>
    <cellStyle name="20% - Accent5 4 3 4" xfId="2072"/>
    <cellStyle name="20% - Accent5 4 3 5" xfId="2073"/>
    <cellStyle name="20% - Accent5 4 3 6" xfId="2074"/>
    <cellStyle name="20% - Accent5 4 4" xfId="2075"/>
    <cellStyle name="20% - Accent5 4 4 2" xfId="2076"/>
    <cellStyle name="20% - Accent5 4 4 2 2" xfId="2077"/>
    <cellStyle name="20% - Accent5 4 4 3" xfId="2078"/>
    <cellStyle name="20% - Accent5 4 4 4" xfId="2079"/>
    <cellStyle name="20% - Accent5 4 4 5" xfId="2080"/>
    <cellStyle name="20% - Accent5 4 5" xfId="2081"/>
    <cellStyle name="20% - Accent5 4 5 2" xfId="2082"/>
    <cellStyle name="20% - Accent5 4 5 2 2" xfId="2083"/>
    <cellStyle name="20% - Accent5 4 5 3" xfId="2084"/>
    <cellStyle name="20% - Accent5 4 5 4" xfId="2085"/>
    <cellStyle name="20% - Accent5 4 5 5" xfId="2086"/>
    <cellStyle name="20% - Accent5 4 6" xfId="2087"/>
    <cellStyle name="20% - Accent5 4 6 2" xfId="2088"/>
    <cellStyle name="20% - Accent5 4 7" xfId="2089"/>
    <cellStyle name="20% - Accent5 4 8" xfId="2090"/>
    <cellStyle name="20% - Accent5 4 9" xfId="2091"/>
    <cellStyle name="20% - Accent5 5" xfId="2092"/>
    <cellStyle name="20% - Accent5 5 10" xfId="2093"/>
    <cellStyle name="20% - Accent5 5 2" xfId="2094"/>
    <cellStyle name="20% - Accent5 5 2 2" xfId="2095"/>
    <cellStyle name="20% - Accent5 5 2 2 2" xfId="2096"/>
    <cellStyle name="20% - Accent5 5 2 2 2 2" xfId="2097"/>
    <cellStyle name="20% - Accent5 5 2 2 2 3" xfId="2098"/>
    <cellStyle name="20% - Accent5 5 2 2 3" xfId="2099"/>
    <cellStyle name="20% - Accent5 5 2 2 4" xfId="2100"/>
    <cellStyle name="20% - Accent5 5 2 2 5" xfId="2101"/>
    <cellStyle name="20% - Accent5 5 2 2 6" xfId="2102"/>
    <cellStyle name="20% - Accent5 5 2 3" xfId="2103"/>
    <cellStyle name="20% - Accent5 5 2 3 2" xfId="2104"/>
    <cellStyle name="20% - Accent5 5 2 3 2 2" xfId="2105"/>
    <cellStyle name="20% - Accent5 5 2 3 3" xfId="2106"/>
    <cellStyle name="20% - Accent5 5 2 3 4" xfId="2107"/>
    <cellStyle name="20% - Accent5 5 2 3 5" xfId="2108"/>
    <cellStyle name="20% - Accent5 5 2 4" xfId="2109"/>
    <cellStyle name="20% - Accent5 5 2 4 2" xfId="2110"/>
    <cellStyle name="20% - Accent5 5 2 4 3" xfId="2111"/>
    <cellStyle name="20% - Accent5 5 2 4 4" xfId="2112"/>
    <cellStyle name="20% - Accent5 5 2 5" xfId="2113"/>
    <cellStyle name="20% - Accent5 5 2 5 2" xfId="2114"/>
    <cellStyle name="20% - Accent5 5 2 6" xfId="2115"/>
    <cellStyle name="20% - Accent5 5 2 7" xfId="2116"/>
    <cellStyle name="20% - Accent5 5 2 8" xfId="2117"/>
    <cellStyle name="20% - Accent5 5 2 9" xfId="2118"/>
    <cellStyle name="20% - Accent5 5 3" xfId="2119"/>
    <cellStyle name="20% - Accent5 5 3 2" xfId="2120"/>
    <cellStyle name="20% - Accent5 5 3 2 2" xfId="2121"/>
    <cellStyle name="20% - Accent5 5 3 2 3" xfId="2122"/>
    <cellStyle name="20% - Accent5 5 3 3" xfId="2123"/>
    <cellStyle name="20% - Accent5 5 3 4" xfId="2124"/>
    <cellStyle name="20% - Accent5 5 3 5" xfId="2125"/>
    <cellStyle name="20% - Accent5 5 3 6" xfId="2126"/>
    <cellStyle name="20% - Accent5 5 4" xfId="2127"/>
    <cellStyle name="20% - Accent5 5 4 2" xfId="2128"/>
    <cellStyle name="20% - Accent5 5 4 2 2" xfId="2129"/>
    <cellStyle name="20% - Accent5 5 4 3" xfId="2130"/>
    <cellStyle name="20% - Accent5 5 4 4" xfId="2131"/>
    <cellStyle name="20% - Accent5 5 4 5" xfId="2132"/>
    <cellStyle name="20% - Accent5 5 5" xfId="2133"/>
    <cellStyle name="20% - Accent5 5 5 2" xfId="2134"/>
    <cellStyle name="20% - Accent5 5 5 3" xfId="2135"/>
    <cellStyle name="20% - Accent5 5 5 4" xfId="2136"/>
    <cellStyle name="20% - Accent5 5 6" xfId="2137"/>
    <cellStyle name="20% - Accent5 5 6 2" xfId="2138"/>
    <cellStyle name="20% - Accent5 5 7" xfId="2139"/>
    <cellStyle name="20% - Accent5 5 8" xfId="2140"/>
    <cellStyle name="20% - Accent5 5 9" xfId="2141"/>
    <cellStyle name="20% - Accent5 6" xfId="2142"/>
    <cellStyle name="20% - Accent5 6 10" xfId="2143"/>
    <cellStyle name="20% - Accent5 6 2" xfId="2144"/>
    <cellStyle name="20% - Accent5 6 2 2" xfId="2145"/>
    <cellStyle name="20% - Accent5 6 2 2 2" xfId="2146"/>
    <cellStyle name="20% - Accent5 6 2 2 2 2" xfId="2147"/>
    <cellStyle name="20% - Accent5 6 2 2 2 3" xfId="2148"/>
    <cellStyle name="20% - Accent5 6 2 2 3" xfId="2149"/>
    <cellStyle name="20% - Accent5 6 2 2 4" xfId="2150"/>
    <cellStyle name="20% - Accent5 6 2 2 5" xfId="2151"/>
    <cellStyle name="20% - Accent5 6 2 2 6" xfId="2152"/>
    <cellStyle name="20% - Accent5 6 2 3" xfId="2153"/>
    <cellStyle name="20% - Accent5 6 2 3 2" xfId="2154"/>
    <cellStyle name="20% - Accent5 6 2 3 2 2" xfId="2155"/>
    <cellStyle name="20% - Accent5 6 2 3 3" xfId="2156"/>
    <cellStyle name="20% - Accent5 6 2 3 4" xfId="2157"/>
    <cellStyle name="20% - Accent5 6 2 3 5" xfId="2158"/>
    <cellStyle name="20% - Accent5 6 2 4" xfId="2159"/>
    <cellStyle name="20% - Accent5 6 2 4 2" xfId="2160"/>
    <cellStyle name="20% - Accent5 6 2 4 3" xfId="2161"/>
    <cellStyle name="20% - Accent5 6 2 4 4" xfId="2162"/>
    <cellStyle name="20% - Accent5 6 2 5" xfId="2163"/>
    <cellStyle name="20% - Accent5 6 2 5 2" xfId="2164"/>
    <cellStyle name="20% - Accent5 6 2 6" xfId="2165"/>
    <cellStyle name="20% - Accent5 6 2 7" xfId="2166"/>
    <cellStyle name="20% - Accent5 6 2 8" xfId="2167"/>
    <cellStyle name="20% - Accent5 6 2 9" xfId="2168"/>
    <cellStyle name="20% - Accent5 6 3" xfId="2169"/>
    <cellStyle name="20% - Accent5 6 3 2" xfId="2170"/>
    <cellStyle name="20% - Accent5 6 3 2 2" xfId="2171"/>
    <cellStyle name="20% - Accent5 6 3 2 3" xfId="2172"/>
    <cellStyle name="20% - Accent5 6 3 3" xfId="2173"/>
    <cellStyle name="20% - Accent5 6 3 4" xfId="2174"/>
    <cellStyle name="20% - Accent5 6 3 5" xfId="2175"/>
    <cellStyle name="20% - Accent5 6 3 6" xfId="2176"/>
    <cellStyle name="20% - Accent5 6 4" xfId="2177"/>
    <cellStyle name="20% - Accent5 6 4 2" xfId="2178"/>
    <cellStyle name="20% - Accent5 6 4 2 2" xfId="2179"/>
    <cellStyle name="20% - Accent5 6 4 3" xfId="2180"/>
    <cellStyle name="20% - Accent5 6 4 4" xfId="2181"/>
    <cellStyle name="20% - Accent5 6 4 5" xfId="2182"/>
    <cellStyle name="20% - Accent5 6 5" xfId="2183"/>
    <cellStyle name="20% - Accent5 6 5 2" xfId="2184"/>
    <cellStyle name="20% - Accent5 6 5 3" xfId="2185"/>
    <cellStyle name="20% - Accent5 6 5 4" xfId="2186"/>
    <cellStyle name="20% - Accent5 6 6" xfId="2187"/>
    <cellStyle name="20% - Accent5 6 6 2" xfId="2188"/>
    <cellStyle name="20% - Accent5 6 7" xfId="2189"/>
    <cellStyle name="20% - Accent5 6 8" xfId="2190"/>
    <cellStyle name="20% - Accent5 6 9" xfId="2191"/>
    <cellStyle name="20% - Accent5 7" xfId="2192"/>
    <cellStyle name="20% - Accent5 7 2" xfId="2193"/>
    <cellStyle name="20% - Accent5 7 2 2" xfId="2194"/>
    <cellStyle name="20% - Accent5 7 2 2 2" xfId="2195"/>
    <cellStyle name="20% - Accent5 7 2 2 3" xfId="2196"/>
    <cellStyle name="20% - Accent5 7 2 3" xfId="2197"/>
    <cellStyle name="20% - Accent5 7 2 4" xfId="2198"/>
    <cellStyle name="20% - Accent5 7 2 5" xfId="2199"/>
    <cellStyle name="20% - Accent5 7 2 6" xfId="2200"/>
    <cellStyle name="20% - Accent5 7 3" xfId="2201"/>
    <cellStyle name="20% - Accent5 7 3 2" xfId="2202"/>
    <cellStyle name="20% - Accent5 7 3 2 2" xfId="2203"/>
    <cellStyle name="20% - Accent5 7 3 3" xfId="2204"/>
    <cellStyle name="20% - Accent5 7 3 4" xfId="2205"/>
    <cellStyle name="20% - Accent5 7 3 5" xfId="2206"/>
    <cellStyle name="20% - Accent5 7 4" xfId="2207"/>
    <cellStyle name="20% - Accent5 7 4 2" xfId="2208"/>
    <cellStyle name="20% - Accent5 7 4 3" xfId="2209"/>
    <cellStyle name="20% - Accent5 7 4 4" xfId="2210"/>
    <cellStyle name="20% - Accent5 7 5" xfId="2211"/>
    <cellStyle name="20% - Accent5 7 5 2" xfId="2212"/>
    <cellStyle name="20% - Accent5 7 6" xfId="2213"/>
    <cellStyle name="20% - Accent5 7 7" xfId="2214"/>
    <cellStyle name="20% - Accent5 7 8" xfId="2215"/>
    <cellStyle name="20% - Accent5 7 9" xfId="2216"/>
    <cellStyle name="20% - Accent5 8" xfId="2217"/>
    <cellStyle name="20% - Accent5 8 2" xfId="2218"/>
    <cellStyle name="20% - Accent5 8 2 2" xfId="2219"/>
    <cellStyle name="20% - Accent5 8 2 2 2" xfId="2220"/>
    <cellStyle name="20% - Accent5 8 2 2 3" xfId="2221"/>
    <cellStyle name="20% - Accent5 8 2 3" xfId="2222"/>
    <cellStyle name="20% - Accent5 8 2 4" xfId="2223"/>
    <cellStyle name="20% - Accent5 8 2 5" xfId="2224"/>
    <cellStyle name="20% - Accent5 8 2 6" xfId="2225"/>
    <cellStyle name="20% - Accent5 8 3" xfId="2226"/>
    <cellStyle name="20% - Accent5 8 3 2" xfId="2227"/>
    <cellStyle name="20% - Accent5 8 3 2 2" xfId="2228"/>
    <cellStyle name="20% - Accent5 8 3 3" xfId="2229"/>
    <cellStyle name="20% - Accent5 8 3 4" xfId="2230"/>
    <cellStyle name="20% - Accent5 8 3 5" xfId="2231"/>
    <cellStyle name="20% - Accent5 8 4" xfId="2232"/>
    <cellStyle name="20% - Accent5 8 4 2" xfId="2233"/>
    <cellStyle name="20% - Accent5 8 4 3" xfId="2234"/>
    <cellStyle name="20% - Accent5 8 4 4" xfId="2235"/>
    <cellStyle name="20% - Accent5 8 5" xfId="2236"/>
    <cellStyle name="20% - Accent5 8 5 2" xfId="2237"/>
    <cellStyle name="20% - Accent5 8 6" xfId="2238"/>
    <cellStyle name="20% - Accent5 8 7" xfId="2239"/>
    <cellStyle name="20% - Accent5 8 8" xfId="2240"/>
    <cellStyle name="20% - Accent5 8 9" xfId="2241"/>
    <cellStyle name="20% - Accent5 9" xfId="2242"/>
    <cellStyle name="20% - Accent5 9 2" xfId="2243"/>
    <cellStyle name="20% - Accent5 9 2 2" xfId="2244"/>
    <cellStyle name="20% - Accent5 9 2 2 2" xfId="2245"/>
    <cellStyle name="20% - Accent5 9 2 3" xfId="2246"/>
    <cellStyle name="20% - Accent5 9 2 4" xfId="2247"/>
    <cellStyle name="20% - Accent5 9 2 5" xfId="2248"/>
    <cellStyle name="20% - Accent5 9 3" xfId="2249"/>
    <cellStyle name="20% - Accent5 9 3 2" xfId="2250"/>
    <cellStyle name="20% - Accent5 9 3 3" xfId="2251"/>
    <cellStyle name="20% - Accent5 9 3 4" xfId="2252"/>
    <cellStyle name="20% - Accent5 9 4" xfId="2253"/>
    <cellStyle name="20% - Accent5 9 4 2" xfId="2254"/>
    <cellStyle name="20% - Accent5 9 5" xfId="2255"/>
    <cellStyle name="20% - Accent5 9 6" xfId="2256"/>
    <cellStyle name="20% - Accent5 9 7" xfId="2257"/>
    <cellStyle name="20% - Accent5 9 8" xfId="2258"/>
    <cellStyle name="20% - Accent6 10" xfId="2259"/>
    <cellStyle name="20% - Accent6 10 2" xfId="2260"/>
    <cellStyle name="20% - Accent6 10 2 2" xfId="2261"/>
    <cellStyle name="20% - Accent6 10 2 2 2" xfId="2262"/>
    <cellStyle name="20% - Accent6 10 2 3" xfId="2263"/>
    <cellStyle name="20% - Accent6 10 2 4" xfId="2264"/>
    <cellStyle name="20% - Accent6 10 2 5" xfId="2265"/>
    <cellStyle name="20% - Accent6 10 3" xfId="2266"/>
    <cellStyle name="20% - Accent6 10 3 2" xfId="2267"/>
    <cellStyle name="20% - Accent6 10 3 3" xfId="2268"/>
    <cellStyle name="20% - Accent6 10 3 4" xfId="2269"/>
    <cellStyle name="20% - Accent6 10 4" xfId="2270"/>
    <cellStyle name="20% - Accent6 10 4 2" xfId="2271"/>
    <cellStyle name="20% - Accent6 10 5" xfId="2272"/>
    <cellStyle name="20% - Accent6 10 6" xfId="2273"/>
    <cellStyle name="20% - Accent6 10 7" xfId="2274"/>
    <cellStyle name="20% - Accent6 10 8" xfId="2275"/>
    <cellStyle name="20% - Accent6 11" xfId="2276"/>
    <cellStyle name="20% - Accent6 11 2" xfId="2277"/>
    <cellStyle name="20% - Accent6 11 2 2" xfId="2278"/>
    <cellStyle name="20% - Accent6 11 2 2 2" xfId="2279"/>
    <cellStyle name="20% - Accent6 11 2 3" xfId="2280"/>
    <cellStyle name="20% - Accent6 11 2 4" xfId="2281"/>
    <cellStyle name="20% - Accent6 11 2 5" xfId="2282"/>
    <cellStyle name="20% - Accent6 11 3" xfId="2283"/>
    <cellStyle name="20% - Accent6 11 3 2" xfId="2284"/>
    <cellStyle name="20% - Accent6 11 3 3" xfId="2285"/>
    <cellStyle name="20% - Accent6 11 3 4" xfId="2286"/>
    <cellStyle name="20% - Accent6 11 4" xfId="2287"/>
    <cellStyle name="20% - Accent6 11 4 2" xfId="2288"/>
    <cellStyle name="20% - Accent6 11 5" xfId="2289"/>
    <cellStyle name="20% - Accent6 11 6" xfId="2290"/>
    <cellStyle name="20% - Accent6 11 7" xfId="2291"/>
    <cellStyle name="20% - Accent6 11 8" xfId="2292"/>
    <cellStyle name="20% - Accent6 12" xfId="2293"/>
    <cellStyle name="20% - Accent6 12 2" xfId="2294"/>
    <cellStyle name="20% - Accent6 12 2 2" xfId="2295"/>
    <cellStyle name="20% - Accent6 12 2 2 2" xfId="2296"/>
    <cellStyle name="20% - Accent6 12 2 3" xfId="2297"/>
    <cellStyle name="20% - Accent6 12 2 4" xfId="2298"/>
    <cellStyle name="20% - Accent6 12 2 5" xfId="2299"/>
    <cellStyle name="20% - Accent6 12 3" xfId="2300"/>
    <cellStyle name="20% - Accent6 12 3 2" xfId="2301"/>
    <cellStyle name="20% - Accent6 12 3 3" xfId="2302"/>
    <cellStyle name="20% - Accent6 12 3 4" xfId="2303"/>
    <cellStyle name="20% - Accent6 12 4" xfId="2304"/>
    <cellStyle name="20% - Accent6 12 4 2" xfId="2305"/>
    <cellStyle name="20% - Accent6 12 5" xfId="2306"/>
    <cellStyle name="20% - Accent6 12 6" xfId="2307"/>
    <cellStyle name="20% - Accent6 12 7" xfId="2308"/>
    <cellStyle name="20% - Accent6 12 8" xfId="2309"/>
    <cellStyle name="20% - Accent6 13" xfId="2310"/>
    <cellStyle name="20% - Accent6 13 2" xfId="2311"/>
    <cellStyle name="20% - Accent6 13 2 2" xfId="2312"/>
    <cellStyle name="20% - Accent6 13 2 3" xfId="2313"/>
    <cellStyle name="20% - Accent6 13 2 4" xfId="2314"/>
    <cellStyle name="20% - Accent6 13 3" xfId="2315"/>
    <cellStyle name="20% - Accent6 13 3 2" xfId="2316"/>
    <cellStyle name="20% - Accent6 13 4" xfId="2317"/>
    <cellStyle name="20% - Accent6 13 5" xfId="2318"/>
    <cellStyle name="20% - Accent6 13 6" xfId="2319"/>
    <cellStyle name="20% - Accent6 14" xfId="2320"/>
    <cellStyle name="20% - Accent6 14 2" xfId="2321"/>
    <cellStyle name="20% - Accent6 14 2 2" xfId="2322"/>
    <cellStyle name="20% - Accent6 14 3" xfId="2323"/>
    <cellStyle name="20% - Accent6 14 4" xfId="2324"/>
    <cellStyle name="20% - Accent6 14 5" xfId="2325"/>
    <cellStyle name="20% - Accent6 15" xfId="2326"/>
    <cellStyle name="20% - Accent6 15 2" xfId="2327"/>
    <cellStyle name="20% - Accent6 15 2 2" xfId="2328"/>
    <cellStyle name="20% - Accent6 15 3" xfId="2329"/>
    <cellStyle name="20% - Accent6 15 4" xfId="2330"/>
    <cellStyle name="20% - Accent6 15 5" xfId="2331"/>
    <cellStyle name="20% - Accent6 16" xfId="2332"/>
    <cellStyle name="20% - Accent6 16 2" xfId="2333"/>
    <cellStyle name="20% - Accent6 17" xfId="2334"/>
    <cellStyle name="20% - Accent6 18" xfId="2335"/>
    <cellStyle name="20% - Accent6 19" xfId="2336"/>
    <cellStyle name="20% - Accent6 2" xfId="2337"/>
    <cellStyle name="20% - Accent6 2 10" xfId="2338"/>
    <cellStyle name="20% - Accent6 2 11" xfId="2339"/>
    <cellStyle name="20% - Accent6 2 2" xfId="2340"/>
    <cellStyle name="20% - Accent6 2 2 10" xfId="2341"/>
    <cellStyle name="20% - Accent6 2 2 2" xfId="2342"/>
    <cellStyle name="20% - Accent6 2 2 2 2" xfId="2343"/>
    <cellStyle name="20% - Accent6 2 2 2 2 2" xfId="2344"/>
    <cellStyle name="20% - Accent6 2 2 2 2 2 2" xfId="2345"/>
    <cellStyle name="20% - Accent6 2 2 2 2 2 3" xfId="2346"/>
    <cellStyle name="20% - Accent6 2 2 2 2 3" xfId="2347"/>
    <cellStyle name="20% - Accent6 2 2 2 2 4" xfId="2348"/>
    <cellStyle name="20% - Accent6 2 2 2 2 5" xfId="2349"/>
    <cellStyle name="20% - Accent6 2 2 2 2 6" xfId="2350"/>
    <cellStyle name="20% - Accent6 2 2 2 3" xfId="2351"/>
    <cellStyle name="20% - Accent6 2 2 2 3 2" xfId="2352"/>
    <cellStyle name="20% - Accent6 2 2 2 3 2 2" xfId="2353"/>
    <cellStyle name="20% - Accent6 2 2 2 3 3" xfId="2354"/>
    <cellStyle name="20% - Accent6 2 2 2 3 4" xfId="2355"/>
    <cellStyle name="20% - Accent6 2 2 2 3 5" xfId="2356"/>
    <cellStyle name="20% - Accent6 2 2 2 4" xfId="2357"/>
    <cellStyle name="20% - Accent6 2 2 2 4 2" xfId="2358"/>
    <cellStyle name="20% - Accent6 2 2 2 4 3" xfId="2359"/>
    <cellStyle name="20% - Accent6 2 2 2 4 4" xfId="2360"/>
    <cellStyle name="20% - Accent6 2 2 2 5" xfId="2361"/>
    <cellStyle name="20% - Accent6 2 2 2 5 2" xfId="2362"/>
    <cellStyle name="20% - Accent6 2 2 2 6" xfId="2363"/>
    <cellStyle name="20% - Accent6 2 2 2 7" xfId="2364"/>
    <cellStyle name="20% - Accent6 2 2 2 8" xfId="2365"/>
    <cellStyle name="20% - Accent6 2 2 2 9" xfId="2366"/>
    <cellStyle name="20% - Accent6 2 2 3" xfId="2367"/>
    <cellStyle name="20% - Accent6 2 2 3 2" xfId="2368"/>
    <cellStyle name="20% - Accent6 2 2 3 2 2" xfId="2369"/>
    <cellStyle name="20% - Accent6 2 2 3 2 3" xfId="2370"/>
    <cellStyle name="20% - Accent6 2 2 3 3" xfId="2371"/>
    <cellStyle name="20% - Accent6 2 2 3 4" xfId="2372"/>
    <cellStyle name="20% - Accent6 2 2 3 5" xfId="2373"/>
    <cellStyle name="20% - Accent6 2 2 3 6" xfId="2374"/>
    <cellStyle name="20% - Accent6 2 2 4" xfId="2375"/>
    <cellStyle name="20% - Accent6 2 2 4 2" xfId="2376"/>
    <cellStyle name="20% - Accent6 2 2 4 2 2" xfId="2377"/>
    <cellStyle name="20% - Accent6 2 2 4 3" xfId="2378"/>
    <cellStyle name="20% - Accent6 2 2 4 4" xfId="2379"/>
    <cellStyle name="20% - Accent6 2 2 4 5" xfId="2380"/>
    <cellStyle name="20% - Accent6 2 2 5" xfId="2381"/>
    <cellStyle name="20% - Accent6 2 2 5 2" xfId="2382"/>
    <cellStyle name="20% - Accent6 2 2 5 3" xfId="2383"/>
    <cellStyle name="20% - Accent6 2 2 5 4" xfId="2384"/>
    <cellStyle name="20% - Accent6 2 2 6" xfId="2385"/>
    <cellStyle name="20% - Accent6 2 2 6 2" xfId="2386"/>
    <cellStyle name="20% - Accent6 2 2 7" xfId="2387"/>
    <cellStyle name="20% - Accent6 2 2 8" xfId="2388"/>
    <cellStyle name="20% - Accent6 2 2 9" xfId="2389"/>
    <cellStyle name="20% - Accent6 2 3" xfId="2390"/>
    <cellStyle name="20% - Accent6 2 3 2" xfId="2391"/>
    <cellStyle name="20% - Accent6 2 3 2 2" xfId="2392"/>
    <cellStyle name="20% - Accent6 2 3 2 2 2" xfId="2393"/>
    <cellStyle name="20% - Accent6 2 3 2 2 3" xfId="2394"/>
    <cellStyle name="20% - Accent6 2 3 2 3" xfId="2395"/>
    <cellStyle name="20% - Accent6 2 3 2 4" xfId="2396"/>
    <cellStyle name="20% - Accent6 2 3 2 5" xfId="2397"/>
    <cellStyle name="20% - Accent6 2 3 2 6" xfId="2398"/>
    <cellStyle name="20% - Accent6 2 3 3" xfId="2399"/>
    <cellStyle name="20% - Accent6 2 3 3 2" xfId="2400"/>
    <cellStyle name="20% - Accent6 2 3 3 2 2" xfId="2401"/>
    <cellStyle name="20% - Accent6 2 3 3 3" xfId="2402"/>
    <cellStyle name="20% - Accent6 2 3 3 4" xfId="2403"/>
    <cellStyle name="20% - Accent6 2 3 3 5" xfId="2404"/>
    <cellStyle name="20% - Accent6 2 3 4" xfId="2405"/>
    <cellStyle name="20% - Accent6 2 3 4 2" xfId="2406"/>
    <cellStyle name="20% - Accent6 2 3 4 3" xfId="2407"/>
    <cellStyle name="20% - Accent6 2 3 4 4" xfId="2408"/>
    <cellStyle name="20% - Accent6 2 3 5" xfId="2409"/>
    <cellStyle name="20% - Accent6 2 3 5 2" xfId="2410"/>
    <cellStyle name="20% - Accent6 2 3 6" xfId="2411"/>
    <cellStyle name="20% - Accent6 2 3 7" xfId="2412"/>
    <cellStyle name="20% - Accent6 2 3 8" xfId="2413"/>
    <cellStyle name="20% - Accent6 2 3 9" xfId="2414"/>
    <cellStyle name="20% - Accent6 2 4" xfId="2415"/>
    <cellStyle name="20% - Accent6 2 4 2" xfId="2416"/>
    <cellStyle name="20% - Accent6 2 4 2 2" xfId="2417"/>
    <cellStyle name="20% - Accent6 2 4 2 3" xfId="2418"/>
    <cellStyle name="20% - Accent6 2 4 3" xfId="2419"/>
    <cellStyle name="20% - Accent6 2 4 4" xfId="2420"/>
    <cellStyle name="20% - Accent6 2 4 5" xfId="2421"/>
    <cellStyle name="20% - Accent6 2 4 6" xfId="2422"/>
    <cellStyle name="20% - Accent6 2 5" xfId="2423"/>
    <cellStyle name="20% - Accent6 2 5 2" xfId="2424"/>
    <cellStyle name="20% - Accent6 2 5 2 2" xfId="2425"/>
    <cellStyle name="20% - Accent6 2 5 3" xfId="2426"/>
    <cellStyle name="20% - Accent6 2 5 4" xfId="2427"/>
    <cellStyle name="20% - Accent6 2 5 5" xfId="2428"/>
    <cellStyle name="20% - Accent6 2 6" xfId="2429"/>
    <cellStyle name="20% - Accent6 2 6 2" xfId="2430"/>
    <cellStyle name="20% - Accent6 2 6 2 2" xfId="2431"/>
    <cellStyle name="20% - Accent6 2 6 3" xfId="2432"/>
    <cellStyle name="20% - Accent6 2 6 4" xfId="2433"/>
    <cellStyle name="20% - Accent6 2 6 5" xfId="2434"/>
    <cellStyle name="20% - Accent6 2 7" xfId="2435"/>
    <cellStyle name="20% - Accent6 2 7 2" xfId="2436"/>
    <cellStyle name="20% - Accent6 2 8" xfId="2437"/>
    <cellStyle name="20% - Accent6 2 9" xfId="2438"/>
    <cellStyle name="20% - Accent6 3" xfId="2439"/>
    <cellStyle name="20% - Accent6 3 10" xfId="2440"/>
    <cellStyle name="20% - Accent6 3 2" xfId="2441"/>
    <cellStyle name="20% - Accent6 3 2 2" xfId="2442"/>
    <cellStyle name="20% - Accent6 3 2 2 2" xfId="2443"/>
    <cellStyle name="20% - Accent6 3 2 2 2 2" xfId="2444"/>
    <cellStyle name="20% - Accent6 3 2 2 2 3" xfId="2445"/>
    <cellStyle name="20% - Accent6 3 2 2 3" xfId="2446"/>
    <cellStyle name="20% - Accent6 3 2 2 4" xfId="2447"/>
    <cellStyle name="20% - Accent6 3 2 2 5" xfId="2448"/>
    <cellStyle name="20% - Accent6 3 2 2 6" xfId="2449"/>
    <cellStyle name="20% - Accent6 3 2 3" xfId="2450"/>
    <cellStyle name="20% - Accent6 3 2 3 2" xfId="2451"/>
    <cellStyle name="20% - Accent6 3 2 3 2 2" xfId="2452"/>
    <cellStyle name="20% - Accent6 3 2 3 3" xfId="2453"/>
    <cellStyle name="20% - Accent6 3 2 3 4" xfId="2454"/>
    <cellStyle name="20% - Accent6 3 2 3 5" xfId="2455"/>
    <cellStyle name="20% - Accent6 3 2 4" xfId="2456"/>
    <cellStyle name="20% - Accent6 3 2 4 2" xfId="2457"/>
    <cellStyle name="20% - Accent6 3 2 4 3" xfId="2458"/>
    <cellStyle name="20% - Accent6 3 2 4 4" xfId="2459"/>
    <cellStyle name="20% - Accent6 3 2 5" xfId="2460"/>
    <cellStyle name="20% - Accent6 3 2 5 2" xfId="2461"/>
    <cellStyle name="20% - Accent6 3 2 6" xfId="2462"/>
    <cellStyle name="20% - Accent6 3 2 7" xfId="2463"/>
    <cellStyle name="20% - Accent6 3 2 8" xfId="2464"/>
    <cellStyle name="20% - Accent6 3 2 9" xfId="2465"/>
    <cellStyle name="20% - Accent6 3 3" xfId="2466"/>
    <cellStyle name="20% - Accent6 3 3 2" xfId="2467"/>
    <cellStyle name="20% - Accent6 3 3 2 2" xfId="2468"/>
    <cellStyle name="20% - Accent6 3 3 2 3" xfId="2469"/>
    <cellStyle name="20% - Accent6 3 3 3" xfId="2470"/>
    <cellStyle name="20% - Accent6 3 3 4" xfId="2471"/>
    <cellStyle name="20% - Accent6 3 3 5" xfId="2472"/>
    <cellStyle name="20% - Accent6 3 3 6" xfId="2473"/>
    <cellStyle name="20% - Accent6 3 4" xfId="2474"/>
    <cellStyle name="20% - Accent6 3 4 2" xfId="2475"/>
    <cellStyle name="20% - Accent6 3 4 2 2" xfId="2476"/>
    <cellStyle name="20% - Accent6 3 4 3" xfId="2477"/>
    <cellStyle name="20% - Accent6 3 4 4" xfId="2478"/>
    <cellStyle name="20% - Accent6 3 4 5" xfId="2479"/>
    <cellStyle name="20% - Accent6 3 5" xfId="2480"/>
    <cellStyle name="20% - Accent6 3 5 2" xfId="2481"/>
    <cellStyle name="20% - Accent6 3 5 2 2" xfId="2482"/>
    <cellStyle name="20% - Accent6 3 5 3" xfId="2483"/>
    <cellStyle name="20% - Accent6 3 5 4" xfId="2484"/>
    <cellStyle name="20% - Accent6 3 5 5" xfId="2485"/>
    <cellStyle name="20% - Accent6 3 6" xfId="2486"/>
    <cellStyle name="20% - Accent6 3 6 2" xfId="2487"/>
    <cellStyle name="20% - Accent6 3 7" xfId="2488"/>
    <cellStyle name="20% - Accent6 3 8" xfId="2489"/>
    <cellStyle name="20% - Accent6 3 9" xfId="2490"/>
    <cellStyle name="20% - Accent6 4" xfId="2491"/>
    <cellStyle name="20% - Accent6 4 10" xfId="2492"/>
    <cellStyle name="20% - Accent6 4 2" xfId="2493"/>
    <cellStyle name="20% - Accent6 4 2 2" xfId="2494"/>
    <cellStyle name="20% - Accent6 4 2 2 2" xfId="2495"/>
    <cellStyle name="20% - Accent6 4 2 2 2 2" xfId="2496"/>
    <cellStyle name="20% - Accent6 4 2 2 2 3" xfId="2497"/>
    <cellStyle name="20% - Accent6 4 2 2 3" xfId="2498"/>
    <cellStyle name="20% - Accent6 4 2 2 4" xfId="2499"/>
    <cellStyle name="20% - Accent6 4 2 2 5" xfId="2500"/>
    <cellStyle name="20% - Accent6 4 2 2 6" xfId="2501"/>
    <cellStyle name="20% - Accent6 4 2 3" xfId="2502"/>
    <cellStyle name="20% - Accent6 4 2 3 2" xfId="2503"/>
    <cellStyle name="20% - Accent6 4 2 3 2 2" xfId="2504"/>
    <cellStyle name="20% - Accent6 4 2 3 3" xfId="2505"/>
    <cellStyle name="20% - Accent6 4 2 3 4" xfId="2506"/>
    <cellStyle name="20% - Accent6 4 2 3 5" xfId="2507"/>
    <cellStyle name="20% - Accent6 4 2 4" xfId="2508"/>
    <cellStyle name="20% - Accent6 4 2 4 2" xfId="2509"/>
    <cellStyle name="20% - Accent6 4 2 4 3" xfId="2510"/>
    <cellStyle name="20% - Accent6 4 2 4 4" xfId="2511"/>
    <cellStyle name="20% - Accent6 4 2 5" xfId="2512"/>
    <cellStyle name="20% - Accent6 4 2 5 2" xfId="2513"/>
    <cellStyle name="20% - Accent6 4 2 6" xfId="2514"/>
    <cellStyle name="20% - Accent6 4 2 7" xfId="2515"/>
    <cellStyle name="20% - Accent6 4 2 8" xfId="2516"/>
    <cellStyle name="20% - Accent6 4 2 9" xfId="2517"/>
    <cellStyle name="20% - Accent6 4 3" xfId="2518"/>
    <cellStyle name="20% - Accent6 4 3 2" xfId="2519"/>
    <cellStyle name="20% - Accent6 4 3 2 2" xfId="2520"/>
    <cellStyle name="20% - Accent6 4 3 2 3" xfId="2521"/>
    <cellStyle name="20% - Accent6 4 3 3" xfId="2522"/>
    <cellStyle name="20% - Accent6 4 3 4" xfId="2523"/>
    <cellStyle name="20% - Accent6 4 3 5" xfId="2524"/>
    <cellStyle name="20% - Accent6 4 3 6" xfId="2525"/>
    <cellStyle name="20% - Accent6 4 4" xfId="2526"/>
    <cellStyle name="20% - Accent6 4 4 2" xfId="2527"/>
    <cellStyle name="20% - Accent6 4 4 2 2" xfId="2528"/>
    <cellStyle name="20% - Accent6 4 4 3" xfId="2529"/>
    <cellStyle name="20% - Accent6 4 4 4" xfId="2530"/>
    <cellStyle name="20% - Accent6 4 4 5" xfId="2531"/>
    <cellStyle name="20% - Accent6 4 5" xfId="2532"/>
    <cellStyle name="20% - Accent6 4 5 2" xfId="2533"/>
    <cellStyle name="20% - Accent6 4 5 2 2" xfId="2534"/>
    <cellStyle name="20% - Accent6 4 5 3" xfId="2535"/>
    <cellStyle name="20% - Accent6 4 5 4" xfId="2536"/>
    <cellStyle name="20% - Accent6 4 5 5" xfId="2537"/>
    <cellStyle name="20% - Accent6 4 6" xfId="2538"/>
    <cellStyle name="20% - Accent6 4 6 2" xfId="2539"/>
    <cellStyle name="20% - Accent6 4 7" xfId="2540"/>
    <cellStyle name="20% - Accent6 4 8" xfId="2541"/>
    <cellStyle name="20% - Accent6 4 9" xfId="2542"/>
    <cellStyle name="20% - Accent6 5" xfId="2543"/>
    <cellStyle name="20% - Accent6 5 10" xfId="2544"/>
    <cellStyle name="20% - Accent6 5 2" xfId="2545"/>
    <cellStyle name="20% - Accent6 5 2 2" xfId="2546"/>
    <cellStyle name="20% - Accent6 5 2 2 2" xfId="2547"/>
    <cellStyle name="20% - Accent6 5 2 2 2 2" xfId="2548"/>
    <cellStyle name="20% - Accent6 5 2 2 2 3" xfId="2549"/>
    <cellStyle name="20% - Accent6 5 2 2 3" xfId="2550"/>
    <cellStyle name="20% - Accent6 5 2 2 4" xfId="2551"/>
    <cellStyle name="20% - Accent6 5 2 2 5" xfId="2552"/>
    <cellStyle name="20% - Accent6 5 2 2 6" xfId="2553"/>
    <cellStyle name="20% - Accent6 5 2 3" xfId="2554"/>
    <cellStyle name="20% - Accent6 5 2 3 2" xfId="2555"/>
    <cellStyle name="20% - Accent6 5 2 3 2 2" xfId="2556"/>
    <cellStyle name="20% - Accent6 5 2 3 3" xfId="2557"/>
    <cellStyle name="20% - Accent6 5 2 3 4" xfId="2558"/>
    <cellStyle name="20% - Accent6 5 2 3 5" xfId="2559"/>
    <cellStyle name="20% - Accent6 5 2 4" xfId="2560"/>
    <cellStyle name="20% - Accent6 5 2 4 2" xfId="2561"/>
    <cellStyle name="20% - Accent6 5 2 4 3" xfId="2562"/>
    <cellStyle name="20% - Accent6 5 2 4 4" xfId="2563"/>
    <cellStyle name="20% - Accent6 5 2 5" xfId="2564"/>
    <cellStyle name="20% - Accent6 5 2 5 2" xfId="2565"/>
    <cellStyle name="20% - Accent6 5 2 6" xfId="2566"/>
    <cellStyle name="20% - Accent6 5 2 7" xfId="2567"/>
    <cellStyle name="20% - Accent6 5 2 8" xfId="2568"/>
    <cellStyle name="20% - Accent6 5 2 9" xfId="2569"/>
    <cellStyle name="20% - Accent6 5 3" xfId="2570"/>
    <cellStyle name="20% - Accent6 5 3 2" xfId="2571"/>
    <cellStyle name="20% - Accent6 5 3 2 2" xfId="2572"/>
    <cellStyle name="20% - Accent6 5 3 2 3" xfId="2573"/>
    <cellStyle name="20% - Accent6 5 3 3" xfId="2574"/>
    <cellStyle name="20% - Accent6 5 3 4" xfId="2575"/>
    <cellStyle name="20% - Accent6 5 3 5" xfId="2576"/>
    <cellStyle name="20% - Accent6 5 3 6" xfId="2577"/>
    <cellStyle name="20% - Accent6 5 4" xfId="2578"/>
    <cellStyle name="20% - Accent6 5 4 2" xfId="2579"/>
    <cellStyle name="20% - Accent6 5 4 2 2" xfId="2580"/>
    <cellStyle name="20% - Accent6 5 4 3" xfId="2581"/>
    <cellStyle name="20% - Accent6 5 4 4" xfId="2582"/>
    <cellStyle name="20% - Accent6 5 4 5" xfId="2583"/>
    <cellStyle name="20% - Accent6 5 5" xfId="2584"/>
    <cellStyle name="20% - Accent6 5 5 2" xfId="2585"/>
    <cellStyle name="20% - Accent6 5 5 3" xfId="2586"/>
    <cellStyle name="20% - Accent6 5 5 4" xfId="2587"/>
    <cellStyle name="20% - Accent6 5 6" xfId="2588"/>
    <cellStyle name="20% - Accent6 5 6 2" xfId="2589"/>
    <cellStyle name="20% - Accent6 5 7" xfId="2590"/>
    <cellStyle name="20% - Accent6 5 8" xfId="2591"/>
    <cellStyle name="20% - Accent6 5 9" xfId="2592"/>
    <cellStyle name="20% - Accent6 6" xfId="2593"/>
    <cellStyle name="20% - Accent6 6 10" xfId="2594"/>
    <cellStyle name="20% - Accent6 6 2" xfId="2595"/>
    <cellStyle name="20% - Accent6 6 2 2" xfId="2596"/>
    <cellStyle name="20% - Accent6 6 2 2 2" xfId="2597"/>
    <cellStyle name="20% - Accent6 6 2 2 2 2" xfId="2598"/>
    <cellStyle name="20% - Accent6 6 2 2 2 3" xfId="2599"/>
    <cellStyle name="20% - Accent6 6 2 2 3" xfId="2600"/>
    <cellStyle name="20% - Accent6 6 2 2 4" xfId="2601"/>
    <cellStyle name="20% - Accent6 6 2 2 5" xfId="2602"/>
    <cellStyle name="20% - Accent6 6 2 2 6" xfId="2603"/>
    <cellStyle name="20% - Accent6 6 2 3" xfId="2604"/>
    <cellStyle name="20% - Accent6 6 2 3 2" xfId="2605"/>
    <cellStyle name="20% - Accent6 6 2 3 2 2" xfId="2606"/>
    <cellStyle name="20% - Accent6 6 2 3 3" xfId="2607"/>
    <cellStyle name="20% - Accent6 6 2 3 4" xfId="2608"/>
    <cellStyle name="20% - Accent6 6 2 3 5" xfId="2609"/>
    <cellStyle name="20% - Accent6 6 2 4" xfId="2610"/>
    <cellStyle name="20% - Accent6 6 2 4 2" xfId="2611"/>
    <cellStyle name="20% - Accent6 6 2 4 3" xfId="2612"/>
    <cellStyle name="20% - Accent6 6 2 4 4" xfId="2613"/>
    <cellStyle name="20% - Accent6 6 2 5" xfId="2614"/>
    <cellStyle name="20% - Accent6 6 2 5 2" xfId="2615"/>
    <cellStyle name="20% - Accent6 6 2 6" xfId="2616"/>
    <cellStyle name="20% - Accent6 6 2 7" xfId="2617"/>
    <cellStyle name="20% - Accent6 6 2 8" xfId="2618"/>
    <cellStyle name="20% - Accent6 6 2 9" xfId="2619"/>
    <cellStyle name="20% - Accent6 6 3" xfId="2620"/>
    <cellStyle name="20% - Accent6 6 3 2" xfId="2621"/>
    <cellStyle name="20% - Accent6 6 3 2 2" xfId="2622"/>
    <cellStyle name="20% - Accent6 6 3 2 3" xfId="2623"/>
    <cellStyle name="20% - Accent6 6 3 3" xfId="2624"/>
    <cellStyle name="20% - Accent6 6 3 4" xfId="2625"/>
    <cellStyle name="20% - Accent6 6 3 5" xfId="2626"/>
    <cellStyle name="20% - Accent6 6 3 6" xfId="2627"/>
    <cellStyle name="20% - Accent6 6 4" xfId="2628"/>
    <cellStyle name="20% - Accent6 6 4 2" xfId="2629"/>
    <cellStyle name="20% - Accent6 6 4 2 2" xfId="2630"/>
    <cellStyle name="20% - Accent6 6 4 3" xfId="2631"/>
    <cellStyle name="20% - Accent6 6 4 4" xfId="2632"/>
    <cellStyle name="20% - Accent6 6 4 5" xfId="2633"/>
    <cellStyle name="20% - Accent6 6 5" xfId="2634"/>
    <cellStyle name="20% - Accent6 6 5 2" xfId="2635"/>
    <cellStyle name="20% - Accent6 6 5 3" xfId="2636"/>
    <cellStyle name="20% - Accent6 6 5 4" xfId="2637"/>
    <cellStyle name="20% - Accent6 6 6" xfId="2638"/>
    <cellStyle name="20% - Accent6 6 6 2" xfId="2639"/>
    <cellStyle name="20% - Accent6 6 7" xfId="2640"/>
    <cellStyle name="20% - Accent6 6 8" xfId="2641"/>
    <cellStyle name="20% - Accent6 6 9" xfId="2642"/>
    <cellStyle name="20% - Accent6 7" xfId="2643"/>
    <cellStyle name="20% - Accent6 7 2" xfId="2644"/>
    <cellStyle name="20% - Accent6 7 2 2" xfId="2645"/>
    <cellStyle name="20% - Accent6 7 2 2 2" xfId="2646"/>
    <cellStyle name="20% - Accent6 7 2 2 3" xfId="2647"/>
    <cellStyle name="20% - Accent6 7 2 3" xfId="2648"/>
    <cellStyle name="20% - Accent6 7 2 4" xfId="2649"/>
    <cellStyle name="20% - Accent6 7 2 5" xfId="2650"/>
    <cellStyle name="20% - Accent6 7 2 6" xfId="2651"/>
    <cellStyle name="20% - Accent6 7 3" xfId="2652"/>
    <cellStyle name="20% - Accent6 7 3 2" xfId="2653"/>
    <cellStyle name="20% - Accent6 7 3 2 2" xfId="2654"/>
    <cellStyle name="20% - Accent6 7 3 3" xfId="2655"/>
    <cellStyle name="20% - Accent6 7 3 4" xfId="2656"/>
    <cellStyle name="20% - Accent6 7 3 5" xfId="2657"/>
    <cellStyle name="20% - Accent6 7 4" xfId="2658"/>
    <cellStyle name="20% - Accent6 7 4 2" xfId="2659"/>
    <cellStyle name="20% - Accent6 7 4 3" xfId="2660"/>
    <cellStyle name="20% - Accent6 7 4 4" xfId="2661"/>
    <cellStyle name="20% - Accent6 7 5" xfId="2662"/>
    <cellStyle name="20% - Accent6 7 5 2" xfId="2663"/>
    <cellStyle name="20% - Accent6 7 6" xfId="2664"/>
    <cellStyle name="20% - Accent6 7 7" xfId="2665"/>
    <cellStyle name="20% - Accent6 7 8" xfId="2666"/>
    <cellStyle name="20% - Accent6 7 9" xfId="2667"/>
    <cellStyle name="20% - Accent6 8" xfId="2668"/>
    <cellStyle name="20% - Accent6 8 2" xfId="2669"/>
    <cellStyle name="20% - Accent6 8 2 2" xfId="2670"/>
    <cellStyle name="20% - Accent6 8 2 2 2" xfId="2671"/>
    <cellStyle name="20% - Accent6 8 2 2 3" xfId="2672"/>
    <cellStyle name="20% - Accent6 8 2 3" xfId="2673"/>
    <cellStyle name="20% - Accent6 8 2 4" xfId="2674"/>
    <cellStyle name="20% - Accent6 8 2 5" xfId="2675"/>
    <cellStyle name="20% - Accent6 8 2 6" xfId="2676"/>
    <cellStyle name="20% - Accent6 8 3" xfId="2677"/>
    <cellStyle name="20% - Accent6 8 3 2" xfId="2678"/>
    <cellStyle name="20% - Accent6 8 3 2 2" xfId="2679"/>
    <cellStyle name="20% - Accent6 8 3 3" xfId="2680"/>
    <cellStyle name="20% - Accent6 8 3 4" xfId="2681"/>
    <cellStyle name="20% - Accent6 8 3 5" xfId="2682"/>
    <cellStyle name="20% - Accent6 8 4" xfId="2683"/>
    <cellStyle name="20% - Accent6 8 4 2" xfId="2684"/>
    <cellStyle name="20% - Accent6 8 4 3" xfId="2685"/>
    <cellStyle name="20% - Accent6 8 4 4" xfId="2686"/>
    <cellStyle name="20% - Accent6 8 5" xfId="2687"/>
    <cellStyle name="20% - Accent6 8 5 2" xfId="2688"/>
    <cellStyle name="20% - Accent6 8 6" xfId="2689"/>
    <cellStyle name="20% - Accent6 8 7" xfId="2690"/>
    <cellStyle name="20% - Accent6 8 8" xfId="2691"/>
    <cellStyle name="20% - Accent6 8 9" xfId="2692"/>
    <cellStyle name="20% - Accent6 9" xfId="2693"/>
    <cellStyle name="20% - Accent6 9 2" xfId="2694"/>
    <cellStyle name="20% - Accent6 9 2 2" xfId="2695"/>
    <cellStyle name="20% - Accent6 9 2 2 2" xfId="2696"/>
    <cellStyle name="20% - Accent6 9 2 3" xfId="2697"/>
    <cellStyle name="20% - Accent6 9 2 4" xfId="2698"/>
    <cellStyle name="20% - Accent6 9 2 5" xfId="2699"/>
    <cellStyle name="20% - Accent6 9 3" xfId="2700"/>
    <cellStyle name="20% - Accent6 9 3 2" xfId="2701"/>
    <cellStyle name="20% - Accent6 9 3 3" xfId="2702"/>
    <cellStyle name="20% - Accent6 9 3 4" xfId="2703"/>
    <cellStyle name="20% - Accent6 9 4" xfId="2704"/>
    <cellStyle name="20% - Accent6 9 4 2" xfId="2705"/>
    <cellStyle name="20% - Accent6 9 5" xfId="2706"/>
    <cellStyle name="20% - Accent6 9 6" xfId="2707"/>
    <cellStyle name="20% - Accent6 9 7" xfId="2708"/>
    <cellStyle name="20% - Accent6 9 8" xfId="2709"/>
    <cellStyle name="40% - Accent1 10" xfId="2710"/>
    <cellStyle name="40% - Accent1 10 2" xfId="2711"/>
    <cellStyle name="40% - Accent1 10 2 2" xfId="2712"/>
    <cellStyle name="40% - Accent1 10 2 2 2" xfId="2713"/>
    <cellStyle name="40% - Accent1 10 2 3" xfId="2714"/>
    <cellStyle name="40% - Accent1 10 2 4" xfId="2715"/>
    <cellStyle name="40% - Accent1 10 2 5" xfId="2716"/>
    <cellStyle name="40% - Accent1 10 3" xfId="2717"/>
    <cellStyle name="40% - Accent1 10 3 2" xfId="2718"/>
    <cellStyle name="40% - Accent1 10 3 3" xfId="2719"/>
    <cellStyle name="40% - Accent1 10 3 4" xfId="2720"/>
    <cellStyle name="40% - Accent1 10 4" xfId="2721"/>
    <cellStyle name="40% - Accent1 10 4 2" xfId="2722"/>
    <cellStyle name="40% - Accent1 10 5" xfId="2723"/>
    <cellStyle name="40% - Accent1 10 6" xfId="2724"/>
    <cellStyle name="40% - Accent1 10 7" xfId="2725"/>
    <cellStyle name="40% - Accent1 10 8" xfId="2726"/>
    <cellStyle name="40% - Accent1 11" xfId="2727"/>
    <cellStyle name="40% - Accent1 11 2" xfId="2728"/>
    <cellStyle name="40% - Accent1 11 2 2" xfId="2729"/>
    <cellStyle name="40% - Accent1 11 2 2 2" xfId="2730"/>
    <cellStyle name="40% - Accent1 11 2 3" xfId="2731"/>
    <cellStyle name="40% - Accent1 11 2 4" xfId="2732"/>
    <cellStyle name="40% - Accent1 11 2 5" xfId="2733"/>
    <cellStyle name="40% - Accent1 11 3" xfId="2734"/>
    <cellStyle name="40% - Accent1 11 3 2" xfId="2735"/>
    <cellStyle name="40% - Accent1 11 3 3" xfId="2736"/>
    <cellStyle name="40% - Accent1 11 3 4" xfId="2737"/>
    <cellStyle name="40% - Accent1 11 4" xfId="2738"/>
    <cellStyle name="40% - Accent1 11 4 2" xfId="2739"/>
    <cellStyle name="40% - Accent1 11 5" xfId="2740"/>
    <cellStyle name="40% - Accent1 11 6" xfId="2741"/>
    <cellStyle name="40% - Accent1 11 7" xfId="2742"/>
    <cellStyle name="40% - Accent1 11 8" xfId="2743"/>
    <cellStyle name="40% - Accent1 12" xfId="2744"/>
    <cellStyle name="40% - Accent1 12 2" xfId="2745"/>
    <cellStyle name="40% - Accent1 12 2 2" xfId="2746"/>
    <cellStyle name="40% - Accent1 12 2 2 2" xfId="2747"/>
    <cellStyle name="40% - Accent1 12 2 3" xfId="2748"/>
    <cellStyle name="40% - Accent1 12 2 4" xfId="2749"/>
    <cellStyle name="40% - Accent1 12 2 5" xfId="2750"/>
    <cellStyle name="40% - Accent1 12 3" xfId="2751"/>
    <cellStyle name="40% - Accent1 12 3 2" xfId="2752"/>
    <cellStyle name="40% - Accent1 12 3 3" xfId="2753"/>
    <cellStyle name="40% - Accent1 12 3 4" xfId="2754"/>
    <cellStyle name="40% - Accent1 12 4" xfId="2755"/>
    <cellStyle name="40% - Accent1 12 4 2" xfId="2756"/>
    <cellStyle name="40% - Accent1 12 5" xfId="2757"/>
    <cellStyle name="40% - Accent1 12 6" xfId="2758"/>
    <cellStyle name="40% - Accent1 12 7" xfId="2759"/>
    <cellStyle name="40% - Accent1 12 8" xfId="2760"/>
    <cellStyle name="40% - Accent1 13" xfId="2761"/>
    <cellStyle name="40% - Accent1 13 2" xfId="2762"/>
    <cellStyle name="40% - Accent1 13 2 2" xfId="2763"/>
    <cellStyle name="40% - Accent1 13 2 3" xfId="2764"/>
    <cellStyle name="40% - Accent1 13 2 4" xfId="2765"/>
    <cellStyle name="40% - Accent1 13 3" xfId="2766"/>
    <cellStyle name="40% - Accent1 13 3 2" xfId="2767"/>
    <cellStyle name="40% - Accent1 13 4" xfId="2768"/>
    <cellStyle name="40% - Accent1 13 5" xfId="2769"/>
    <cellStyle name="40% - Accent1 13 6" xfId="2770"/>
    <cellStyle name="40% - Accent1 14" xfId="2771"/>
    <cellStyle name="40% - Accent1 14 2" xfId="2772"/>
    <cellStyle name="40% - Accent1 14 2 2" xfId="2773"/>
    <cellStyle name="40% - Accent1 14 3" xfId="2774"/>
    <cellStyle name="40% - Accent1 14 4" xfId="2775"/>
    <cellStyle name="40% - Accent1 14 5" xfId="2776"/>
    <cellStyle name="40% - Accent1 15" xfId="2777"/>
    <cellStyle name="40% - Accent1 15 2" xfId="2778"/>
    <cellStyle name="40% - Accent1 15 2 2" xfId="2779"/>
    <cellStyle name="40% - Accent1 15 3" xfId="2780"/>
    <cellStyle name="40% - Accent1 15 4" xfId="2781"/>
    <cellStyle name="40% - Accent1 15 5" xfId="2782"/>
    <cellStyle name="40% - Accent1 16" xfId="2783"/>
    <cellStyle name="40% - Accent1 16 2" xfId="2784"/>
    <cellStyle name="40% - Accent1 17" xfId="2785"/>
    <cellStyle name="40% - Accent1 18" xfId="2786"/>
    <cellStyle name="40% - Accent1 19" xfId="2787"/>
    <cellStyle name="40% - Accent1 2" xfId="2788"/>
    <cellStyle name="40% - Accent1 2 10" xfId="2789"/>
    <cellStyle name="40% - Accent1 2 11" xfId="2790"/>
    <cellStyle name="40% - Accent1 2 2" xfId="2791"/>
    <cellStyle name="40% - Accent1 2 2 10" xfId="2792"/>
    <cellStyle name="40% - Accent1 2 2 2" xfId="2793"/>
    <cellStyle name="40% - Accent1 2 2 2 2" xfId="2794"/>
    <cellStyle name="40% - Accent1 2 2 2 2 2" xfId="2795"/>
    <cellStyle name="40% - Accent1 2 2 2 2 2 2" xfId="2796"/>
    <cellStyle name="40% - Accent1 2 2 2 2 2 3" xfId="2797"/>
    <cellStyle name="40% - Accent1 2 2 2 2 3" xfId="2798"/>
    <cellStyle name="40% - Accent1 2 2 2 2 4" xfId="2799"/>
    <cellStyle name="40% - Accent1 2 2 2 2 5" xfId="2800"/>
    <cellStyle name="40% - Accent1 2 2 2 2 6" xfId="2801"/>
    <cellStyle name="40% - Accent1 2 2 2 3" xfId="2802"/>
    <cellStyle name="40% - Accent1 2 2 2 3 2" xfId="2803"/>
    <cellStyle name="40% - Accent1 2 2 2 3 2 2" xfId="2804"/>
    <cellStyle name="40% - Accent1 2 2 2 3 3" xfId="2805"/>
    <cellStyle name="40% - Accent1 2 2 2 3 4" xfId="2806"/>
    <cellStyle name="40% - Accent1 2 2 2 3 5" xfId="2807"/>
    <cellStyle name="40% - Accent1 2 2 2 4" xfId="2808"/>
    <cellStyle name="40% - Accent1 2 2 2 4 2" xfId="2809"/>
    <cellStyle name="40% - Accent1 2 2 2 4 3" xfId="2810"/>
    <cellStyle name="40% - Accent1 2 2 2 4 4" xfId="2811"/>
    <cellStyle name="40% - Accent1 2 2 2 5" xfId="2812"/>
    <cellStyle name="40% - Accent1 2 2 2 5 2" xfId="2813"/>
    <cellStyle name="40% - Accent1 2 2 2 6" xfId="2814"/>
    <cellStyle name="40% - Accent1 2 2 2 7" xfId="2815"/>
    <cellStyle name="40% - Accent1 2 2 2 8" xfId="2816"/>
    <cellStyle name="40% - Accent1 2 2 2 9" xfId="2817"/>
    <cellStyle name="40% - Accent1 2 2 3" xfId="2818"/>
    <cellStyle name="40% - Accent1 2 2 3 2" xfId="2819"/>
    <cellStyle name="40% - Accent1 2 2 3 2 2" xfId="2820"/>
    <cellStyle name="40% - Accent1 2 2 3 2 3" xfId="2821"/>
    <cellStyle name="40% - Accent1 2 2 3 3" xfId="2822"/>
    <cellStyle name="40% - Accent1 2 2 3 4" xfId="2823"/>
    <cellStyle name="40% - Accent1 2 2 3 5" xfId="2824"/>
    <cellStyle name="40% - Accent1 2 2 3 6" xfId="2825"/>
    <cellStyle name="40% - Accent1 2 2 4" xfId="2826"/>
    <cellStyle name="40% - Accent1 2 2 4 2" xfId="2827"/>
    <cellStyle name="40% - Accent1 2 2 4 2 2" xfId="2828"/>
    <cellStyle name="40% - Accent1 2 2 4 3" xfId="2829"/>
    <cellStyle name="40% - Accent1 2 2 4 4" xfId="2830"/>
    <cellStyle name="40% - Accent1 2 2 4 5" xfId="2831"/>
    <cellStyle name="40% - Accent1 2 2 5" xfId="2832"/>
    <cellStyle name="40% - Accent1 2 2 5 2" xfId="2833"/>
    <cellStyle name="40% - Accent1 2 2 5 3" xfId="2834"/>
    <cellStyle name="40% - Accent1 2 2 5 4" xfId="2835"/>
    <cellStyle name="40% - Accent1 2 2 6" xfId="2836"/>
    <cellStyle name="40% - Accent1 2 2 6 2" xfId="2837"/>
    <cellStyle name="40% - Accent1 2 2 7" xfId="2838"/>
    <cellStyle name="40% - Accent1 2 2 8" xfId="2839"/>
    <cellStyle name="40% - Accent1 2 2 9" xfId="2840"/>
    <cellStyle name="40% - Accent1 2 3" xfId="2841"/>
    <cellStyle name="40% - Accent1 2 3 2" xfId="2842"/>
    <cellStyle name="40% - Accent1 2 3 2 2" xfId="2843"/>
    <cellStyle name="40% - Accent1 2 3 2 2 2" xfId="2844"/>
    <cellStyle name="40% - Accent1 2 3 2 2 3" xfId="2845"/>
    <cellStyle name="40% - Accent1 2 3 2 3" xfId="2846"/>
    <cellStyle name="40% - Accent1 2 3 2 4" xfId="2847"/>
    <cellStyle name="40% - Accent1 2 3 2 5" xfId="2848"/>
    <cellStyle name="40% - Accent1 2 3 2 6" xfId="2849"/>
    <cellStyle name="40% - Accent1 2 3 3" xfId="2850"/>
    <cellStyle name="40% - Accent1 2 3 3 2" xfId="2851"/>
    <cellStyle name="40% - Accent1 2 3 3 2 2" xfId="2852"/>
    <cellStyle name="40% - Accent1 2 3 3 3" xfId="2853"/>
    <cellStyle name="40% - Accent1 2 3 3 4" xfId="2854"/>
    <cellStyle name="40% - Accent1 2 3 3 5" xfId="2855"/>
    <cellStyle name="40% - Accent1 2 3 4" xfId="2856"/>
    <cellStyle name="40% - Accent1 2 3 4 2" xfId="2857"/>
    <cellStyle name="40% - Accent1 2 3 4 3" xfId="2858"/>
    <cellStyle name="40% - Accent1 2 3 4 4" xfId="2859"/>
    <cellStyle name="40% - Accent1 2 3 5" xfId="2860"/>
    <cellStyle name="40% - Accent1 2 3 5 2" xfId="2861"/>
    <cellStyle name="40% - Accent1 2 3 6" xfId="2862"/>
    <cellStyle name="40% - Accent1 2 3 7" xfId="2863"/>
    <cellStyle name="40% - Accent1 2 3 8" xfId="2864"/>
    <cellStyle name="40% - Accent1 2 3 9" xfId="2865"/>
    <cellStyle name="40% - Accent1 2 4" xfId="2866"/>
    <cellStyle name="40% - Accent1 2 4 2" xfId="2867"/>
    <cellStyle name="40% - Accent1 2 4 2 2" xfId="2868"/>
    <cellStyle name="40% - Accent1 2 4 2 3" xfId="2869"/>
    <cellStyle name="40% - Accent1 2 4 3" xfId="2870"/>
    <cellStyle name="40% - Accent1 2 4 4" xfId="2871"/>
    <cellStyle name="40% - Accent1 2 4 5" xfId="2872"/>
    <cellStyle name="40% - Accent1 2 4 6" xfId="2873"/>
    <cellStyle name="40% - Accent1 2 5" xfId="2874"/>
    <cellStyle name="40% - Accent1 2 5 2" xfId="2875"/>
    <cellStyle name="40% - Accent1 2 5 2 2" xfId="2876"/>
    <cellStyle name="40% - Accent1 2 5 3" xfId="2877"/>
    <cellStyle name="40% - Accent1 2 5 4" xfId="2878"/>
    <cellStyle name="40% - Accent1 2 5 5" xfId="2879"/>
    <cellStyle name="40% - Accent1 2 6" xfId="2880"/>
    <cellStyle name="40% - Accent1 2 6 2" xfId="2881"/>
    <cellStyle name="40% - Accent1 2 6 2 2" xfId="2882"/>
    <cellStyle name="40% - Accent1 2 6 3" xfId="2883"/>
    <cellStyle name="40% - Accent1 2 6 4" xfId="2884"/>
    <cellStyle name="40% - Accent1 2 6 5" xfId="2885"/>
    <cellStyle name="40% - Accent1 2 7" xfId="2886"/>
    <cellStyle name="40% - Accent1 2 7 2" xfId="2887"/>
    <cellStyle name="40% - Accent1 2 8" xfId="2888"/>
    <cellStyle name="40% - Accent1 2 9" xfId="2889"/>
    <cellStyle name="40% - Accent1 3" xfId="2890"/>
    <cellStyle name="40% - Accent1 3 10" xfId="2891"/>
    <cellStyle name="40% - Accent1 3 2" xfId="2892"/>
    <cellStyle name="40% - Accent1 3 2 2" xfId="2893"/>
    <cellStyle name="40% - Accent1 3 2 2 2" xfId="2894"/>
    <cellStyle name="40% - Accent1 3 2 2 2 2" xfId="2895"/>
    <cellStyle name="40% - Accent1 3 2 2 2 3" xfId="2896"/>
    <cellStyle name="40% - Accent1 3 2 2 3" xfId="2897"/>
    <cellStyle name="40% - Accent1 3 2 2 4" xfId="2898"/>
    <cellStyle name="40% - Accent1 3 2 2 5" xfId="2899"/>
    <cellStyle name="40% - Accent1 3 2 2 6" xfId="2900"/>
    <cellStyle name="40% - Accent1 3 2 3" xfId="2901"/>
    <cellStyle name="40% - Accent1 3 2 3 2" xfId="2902"/>
    <cellStyle name="40% - Accent1 3 2 3 2 2" xfId="2903"/>
    <cellStyle name="40% - Accent1 3 2 3 3" xfId="2904"/>
    <cellStyle name="40% - Accent1 3 2 3 4" xfId="2905"/>
    <cellStyle name="40% - Accent1 3 2 3 5" xfId="2906"/>
    <cellStyle name="40% - Accent1 3 2 4" xfId="2907"/>
    <cellStyle name="40% - Accent1 3 2 4 2" xfId="2908"/>
    <cellStyle name="40% - Accent1 3 2 4 3" xfId="2909"/>
    <cellStyle name="40% - Accent1 3 2 4 4" xfId="2910"/>
    <cellStyle name="40% - Accent1 3 2 5" xfId="2911"/>
    <cellStyle name="40% - Accent1 3 2 5 2" xfId="2912"/>
    <cellStyle name="40% - Accent1 3 2 6" xfId="2913"/>
    <cellStyle name="40% - Accent1 3 2 7" xfId="2914"/>
    <cellStyle name="40% - Accent1 3 2 8" xfId="2915"/>
    <cellStyle name="40% - Accent1 3 2 9" xfId="2916"/>
    <cellStyle name="40% - Accent1 3 3" xfId="2917"/>
    <cellStyle name="40% - Accent1 3 3 2" xfId="2918"/>
    <cellStyle name="40% - Accent1 3 3 2 2" xfId="2919"/>
    <cellStyle name="40% - Accent1 3 3 2 3" xfId="2920"/>
    <cellStyle name="40% - Accent1 3 3 3" xfId="2921"/>
    <cellStyle name="40% - Accent1 3 3 4" xfId="2922"/>
    <cellStyle name="40% - Accent1 3 3 5" xfId="2923"/>
    <cellStyle name="40% - Accent1 3 3 6" xfId="2924"/>
    <cellStyle name="40% - Accent1 3 4" xfId="2925"/>
    <cellStyle name="40% - Accent1 3 4 2" xfId="2926"/>
    <cellStyle name="40% - Accent1 3 4 2 2" xfId="2927"/>
    <cellStyle name="40% - Accent1 3 4 3" xfId="2928"/>
    <cellStyle name="40% - Accent1 3 4 4" xfId="2929"/>
    <cellStyle name="40% - Accent1 3 4 5" xfId="2930"/>
    <cellStyle name="40% - Accent1 3 5" xfId="2931"/>
    <cellStyle name="40% - Accent1 3 5 2" xfId="2932"/>
    <cellStyle name="40% - Accent1 3 5 2 2" xfId="2933"/>
    <cellStyle name="40% - Accent1 3 5 3" xfId="2934"/>
    <cellStyle name="40% - Accent1 3 5 4" xfId="2935"/>
    <cellStyle name="40% - Accent1 3 5 5" xfId="2936"/>
    <cellStyle name="40% - Accent1 3 6" xfId="2937"/>
    <cellStyle name="40% - Accent1 3 6 2" xfId="2938"/>
    <cellStyle name="40% - Accent1 3 7" xfId="2939"/>
    <cellStyle name="40% - Accent1 3 8" xfId="2940"/>
    <cellStyle name="40% - Accent1 3 9" xfId="2941"/>
    <cellStyle name="40% - Accent1 4" xfId="2942"/>
    <cellStyle name="40% - Accent1 4 10" xfId="2943"/>
    <cellStyle name="40% - Accent1 4 2" xfId="2944"/>
    <cellStyle name="40% - Accent1 4 2 2" xfId="2945"/>
    <cellStyle name="40% - Accent1 4 2 2 2" xfId="2946"/>
    <cellStyle name="40% - Accent1 4 2 2 2 2" xfId="2947"/>
    <cellStyle name="40% - Accent1 4 2 2 2 3" xfId="2948"/>
    <cellStyle name="40% - Accent1 4 2 2 3" xfId="2949"/>
    <cellStyle name="40% - Accent1 4 2 2 4" xfId="2950"/>
    <cellStyle name="40% - Accent1 4 2 2 5" xfId="2951"/>
    <cellStyle name="40% - Accent1 4 2 2 6" xfId="2952"/>
    <cellStyle name="40% - Accent1 4 2 3" xfId="2953"/>
    <cellStyle name="40% - Accent1 4 2 3 2" xfId="2954"/>
    <cellStyle name="40% - Accent1 4 2 3 2 2" xfId="2955"/>
    <cellStyle name="40% - Accent1 4 2 3 3" xfId="2956"/>
    <cellStyle name="40% - Accent1 4 2 3 4" xfId="2957"/>
    <cellStyle name="40% - Accent1 4 2 3 5" xfId="2958"/>
    <cellStyle name="40% - Accent1 4 2 4" xfId="2959"/>
    <cellStyle name="40% - Accent1 4 2 4 2" xfId="2960"/>
    <cellStyle name="40% - Accent1 4 2 4 3" xfId="2961"/>
    <cellStyle name="40% - Accent1 4 2 4 4" xfId="2962"/>
    <cellStyle name="40% - Accent1 4 2 5" xfId="2963"/>
    <cellStyle name="40% - Accent1 4 2 5 2" xfId="2964"/>
    <cellStyle name="40% - Accent1 4 2 6" xfId="2965"/>
    <cellStyle name="40% - Accent1 4 2 7" xfId="2966"/>
    <cellStyle name="40% - Accent1 4 2 8" xfId="2967"/>
    <cellStyle name="40% - Accent1 4 2 9" xfId="2968"/>
    <cellStyle name="40% - Accent1 4 3" xfId="2969"/>
    <cellStyle name="40% - Accent1 4 3 2" xfId="2970"/>
    <cellStyle name="40% - Accent1 4 3 2 2" xfId="2971"/>
    <cellStyle name="40% - Accent1 4 3 2 3" xfId="2972"/>
    <cellStyle name="40% - Accent1 4 3 3" xfId="2973"/>
    <cellStyle name="40% - Accent1 4 3 4" xfId="2974"/>
    <cellStyle name="40% - Accent1 4 3 5" xfId="2975"/>
    <cellStyle name="40% - Accent1 4 3 6" xfId="2976"/>
    <cellStyle name="40% - Accent1 4 4" xfId="2977"/>
    <cellStyle name="40% - Accent1 4 4 2" xfId="2978"/>
    <cellStyle name="40% - Accent1 4 4 2 2" xfId="2979"/>
    <cellStyle name="40% - Accent1 4 4 3" xfId="2980"/>
    <cellStyle name="40% - Accent1 4 4 4" xfId="2981"/>
    <cellStyle name="40% - Accent1 4 4 5" xfId="2982"/>
    <cellStyle name="40% - Accent1 4 5" xfId="2983"/>
    <cellStyle name="40% - Accent1 4 5 2" xfId="2984"/>
    <cellStyle name="40% - Accent1 4 5 2 2" xfId="2985"/>
    <cellStyle name="40% - Accent1 4 5 3" xfId="2986"/>
    <cellStyle name="40% - Accent1 4 5 4" xfId="2987"/>
    <cellStyle name="40% - Accent1 4 5 5" xfId="2988"/>
    <cellStyle name="40% - Accent1 4 6" xfId="2989"/>
    <cellStyle name="40% - Accent1 4 6 2" xfId="2990"/>
    <cellStyle name="40% - Accent1 4 7" xfId="2991"/>
    <cellStyle name="40% - Accent1 4 8" xfId="2992"/>
    <cellStyle name="40% - Accent1 4 9" xfId="2993"/>
    <cellStyle name="40% - Accent1 5" xfId="2994"/>
    <cellStyle name="40% - Accent1 5 10" xfId="2995"/>
    <cellStyle name="40% - Accent1 5 2" xfId="2996"/>
    <cellStyle name="40% - Accent1 5 2 2" xfId="2997"/>
    <cellStyle name="40% - Accent1 5 2 2 2" xfId="2998"/>
    <cellStyle name="40% - Accent1 5 2 2 2 2" xfId="2999"/>
    <cellStyle name="40% - Accent1 5 2 2 2 3" xfId="3000"/>
    <cellStyle name="40% - Accent1 5 2 2 3" xfId="3001"/>
    <cellStyle name="40% - Accent1 5 2 2 4" xfId="3002"/>
    <cellStyle name="40% - Accent1 5 2 2 5" xfId="3003"/>
    <cellStyle name="40% - Accent1 5 2 2 6" xfId="3004"/>
    <cellStyle name="40% - Accent1 5 2 3" xfId="3005"/>
    <cellStyle name="40% - Accent1 5 2 3 2" xfId="3006"/>
    <cellStyle name="40% - Accent1 5 2 3 2 2" xfId="3007"/>
    <cellStyle name="40% - Accent1 5 2 3 3" xfId="3008"/>
    <cellStyle name="40% - Accent1 5 2 3 4" xfId="3009"/>
    <cellStyle name="40% - Accent1 5 2 3 5" xfId="3010"/>
    <cellStyle name="40% - Accent1 5 2 4" xfId="3011"/>
    <cellStyle name="40% - Accent1 5 2 4 2" xfId="3012"/>
    <cellStyle name="40% - Accent1 5 2 4 3" xfId="3013"/>
    <cellStyle name="40% - Accent1 5 2 4 4" xfId="3014"/>
    <cellStyle name="40% - Accent1 5 2 5" xfId="3015"/>
    <cellStyle name="40% - Accent1 5 2 5 2" xfId="3016"/>
    <cellStyle name="40% - Accent1 5 2 6" xfId="3017"/>
    <cellStyle name="40% - Accent1 5 2 7" xfId="3018"/>
    <cellStyle name="40% - Accent1 5 2 8" xfId="3019"/>
    <cellStyle name="40% - Accent1 5 2 9" xfId="3020"/>
    <cellStyle name="40% - Accent1 5 3" xfId="3021"/>
    <cellStyle name="40% - Accent1 5 3 2" xfId="3022"/>
    <cellStyle name="40% - Accent1 5 3 2 2" xfId="3023"/>
    <cellStyle name="40% - Accent1 5 3 2 3" xfId="3024"/>
    <cellStyle name="40% - Accent1 5 3 3" xfId="3025"/>
    <cellStyle name="40% - Accent1 5 3 4" xfId="3026"/>
    <cellStyle name="40% - Accent1 5 3 5" xfId="3027"/>
    <cellStyle name="40% - Accent1 5 3 6" xfId="3028"/>
    <cellStyle name="40% - Accent1 5 4" xfId="3029"/>
    <cellStyle name="40% - Accent1 5 4 2" xfId="3030"/>
    <cellStyle name="40% - Accent1 5 4 2 2" xfId="3031"/>
    <cellStyle name="40% - Accent1 5 4 3" xfId="3032"/>
    <cellStyle name="40% - Accent1 5 4 4" xfId="3033"/>
    <cellStyle name="40% - Accent1 5 4 5" xfId="3034"/>
    <cellStyle name="40% - Accent1 5 5" xfId="3035"/>
    <cellStyle name="40% - Accent1 5 5 2" xfId="3036"/>
    <cellStyle name="40% - Accent1 5 5 3" xfId="3037"/>
    <cellStyle name="40% - Accent1 5 5 4" xfId="3038"/>
    <cellStyle name="40% - Accent1 5 6" xfId="3039"/>
    <cellStyle name="40% - Accent1 5 6 2" xfId="3040"/>
    <cellStyle name="40% - Accent1 5 7" xfId="3041"/>
    <cellStyle name="40% - Accent1 5 8" xfId="3042"/>
    <cellStyle name="40% - Accent1 5 9" xfId="3043"/>
    <cellStyle name="40% - Accent1 6" xfId="3044"/>
    <cellStyle name="40% - Accent1 6 10" xfId="3045"/>
    <cellStyle name="40% - Accent1 6 2" xfId="3046"/>
    <cellStyle name="40% - Accent1 6 2 2" xfId="3047"/>
    <cellStyle name="40% - Accent1 6 2 2 2" xfId="3048"/>
    <cellStyle name="40% - Accent1 6 2 2 2 2" xfId="3049"/>
    <cellStyle name="40% - Accent1 6 2 2 2 3" xfId="3050"/>
    <cellStyle name="40% - Accent1 6 2 2 3" xfId="3051"/>
    <cellStyle name="40% - Accent1 6 2 2 4" xfId="3052"/>
    <cellStyle name="40% - Accent1 6 2 2 5" xfId="3053"/>
    <cellStyle name="40% - Accent1 6 2 2 6" xfId="3054"/>
    <cellStyle name="40% - Accent1 6 2 3" xfId="3055"/>
    <cellStyle name="40% - Accent1 6 2 3 2" xfId="3056"/>
    <cellStyle name="40% - Accent1 6 2 3 2 2" xfId="3057"/>
    <cellStyle name="40% - Accent1 6 2 3 3" xfId="3058"/>
    <cellStyle name="40% - Accent1 6 2 3 4" xfId="3059"/>
    <cellStyle name="40% - Accent1 6 2 3 5" xfId="3060"/>
    <cellStyle name="40% - Accent1 6 2 4" xfId="3061"/>
    <cellStyle name="40% - Accent1 6 2 4 2" xfId="3062"/>
    <cellStyle name="40% - Accent1 6 2 4 3" xfId="3063"/>
    <cellStyle name="40% - Accent1 6 2 4 4" xfId="3064"/>
    <cellStyle name="40% - Accent1 6 2 5" xfId="3065"/>
    <cellStyle name="40% - Accent1 6 2 5 2" xfId="3066"/>
    <cellStyle name="40% - Accent1 6 2 6" xfId="3067"/>
    <cellStyle name="40% - Accent1 6 2 7" xfId="3068"/>
    <cellStyle name="40% - Accent1 6 2 8" xfId="3069"/>
    <cellStyle name="40% - Accent1 6 2 9" xfId="3070"/>
    <cellStyle name="40% - Accent1 6 3" xfId="3071"/>
    <cellStyle name="40% - Accent1 6 3 2" xfId="3072"/>
    <cellStyle name="40% - Accent1 6 3 2 2" xfId="3073"/>
    <cellStyle name="40% - Accent1 6 3 2 3" xfId="3074"/>
    <cellStyle name="40% - Accent1 6 3 3" xfId="3075"/>
    <cellStyle name="40% - Accent1 6 3 4" xfId="3076"/>
    <cellStyle name="40% - Accent1 6 3 5" xfId="3077"/>
    <cellStyle name="40% - Accent1 6 3 6" xfId="3078"/>
    <cellStyle name="40% - Accent1 6 4" xfId="3079"/>
    <cellStyle name="40% - Accent1 6 4 2" xfId="3080"/>
    <cellStyle name="40% - Accent1 6 4 2 2" xfId="3081"/>
    <cellStyle name="40% - Accent1 6 4 3" xfId="3082"/>
    <cellStyle name="40% - Accent1 6 4 4" xfId="3083"/>
    <cellStyle name="40% - Accent1 6 4 5" xfId="3084"/>
    <cellStyle name="40% - Accent1 6 5" xfId="3085"/>
    <cellStyle name="40% - Accent1 6 5 2" xfId="3086"/>
    <cellStyle name="40% - Accent1 6 5 3" xfId="3087"/>
    <cellStyle name="40% - Accent1 6 5 4" xfId="3088"/>
    <cellStyle name="40% - Accent1 6 6" xfId="3089"/>
    <cellStyle name="40% - Accent1 6 6 2" xfId="3090"/>
    <cellStyle name="40% - Accent1 6 7" xfId="3091"/>
    <cellStyle name="40% - Accent1 6 8" xfId="3092"/>
    <cellStyle name="40% - Accent1 6 9" xfId="3093"/>
    <cellStyle name="40% - Accent1 7" xfId="3094"/>
    <cellStyle name="40% - Accent1 7 2" xfId="3095"/>
    <cellStyle name="40% - Accent1 7 2 2" xfId="3096"/>
    <cellStyle name="40% - Accent1 7 2 2 2" xfId="3097"/>
    <cellStyle name="40% - Accent1 7 2 2 3" xfId="3098"/>
    <cellStyle name="40% - Accent1 7 2 3" xfId="3099"/>
    <cellStyle name="40% - Accent1 7 2 4" xfId="3100"/>
    <cellStyle name="40% - Accent1 7 2 5" xfId="3101"/>
    <cellStyle name="40% - Accent1 7 2 6" xfId="3102"/>
    <cellStyle name="40% - Accent1 7 3" xfId="3103"/>
    <cellStyle name="40% - Accent1 7 3 2" xfId="3104"/>
    <cellStyle name="40% - Accent1 7 3 2 2" xfId="3105"/>
    <cellStyle name="40% - Accent1 7 3 3" xfId="3106"/>
    <cellStyle name="40% - Accent1 7 3 4" xfId="3107"/>
    <cellStyle name="40% - Accent1 7 3 5" xfId="3108"/>
    <cellStyle name="40% - Accent1 7 4" xfId="3109"/>
    <cellStyle name="40% - Accent1 7 4 2" xfId="3110"/>
    <cellStyle name="40% - Accent1 7 4 3" xfId="3111"/>
    <cellStyle name="40% - Accent1 7 4 4" xfId="3112"/>
    <cellStyle name="40% - Accent1 7 5" xfId="3113"/>
    <cellStyle name="40% - Accent1 7 5 2" xfId="3114"/>
    <cellStyle name="40% - Accent1 7 6" xfId="3115"/>
    <cellStyle name="40% - Accent1 7 7" xfId="3116"/>
    <cellStyle name="40% - Accent1 7 8" xfId="3117"/>
    <cellStyle name="40% - Accent1 7 9" xfId="3118"/>
    <cellStyle name="40% - Accent1 8" xfId="3119"/>
    <cellStyle name="40% - Accent1 8 2" xfId="3120"/>
    <cellStyle name="40% - Accent1 8 2 2" xfId="3121"/>
    <cellStyle name="40% - Accent1 8 2 2 2" xfId="3122"/>
    <cellStyle name="40% - Accent1 8 2 2 3" xfId="3123"/>
    <cellStyle name="40% - Accent1 8 2 3" xfId="3124"/>
    <cellStyle name="40% - Accent1 8 2 4" xfId="3125"/>
    <cellStyle name="40% - Accent1 8 2 5" xfId="3126"/>
    <cellStyle name="40% - Accent1 8 2 6" xfId="3127"/>
    <cellStyle name="40% - Accent1 8 3" xfId="3128"/>
    <cellStyle name="40% - Accent1 8 3 2" xfId="3129"/>
    <cellStyle name="40% - Accent1 8 3 2 2" xfId="3130"/>
    <cellStyle name="40% - Accent1 8 3 3" xfId="3131"/>
    <cellStyle name="40% - Accent1 8 3 4" xfId="3132"/>
    <cellStyle name="40% - Accent1 8 3 5" xfId="3133"/>
    <cellStyle name="40% - Accent1 8 4" xfId="3134"/>
    <cellStyle name="40% - Accent1 8 4 2" xfId="3135"/>
    <cellStyle name="40% - Accent1 8 4 3" xfId="3136"/>
    <cellStyle name="40% - Accent1 8 4 4" xfId="3137"/>
    <cellStyle name="40% - Accent1 8 5" xfId="3138"/>
    <cellStyle name="40% - Accent1 8 5 2" xfId="3139"/>
    <cellStyle name="40% - Accent1 8 6" xfId="3140"/>
    <cellStyle name="40% - Accent1 8 7" xfId="3141"/>
    <cellStyle name="40% - Accent1 8 8" xfId="3142"/>
    <cellStyle name="40% - Accent1 8 9" xfId="3143"/>
    <cellStyle name="40% - Accent1 9" xfId="3144"/>
    <cellStyle name="40% - Accent1 9 2" xfId="3145"/>
    <cellStyle name="40% - Accent1 9 2 2" xfId="3146"/>
    <cellStyle name="40% - Accent1 9 2 2 2" xfId="3147"/>
    <cellStyle name="40% - Accent1 9 2 3" xfId="3148"/>
    <cellStyle name="40% - Accent1 9 2 4" xfId="3149"/>
    <cellStyle name="40% - Accent1 9 2 5" xfId="3150"/>
    <cellStyle name="40% - Accent1 9 3" xfId="3151"/>
    <cellStyle name="40% - Accent1 9 3 2" xfId="3152"/>
    <cellStyle name="40% - Accent1 9 3 3" xfId="3153"/>
    <cellStyle name="40% - Accent1 9 3 4" xfId="3154"/>
    <cellStyle name="40% - Accent1 9 4" xfId="3155"/>
    <cellStyle name="40% - Accent1 9 4 2" xfId="3156"/>
    <cellStyle name="40% - Accent1 9 5" xfId="3157"/>
    <cellStyle name="40% - Accent1 9 6" xfId="3158"/>
    <cellStyle name="40% - Accent1 9 7" xfId="3159"/>
    <cellStyle name="40% - Accent1 9 8" xfId="3160"/>
    <cellStyle name="40% - Accent2 10" xfId="3161"/>
    <cellStyle name="40% - Accent2 10 2" xfId="3162"/>
    <cellStyle name="40% - Accent2 10 2 2" xfId="3163"/>
    <cellStyle name="40% - Accent2 10 2 2 2" xfId="3164"/>
    <cellStyle name="40% - Accent2 10 2 3" xfId="3165"/>
    <cellStyle name="40% - Accent2 10 2 4" xfId="3166"/>
    <cellStyle name="40% - Accent2 10 2 5" xfId="3167"/>
    <cellStyle name="40% - Accent2 10 3" xfId="3168"/>
    <cellStyle name="40% - Accent2 10 3 2" xfId="3169"/>
    <cellStyle name="40% - Accent2 10 3 3" xfId="3170"/>
    <cellStyle name="40% - Accent2 10 3 4" xfId="3171"/>
    <cellStyle name="40% - Accent2 10 4" xfId="3172"/>
    <cellStyle name="40% - Accent2 10 4 2" xfId="3173"/>
    <cellStyle name="40% - Accent2 10 5" xfId="3174"/>
    <cellStyle name="40% - Accent2 10 6" xfId="3175"/>
    <cellStyle name="40% - Accent2 10 7" xfId="3176"/>
    <cellStyle name="40% - Accent2 10 8" xfId="3177"/>
    <cellStyle name="40% - Accent2 11" xfId="3178"/>
    <cellStyle name="40% - Accent2 11 2" xfId="3179"/>
    <cellStyle name="40% - Accent2 11 2 2" xfId="3180"/>
    <cellStyle name="40% - Accent2 11 2 2 2" xfId="3181"/>
    <cellStyle name="40% - Accent2 11 2 3" xfId="3182"/>
    <cellStyle name="40% - Accent2 11 2 4" xfId="3183"/>
    <cellStyle name="40% - Accent2 11 2 5" xfId="3184"/>
    <cellStyle name="40% - Accent2 11 3" xfId="3185"/>
    <cellStyle name="40% - Accent2 11 3 2" xfId="3186"/>
    <cellStyle name="40% - Accent2 11 3 3" xfId="3187"/>
    <cellStyle name="40% - Accent2 11 3 4" xfId="3188"/>
    <cellStyle name="40% - Accent2 11 4" xfId="3189"/>
    <cellStyle name="40% - Accent2 11 4 2" xfId="3190"/>
    <cellStyle name="40% - Accent2 11 5" xfId="3191"/>
    <cellStyle name="40% - Accent2 11 6" xfId="3192"/>
    <cellStyle name="40% - Accent2 11 7" xfId="3193"/>
    <cellStyle name="40% - Accent2 11 8" xfId="3194"/>
    <cellStyle name="40% - Accent2 12" xfId="3195"/>
    <cellStyle name="40% - Accent2 12 2" xfId="3196"/>
    <cellStyle name="40% - Accent2 12 2 2" xfId="3197"/>
    <cellStyle name="40% - Accent2 12 2 2 2" xfId="3198"/>
    <cellStyle name="40% - Accent2 12 2 3" xfId="3199"/>
    <cellStyle name="40% - Accent2 12 2 4" xfId="3200"/>
    <cellStyle name="40% - Accent2 12 2 5" xfId="3201"/>
    <cellStyle name="40% - Accent2 12 3" xfId="3202"/>
    <cellStyle name="40% - Accent2 12 3 2" xfId="3203"/>
    <cellStyle name="40% - Accent2 12 3 3" xfId="3204"/>
    <cellStyle name="40% - Accent2 12 3 4" xfId="3205"/>
    <cellStyle name="40% - Accent2 12 4" xfId="3206"/>
    <cellStyle name="40% - Accent2 12 4 2" xfId="3207"/>
    <cellStyle name="40% - Accent2 12 5" xfId="3208"/>
    <cellStyle name="40% - Accent2 12 6" xfId="3209"/>
    <cellStyle name="40% - Accent2 12 7" xfId="3210"/>
    <cellStyle name="40% - Accent2 12 8" xfId="3211"/>
    <cellStyle name="40% - Accent2 13" xfId="3212"/>
    <cellStyle name="40% - Accent2 13 2" xfId="3213"/>
    <cellStyle name="40% - Accent2 13 2 2" xfId="3214"/>
    <cellStyle name="40% - Accent2 13 2 3" xfId="3215"/>
    <cellStyle name="40% - Accent2 13 2 4" xfId="3216"/>
    <cellStyle name="40% - Accent2 13 3" xfId="3217"/>
    <cellStyle name="40% - Accent2 13 3 2" xfId="3218"/>
    <cellStyle name="40% - Accent2 13 4" xfId="3219"/>
    <cellStyle name="40% - Accent2 13 5" xfId="3220"/>
    <cellStyle name="40% - Accent2 13 6" xfId="3221"/>
    <cellStyle name="40% - Accent2 14" xfId="3222"/>
    <cellStyle name="40% - Accent2 14 2" xfId="3223"/>
    <cellStyle name="40% - Accent2 14 2 2" xfId="3224"/>
    <cellStyle name="40% - Accent2 14 3" xfId="3225"/>
    <cellStyle name="40% - Accent2 14 4" xfId="3226"/>
    <cellStyle name="40% - Accent2 14 5" xfId="3227"/>
    <cellStyle name="40% - Accent2 15" xfId="3228"/>
    <cellStyle name="40% - Accent2 15 2" xfId="3229"/>
    <cellStyle name="40% - Accent2 15 2 2" xfId="3230"/>
    <cellStyle name="40% - Accent2 15 3" xfId="3231"/>
    <cellStyle name="40% - Accent2 15 4" xfId="3232"/>
    <cellStyle name="40% - Accent2 15 5" xfId="3233"/>
    <cellStyle name="40% - Accent2 16" xfId="3234"/>
    <cellStyle name="40% - Accent2 16 2" xfId="3235"/>
    <cellStyle name="40% - Accent2 17" xfId="3236"/>
    <cellStyle name="40% - Accent2 18" xfId="3237"/>
    <cellStyle name="40% - Accent2 19" xfId="3238"/>
    <cellStyle name="40% - Accent2 2" xfId="3239"/>
    <cellStyle name="40% - Accent2 2 10" xfId="3240"/>
    <cellStyle name="40% - Accent2 2 11" xfId="3241"/>
    <cellStyle name="40% - Accent2 2 2" xfId="3242"/>
    <cellStyle name="40% - Accent2 2 2 10" xfId="3243"/>
    <cellStyle name="40% - Accent2 2 2 2" xfId="3244"/>
    <cellStyle name="40% - Accent2 2 2 2 2" xfId="3245"/>
    <cellStyle name="40% - Accent2 2 2 2 2 2" xfId="3246"/>
    <cellStyle name="40% - Accent2 2 2 2 2 2 2" xfId="3247"/>
    <cellStyle name="40% - Accent2 2 2 2 2 2 3" xfId="3248"/>
    <cellStyle name="40% - Accent2 2 2 2 2 3" xfId="3249"/>
    <cellStyle name="40% - Accent2 2 2 2 2 4" xfId="3250"/>
    <cellStyle name="40% - Accent2 2 2 2 2 5" xfId="3251"/>
    <cellStyle name="40% - Accent2 2 2 2 2 6" xfId="3252"/>
    <cellStyle name="40% - Accent2 2 2 2 3" xfId="3253"/>
    <cellStyle name="40% - Accent2 2 2 2 3 2" xfId="3254"/>
    <cellStyle name="40% - Accent2 2 2 2 3 2 2" xfId="3255"/>
    <cellStyle name="40% - Accent2 2 2 2 3 3" xfId="3256"/>
    <cellStyle name="40% - Accent2 2 2 2 3 4" xfId="3257"/>
    <cellStyle name="40% - Accent2 2 2 2 3 5" xfId="3258"/>
    <cellStyle name="40% - Accent2 2 2 2 4" xfId="3259"/>
    <cellStyle name="40% - Accent2 2 2 2 4 2" xfId="3260"/>
    <cellStyle name="40% - Accent2 2 2 2 4 3" xfId="3261"/>
    <cellStyle name="40% - Accent2 2 2 2 4 4" xfId="3262"/>
    <cellStyle name="40% - Accent2 2 2 2 5" xfId="3263"/>
    <cellStyle name="40% - Accent2 2 2 2 5 2" xfId="3264"/>
    <cellStyle name="40% - Accent2 2 2 2 6" xfId="3265"/>
    <cellStyle name="40% - Accent2 2 2 2 7" xfId="3266"/>
    <cellStyle name="40% - Accent2 2 2 2 8" xfId="3267"/>
    <cellStyle name="40% - Accent2 2 2 2 9" xfId="3268"/>
    <cellStyle name="40% - Accent2 2 2 3" xfId="3269"/>
    <cellStyle name="40% - Accent2 2 2 3 2" xfId="3270"/>
    <cellStyle name="40% - Accent2 2 2 3 2 2" xfId="3271"/>
    <cellStyle name="40% - Accent2 2 2 3 2 3" xfId="3272"/>
    <cellStyle name="40% - Accent2 2 2 3 3" xfId="3273"/>
    <cellStyle name="40% - Accent2 2 2 3 4" xfId="3274"/>
    <cellStyle name="40% - Accent2 2 2 3 5" xfId="3275"/>
    <cellStyle name="40% - Accent2 2 2 3 6" xfId="3276"/>
    <cellStyle name="40% - Accent2 2 2 4" xfId="3277"/>
    <cellStyle name="40% - Accent2 2 2 4 2" xfId="3278"/>
    <cellStyle name="40% - Accent2 2 2 4 2 2" xfId="3279"/>
    <cellStyle name="40% - Accent2 2 2 4 3" xfId="3280"/>
    <cellStyle name="40% - Accent2 2 2 4 4" xfId="3281"/>
    <cellStyle name="40% - Accent2 2 2 4 5" xfId="3282"/>
    <cellStyle name="40% - Accent2 2 2 5" xfId="3283"/>
    <cellStyle name="40% - Accent2 2 2 5 2" xfId="3284"/>
    <cellStyle name="40% - Accent2 2 2 5 3" xfId="3285"/>
    <cellStyle name="40% - Accent2 2 2 5 4" xfId="3286"/>
    <cellStyle name="40% - Accent2 2 2 6" xfId="3287"/>
    <cellStyle name="40% - Accent2 2 2 6 2" xfId="3288"/>
    <cellStyle name="40% - Accent2 2 2 7" xfId="3289"/>
    <cellStyle name="40% - Accent2 2 2 8" xfId="3290"/>
    <cellStyle name="40% - Accent2 2 2 9" xfId="3291"/>
    <cellStyle name="40% - Accent2 2 3" xfId="3292"/>
    <cellStyle name="40% - Accent2 2 3 2" xfId="3293"/>
    <cellStyle name="40% - Accent2 2 3 2 2" xfId="3294"/>
    <cellStyle name="40% - Accent2 2 3 2 2 2" xfId="3295"/>
    <cellStyle name="40% - Accent2 2 3 2 2 3" xfId="3296"/>
    <cellStyle name="40% - Accent2 2 3 2 3" xfId="3297"/>
    <cellStyle name="40% - Accent2 2 3 2 4" xfId="3298"/>
    <cellStyle name="40% - Accent2 2 3 2 5" xfId="3299"/>
    <cellStyle name="40% - Accent2 2 3 2 6" xfId="3300"/>
    <cellStyle name="40% - Accent2 2 3 3" xfId="3301"/>
    <cellStyle name="40% - Accent2 2 3 3 2" xfId="3302"/>
    <cellStyle name="40% - Accent2 2 3 3 2 2" xfId="3303"/>
    <cellStyle name="40% - Accent2 2 3 3 3" xfId="3304"/>
    <cellStyle name="40% - Accent2 2 3 3 4" xfId="3305"/>
    <cellStyle name="40% - Accent2 2 3 3 5" xfId="3306"/>
    <cellStyle name="40% - Accent2 2 3 4" xfId="3307"/>
    <cellStyle name="40% - Accent2 2 3 4 2" xfId="3308"/>
    <cellStyle name="40% - Accent2 2 3 4 3" xfId="3309"/>
    <cellStyle name="40% - Accent2 2 3 4 4" xfId="3310"/>
    <cellStyle name="40% - Accent2 2 3 5" xfId="3311"/>
    <cellStyle name="40% - Accent2 2 3 5 2" xfId="3312"/>
    <cellStyle name="40% - Accent2 2 3 6" xfId="3313"/>
    <cellStyle name="40% - Accent2 2 3 7" xfId="3314"/>
    <cellStyle name="40% - Accent2 2 3 8" xfId="3315"/>
    <cellStyle name="40% - Accent2 2 3 9" xfId="3316"/>
    <cellStyle name="40% - Accent2 2 4" xfId="3317"/>
    <cellStyle name="40% - Accent2 2 4 2" xfId="3318"/>
    <cellStyle name="40% - Accent2 2 4 2 2" xfId="3319"/>
    <cellStyle name="40% - Accent2 2 4 2 3" xfId="3320"/>
    <cellStyle name="40% - Accent2 2 4 3" xfId="3321"/>
    <cellStyle name="40% - Accent2 2 4 4" xfId="3322"/>
    <cellStyle name="40% - Accent2 2 4 5" xfId="3323"/>
    <cellStyle name="40% - Accent2 2 4 6" xfId="3324"/>
    <cellStyle name="40% - Accent2 2 5" xfId="3325"/>
    <cellStyle name="40% - Accent2 2 5 2" xfId="3326"/>
    <cellStyle name="40% - Accent2 2 5 2 2" xfId="3327"/>
    <cellStyle name="40% - Accent2 2 5 3" xfId="3328"/>
    <cellStyle name="40% - Accent2 2 5 4" xfId="3329"/>
    <cellStyle name="40% - Accent2 2 5 5" xfId="3330"/>
    <cellStyle name="40% - Accent2 2 6" xfId="3331"/>
    <cellStyle name="40% - Accent2 2 6 2" xfId="3332"/>
    <cellStyle name="40% - Accent2 2 6 2 2" xfId="3333"/>
    <cellStyle name="40% - Accent2 2 6 3" xfId="3334"/>
    <cellStyle name="40% - Accent2 2 6 4" xfId="3335"/>
    <cellStyle name="40% - Accent2 2 6 5" xfId="3336"/>
    <cellStyle name="40% - Accent2 2 7" xfId="3337"/>
    <cellStyle name="40% - Accent2 2 7 2" xfId="3338"/>
    <cellStyle name="40% - Accent2 2 8" xfId="3339"/>
    <cellStyle name="40% - Accent2 2 9" xfId="3340"/>
    <cellStyle name="40% - Accent2 3" xfId="3341"/>
    <cellStyle name="40% - Accent2 3 10" xfId="3342"/>
    <cellStyle name="40% - Accent2 3 2" xfId="3343"/>
    <cellStyle name="40% - Accent2 3 2 2" xfId="3344"/>
    <cellStyle name="40% - Accent2 3 2 2 2" xfId="3345"/>
    <cellStyle name="40% - Accent2 3 2 2 2 2" xfId="3346"/>
    <cellStyle name="40% - Accent2 3 2 2 2 3" xfId="3347"/>
    <cellStyle name="40% - Accent2 3 2 2 3" xfId="3348"/>
    <cellStyle name="40% - Accent2 3 2 2 4" xfId="3349"/>
    <cellStyle name="40% - Accent2 3 2 2 5" xfId="3350"/>
    <cellStyle name="40% - Accent2 3 2 2 6" xfId="3351"/>
    <cellStyle name="40% - Accent2 3 2 3" xfId="3352"/>
    <cellStyle name="40% - Accent2 3 2 3 2" xfId="3353"/>
    <cellStyle name="40% - Accent2 3 2 3 2 2" xfId="3354"/>
    <cellStyle name="40% - Accent2 3 2 3 3" xfId="3355"/>
    <cellStyle name="40% - Accent2 3 2 3 4" xfId="3356"/>
    <cellStyle name="40% - Accent2 3 2 3 5" xfId="3357"/>
    <cellStyle name="40% - Accent2 3 2 4" xfId="3358"/>
    <cellStyle name="40% - Accent2 3 2 4 2" xfId="3359"/>
    <cellStyle name="40% - Accent2 3 2 4 3" xfId="3360"/>
    <cellStyle name="40% - Accent2 3 2 4 4" xfId="3361"/>
    <cellStyle name="40% - Accent2 3 2 5" xfId="3362"/>
    <cellStyle name="40% - Accent2 3 2 5 2" xfId="3363"/>
    <cellStyle name="40% - Accent2 3 2 6" xfId="3364"/>
    <cellStyle name="40% - Accent2 3 2 7" xfId="3365"/>
    <cellStyle name="40% - Accent2 3 2 8" xfId="3366"/>
    <cellStyle name="40% - Accent2 3 2 9" xfId="3367"/>
    <cellStyle name="40% - Accent2 3 3" xfId="3368"/>
    <cellStyle name="40% - Accent2 3 3 2" xfId="3369"/>
    <cellStyle name="40% - Accent2 3 3 2 2" xfId="3370"/>
    <cellStyle name="40% - Accent2 3 3 2 3" xfId="3371"/>
    <cellStyle name="40% - Accent2 3 3 3" xfId="3372"/>
    <cellStyle name="40% - Accent2 3 3 4" xfId="3373"/>
    <cellStyle name="40% - Accent2 3 3 5" xfId="3374"/>
    <cellStyle name="40% - Accent2 3 3 6" xfId="3375"/>
    <cellStyle name="40% - Accent2 3 4" xfId="3376"/>
    <cellStyle name="40% - Accent2 3 4 2" xfId="3377"/>
    <cellStyle name="40% - Accent2 3 4 2 2" xfId="3378"/>
    <cellStyle name="40% - Accent2 3 4 3" xfId="3379"/>
    <cellStyle name="40% - Accent2 3 4 4" xfId="3380"/>
    <cellStyle name="40% - Accent2 3 4 5" xfId="3381"/>
    <cellStyle name="40% - Accent2 3 5" xfId="3382"/>
    <cellStyle name="40% - Accent2 3 5 2" xfId="3383"/>
    <cellStyle name="40% - Accent2 3 5 2 2" xfId="3384"/>
    <cellStyle name="40% - Accent2 3 5 3" xfId="3385"/>
    <cellStyle name="40% - Accent2 3 5 4" xfId="3386"/>
    <cellStyle name="40% - Accent2 3 5 5" xfId="3387"/>
    <cellStyle name="40% - Accent2 3 6" xfId="3388"/>
    <cellStyle name="40% - Accent2 3 6 2" xfId="3389"/>
    <cellStyle name="40% - Accent2 3 7" xfId="3390"/>
    <cellStyle name="40% - Accent2 3 8" xfId="3391"/>
    <cellStyle name="40% - Accent2 3 9" xfId="3392"/>
    <cellStyle name="40% - Accent2 4" xfId="3393"/>
    <cellStyle name="40% - Accent2 4 10" xfId="3394"/>
    <cellStyle name="40% - Accent2 4 2" xfId="3395"/>
    <cellStyle name="40% - Accent2 4 2 2" xfId="3396"/>
    <cellStyle name="40% - Accent2 4 2 2 2" xfId="3397"/>
    <cellStyle name="40% - Accent2 4 2 2 2 2" xfId="3398"/>
    <cellStyle name="40% - Accent2 4 2 2 2 3" xfId="3399"/>
    <cellStyle name="40% - Accent2 4 2 2 3" xfId="3400"/>
    <cellStyle name="40% - Accent2 4 2 2 4" xfId="3401"/>
    <cellStyle name="40% - Accent2 4 2 2 5" xfId="3402"/>
    <cellStyle name="40% - Accent2 4 2 2 6" xfId="3403"/>
    <cellStyle name="40% - Accent2 4 2 3" xfId="3404"/>
    <cellStyle name="40% - Accent2 4 2 3 2" xfId="3405"/>
    <cellStyle name="40% - Accent2 4 2 3 2 2" xfId="3406"/>
    <cellStyle name="40% - Accent2 4 2 3 3" xfId="3407"/>
    <cellStyle name="40% - Accent2 4 2 3 4" xfId="3408"/>
    <cellStyle name="40% - Accent2 4 2 3 5" xfId="3409"/>
    <cellStyle name="40% - Accent2 4 2 4" xfId="3410"/>
    <cellStyle name="40% - Accent2 4 2 4 2" xfId="3411"/>
    <cellStyle name="40% - Accent2 4 2 4 3" xfId="3412"/>
    <cellStyle name="40% - Accent2 4 2 4 4" xfId="3413"/>
    <cellStyle name="40% - Accent2 4 2 5" xfId="3414"/>
    <cellStyle name="40% - Accent2 4 2 5 2" xfId="3415"/>
    <cellStyle name="40% - Accent2 4 2 6" xfId="3416"/>
    <cellStyle name="40% - Accent2 4 2 7" xfId="3417"/>
    <cellStyle name="40% - Accent2 4 2 8" xfId="3418"/>
    <cellStyle name="40% - Accent2 4 2 9" xfId="3419"/>
    <cellStyle name="40% - Accent2 4 3" xfId="3420"/>
    <cellStyle name="40% - Accent2 4 3 2" xfId="3421"/>
    <cellStyle name="40% - Accent2 4 3 2 2" xfId="3422"/>
    <cellStyle name="40% - Accent2 4 3 2 3" xfId="3423"/>
    <cellStyle name="40% - Accent2 4 3 3" xfId="3424"/>
    <cellStyle name="40% - Accent2 4 3 4" xfId="3425"/>
    <cellStyle name="40% - Accent2 4 3 5" xfId="3426"/>
    <cellStyle name="40% - Accent2 4 3 6" xfId="3427"/>
    <cellStyle name="40% - Accent2 4 4" xfId="3428"/>
    <cellStyle name="40% - Accent2 4 4 2" xfId="3429"/>
    <cellStyle name="40% - Accent2 4 4 2 2" xfId="3430"/>
    <cellStyle name="40% - Accent2 4 4 3" xfId="3431"/>
    <cellStyle name="40% - Accent2 4 4 4" xfId="3432"/>
    <cellStyle name="40% - Accent2 4 4 5" xfId="3433"/>
    <cellStyle name="40% - Accent2 4 5" xfId="3434"/>
    <cellStyle name="40% - Accent2 4 5 2" xfId="3435"/>
    <cellStyle name="40% - Accent2 4 5 2 2" xfId="3436"/>
    <cellStyle name="40% - Accent2 4 5 3" xfId="3437"/>
    <cellStyle name="40% - Accent2 4 5 4" xfId="3438"/>
    <cellStyle name="40% - Accent2 4 5 5" xfId="3439"/>
    <cellStyle name="40% - Accent2 4 6" xfId="3440"/>
    <cellStyle name="40% - Accent2 4 6 2" xfId="3441"/>
    <cellStyle name="40% - Accent2 4 7" xfId="3442"/>
    <cellStyle name="40% - Accent2 4 8" xfId="3443"/>
    <cellStyle name="40% - Accent2 4 9" xfId="3444"/>
    <cellStyle name="40% - Accent2 5" xfId="3445"/>
    <cellStyle name="40% - Accent2 5 10" xfId="3446"/>
    <cellStyle name="40% - Accent2 5 2" xfId="3447"/>
    <cellStyle name="40% - Accent2 5 2 2" xfId="3448"/>
    <cellStyle name="40% - Accent2 5 2 2 2" xfId="3449"/>
    <cellStyle name="40% - Accent2 5 2 2 2 2" xfId="3450"/>
    <cellStyle name="40% - Accent2 5 2 2 2 3" xfId="3451"/>
    <cellStyle name="40% - Accent2 5 2 2 3" xfId="3452"/>
    <cellStyle name="40% - Accent2 5 2 2 4" xfId="3453"/>
    <cellStyle name="40% - Accent2 5 2 2 5" xfId="3454"/>
    <cellStyle name="40% - Accent2 5 2 2 6" xfId="3455"/>
    <cellStyle name="40% - Accent2 5 2 3" xfId="3456"/>
    <cellStyle name="40% - Accent2 5 2 3 2" xfId="3457"/>
    <cellStyle name="40% - Accent2 5 2 3 2 2" xfId="3458"/>
    <cellStyle name="40% - Accent2 5 2 3 3" xfId="3459"/>
    <cellStyle name="40% - Accent2 5 2 3 4" xfId="3460"/>
    <cellStyle name="40% - Accent2 5 2 3 5" xfId="3461"/>
    <cellStyle name="40% - Accent2 5 2 4" xfId="3462"/>
    <cellStyle name="40% - Accent2 5 2 4 2" xfId="3463"/>
    <cellStyle name="40% - Accent2 5 2 4 3" xfId="3464"/>
    <cellStyle name="40% - Accent2 5 2 4 4" xfId="3465"/>
    <cellStyle name="40% - Accent2 5 2 5" xfId="3466"/>
    <cellStyle name="40% - Accent2 5 2 5 2" xfId="3467"/>
    <cellStyle name="40% - Accent2 5 2 6" xfId="3468"/>
    <cellStyle name="40% - Accent2 5 2 7" xfId="3469"/>
    <cellStyle name="40% - Accent2 5 2 8" xfId="3470"/>
    <cellStyle name="40% - Accent2 5 2 9" xfId="3471"/>
    <cellStyle name="40% - Accent2 5 3" xfId="3472"/>
    <cellStyle name="40% - Accent2 5 3 2" xfId="3473"/>
    <cellStyle name="40% - Accent2 5 3 2 2" xfId="3474"/>
    <cellStyle name="40% - Accent2 5 3 2 3" xfId="3475"/>
    <cellStyle name="40% - Accent2 5 3 3" xfId="3476"/>
    <cellStyle name="40% - Accent2 5 3 4" xfId="3477"/>
    <cellStyle name="40% - Accent2 5 3 5" xfId="3478"/>
    <cellStyle name="40% - Accent2 5 3 6" xfId="3479"/>
    <cellStyle name="40% - Accent2 5 4" xfId="3480"/>
    <cellStyle name="40% - Accent2 5 4 2" xfId="3481"/>
    <cellStyle name="40% - Accent2 5 4 2 2" xfId="3482"/>
    <cellStyle name="40% - Accent2 5 4 3" xfId="3483"/>
    <cellStyle name="40% - Accent2 5 4 4" xfId="3484"/>
    <cellStyle name="40% - Accent2 5 4 5" xfId="3485"/>
    <cellStyle name="40% - Accent2 5 5" xfId="3486"/>
    <cellStyle name="40% - Accent2 5 5 2" xfId="3487"/>
    <cellStyle name="40% - Accent2 5 5 3" xfId="3488"/>
    <cellStyle name="40% - Accent2 5 5 4" xfId="3489"/>
    <cellStyle name="40% - Accent2 5 6" xfId="3490"/>
    <cellStyle name="40% - Accent2 5 6 2" xfId="3491"/>
    <cellStyle name="40% - Accent2 5 7" xfId="3492"/>
    <cellStyle name="40% - Accent2 5 8" xfId="3493"/>
    <cellStyle name="40% - Accent2 5 9" xfId="3494"/>
    <cellStyle name="40% - Accent2 6" xfId="3495"/>
    <cellStyle name="40% - Accent2 6 10" xfId="3496"/>
    <cellStyle name="40% - Accent2 6 2" xfId="3497"/>
    <cellStyle name="40% - Accent2 6 2 2" xfId="3498"/>
    <cellStyle name="40% - Accent2 6 2 2 2" xfId="3499"/>
    <cellStyle name="40% - Accent2 6 2 2 2 2" xfId="3500"/>
    <cellStyle name="40% - Accent2 6 2 2 2 3" xfId="3501"/>
    <cellStyle name="40% - Accent2 6 2 2 3" xfId="3502"/>
    <cellStyle name="40% - Accent2 6 2 2 4" xfId="3503"/>
    <cellStyle name="40% - Accent2 6 2 2 5" xfId="3504"/>
    <cellStyle name="40% - Accent2 6 2 2 6" xfId="3505"/>
    <cellStyle name="40% - Accent2 6 2 3" xfId="3506"/>
    <cellStyle name="40% - Accent2 6 2 3 2" xfId="3507"/>
    <cellStyle name="40% - Accent2 6 2 3 2 2" xfId="3508"/>
    <cellStyle name="40% - Accent2 6 2 3 3" xfId="3509"/>
    <cellStyle name="40% - Accent2 6 2 3 4" xfId="3510"/>
    <cellStyle name="40% - Accent2 6 2 3 5" xfId="3511"/>
    <cellStyle name="40% - Accent2 6 2 4" xfId="3512"/>
    <cellStyle name="40% - Accent2 6 2 4 2" xfId="3513"/>
    <cellStyle name="40% - Accent2 6 2 4 3" xfId="3514"/>
    <cellStyle name="40% - Accent2 6 2 4 4" xfId="3515"/>
    <cellStyle name="40% - Accent2 6 2 5" xfId="3516"/>
    <cellStyle name="40% - Accent2 6 2 5 2" xfId="3517"/>
    <cellStyle name="40% - Accent2 6 2 6" xfId="3518"/>
    <cellStyle name="40% - Accent2 6 2 7" xfId="3519"/>
    <cellStyle name="40% - Accent2 6 2 8" xfId="3520"/>
    <cellStyle name="40% - Accent2 6 2 9" xfId="3521"/>
    <cellStyle name="40% - Accent2 6 3" xfId="3522"/>
    <cellStyle name="40% - Accent2 6 3 2" xfId="3523"/>
    <cellStyle name="40% - Accent2 6 3 2 2" xfId="3524"/>
    <cellStyle name="40% - Accent2 6 3 2 3" xfId="3525"/>
    <cellStyle name="40% - Accent2 6 3 3" xfId="3526"/>
    <cellStyle name="40% - Accent2 6 3 4" xfId="3527"/>
    <cellStyle name="40% - Accent2 6 3 5" xfId="3528"/>
    <cellStyle name="40% - Accent2 6 3 6" xfId="3529"/>
    <cellStyle name="40% - Accent2 6 4" xfId="3530"/>
    <cellStyle name="40% - Accent2 6 4 2" xfId="3531"/>
    <cellStyle name="40% - Accent2 6 4 2 2" xfId="3532"/>
    <cellStyle name="40% - Accent2 6 4 3" xfId="3533"/>
    <cellStyle name="40% - Accent2 6 4 4" xfId="3534"/>
    <cellStyle name="40% - Accent2 6 4 5" xfId="3535"/>
    <cellStyle name="40% - Accent2 6 5" xfId="3536"/>
    <cellStyle name="40% - Accent2 6 5 2" xfId="3537"/>
    <cellStyle name="40% - Accent2 6 5 3" xfId="3538"/>
    <cellStyle name="40% - Accent2 6 5 4" xfId="3539"/>
    <cellStyle name="40% - Accent2 6 6" xfId="3540"/>
    <cellStyle name="40% - Accent2 6 6 2" xfId="3541"/>
    <cellStyle name="40% - Accent2 6 7" xfId="3542"/>
    <cellStyle name="40% - Accent2 6 8" xfId="3543"/>
    <cellStyle name="40% - Accent2 6 9" xfId="3544"/>
    <cellStyle name="40% - Accent2 7" xfId="3545"/>
    <cellStyle name="40% - Accent2 7 2" xfId="3546"/>
    <cellStyle name="40% - Accent2 7 2 2" xfId="3547"/>
    <cellStyle name="40% - Accent2 7 2 2 2" xfId="3548"/>
    <cellStyle name="40% - Accent2 7 2 2 3" xfId="3549"/>
    <cellStyle name="40% - Accent2 7 2 3" xfId="3550"/>
    <cellStyle name="40% - Accent2 7 2 4" xfId="3551"/>
    <cellStyle name="40% - Accent2 7 2 5" xfId="3552"/>
    <cellStyle name="40% - Accent2 7 2 6" xfId="3553"/>
    <cellStyle name="40% - Accent2 7 3" xfId="3554"/>
    <cellStyle name="40% - Accent2 7 3 2" xfId="3555"/>
    <cellStyle name="40% - Accent2 7 3 2 2" xfId="3556"/>
    <cellStyle name="40% - Accent2 7 3 3" xfId="3557"/>
    <cellStyle name="40% - Accent2 7 3 4" xfId="3558"/>
    <cellStyle name="40% - Accent2 7 3 5" xfId="3559"/>
    <cellStyle name="40% - Accent2 7 4" xfId="3560"/>
    <cellStyle name="40% - Accent2 7 4 2" xfId="3561"/>
    <cellStyle name="40% - Accent2 7 4 3" xfId="3562"/>
    <cellStyle name="40% - Accent2 7 4 4" xfId="3563"/>
    <cellStyle name="40% - Accent2 7 5" xfId="3564"/>
    <cellStyle name="40% - Accent2 7 5 2" xfId="3565"/>
    <cellStyle name="40% - Accent2 7 6" xfId="3566"/>
    <cellStyle name="40% - Accent2 7 7" xfId="3567"/>
    <cellStyle name="40% - Accent2 7 8" xfId="3568"/>
    <cellStyle name="40% - Accent2 7 9" xfId="3569"/>
    <cellStyle name="40% - Accent2 8" xfId="3570"/>
    <cellStyle name="40% - Accent2 8 2" xfId="3571"/>
    <cellStyle name="40% - Accent2 8 2 2" xfId="3572"/>
    <cellStyle name="40% - Accent2 8 2 2 2" xfId="3573"/>
    <cellStyle name="40% - Accent2 8 2 2 3" xfId="3574"/>
    <cellStyle name="40% - Accent2 8 2 3" xfId="3575"/>
    <cellStyle name="40% - Accent2 8 2 4" xfId="3576"/>
    <cellStyle name="40% - Accent2 8 2 5" xfId="3577"/>
    <cellStyle name="40% - Accent2 8 2 6" xfId="3578"/>
    <cellStyle name="40% - Accent2 8 3" xfId="3579"/>
    <cellStyle name="40% - Accent2 8 3 2" xfId="3580"/>
    <cellStyle name="40% - Accent2 8 3 2 2" xfId="3581"/>
    <cellStyle name="40% - Accent2 8 3 3" xfId="3582"/>
    <cellStyle name="40% - Accent2 8 3 4" xfId="3583"/>
    <cellStyle name="40% - Accent2 8 3 5" xfId="3584"/>
    <cellStyle name="40% - Accent2 8 4" xfId="3585"/>
    <cellStyle name="40% - Accent2 8 4 2" xfId="3586"/>
    <cellStyle name="40% - Accent2 8 4 3" xfId="3587"/>
    <cellStyle name="40% - Accent2 8 4 4" xfId="3588"/>
    <cellStyle name="40% - Accent2 8 5" xfId="3589"/>
    <cellStyle name="40% - Accent2 8 5 2" xfId="3590"/>
    <cellStyle name="40% - Accent2 8 6" xfId="3591"/>
    <cellStyle name="40% - Accent2 8 7" xfId="3592"/>
    <cellStyle name="40% - Accent2 8 8" xfId="3593"/>
    <cellStyle name="40% - Accent2 8 9" xfId="3594"/>
    <cellStyle name="40% - Accent2 9" xfId="3595"/>
    <cellStyle name="40% - Accent2 9 2" xfId="3596"/>
    <cellStyle name="40% - Accent2 9 2 2" xfId="3597"/>
    <cellStyle name="40% - Accent2 9 2 2 2" xfId="3598"/>
    <cellStyle name="40% - Accent2 9 2 3" xfId="3599"/>
    <cellStyle name="40% - Accent2 9 2 4" xfId="3600"/>
    <cellStyle name="40% - Accent2 9 2 5" xfId="3601"/>
    <cellStyle name="40% - Accent2 9 3" xfId="3602"/>
    <cellStyle name="40% - Accent2 9 3 2" xfId="3603"/>
    <cellStyle name="40% - Accent2 9 3 3" xfId="3604"/>
    <cellStyle name="40% - Accent2 9 3 4" xfId="3605"/>
    <cellStyle name="40% - Accent2 9 4" xfId="3606"/>
    <cellStyle name="40% - Accent2 9 4 2" xfId="3607"/>
    <cellStyle name="40% - Accent2 9 5" xfId="3608"/>
    <cellStyle name="40% - Accent2 9 6" xfId="3609"/>
    <cellStyle name="40% - Accent2 9 7" xfId="3610"/>
    <cellStyle name="40% - Accent2 9 8" xfId="3611"/>
    <cellStyle name="40% - Accent3 10" xfId="3612"/>
    <cellStyle name="40% - Accent3 10 2" xfId="3613"/>
    <cellStyle name="40% - Accent3 10 2 2" xfId="3614"/>
    <cellStyle name="40% - Accent3 10 2 2 2" xfId="3615"/>
    <cellStyle name="40% - Accent3 10 2 3" xfId="3616"/>
    <cellStyle name="40% - Accent3 10 2 4" xfId="3617"/>
    <cellStyle name="40% - Accent3 10 2 5" xfId="3618"/>
    <cellStyle name="40% - Accent3 10 3" xfId="3619"/>
    <cellStyle name="40% - Accent3 10 3 2" xfId="3620"/>
    <cellStyle name="40% - Accent3 10 3 3" xfId="3621"/>
    <cellStyle name="40% - Accent3 10 3 4" xfId="3622"/>
    <cellStyle name="40% - Accent3 10 4" xfId="3623"/>
    <cellStyle name="40% - Accent3 10 4 2" xfId="3624"/>
    <cellStyle name="40% - Accent3 10 5" xfId="3625"/>
    <cellStyle name="40% - Accent3 10 6" xfId="3626"/>
    <cellStyle name="40% - Accent3 10 7" xfId="3627"/>
    <cellStyle name="40% - Accent3 10 8" xfId="3628"/>
    <cellStyle name="40% - Accent3 11" xfId="3629"/>
    <cellStyle name="40% - Accent3 11 2" xfId="3630"/>
    <cellStyle name="40% - Accent3 11 2 2" xfId="3631"/>
    <cellStyle name="40% - Accent3 11 2 2 2" xfId="3632"/>
    <cellStyle name="40% - Accent3 11 2 3" xfId="3633"/>
    <cellStyle name="40% - Accent3 11 2 4" xfId="3634"/>
    <cellStyle name="40% - Accent3 11 2 5" xfId="3635"/>
    <cellStyle name="40% - Accent3 11 3" xfId="3636"/>
    <cellStyle name="40% - Accent3 11 3 2" xfId="3637"/>
    <cellStyle name="40% - Accent3 11 3 3" xfId="3638"/>
    <cellStyle name="40% - Accent3 11 3 4" xfId="3639"/>
    <cellStyle name="40% - Accent3 11 4" xfId="3640"/>
    <cellStyle name="40% - Accent3 11 4 2" xfId="3641"/>
    <cellStyle name="40% - Accent3 11 5" xfId="3642"/>
    <cellStyle name="40% - Accent3 11 6" xfId="3643"/>
    <cellStyle name="40% - Accent3 11 7" xfId="3644"/>
    <cellStyle name="40% - Accent3 11 8" xfId="3645"/>
    <cellStyle name="40% - Accent3 12" xfId="3646"/>
    <cellStyle name="40% - Accent3 12 2" xfId="3647"/>
    <cellStyle name="40% - Accent3 12 2 2" xfId="3648"/>
    <cellStyle name="40% - Accent3 12 2 2 2" xfId="3649"/>
    <cellStyle name="40% - Accent3 12 2 3" xfId="3650"/>
    <cellStyle name="40% - Accent3 12 2 4" xfId="3651"/>
    <cellStyle name="40% - Accent3 12 2 5" xfId="3652"/>
    <cellStyle name="40% - Accent3 12 3" xfId="3653"/>
    <cellStyle name="40% - Accent3 12 3 2" xfId="3654"/>
    <cellStyle name="40% - Accent3 12 3 3" xfId="3655"/>
    <cellStyle name="40% - Accent3 12 3 4" xfId="3656"/>
    <cellStyle name="40% - Accent3 12 4" xfId="3657"/>
    <cellStyle name="40% - Accent3 12 4 2" xfId="3658"/>
    <cellStyle name="40% - Accent3 12 5" xfId="3659"/>
    <cellStyle name="40% - Accent3 12 6" xfId="3660"/>
    <cellStyle name="40% - Accent3 12 7" xfId="3661"/>
    <cellStyle name="40% - Accent3 12 8" xfId="3662"/>
    <cellStyle name="40% - Accent3 13" xfId="3663"/>
    <cellStyle name="40% - Accent3 13 2" xfId="3664"/>
    <cellStyle name="40% - Accent3 13 2 2" xfId="3665"/>
    <cellStyle name="40% - Accent3 13 2 3" xfId="3666"/>
    <cellStyle name="40% - Accent3 13 2 4" xfId="3667"/>
    <cellStyle name="40% - Accent3 13 3" xfId="3668"/>
    <cellStyle name="40% - Accent3 13 3 2" xfId="3669"/>
    <cellStyle name="40% - Accent3 13 4" xfId="3670"/>
    <cellStyle name="40% - Accent3 13 5" xfId="3671"/>
    <cellStyle name="40% - Accent3 13 6" xfId="3672"/>
    <cellStyle name="40% - Accent3 14" xfId="3673"/>
    <cellStyle name="40% - Accent3 14 2" xfId="3674"/>
    <cellStyle name="40% - Accent3 14 2 2" xfId="3675"/>
    <cellStyle name="40% - Accent3 14 3" xfId="3676"/>
    <cellStyle name="40% - Accent3 14 4" xfId="3677"/>
    <cellStyle name="40% - Accent3 14 5" xfId="3678"/>
    <cellStyle name="40% - Accent3 15" xfId="3679"/>
    <cellStyle name="40% - Accent3 15 2" xfId="3680"/>
    <cellStyle name="40% - Accent3 15 2 2" xfId="3681"/>
    <cellStyle name="40% - Accent3 15 3" xfId="3682"/>
    <cellStyle name="40% - Accent3 15 4" xfId="3683"/>
    <cellStyle name="40% - Accent3 15 5" xfId="3684"/>
    <cellStyle name="40% - Accent3 16" xfId="3685"/>
    <cellStyle name="40% - Accent3 16 2" xfId="3686"/>
    <cellStyle name="40% - Accent3 17" xfId="3687"/>
    <cellStyle name="40% - Accent3 18" xfId="3688"/>
    <cellStyle name="40% - Accent3 19" xfId="3689"/>
    <cellStyle name="40% - Accent3 2" xfId="3690"/>
    <cellStyle name="40% - Accent3 2 10" xfId="3691"/>
    <cellStyle name="40% - Accent3 2 11" xfId="3692"/>
    <cellStyle name="40% - Accent3 2 2" xfId="3693"/>
    <cellStyle name="40% - Accent3 2 2 10" xfId="3694"/>
    <cellStyle name="40% - Accent3 2 2 2" xfId="3695"/>
    <cellStyle name="40% - Accent3 2 2 2 2" xfId="3696"/>
    <cellStyle name="40% - Accent3 2 2 2 2 2" xfId="3697"/>
    <cellStyle name="40% - Accent3 2 2 2 2 2 2" xfId="3698"/>
    <cellStyle name="40% - Accent3 2 2 2 2 2 3" xfId="3699"/>
    <cellStyle name="40% - Accent3 2 2 2 2 3" xfId="3700"/>
    <cellStyle name="40% - Accent3 2 2 2 2 4" xfId="3701"/>
    <cellStyle name="40% - Accent3 2 2 2 2 5" xfId="3702"/>
    <cellStyle name="40% - Accent3 2 2 2 2 6" xfId="3703"/>
    <cellStyle name="40% - Accent3 2 2 2 3" xfId="3704"/>
    <cellStyle name="40% - Accent3 2 2 2 3 2" xfId="3705"/>
    <cellStyle name="40% - Accent3 2 2 2 3 2 2" xfId="3706"/>
    <cellStyle name="40% - Accent3 2 2 2 3 3" xfId="3707"/>
    <cellStyle name="40% - Accent3 2 2 2 3 4" xfId="3708"/>
    <cellStyle name="40% - Accent3 2 2 2 3 5" xfId="3709"/>
    <cellStyle name="40% - Accent3 2 2 2 4" xfId="3710"/>
    <cellStyle name="40% - Accent3 2 2 2 4 2" xfId="3711"/>
    <cellStyle name="40% - Accent3 2 2 2 4 3" xfId="3712"/>
    <cellStyle name="40% - Accent3 2 2 2 4 4" xfId="3713"/>
    <cellStyle name="40% - Accent3 2 2 2 5" xfId="3714"/>
    <cellStyle name="40% - Accent3 2 2 2 5 2" xfId="3715"/>
    <cellStyle name="40% - Accent3 2 2 2 6" xfId="3716"/>
    <cellStyle name="40% - Accent3 2 2 2 7" xfId="3717"/>
    <cellStyle name="40% - Accent3 2 2 2 8" xfId="3718"/>
    <cellStyle name="40% - Accent3 2 2 2 9" xfId="3719"/>
    <cellStyle name="40% - Accent3 2 2 3" xfId="3720"/>
    <cellStyle name="40% - Accent3 2 2 3 2" xfId="3721"/>
    <cellStyle name="40% - Accent3 2 2 3 2 2" xfId="3722"/>
    <cellStyle name="40% - Accent3 2 2 3 2 3" xfId="3723"/>
    <cellStyle name="40% - Accent3 2 2 3 3" xfId="3724"/>
    <cellStyle name="40% - Accent3 2 2 3 4" xfId="3725"/>
    <cellStyle name="40% - Accent3 2 2 3 5" xfId="3726"/>
    <cellStyle name="40% - Accent3 2 2 3 6" xfId="3727"/>
    <cellStyle name="40% - Accent3 2 2 4" xfId="3728"/>
    <cellStyle name="40% - Accent3 2 2 4 2" xfId="3729"/>
    <cellStyle name="40% - Accent3 2 2 4 2 2" xfId="3730"/>
    <cellStyle name="40% - Accent3 2 2 4 3" xfId="3731"/>
    <cellStyle name="40% - Accent3 2 2 4 4" xfId="3732"/>
    <cellStyle name="40% - Accent3 2 2 4 5" xfId="3733"/>
    <cellStyle name="40% - Accent3 2 2 5" xfId="3734"/>
    <cellStyle name="40% - Accent3 2 2 5 2" xfId="3735"/>
    <cellStyle name="40% - Accent3 2 2 5 3" xfId="3736"/>
    <cellStyle name="40% - Accent3 2 2 5 4" xfId="3737"/>
    <cellStyle name="40% - Accent3 2 2 6" xfId="3738"/>
    <cellStyle name="40% - Accent3 2 2 6 2" xfId="3739"/>
    <cellStyle name="40% - Accent3 2 2 7" xfId="3740"/>
    <cellStyle name="40% - Accent3 2 2 8" xfId="3741"/>
    <cellStyle name="40% - Accent3 2 2 9" xfId="3742"/>
    <cellStyle name="40% - Accent3 2 3" xfId="3743"/>
    <cellStyle name="40% - Accent3 2 3 2" xfId="3744"/>
    <cellStyle name="40% - Accent3 2 3 2 2" xfId="3745"/>
    <cellStyle name="40% - Accent3 2 3 2 2 2" xfId="3746"/>
    <cellStyle name="40% - Accent3 2 3 2 2 3" xfId="3747"/>
    <cellStyle name="40% - Accent3 2 3 2 3" xfId="3748"/>
    <cellStyle name="40% - Accent3 2 3 2 4" xfId="3749"/>
    <cellStyle name="40% - Accent3 2 3 2 5" xfId="3750"/>
    <cellStyle name="40% - Accent3 2 3 2 6" xfId="3751"/>
    <cellStyle name="40% - Accent3 2 3 3" xfId="3752"/>
    <cellStyle name="40% - Accent3 2 3 3 2" xfId="3753"/>
    <cellStyle name="40% - Accent3 2 3 3 2 2" xfId="3754"/>
    <cellStyle name="40% - Accent3 2 3 3 3" xfId="3755"/>
    <cellStyle name="40% - Accent3 2 3 3 4" xfId="3756"/>
    <cellStyle name="40% - Accent3 2 3 3 5" xfId="3757"/>
    <cellStyle name="40% - Accent3 2 3 4" xfId="3758"/>
    <cellStyle name="40% - Accent3 2 3 4 2" xfId="3759"/>
    <cellStyle name="40% - Accent3 2 3 4 3" xfId="3760"/>
    <cellStyle name="40% - Accent3 2 3 4 4" xfId="3761"/>
    <cellStyle name="40% - Accent3 2 3 5" xfId="3762"/>
    <cellStyle name="40% - Accent3 2 3 5 2" xfId="3763"/>
    <cellStyle name="40% - Accent3 2 3 6" xfId="3764"/>
    <cellStyle name="40% - Accent3 2 3 7" xfId="3765"/>
    <cellStyle name="40% - Accent3 2 3 8" xfId="3766"/>
    <cellStyle name="40% - Accent3 2 3 9" xfId="3767"/>
    <cellStyle name="40% - Accent3 2 4" xfId="3768"/>
    <cellStyle name="40% - Accent3 2 4 2" xfId="3769"/>
    <cellStyle name="40% - Accent3 2 4 2 2" xfId="3770"/>
    <cellStyle name="40% - Accent3 2 4 2 3" xfId="3771"/>
    <cellStyle name="40% - Accent3 2 4 3" xfId="3772"/>
    <cellStyle name="40% - Accent3 2 4 4" xfId="3773"/>
    <cellStyle name="40% - Accent3 2 4 5" xfId="3774"/>
    <cellStyle name="40% - Accent3 2 4 6" xfId="3775"/>
    <cellStyle name="40% - Accent3 2 5" xfId="3776"/>
    <cellStyle name="40% - Accent3 2 5 2" xfId="3777"/>
    <cellStyle name="40% - Accent3 2 5 2 2" xfId="3778"/>
    <cellStyle name="40% - Accent3 2 5 3" xfId="3779"/>
    <cellStyle name="40% - Accent3 2 5 4" xfId="3780"/>
    <cellStyle name="40% - Accent3 2 5 5" xfId="3781"/>
    <cellStyle name="40% - Accent3 2 6" xfId="3782"/>
    <cellStyle name="40% - Accent3 2 6 2" xfId="3783"/>
    <cellStyle name="40% - Accent3 2 6 2 2" xfId="3784"/>
    <cellStyle name="40% - Accent3 2 6 3" xfId="3785"/>
    <cellStyle name="40% - Accent3 2 6 4" xfId="3786"/>
    <cellStyle name="40% - Accent3 2 6 5" xfId="3787"/>
    <cellStyle name="40% - Accent3 2 7" xfId="3788"/>
    <cellStyle name="40% - Accent3 2 7 2" xfId="3789"/>
    <cellStyle name="40% - Accent3 2 8" xfId="3790"/>
    <cellStyle name="40% - Accent3 2 9" xfId="3791"/>
    <cellStyle name="40% - Accent3 3" xfId="3792"/>
    <cellStyle name="40% - Accent3 3 10" xfId="3793"/>
    <cellStyle name="40% - Accent3 3 2" xfId="3794"/>
    <cellStyle name="40% - Accent3 3 2 2" xfId="3795"/>
    <cellStyle name="40% - Accent3 3 2 2 2" xfId="3796"/>
    <cellStyle name="40% - Accent3 3 2 2 2 2" xfId="3797"/>
    <cellStyle name="40% - Accent3 3 2 2 2 3" xfId="3798"/>
    <cellStyle name="40% - Accent3 3 2 2 3" xfId="3799"/>
    <cellStyle name="40% - Accent3 3 2 2 4" xfId="3800"/>
    <cellStyle name="40% - Accent3 3 2 2 5" xfId="3801"/>
    <cellStyle name="40% - Accent3 3 2 2 6" xfId="3802"/>
    <cellStyle name="40% - Accent3 3 2 3" xfId="3803"/>
    <cellStyle name="40% - Accent3 3 2 3 2" xfId="3804"/>
    <cellStyle name="40% - Accent3 3 2 3 2 2" xfId="3805"/>
    <cellStyle name="40% - Accent3 3 2 3 3" xfId="3806"/>
    <cellStyle name="40% - Accent3 3 2 3 4" xfId="3807"/>
    <cellStyle name="40% - Accent3 3 2 3 5" xfId="3808"/>
    <cellStyle name="40% - Accent3 3 2 4" xfId="3809"/>
    <cellStyle name="40% - Accent3 3 2 4 2" xfId="3810"/>
    <cellStyle name="40% - Accent3 3 2 4 3" xfId="3811"/>
    <cellStyle name="40% - Accent3 3 2 4 4" xfId="3812"/>
    <cellStyle name="40% - Accent3 3 2 5" xfId="3813"/>
    <cellStyle name="40% - Accent3 3 2 5 2" xfId="3814"/>
    <cellStyle name="40% - Accent3 3 2 6" xfId="3815"/>
    <cellStyle name="40% - Accent3 3 2 7" xfId="3816"/>
    <cellStyle name="40% - Accent3 3 2 8" xfId="3817"/>
    <cellStyle name="40% - Accent3 3 2 9" xfId="3818"/>
    <cellStyle name="40% - Accent3 3 3" xfId="3819"/>
    <cellStyle name="40% - Accent3 3 3 2" xfId="3820"/>
    <cellStyle name="40% - Accent3 3 3 2 2" xfId="3821"/>
    <cellStyle name="40% - Accent3 3 3 2 3" xfId="3822"/>
    <cellStyle name="40% - Accent3 3 3 3" xfId="3823"/>
    <cellStyle name="40% - Accent3 3 3 4" xfId="3824"/>
    <cellStyle name="40% - Accent3 3 3 5" xfId="3825"/>
    <cellStyle name="40% - Accent3 3 3 6" xfId="3826"/>
    <cellStyle name="40% - Accent3 3 4" xfId="3827"/>
    <cellStyle name="40% - Accent3 3 4 2" xfId="3828"/>
    <cellStyle name="40% - Accent3 3 4 2 2" xfId="3829"/>
    <cellStyle name="40% - Accent3 3 4 3" xfId="3830"/>
    <cellStyle name="40% - Accent3 3 4 4" xfId="3831"/>
    <cellStyle name="40% - Accent3 3 4 5" xfId="3832"/>
    <cellStyle name="40% - Accent3 3 5" xfId="3833"/>
    <cellStyle name="40% - Accent3 3 5 2" xfId="3834"/>
    <cellStyle name="40% - Accent3 3 5 2 2" xfId="3835"/>
    <cellStyle name="40% - Accent3 3 5 3" xfId="3836"/>
    <cellStyle name="40% - Accent3 3 5 4" xfId="3837"/>
    <cellStyle name="40% - Accent3 3 5 5" xfId="3838"/>
    <cellStyle name="40% - Accent3 3 6" xfId="3839"/>
    <cellStyle name="40% - Accent3 3 6 2" xfId="3840"/>
    <cellStyle name="40% - Accent3 3 7" xfId="3841"/>
    <cellStyle name="40% - Accent3 3 8" xfId="3842"/>
    <cellStyle name="40% - Accent3 3 9" xfId="3843"/>
    <cellStyle name="40% - Accent3 4" xfId="3844"/>
    <cellStyle name="40% - Accent3 4 10" xfId="3845"/>
    <cellStyle name="40% - Accent3 4 2" xfId="3846"/>
    <cellStyle name="40% - Accent3 4 2 2" xfId="3847"/>
    <cellStyle name="40% - Accent3 4 2 2 2" xfId="3848"/>
    <cellStyle name="40% - Accent3 4 2 2 2 2" xfId="3849"/>
    <cellStyle name="40% - Accent3 4 2 2 2 3" xfId="3850"/>
    <cellStyle name="40% - Accent3 4 2 2 3" xfId="3851"/>
    <cellStyle name="40% - Accent3 4 2 2 4" xfId="3852"/>
    <cellStyle name="40% - Accent3 4 2 2 5" xfId="3853"/>
    <cellStyle name="40% - Accent3 4 2 2 6" xfId="3854"/>
    <cellStyle name="40% - Accent3 4 2 3" xfId="3855"/>
    <cellStyle name="40% - Accent3 4 2 3 2" xfId="3856"/>
    <cellStyle name="40% - Accent3 4 2 3 2 2" xfId="3857"/>
    <cellStyle name="40% - Accent3 4 2 3 3" xfId="3858"/>
    <cellStyle name="40% - Accent3 4 2 3 4" xfId="3859"/>
    <cellStyle name="40% - Accent3 4 2 3 5" xfId="3860"/>
    <cellStyle name="40% - Accent3 4 2 4" xfId="3861"/>
    <cellStyle name="40% - Accent3 4 2 4 2" xfId="3862"/>
    <cellStyle name="40% - Accent3 4 2 4 3" xfId="3863"/>
    <cellStyle name="40% - Accent3 4 2 4 4" xfId="3864"/>
    <cellStyle name="40% - Accent3 4 2 5" xfId="3865"/>
    <cellStyle name="40% - Accent3 4 2 5 2" xfId="3866"/>
    <cellStyle name="40% - Accent3 4 2 6" xfId="3867"/>
    <cellStyle name="40% - Accent3 4 2 7" xfId="3868"/>
    <cellStyle name="40% - Accent3 4 2 8" xfId="3869"/>
    <cellStyle name="40% - Accent3 4 2 9" xfId="3870"/>
    <cellStyle name="40% - Accent3 4 3" xfId="3871"/>
    <cellStyle name="40% - Accent3 4 3 2" xfId="3872"/>
    <cellStyle name="40% - Accent3 4 3 2 2" xfId="3873"/>
    <cellStyle name="40% - Accent3 4 3 2 3" xfId="3874"/>
    <cellStyle name="40% - Accent3 4 3 3" xfId="3875"/>
    <cellStyle name="40% - Accent3 4 3 4" xfId="3876"/>
    <cellStyle name="40% - Accent3 4 3 5" xfId="3877"/>
    <cellStyle name="40% - Accent3 4 3 6" xfId="3878"/>
    <cellStyle name="40% - Accent3 4 4" xfId="3879"/>
    <cellStyle name="40% - Accent3 4 4 2" xfId="3880"/>
    <cellStyle name="40% - Accent3 4 4 2 2" xfId="3881"/>
    <cellStyle name="40% - Accent3 4 4 3" xfId="3882"/>
    <cellStyle name="40% - Accent3 4 4 4" xfId="3883"/>
    <cellStyle name="40% - Accent3 4 4 5" xfId="3884"/>
    <cellStyle name="40% - Accent3 4 5" xfId="3885"/>
    <cellStyle name="40% - Accent3 4 5 2" xfId="3886"/>
    <cellStyle name="40% - Accent3 4 5 2 2" xfId="3887"/>
    <cellStyle name="40% - Accent3 4 5 3" xfId="3888"/>
    <cellStyle name="40% - Accent3 4 5 4" xfId="3889"/>
    <cellStyle name="40% - Accent3 4 5 5" xfId="3890"/>
    <cellStyle name="40% - Accent3 4 6" xfId="3891"/>
    <cellStyle name="40% - Accent3 4 6 2" xfId="3892"/>
    <cellStyle name="40% - Accent3 4 7" xfId="3893"/>
    <cellStyle name="40% - Accent3 4 8" xfId="3894"/>
    <cellStyle name="40% - Accent3 4 9" xfId="3895"/>
    <cellStyle name="40% - Accent3 5" xfId="3896"/>
    <cellStyle name="40% - Accent3 5 10" xfId="3897"/>
    <cellStyle name="40% - Accent3 5 2" xfId="3898"/>
    <cellStyle name="40% - Accent3 5 2 2" xfId="3899"/>
    <cellStyle name="40% - Accent3 5 2 2 2" xfId="3900"/>
    <cellStyle name="40% - Accent3 5 2 2 2 2" xfId="3901"/>
    <cellStyle name="40% - Accent3 5 2 2 2 3" xfId="3902"/>
    <cellStyle name="40% - Accent3 5 2 2 3" xfId="3903"/>
    <cellStyle name="40% - Accent3 5 2 2 4" xfId="3904"/>
    <cellStyle name="40% - Accent3 5 2 2 5" xfId="3905"/>
    <cellStyle name="40% - Accent3 5 2 2 6" xfId="3906"/>
    <cellStyle name="40% - Accent3 5 2 3" xfId="3907"/>
    <cellStyle name="40% - Accent3 5 2 3 2" xfId="3908"/>
    <cellStyle name="40% - Accent3 5 2 3 2 2" xfId="3909"/>
    <cellStyle name="40% - Accent3 5 2 3 3" xfId="3910"/>
    <cellStyle name="40% - Accent3 5 2 3 4" xfId="3911"/>
    <cellStyle name="40% - Accent3 5 2 3 5" xfId="3912"/>
    <cellStyle name="40% - Accent3 5 2 4" xfId="3913"/>
    <cellStyle name="40% - Accent3 5 2 4 2" xfId="3914"/>
    <cellStyle name="40% - Accent3 5 2 4 3" xfId="3915"/>
    <cellStyle name="40% - Accent3 5 2 4 4" xfId="3916"/>
    <cellStyle name="40% - Accent3 5 2 5" xfId="3917"/>
    <cellStyle name="40% - Accent3 5 2 5 2" xfId="3918"/>
    <cellStyle name="40% - Accent3 5 2 6" xfId="3919"/>
    <cellStyle name="40% - Accent3 5 2 7" xfId="3920"/>
    <cellStyle name="40% - Accent3 5 2 8" xfId="3921"/>
    <cellStyle name="40% - Accent3 5 2 9" xfId="3922"/>
    <cellStyle name="40% - Accent3 5 3" xfId="3923"/>
    <cellStyle name="40% - Accent3 5 3 2" xfId="3924"/>
    <cellStyle name="40% - Accent3 5 3 2 2" xfId="3925"/>
    <cellStyle name="40% - Accent3 5 3 2 3" xfId="3926"/>
    <cellStyle name="40% - Accent3 5 3 3" xfId="3927"/>
    <cellStyle name="40% - Accent3 5 3 4" xfId="3928"/>
    <cellStyle name="40% - Accent3 5 3 5" xfId="3929"/>
    <cellStyle name="40% - Accent3 5 3 6" xfId="3930"/>
    <cellStyle name="40% - Accent3 5 4" xfId="3931"/>
    <cellStyle name="40% - Accent3 5 4 2" xfId="3932"/>
    <cellStyle name="40% - Accent3 5 4 2 2" xfId="3933"/>
    <cellStyle name="40% - Accent3 5 4 3" xfId="3934"/>
    <cellStyle name="40% - Accent3 5 4 4" xfId="3935"/>
    <cellStyle name="40% - Accent3 5 4 5" xfId="3936"/>
    <cellStyle name="40% - Accent3 5 5" xfId="3937"/>
    <cellStyle name="40% - Accent3 5 5 2" xfId="3938"/>
    <cellStyle name="40% - Accent3 5 5 3" xfId="3939"/>
    <cellStyle name="40% - Accent3 5 5 4" xfId="3940"/>
    <cellStyle name="40% - Accent3 5 6" xfId="3941"/>
    <cellStyle name="40% - Accent3 5 6 2" xfId="3942"/>
    <cellStyle name="40% - Accent3 5 7" xfId="3943"/>
    <cellStyle name="40% - Accent3 5 8" xfId="3944"/>
    <cellStyle name="40% - Accent3 5 9" xfId="3945"/>
    <cellStyle name="40% - Accent3 6" xfId="3946"/>
    <cellStyle name="40% - Accent3 6 10" xfId="3947"/>
    <cellStyle name="40% - Accent3 6 2" xfId="3948"/>
    <cellStyle name="40% - Accent3 6 2 2" xfId="3949"/>
    <cellStyle name="40% - Accent3 6 2 2 2" xfId="3950"/>
    <cellStyle name="40% - Accent3 6 2 2 2 2" xfId="3951"/>
    <cellStyle name="40% - Accent3 6 2 2 2 3" xfId="3952"/>
    <cellStyle name="40% - Accent3 6 2 2 3" xfId="3953"/>
    <cellStyle name="40% - Accent3 6 2 2 4" xfId="3954"/>
    <cellStyle name="40% - Accent3 6 2 2 5" xfId="3955"/>
    <cellStyle name="40% - Accent3 6 2 2 6" xfId="3956"/>
    <cellStyle name="40% - Accent3 6 2 3" xfId="3957"/>
    <cellStyle name="40% - Accent3 6 2 3 2" xfId="3958"/>
    <cellStyle name="40% - Accent3 6 2 3 2 2" xfId="3959"/>
    <cellStyle name="40% - Accent3 6 2 3 3" xfId="3960"/>
    <cellStyle name="40% - Accent3 6 2 3 4" xfId="3961"/>
    <cellStyle name="40% - Accent3 6 2 3 5" xfId="3962"/>
    <cellStyle name="40% - Accent3 6 2 4" xfId="3963"/>
    <cellStyle name="40% - Accent3 6 2 4 2" xfId="3964"/>
    <cellStyle name="40% - Accent3 6 2 4 3" xfId="3965"/>
    <cellStyle name="40% - Accent3 6 2 4 4" xfId="3966"/>
    <cellStyle name="40% - Accent3 6 2 5" xfId="3967"/>
    <cellStyle name="40% - Accent3 6 2 5 2" xfId="3968"/>
    <cellStyle name="40% - Accent3 6 2 6" xfId="3969"/>
    <cellStyle name="40% - Accent3 6 2 7" xfId="3970"/>
    <cellStyle name="40% - Accent3 6 2 8" xfId="3971"/>
    <cellStyle name="40% - Accent3 6 2 9" xfId="3972"/>
    <cellStyle name="40% - Accent3 6 3" xfId="3973"/>
    <cellStyle name="40% - Accent3 6 3 2" xfId="3974"/>
    <cellStyle name="40% - Accent3 6 3 2 2" xfId="3975"/>
    <cellStyle name="40% - Accent3 6 3 2 3" xfId="3976"/>
    <cellStyle name="40% - Accent3 6 3 3" xfId="3977"/>
    <cellStyle name="40% - Accent3 6 3 4" xfId="3978"/>
    <cellStyle name="40% - Accent3 6 3 5" xfId="3979"/>
    <cellStyle name="40% - Accent3 6 3 6" xfId="3980"/>
    <cellStyle name="40% - Accent3 6 4" xfId="3981"/>
    <cellStyle name="40% - Accent3 6 4 2" xfId="3982"/>
    <cellStyle name="40% - Accent3 6 4 2 2" xfId="3983"/>
    <cellStyle name="40% - Accent3 6 4 3" xfId="3984"/>
    <cellStyle name="40% - Accent3 6 4 4" xfId="3985"/>
    <cellStyle name="40% - Accent3 6 4 5" xfId="3986"/>
    <cellStyle name="40% - Accent3 6 5" xfId="3987"/>
    <cellStyle name="40% - Accent3 6 5 2" xfId="3988"/>
    <cellStyle name="40% - Accent3 6 5 3" xfId="3989"/>
    <cellStyle name="40% - Accent3 6 5 4" xfId="3990"/>
    <cellStyle name="40% - Accent3 6 6" xfId="3991"/>
    <cellStyle name="40% - Accent3 6 6 2" xfId="3992"/>
    <cellStyle name="40% - Accent3 6 7" xfId="3993"/>
    <cellStyle name="40% - Accent3 6 8" xfId="3994"/>
    <cellStyle name="40% - Accent3 6 9" xfId="3995"/>
    <cellStyle name="40% - Accent3 7" xfId="3996"/>
    <cellStyle name="40% - Accent3 7 2" xfId="3997"/>
    <cellStyle name="40% - Accent3 7 2 2" xfId="3998"/>
    <cellStyle name="40% - Accent3 7 2 2 2" xfId="3999"/>
    <cellStyle name="40% - Accent3 7 2 2 3" xfId="4000"/>
    <cellStyle name="40% - Accent3 7 2 3" xfId="4001"/>
    <cellStyle name="40% - Accent3 7 2 4" xfId="4002"/>
    <cellStyle name="40% - Accent3 7 2 5" xfId="4003"/>
    <cellStyle name="40% - Accent3 7 2 6" xfId="4004"/>
    <cellStyle name="40% - Accent3 7 3" xfId="4005"/>
    <cellStyle name="40% - Accent3 7 3 2" xfId="4006"/>
    <cellStyle name="40% - Accent3 7 3 2 2" xfId="4007"/>
    <cellStyle name="40% - Accent3 7 3 3" xfId="4008"/>
    <cellStyle name="40% - Accent3 7 3 4" xfId="4009"/>
    <cellStyle name="40% - Accent3 7 3 5" xfId="4010"/>
    <cellStyle name="40% - Accent3 7 4" xfId="4011"/>
    <cellStyle name="40% - Accent3 7 4 2" xfId="4012"/>
    <cellStyle name="40% - Accent3 7 4 3" xfId="4013"/>
    <cellStyle name="40% - Accent3 7 4 4" xfId="4014"/>
    <cellStyle name="40% - Accent3 7 5" xfId="4015"/>
    <cellStyle name="40% - Accent3 7 5 2" xfId="4016"/>
    <cellStyle name="40% - Accent3 7 6" xfId="4017"/>
    <cellStyle name="40% - Accent3 7 7" xfId="4018"/>
    <cellStyle name="40% - Accent3 7 8" xfId="4019"/>
    <cellStyle name="40% - Accent3 7 9" xfId="4020"/>
    <cellStyle name="40% - Accent3 8" xfId="4021"/>
    <cellStyle name="40% - Accent3 8 2" xfId="4022"/>
    <cellStyle name="40% - Accent3 8 2 2" xfId="4023"/>
    <cellStyle name="40% - Accent3 8 2 2 2" xfId="4024"/>
    <cellStyle name="40% - Accent3 8 2 2 3" xfId="4025"/>
    <cellStyle name="40% - Accent3 8 2 3" xfId="4026"/>
    <cellStyle name="40% - Accent3 8 2 4" xfId="4027"/>
    <cellStyle name="40% - Accent3 8 2 5" xfId="4028"/>
    <cellStyle name="40% - Accent3 8 2 6" xfId="4029"/>
    <cellStyle name="40% - Accent3 8 3" xfId="4030"/>
    <cellStyle name="40% - Accent3 8 3 2" xfId="4031"/>
    <cellStyle name="40% - Accent3 8 3 2 2" xfId="4032"/>
    <cellStyle name="40% - Accent3 8 3 3" xfId="4033"/>
    <cellStyle name="40% - Accent3 8 3 4" xfId="4034"/>
    <cellStyle name="40% - Accent3 8 3 5" xfId="4035"/>
    <cellStyle name="40% - Accent3 8 4" xfId="4036"/>
    <cellStyle name="40% - Accent3 8 4 2" xfId="4037"/>
    <cellStyle name="40% - Accent3 8 4 3" xfId="4038"/>
    <cellStyle name="40% - Accent3 8 4 4" xfId="4039"/>
    <cellStyle name="40% - Accent3 8 5" xfId="4040"/>
    <cellStyle name="40% - Accent3 8 5 2" xfId="4041"/>
    <cellStyle name="40% - Accent3 8 6" xfId="4042"/>
    <cellStyle name="40% - Accent3 8 7" xfId="4043"/>
    <cellStyle name="40% - Accent3 8 8" xfId="4044"/>
    <cellStyle name="40% - Accent3 8 9" xfId="4045"/>
    <cellStyle name="40% - Accent3 9" xfId="4046"/>
    <cellStyle name="40% - Accent3 9 2" xfId="4047"/>
    <cellStyle name="40% - Accent3 9 2 2" xfId="4048"/>
    <cellStyle name="40% - Accent3 9 2 2 2" xfId="4049"/>
    <cellStyle name="40% - Accent3 9 2 3" xfId="4050"/>
    <cellStyle name="40% - Accent3 9 2 4" xfId="4051"/>
    <cellStyle name="40% - Accent3 9 2 5" xfId="4052"/>
    <cellStyle name="40% - Accent3 9 3" xfId="4053"/>
    <cellStyle name="40% - Accent3 9 3 2" xfId="4054"/>
    <cellStyle name="40% - Accent3 9 3 3" xfId="4055"/>
    <cellStyle name="40% - Accent3 9 3 4" xfId="4056"/>
    <cellStyle name="40% - Accent3 9 4" xfId="4057"/>
    <cellStyle name="40% - Accent3 9 4 2" xfId="4058"/>
    <cellStyle name="40% - Accent3 9 5" xfId="4059"/>
    <cellStyle name="40% - Accent3 9 6" xfId="4060"/>
    <cellStyle name="40% - Accent3 9 7" xfId="4061"/>
    <cellStyle name="40% - Accent3 9 8" xfId="4062"/>
    <cellStyle name="40% - Accent4 10" xfId="4063"/>
    <cellStyle name="40% - Accent4 10 2" xfId="4064"/>
    <cellStyle name="40% - Accent4 10 2 2" xfId="4065"/>
    <cellStyle name="40% - Accent4 10 2 2 2" xfId="4066"/>
    <cellStyle name="40% - Accent4 10 2 3" xfId="4067"/>
    <cellStyle name="40% - Accent4 10 2 4" xfId="4068"/>
    <cellStyle name="40% - Accent4 10 2 5" xfId="4069"/>
    <cellStyle name="40% - Accent4 10 3" xfId="4070"/>
    <cellStyle name="40% - Accent4 10 3 2" xfId="4071"/>
    <cellStyle name="40% - Accent4 10 3 3" xfId="4072"/>
    <cellStyle name="40% - Accent4 10 3 4" xfId="4073"/>
    <cellStyle name="40% - Accent4 10 4" xfId="4074"/>
    <cellStyle name="40% - Accent4 10 4 2" xfId="4075"/>
    <cellStyle name="40% - Accent4 10 5" xfId="4076"/>
    <cellStyle name="40% - Accent4 10 6" xfId="4077"/>
    <cellStyle name="40% - Accent4 10 7" xfId="4078"/>
    <cellStyle name="40% - Accent4 10 8" xfId="4079"/>
    <cellStyle name="40% - Accent4 11" xfId="4080"/>
    <cellStyle name="40% - Accent4 11 2" xfId="4081"/>
    <cellStyle name="40% - Accent4 11 2 2" xfId="4082"/>
    <cellStyle name="40% - Accent4 11 2 2 2" xfId="4083"/>
    <cellStyle name="40% - Accent4 11 2 3" xfId="4084"/>
    <cellStyle name="40% - Accent4 11 2 4" xfId="4085"/>
    <cellStyle name="40% - Accent4 11 2 5" xfId="4086"/>
    <cellStyle name="40% - Accent4 11 3" xfId="4087"/>
    <cellStyle name="40% - Accent4 11 3 2" xfId="4088"/>
    <cellStyle name="40% - Accent4 11 3 3" xfId="4089"/>
    <cellStyle name="40% - Accent4 11 3 4" xfId="4090"/>
    <cellStyle name="40% - Accent4 11 4" xfId="4091"/>
    <cellStyle name="40% - Accent4 11 4 2" xfId="4092"/>
    <cellStyle name="40% - Accent4 11 5" xfId="4093"/>
    <cellStyle name="40% - Accent4 11 6" xfId="4094"/>
    <cellStyle name="40% - Accent4 11 7" xfId="4095"/>
    <cellStyle name="40% - Accent4 11 8" xfId="4096"/>
    <cellStyle name="40% - Accent4 12" xfId="4097"/>
    <cellStyle name="40% - Accent4 12 2" xfId="4098"/>
    <cellStyle name="40% - Accent4 12 2 2" xfId="4099"/>
    <cellStyle name="40% - Accent4 12 2 2 2" xfId="4100"/>
    <cellStyle name="40% - Accent4 12 2 3" xfId="4101"/>
    <cellStyle name="40% - Accent4 12 2 4" xfId="4102"/>
    <cellStyle name="40% - Accent4 12 2 5" xfId="4103"/>
    <cellStyle name="40% - Accent4 12 3" xfId="4104"/>
    <cellStyle name="40% - Accent4 12 3 2" xfId="4105"/>
    <cellStyle name="40% - Accent4 12 3 3" xfId="4106"/>
    <cellStyle name="40% - Accent4 12 3 4" xfId="4107"/>
    <cellStyle name="40% - Accent4 12 4" xfId="4108"/>
    <cellStyle name="40% - Accent4 12 4 2" xfId="4109"/>
    <cellStyle name="40% - Accent4 12 5" xfId="4110"/>
    <cellStyle name="40% - Accent4 12 6" xfId="4111"/>
    <cellStyle name="40% - Accent4 12 7" xfId="4112"/>
    <cellStyle name="40% - Accent4 12 8" xfId="4113"/>
    <cellStyle name="40% - Accent4 13" xfId="4114"/>
    <cellStyle name="40% - Accent4 13 2" xfId="4115"/>
    <cellStyle name="40% - Accent4 13 2 2" xfId="4116"/>
    <cellStyle name="40% - Accent4 13 2 3" xfId="4117"/>
    <cellStyle name="40% - Accent4 13 2 4" xfId="4118"/>
    <cellStyle name="40% - Accent4 13 3" xfId="4119"/>
    <cellStyle name="40% - Accent4 13 3 2" xfId="4120"/>
    <cellStyle name="40% - Accent4 13 4" xfId="4121"/>
    <cellStyle name="40% - Accent4 13 5" xfId="4122"/>
    <cellStyle name="40% - Accent4 13 6" xfId="4123"/>
    <cellStyle name="40% - Accent4 14" xfId="4124"/>
    <cellStyle name="40% - Accent4 14 2" xfId="4125"/>
    <cellStyle name="40% - Accent4 14 2 2" xfId="4126"/>
    <cellStyle name="40% - Accent4 14 3" xfId="4127"/>
    <cellStyle name="40% - Accent4 14 4" xfId="4128"/>
    <cellStyle name="40% - Accent4 14 5" xfId="4129"/>
    <cellStyle name="40% - Accent4 15" xfId="4130"/>
    <cellStyle name="40% - Accent4 15 2" xfId="4131"/>
    <cellStyle name="40% - Accent4 15 2 2" xfId="4132"/>
    <cellStyle name="40% - Accent4 15 3" xfId="4133"/>
    <cellStyle name="40% - Accent4 15 4" xfId="4134"/>
    <cellStyle name="40% - Accent4 15 5" xfId="4135"/>
    <cellStyle name="40% - Accent4 16" xfId="4136"/>
    <cellStyle name="40% - Accent4 16 2" xfId="4137"/>
    <cellStyle name="40% - Accent4 17" xfId="4138"/>
    <cellStyle name="40% - Accent4 18" xfId="4139"/>
    <cellStyle name="40% - Accent4 19" xfId="4140"/>
    <cellStyle name="40% - Accent4 2" xfId="4141"/>
    <cellStyle name="40% - Accent4 2 10" xfId="4142"/>
    <cellStyle name="40% - Accent4 2 11" xfId="4143"/>
    <cellStyle name="40% - Accent4 2 2" xfId="4144"/>
    <cellStyle name="40% - Accent4 2 2 10" xfId="4145"/>
    <cellStyle name="40% - Accent4 2 2 2" xfId="4146"/>
    <cellStyle name="40% - Accent4 2 2 2 2" xfId="4147"/>
    <cellStyle name="40% - Accent4 2 2 2 2 2" xfId="4148"/>
    <cellStyle name="40% - Accent4 2 2 2 2 2 2" xfId="4149"/>
    <cellStyle name="40% - Accent4 2 2 2 2 2 3" xfId="4150"/>
    <cellStyle name="40% - Accent4 2 2 2 2 3" xfId="4151"/>
    <cellStyle name="40% - Accent4 2 2 2 2 4" xfId="4152"/>
    <cellStyle name="40% - Accent4 2 2 2 2 5" xfId="4153"/>
    <cellStyle name="40% - Accent4 2 2 2 2 6" xfId="4154"/>
    <cellStyle name="40% - Accent4 2 2 2 3" xfId="4155"/>
    <cellStyle name="40% - Accent4 2 2 2 3 2" xfId="4156"/>
    <cellStyle name="40% - Accent4 2 2 2 3 2 2" xfId="4157"/>
    <cellStyle name="40% - Accent4 2 2 2 3 3" xfId="4158"/>
    <cellStyle name="40% - Accent4 2 2 2 3 4" xfId="4159"/>
    <cellStyle name="40% - Accent4 2 2 2 3 5" xfId="4160"/>
    <cellStyle name="40% - Accent4 2 2 2 4" xfId="4161"/>
    <cellStyle name="40% - Accent4 2 2 2 4 2" xfId="4162"/>
    <cellStyle name="40% - Accent4 2 2 2 4 3" xfId="4163"/>
    <cellStyle name="40% - Accent4 2 2 2 4 4" xfId="4164"/>
    <cellStyle name="40% - Accent4 2 2 2 5" xfId="4165"/>
    <cellStyle name="40% - Accent4 2 2 2 5 2" xfId="4166"/>
    <cellStyle name="40% - Accent4 2 2 2 6" xfId="4167"/>
    <cellStyle name="40% - Accent4 2 2 2 7" xfId="4168"/>
    <cellStyle name="40% - Accent4 2 2 2 8" xfId="4169"/>
    <cellStyle name="40% - Accent4 2 2 2 9" xfId="4170"/>
    <cellStyle name="40% - Accent4 2 2 3" xfId="4171"/>
    <cellStyle name="40% - Accent4 2 2 3 2" xfId="4172"/>
    <cellStyle name="40% - Accent4 2 2 3 2 2" xfId="4173"/>
    <cellStyle name="40% - Accent4 2 2 3 2 3" xfId="4174"/>
    <cellStyle name="40% - Accent4 2 2 3 3" xfId="4175"/>
    <cellStyle name="40% - Accent4 2 2 3 4" xfId="4176"/>
    <cellStyle name="40% - Accent4 2 2 3 5" xfId="4177"/>
    <cellStyle name="40% - Accent4 2 2 3 6" xfId="4178"/>
    <cellStyle name="40% - Accent4 2 2 4" xfId="4179"/>
    <cellStyle name="40% - Accent4 2 2 4 2" xfId="4180"/>
    <cellStyle name="40% - Accent4 2 2 4 2 2" xfId="4181"/>
    <cellStyle name="40% - Accent4 2 2 4 3" xfId="4182"/>
    <cellStyle name="40% - Accent4 2 2 4 4" xfId="4183"/>
    <cellStyle name="40% - Accent4 2 2 4 5" xfId="4184"/>
    <cellStyle name="40% - Accent4 2 2 5" xfId="4185"/>
    <cellStyle name="40% - Accent4 2 2 5 2" xfId="4186"/>
    <cellStyle name="40% - Accent4 2 2 5 3" xfId="4187"/>
    <cellStyle name="40% - Accent4 2 2 5 4" xfId="4188"/>
    <cellStyle name="40% - Accent4 2 2 6" xfId="4189"/>
    <cellStyle name="40% - Accent4 2 2 6 2" xfId="4190"/>
    <cellStyle name="40% - Accent4 2 2 7" xfId="4191"/>
    <cellStyle name="40% - Accent4 2 2 8" xfId="4192"/>
    <cellStyle name="40% - Accent4 2 2 9" xfId="4193"/>
    <cellStyle name="40% - Accent4 2 3" xfId="4194"/>
    <cellStyle name="40% - Accent4 2 3 2" xfId="4195"/>
    <cellStyle name="40% - Accent4 2 3 2 2" xfId="4196"/>
    <cellStyle name="40% - Accent4 2 3 2 2 2" xfId="4197"/>
    <cellStyle name="40% - Accent4 2 3 2 2 3" xfId="4198"/>
    <cellStyle name="40% - Accent4 2 3 2 3" xfId="4199"/>
    <cellStyle name="40% - Accent4 2 3 2 4" xfId="4200"/>
    <cellStyle name="40% - Accent4 2 3 2 5" xfId="4201"/>
    <cellStyle name="40% - Accent4 2 3 2 6" xfId="4202"/>
    <cellStyle name="40% - Accent4 2 3 3" xfId="4203"/>
    <cellStyle name="40% - Accent4 2 3 3 2" xfId="4204"/>
    <cellStyle name="40% - Accent4 2 3 3 2 2" xfId="4205"/>
    <cellStyle name="40% - Accent4 2 3 3 3" xfId="4206"/>
    <cellStyle name="40% - Accent4 2 3 3 4" xfId="4207"/>
    <cellStyle name="40% - Accent4 2 3 3 5" xfId="4208"/>
    <cellStyle name="40% - Accent4 2 3 4" xfId="4209"/>
    <cellStyle name="40% - Accent4 2 3 4 2" xfId="4210"/>
    <cellStyle name="40% - Accent4 2 3 4 3" xfId="4211"/>
    <cellStyle name="40% - Accent4 2 3 4 4" xfId="4212"/>
    <cellStyle name="40% - Accent4 2 3 5" xfId="4213"/>
    <cellStyle name="40% - Accent4 2 3 5 2" xfId="4214"/>
    <cellStyle name="40% - Accent4 2 3 6" xfId="4215"/>
    <cellStyle name="40% - Accent4 2 3 7" xfId="4216"/>
    <cellStyle name="40% - Accent4 2 3 8" xfId="4217"/>
    <cellStyle name="40% - Accent4 2 3 9" xfId="4218"/>
    <cellStyle name="40% - Accent4 2 4" xfId="4219"/>
    <cellStyle name="40% - Accent4 2 4 2" xfId="4220"/>
    <cellStyle name="40% - Accent4 2 4 2 2" xfId="4221"/>
    <cellStyle name="40% - Accent4 2 4 2 3" xfId="4222"/>
    <cellStyle name="40% - Accent4 2 4 3" xfId="4223"/>
    <cellStyle name="40% - Accent4 2 4 4" xfId="4224"/>
    <cellStyle name="40% - Accent4 2 4 5" xfId="4225"/>
    <cellStyle name="40% - Accent4 2 4 6" xfId="4226"/>
    <cellStyle name="40% - Accent4 2 5" xfId="4227"/>
    <cellStyle name="40% - Accent4 2 5 2" xfId="4228"/>
    <cellStyle name="40% - Accent4 2 5 2 2" xfId="4229"/>
    <cellStyle name="40% - Accent4 2 5 3" xfId="4230"/>
    <cellStyle name="40% - Accent4 2 5 4" xfId="4231"/>
    <cellStyle name="40% - Accent4 2 5 5" xfId="4232"/>
    <cellStyle name="40% - Accent4 2 6" xfId="4233"/>
    <cellStyle name="40% - Accent4 2 6 2" xfId="4234"/>
    <cellStyle name="40% - Accent4 2 6 2 2" xfId="4235"/>
    <cellStyle name="40% - Accent4 2 6 3" xfId="4236"/>
    <cellStyle name="40% - Accent4 2 6 4" xfId="4237"/>
    <cellStyle name="40% - Accent4 2 6 5" xfId="4238"/>
    <cellStyle name="40% - Accent4 2 7" xfId="4239"/>
    <cellStyle name="40% - Accent4 2 7 2" xfId="4240"/>
    <cellStyle name="40% - Accent4 2 8" xfId="4241"/>
    <cellStyle name="40% - Accent4 2 9" xfId="4242"/>
    <cellStyle name="40% - Accent4 3" xfId="4243"/>
    <cellStyle name="40% - Accent4 3 10" xfId="4244"/>
    <cellStyle name="40% - Accent4 3 2" xfId="4245"/>
    <cellStyle name="40% - Accent4 3 2 2" xfId="4246"/>
    <cellStyle name="40% - Accent4 3 2 2 2" xfId="4247"/>
    <cellStyle name="40% - Accent4 3 2 2 2 2" xfId="4248"/>
    <cellStyle name="40% - Accent4 3 2 2 2 3" xfId="4249"/>
    <cellStyle name="40% - Accent4 3 2 2 3" xfId="4250"/>
    <cellStyle name="40% - Accent4 3 2 2 4" xfId="4251"/>
    <cellStyle name="40% - Accent4 3 2 2 5" xfId="4252"/>
    <cellStyle name="40% - Accent4 3 2 2 6" xfId="4253"/>
    <cellStyle name="40% - Accent4 3 2 3" xfId="4254"/>
    <cellStyle name="40% - Accent4 3 2 3 2" xfId="4255"/>
    <cellStyle name="40% - Accent4 3 2 3 2 2" xfId="4256"/>
    <cellStyle name="40% - Accent4 3 2 3 3" xfId="4257"/>
    <cellStyle name="40% - Accent4 3 2 3 4" xfId="4258"/>
    <cellStyle name="40% - Accent4 3 2 3 5" xfId="4259"/>
    <cellStyle name="40% - Accent4 3 2 4" xfId="4260"/>
    <cellStyle name="40% - Accent4 3 2 4 2" xfId="4261"/>
    <cellStyle name="40% - Accent4 3 2 4 3" xfId="4262"/>
    <cellStyle name="40% - Accent4 3 2 4 4" xfId="4263"/>
    <cellStyle name="40% - Accent4 3 2 5" xfId="4264"/>
    <cellStyle name="40% - Accent4 3 2 5 2" xfId="4265"/>
    <cellStyle name="40% - Accent4 3 2 6" xfId="4266"/>
    <cellStyle name="40% - Accent4 3 2 7" xfId="4267"/>
    <cellStyle name="40% - Accent4 3 2 8" xfId="4268"/>
    <cellStyle name="40% - Accent4 3 2 9" xfId="4269"/>
    <cellStyle name="40% - Accent4 3 3" xfId="4270"/>
    <cellStyle name="40% - Accent4 3 3 2" xfId="4271"/>
    <cellStyle name="40% - Accent4 3 3 2 2" xfId="4272"/>
    <cellStyle name="40% - Accent4 3 3 2 3" xfId="4273"/>
    <cellStyle name="40% - Accent4 3 3 3" xfId="4274"/>
    <cellStyle name="40% - Accent4 3 3 4" xfId="4275"/>
    <cellStyle name="40% - Accent4 3 3 5" xfId="4276"/>
    <cellStyle name="40% - Accent4 3 3 6" xfId="4277"/>
    <cellStyle name="40% - Accent4 3 4" xfId="4278"/>
    <cellStyle name="40% - Accent4 3 4 2" xfId="4279"/>
    <cellStyle name="40% - Accent4 3 4 2 2" xfId="4280"/>
    <cellStyle name="40% - Accent4 3 4 3" xfId="4281"/>
    <cellStyle name="40% - Accent4 3 4 4" xfId="4282"/>
    <cellStyle name="40% - Accent4 3 4 5" xfId="4283"/>
    <cellStyle name="40% - Accent4 3 5" xfId="4284"/>
    <cellStyle name="40% - Accent4 3 5 2" xfId="4285"/>
    <cellStyle name="40% - Accent4 3 5 2 2" xfId="4286"/>
    <cellStyle name="40% - Accent4 3 5 3" xfId="4287"/>
    <cellStyle name="40% - Accent4 3 5 4" xfId="4288"/>
    <cellStyle name="40% - Accent4 3 5 5" xfId="4289"/>
    <cellStyle name="40% - Accent4 3 6" xfId="4290"/>
    <cellStyle name="40% - Accent4 3 6 2" xfId="4291"/>
    <cellStyle name="40% - Accent4 3 7" xfId="4292"/>
    <cellStyle name="40% - Accent4 3 8" xfId="4293"/>
    <cellStyle name="40% - Accent4 3 9" xfId="4294"/>
    <cellStyle name="40% - Accent4 4" xfId="4295"/>
    <cellStyle name="40% - Accent4 4 10" xfId="4296"/>
    <cellStyle name="40% - Accent4 4 2" xfId="4297"/>
    <cellStyle name="40% - Accent4 4 2 2" xfId="4298"/>
    <cellStyle name="40% - Accent4 4 2 2 2" xfId="4299"/>
    <cellStyle name="40% - Accent4 4 2 2 2 2" xfId="4300"/>
    <cellStyle name="40% - Accent4 4 2 2 2 3" xfId="4301"/>
    <cellStyle name="40% - Accent4 4 2 2 3" xfId="4302"/>
    <cellStyle name="40% - Accent4 4 2 2 4" xfId="4303"/>
    <cellStyle name="40% - Accent4 4 2 2 5" xfId="4304"/>
    <cellStyle name="40% - Accent4 4 2 2 6" xfId="4305"/>
    <cellStyle name="40% - Accent4 4 2 3" xfId="4306"/>
    <cellStyle name="40% - Accent4 4 2 3 2" xfId="4307"/>
    <cellStyle name="40% - Accent4 4 2 3 2 2" xfId="4308"/>
    <cellStyle name="40% - Accent4 4 2 3 3" xfId="4309"/>
    <cellStyle name="40% - Accent4 4 2 3 4" xfId="4310"/>
    <cellStyle name="40% - Accent4 4 2 3 5" xfId="4311"/>
    <cellStyle name="40% - Accent4 4 2 4" xfId="4312"/>
    <cellStyle name="40% - Accent4 4 2 4 2" xfId="4313"/>
    <cellStyle name="40% - Accent4 4 2 4 3" xfId="4314"/>
    <cellStyle name="40% - Accent4 4 2 4 4" xfId="4315"/>
    <cellStyle name="40% - Accent4 4 2 5" xfId="4316"/>
    <cellStyle name="40% - Accent4 4 2 5 2" xfId="4317"/>
    <cellStyle name="40% - Accent4 4 2 6" xfId="4318"/>
    <cellStyle name="40% - Accent4 4 2 7" xfId="4319"/>
    <cellStyle name="40% - Accent4 4 2 8" xfId="4320"/>
    <cellStyle name="40% - Accent4 4 2 9" xfId="4321"/>
    <cellStyle name="40% - Accent4 4 3" xfId="4322"/>
    <cellStyle name="40% - Accent4 4 3 2" xfId="4323"/>
    <cellStyle name="40% - Accent4 4 3 2 2" xfId="4324"/>
    <cellStyle name="40% - Accent4 4 3 2 3" xfId="4325"/>
    <cellStyle name="40% - Accent4 4 3 3" xfId="4326"/>
    <cellStyle name="40% - Accent4 4 3 4" xfId="4327"/>
    <cellStyle name="40% - Accent4 4 3 5" xfId="4328"/>
    <cellStyle name="40% - Accent4 4 3 6" xfId="4329"/>
    <cellStyle name="40% - Accent4 4 4" xfId="4330"/>
    <cellStyle name="40% - Accent4 4 4 2" xfId="4331"/>
    <cellStyle name="40% - Accent4 4 4 2 2" xfId="4332"/>
    <cellStyle name="40% - Accent4 4 4 3" xfId="4333"/>
    <cellStyle name="40% - Accent4 4 4 4" xfId="4334"/>
    <cellStyle name="40% - Accent4 4 4 5" xfId="4335"/>
    <cellStyle name="40% - Accent4 4 5" xfId="4336"/>
    <cellStyle name="40% - Accent4 4 5 2" xfId="4337"/>
    <cellStyle name="40% - Accent4 4 5 2 2" xfId="4338"/>
    <cellStyle name="40% - Accent4 4 5 3" xfId="4339"/>
    <cellStyle name="40% - Accent4 4 5 4" xfId="4340"/>
    <cellStyle name="40% - Accent4 4 5 5" xfId="4341"/>
    <cellStyle name="40% - Accent4 4 6" xfId="4342"/>
    <cellStyle name="40% - Accent4 4 6 2" xfId="4343"/>
    <cellStyle name="40% - Accent4 4 7" xfId="4344"/>
    <cellStyle name="40% - Accent4 4 8" xfId="4345"/>
    <cellStyle name="40% - Accent4 4 9" xfId="4346"/>
    <cellStyle name="40% - Accent4 5" xfId="4347"/>
    <cellStyle name="40% - Accent4 5 10" xfId="4348"/>
    <cellStyle name="40% - Accent4 5 2" xfId="4349"/>
    <cellStyle name="40% - Accent4 5 2 2" xfId="4350"/>
    <cellStyle name="40% - Accent4 5 2 2 2" xfId="4351"/>
    <cellStyle name="40% - Accent4 5 2 2 2 2" xfId="4352"/>
    <cellStyle name="40% - Accent4 5 2 2 2 3" xfId="4353"/>
    <cellStyle name="40% - Accent4 5 2 2 3" xfId="4354"/>
    <cellStyle name="40% - Accent4 5 2 2 4" xfId="4355"/>
    <cellStyle name="40% - Accent4 5 2 2 5" xfId="4356"/>
    <cellStyle name="40% - Accent4 5 2 2 6" xfId="4357"/>
    <cellStyle name="40% - Accent4 5 2 3" xfId="4358"/>
    <cellStyle name="40% - Accent4 5 2 3 2" xfId="4359"/>
    <cellStyle name="40% - Accent4 5 2 3 2 2" xfId="4360"/>
    <cellStyle name="40% - Accent4 5 2 3 3" xfId="4361"/>
    <cellStyle name="40% - Accent4 5 2 3 4" xfId="4362"/>
    <cellStyle name="40% - Accent4 5 2 3 5" xfId="4363"/>
    <cellStyle name="40% - Accent4 5 2 4" xfId="4364"/>
    <cellStyle name="40% - Accent4 5 2 4 2" xfId="4365"/>
    <cellStyle name="40% - Accent4 5 2 4 3" xfId="4366"/>
    <cellStyle name="40% - Accent4 5 2 4 4" xfId="4367"/>
    <cellStyle name="40% - Accent4 5 2 5" xfId="4368"/>
    <cellStyle name="40% - Accent4 5 2 5 2" xfId="4369"/>
    <cellStyle name="40% - Accent4 5 2 6" xfId="4370"/>
    <cellStyle name="40% - Accent4 5 2 7" xfId="4371"/>
    <cellStyle name="40% - Accent4 5 2 8" xfId="4372"/>
    <cellStyle name="40% - Accent4 5 2 9" xfId="4373"/>
    <cellStyle name="40% - Accent4 5 3" xfId="4374"/>
    <cellStyle name="40% - Accent4 5 3 2" xfId="4375"/>
    <cellStyle name="40% - Accent4 5 3 2 2" xfId="4376"/>
    <cellStyle name="40% - Accent4 5 3 2 3" xfId="4377"/>
    <cellStyle name="40% - Accent4 5 3 3" xfId="4378"/>
    <cellStyle name="40% - Accent4 5 3 4" xfId="4379"/>
    <cellStyle name="40% - Accent4 5 3 5" xfId="4380"/>
    <cellStyle name="40% - Accent4 5 3 6" xfId="4381"/>
    <cellStyle name="40% - Accent4 5 4" xfId="4382"/>
    <cellStyle name="40% - Accent4 5 4 2" xfId="4383"/>
    <cellStyle name="40% - Accent4 5 4 2 2" xfId="4384"/>
    <cellStyle name="40% - Accent4 5 4 3" xfId="4385"/>
    <cellStyle name="40% - Accent4 5 4 4" xfId="4386"/>
    <cellStyle name="40% - Accent4 5 4 5" xfId="4387"/>
    <cellStyle name="40% - Accent4 5 5" xfId="4388"/>
    <cellStyle name="40% - Accent4 5 5 2" xfId="4389"/>
    <cellStyle name="40% - Accent4 5 5 3" xfId="4390"/>
    <cellStyle name="40% - Accent4 5 5 4" xfId="4391"/>
    <cellStyle name="40% - Accent4 5 6" xfId="4392"/>
    <cellStyle name="40% - Accent4 5 6 2" xfId="4393"/>
    <cellStyle name="40% - Accent4 5 7" xfId="4394"/>
    <cellStyle name="40% - Accent4 5 8" xfId="4395"/>
    <cellStyle name="40% - Accent4 5 9" xfId="4396"/>
    <cellStyle name="40% - Accent4 6" xfId="4397"/>
    <cellStyle name="40% - Accent4 6 10" xfId="4398"/>
    <cellStyle name="40% - Accent4 6 2" xfId="4399"/>
    <cellStyle name="40% - Accent4 6 2 2" xfId="4400"/>
    <cellStyle name="40% - Accent4 6 2 2 2" xfId="4401"/>
    <cellStyle name="40% - Accent4 6 2 2 2 2" xfId="4402"/>
    <cellStyle name="40% - Accent4 6 2 2 2 3" xfId="4403"/>
    <cellStyle name="40% - Accent4 6 2 2 3" xfId="4404"/>
    <cellStyle name="40% - Accent4 6 2 2 4" xfId="4405"/>
    <cellStyle name="40% - Accent4 6 2 2 5" xfId="4406"/>
    <cellStyle name="40% - Accent4 6 2 2 6" xfId="4407"/>
    <cellStyle name="40% - Accent4 6 2 3" xfId="4408"/>
    <cellStyle name="40% - Accent4 6 2 3 2" xfId="4409"/>
    <cellStyle name="40% - Accent4 6 2 3 2 2" xfId="4410"/>
    <cellStyle name="40% - Accent4 6 2 3 3" xfId="4411"/>
    <cellStyle name="40% - Accent4 6 2 3 4" xfId="4412"/>
    <cellStyle name="40% - Accent4 6 2 3 5" xfId="4413"/>
    <cellStyle name="40% - Accent4 6 2 4" xfId="4414"/>
    <cellStyle name="40% - Accent4 6 2 4 2" xfId="4415"/>
    <cellStyle name="40% - Accent4 6 2 4 3" xfId="4416"/>
    <cellStyle name="40% - Accent4 6 2 4 4" xfId="4417"/>
    <cellStyle name="40% - Accent4 6 2 5" xfId="4418"/>
    <cellStyle name="40% - Accent4 6 2 5 2" xfId="4419"/>
    <cellStyle name="40% - Accent4 6 2 6" xfId="4420"/>
    <cellStyle name="40% - Accent4 6 2 7" xfId="4421"/>
    <cellStyle name="40% - Accent4 6 2 8" xfId="4422"/>
    <cellStyle name="40% - Accent4 6 2 9" xfId="4423"/>
    <cellStyle name="40% - Accent4 6 3" xfId="4424"/>
    <cellStyle name="40% - Accent4 6 3 2" xfId="4425"/>
    <cellStyle name="40% - Accent4 6 3 2 2" xfId="4426"/>
    <cellStyle name="40% - Accent4 6 3 2 3" xfId="4427"/>
    <cellStyle name="40% - Accent4 6 3 3" xfId="4428"/>
    <cellStyle name="40% - Accent4 6 3 4" xfId="4429"/>
    <cellStyle name="40% - Accent4 6 3 5" xfId="4430"/>
    <cellStyle name="40% - Accent4 6 3 6" xfId="4431"/>
    <cellStyle name="40% - Accent4 6 4" xfId="4432"/>
    <cellStyle name="40% - Accent4 6 4 2" xfId="4433"/>
    <cellStyle name="40% - Accent4 6 4 2 2" xfId="4434"/>
    <cellStyle name="40% - Accent4 6 4 3" xfId="4435"/>
    <cellStyle name="40% - Accent4 6 4 4" xfId="4436"/>
    <cellStyle name="40% - Accent4 6 4 5" xfId="4437"/>
    <cellStyle name="40% - Accent4 6 5" xfId="4438"/>
    <cellStyle name="40% - Accent4 6 5 2" xfId="4439"/>
    <cellStyle name="40% - Accent4 6 5 3" xfId="4440"/>
    <cellStyle name="40% - Accent4 6 5 4" xfId="4441"/>
    <cellStyle name="40% - Accent4 6 6" xfId="4442"/>
    <cellStyle name="40% - Accent4 6 6 2" xfId="4443"/>
    <cellStyle name="40% - Accent4 6 7" xfId="4444"/>
    <cellStyle name="40% - Accent4 6 8" xfId="4445"/>
    <cellStyle name="40% - Accent4 6 9" xfId="4446"/>
    <cellStyle name="40% - Accent4 7" xfId="4447"/>
    <cellStyle name="40% - Accent4 7 2" xfId="4448"/>
    <cellStyle name="40% - Accent4 7 2 2" xfId="4449"/>
    <cellStyle name="40% - Accent4 7 2 2 2" xfId="4450"/>
    <cellStyle name="40% - Accent4 7 2 2 3" xfId="4451"/>
    <cellStyle name="40% - Accent4 7 2 3" xfId="4452"/>
    <cellStyle name="40% - Accent4 7 2 4" xfId="4453"/>
    <cellStyle name="40% - Accent4 7 2 5" xfId="4454"/>
    <cellStyle name="40% - Accent4 7 2 6" xfId="4455"/>
    <cellStyle name="40% - Accent4 7 3" xfId="4456"/>
    <cellStyle name="40% - Accent4 7 3 2" xfId="4457"/>
    <cellStyle name="40% - Accent4 7 3 2 2" xfId="4458"/>
    <cellStyle name="40% - Accent4 7 3 3" xfId="4459"/>
    <cellStyle name="40% - Accent4 7 3 4" xfId="4460"/>
    <cellStyle name="40% - Accent4 7 3 5" xfId="4461"/>
    <cellStyle name="40% - Accent4 7 4" xfId="4462"/>
    <cellStyle name="40% - Accent4 7 4 2" xfId="4463"/>
    <cellStyle name="40% - Accent4 7 4 3" xfId="4464"/>
    <cellStyle name="40% - Accent4 7 4 4" xfId="4465"/>
    <cellStyle name="40% - Accent4 7 5" xfId="4466"/>
    <cellStyle name="40% - Accent4 7 5 2" xfId="4467"/>
    <cellStyle name="40% - Accent4 7 6" xfId="4468"/>
    <cellStyle name="40% - Accent4 7 7" xfId="4469"/>
    <cellStyle name="40% - Accent4 7 8" xfId="4470"/>
    <cellStyle name="40% - Accent4 7 9" xfId="4471"/>
    <cellStyle name="40% - Accent4 8" xfId="4472"/>
    <cellStyle name="40% - Accent4 8 2" xfId="4473"/>
    <cellStyle name="40% - Accent4 8 2 2" xfId="4474"/>
    <cellStyle name="40% - Accent4 8 2 2 2" xfId="4475"/>
    <cellStyle name="40% - Accent4 8 2 2 3" xfId="4476"/>
    <cellStyle name="40% - Accent4 8 2 3" xfId="4477"/>
    <cellStyle name="40% - Accent4 8 2 4" xfId="4478"/>
    <cellStyle name="40% - Accent4 8 2 5" xfId="4479"/>
    <cellStyle name="40% - Accent4 8 2 6" xfId="4480"/>
    <cellStyle name="40% - Accent4 8 3" xfId="4481"/>
    <cellStyle name="40% - Accent4 8 3 2" xfId="4482"/>
    <cellStyle name="40% - Accent4 8 3 2 2" xfId="4483"/>
    <cellStyle name="40% - Accent4 8 3 3" xfId="4484"/>
    <cellStyle name="40% - Accent4 8 3 4" xfId="4485"/>
    <cellStyle name="40% - Accent4 8 3 5" xfId="4486"/>
    <cellStyle name="40% - Accent4 8 4" xfId="4487"/>
    <cellStyle name="40% - Accent4 8 4 2" xfId="4488"/>
    <cellStyle name="40% - Accent4 8 4 3" xfId="4489"/>
    <cellStyle name="40% - Accent4 8 4 4" xfId="4490"/>
    <cellStyle name="40% - Accent4 8 5" xfId="4491"/>
    <cellStyle name="40% - Accent4 8 5 2" xfId="4492"/>
    <cellStyle name="40% - Accent4 8 6" xfId="4493"/>
    <cellStyle name="40% - Accent4 8 7" xfId="4494"/>
    <cellStyle name="40% - Accent4 8 8" xfId="4495"/>
    <cellStyle name="40% - Accent4 8 9" xfId="4496"/>
    <cellStyle name="40% - Accent4 9" xfId="4497"/>
    <cellStyle name="40% - Accent4 9 2" xfId="4498"/>
    <cellStyle name="40% - Accent4 9 2 2" xfId="4499"/>
    <cellStyle name="40% - Accent4 9 2 2 2" xfId="4500"/>
    <cellStyle name="40% - Accent4 9 2 3" xfId="4501"/>
    <cellStyle name="40% - Accent4 9 2 4" xfId="4502"/>
    <cellStyle name="40% - Accent4 9 2 5" xfId="4503"/>
    <cellStyle name="40% - Accent4 9 3" xfId="4504"/>
    <cellStyle name="40% - Accent4 9 3 2" xfId="4505"/>
    <cellStyle name="40% - Accent4 9 3 3" xfId="4506"/>
    <cellStyle name="40% - Accent4 9 3 4" xfId="4507"/>
    <cellStyle name="40% - Accent4 9 4" xfId="4508"/>
    <cellStyle name="40% - Accent4 9 4 2" xfId="4509"/>
    <cellStyle name="40% - Accent4 9 5" xfId="4510"/>
    <cellStyle name="40% - Accent4 9 6" xfId="4511"/>
    <cellStyle name="40% - Accent4 9 7" xfId="4512"/>
    <cellStyle name="40% - Accent4 9 8" xfId="4513"/>
    <cellStyle name="40% - Accent5 10" xfId="4514"/>
    <cellStyle name="40% - Accent5 10 2" xfId="4515"/>
    <cellStyle name="40% - Accent5 10 2 2" xfId="4516"/>
    <cellStyle name="40% - Accent5 10 2 2 2" xfId="4517"/>
    <cellStyle name="40% - Accent5 10 2 3" xfId="4518"/>
    <cellStyle name="40% - Accent5 10 2 4" xfId="4519"/>
    <cellStyle name="40% - Accent5 10 2 5" xfId="4520"/>
    <cellStyle name="40% - Accent5 10 3" xfId="4521"/>
    <cellStyle name="40% - Accent5 10 3 2" xfId="4522"/>
    <cellStyle name="40% - Accent5 10 3 3" xfId="4523"/>
    <cellStyle name="40% - Accent5 10 3 4" xfId="4524"/>
    <cellStyle name="40% - Accent5 10 4" xfId="4525"/>
    <cellStyle name="40% - Accent5 10 4 2" xfId="4526"/>
    <cellStyle name="40% - Accent5 10 5" xfId="4527"/>
    <cellStyle name="40% - Accent5 10 6" xfId="4528"/>
    <cellStyle name="40% - Accent5 10 7" xfId="4529"/>
    <cellStyle name="40% - Accent5 10 8" xfId="4530"/>
    <cellStyle name="40% - Accent5 11" xfId="4531"/>
    <cellStyle name="40% - Accent5 11 2" xfId="4532"/>
    <cellStyle name="40% - Accent5 11 2 2" xfId="4533"/>
    <cellStyle name="40% - Accent5 11 2 2 2" xfId="4534"/>
    <cellStyle name="40% - Accent5 11 2 3" xfId="4535"/>
    <cellStyle name="40% - Accent5 11 2 4" xfId="4536"/>
    <cellStyle name="40% - Accent5 11 2 5" xfId="4537"/>
    <cellStyle name="40% - Accent5 11 3" xfId="4538"/>
    <cellStyle name="40% - Accent5 11 3 2" xfId="4539"/>
    <cellStyle name="40% - Accent5 11 3 3" xfId="4540"/>
    <cellStyle name="40% - Accent5 11 3 4" xfId="4541"/>
    <cellStyle name="40% - Accent5 11 4" xfId="4542"/>
    <cellStyle name="40% - Accent5 11 4 2" xfId="4543"/>
    <cellStyle name="40% - Accent5 11 5" xfId="4544"/>
    <cellStyle name="40% - Accent5 11 6" xfId="4545"/>
    <cellStyle name="40% - Accent5 11 7" xfId="4546"/>
    <cellStyle name="40% - Accent5 11 8" xfId="4547"/>
    <cellStyle name="40% - Accent5 12" xfId="4548"/>
    <cellStyle name="40% - Accent5 12 2" xfId="4549"/>
    <cellStyle name="40% - Accent5 12 2 2" xfId="4550"/>
    <cellStyle name="40% - Accent5 12 2 2 2" xfId="4551"/>
    <cellStyle name="40% - Accent5 12 2 3" xfId="4552"/>
    <cellStyle name="40% - Accent5 12 2 4" xfId="4553"/>
    <cellStyle name="40% - Accent5 12 2 5" xfId="4554"/>
    <cellStyle name="40% - Accent5 12 3" xfId="4555"/>
    <cellStyle name="40% - Accent5 12 3 2" xfId="4556"/>
    <cellStyle name="40% - Accent5 12 3 3" xfId="4557"/>
    <cellStyle name="40% - Accent5 12 3 4" xfId="4558"/>
    <cellStyle name="40% - Accent5 12 4" xfId="4559"/>
    <cellStyle name="40% - Accent5 12 4 2" xfId="4560"/>
    <cellStyle name="40% - Accent5 12 5" xfId="4561"/>
    <cellStyle name="40% - Accent5 12 6" xfId="4562"/>
    <cellStyle name="40% - Accent5 12 7" xfId="4563"/>
    <cellStyle name="40% - Accent5 12 8" xfId="4564"/>
    <cellStyle name="40% - Accent5 13" xfId="4565"/>
    <cellStyle name="40% - Accent5 13 2" xfId="4566"/>
    <cellStyle name="40% - Accent5 13 2 2" xfId="4567"/>
    <cellStyle name="40% - Accent5 13 2 3" xfId="4568"/>
    <cellStyle name="40% - Accent5 13 2 4" xfId="4569"/>
    <cellStyle name="40% - Accent5 13 3" xfId="4570"/>
    <cellStyle name="40% - Accent5 13 3 2" xfId="4571"/>
    <cellStyle name="40% - Accent5 13 4" xfId="4572"/>
    <cellStyle name="40% - Accent5 13 5" xfId="4573"/>
    <cellStyle name="40% - Accent5 13 6" xfId="4574"/>
    <cellStyle name="40% - Accent5 14" xfId="4575"/>
    <cellStyle name="40% - Accent5 14 2" xfId="4576"/>
    <cellStyle name="40% - Accent5 14 2 2" xfId="4577"/>
    <cellStyle name="40% - Accent5 14 3" xfId="4578"/>
    <cellStyle name="40% - Accent5 14 4" xfId="4579"/>
    <cellStyle name="40% - Accent5 14 5" xfId="4580"/>
    <cellStyle name="40% - Accent5 15" xfId="4581"/>
    <cellStyle name="40% - Accent5 15 2" xfId="4582"/>
    <cellStyle name="40% - Accent5 15 2 2" xfId="4583"/>
    <cellStyle name="40% - Accent5 15 3" xfId="4584"/>
    <cellStyle name="40% - Accent5 15 4" xfId="4585"/>
    <cellStyle name="40% - Accent5 15 5" xfId="4586"/>
    <cellStyle name="40% - Accent5 16" xfId="4587"/>
    <cellStyle name="40% - Accent5 16 2" xfId="4588"/>
    <cellStyle name="40% - Accent5 17" xfId="4589"/>
    <cellStyle name="40% - Accent5 18" xfId="4590"/>
    <cellStyle name="40% - Accent5 19" xfId="4591"/>
    <cellStyle name="40% - Accent5 2" xfId="4592"/>
    <cellStyle name="40% - Accent5 2 10" xfId="4593"/>
    <cellStyle name="40% - Accent5 2 11" xfId="4594"/>
    <cellStyle name="40% - Accent5 2 2" xfId="4595"/>
    <cellStyle name="40% - Accent5 2 2 10" xfId="4596"/>
    <cellStyle name="40% - Accent5 2 2 2" xfId="4597"/>
    <cellStyle name="40% - Accent5 2 2 2 2" xfId="4598"/>
    <cellStyle name="40% - Accent5 2 2 2 2 2" xfId="4599"/>
    <cellStyle name="40% - Accent5 2 2 2 2 2 2" xfId="4600"/>
    <cellStyle name="40% - Accent5 2 2 2 2 2 3" xfId="4601"/>
    <cellStyle name="40% - Accent5 2 2 2 2 3" xfId="4602"/>
    <cellStyle name="40% - Accent5 2 2 2 2 4" xfId="4603"/>
    <cellStyle name="40% - Accent5 2 2 2 2 5" xfId="4604"/>
    <cellStyle name="40% - Accent5 2 2 2 2 6" xfId="4605"/>
    <cellStyle name="40% - Accent5 2 2 2 3" xfId="4606"/>
    <cellStyle name="40% - Accent5 2 2 2 3 2" xfId="4607"/>
    <cellStyle name="40% - Accent5 2 2 2 3 2 2" xfId="4608"/>
    <cellStyle name="40% - Accent5 2 2 2 3 3" xfId="4609"/>
    <cellStyle name="40% - Accent5 2 2 2 3 4" xfId="4610"/>
    <cellStyle name="40% - Accent5 2 2 2 3 5" xfId="4611"/>
    <cellStyle name="40% - Accent5 2 2 2 4" xfId="4612"/>
    <cellStyle name="40% - Accent5 2 2 2 4 2" xfId="4613"/>
    <cellStyle name="40% - Accent5 2 2 2 4 3" xfId="4614"/>
    <cellStyle name="40% - Accent5 2 2 2 4 4" xfId="4615"/>
    <cellStyle name="40% - Accent5 2 2 2 5" xfId="4616"/>
    <cellStyle name="40% - Accent5 2 2 2 5 2" xfId="4617"/>
    <cellStyle name="40% - Accent5 2 2 2 6" xfId="4618"/>
    <cellStyle name="40% - Accent5 2 2 2 7" xfId="4619"/>
    <cellStyle name="40% - Accent5 2 2 2 8" xfId="4620"/>
    <cellStyle name="40% - Accent5 2 2 2 9" xfId="4621"/>
    <cellStyle name="40% - Accent5 2 2 3" xfId="4622"/>
    <cellStyle name="40% - Accent5 2 2 3 2" xfId="4623"/>
    <cellStyle name="40% - Accent5 2 2 3 2 2" xfId="4624"/>
    <cellStyle name="40% - Accent5 2 2 3 2 3" xfId="4625"/>
    <cellStyle name="40% - Accent5 2 2 3 3" xfId="4626"/>
    <cellStyle name="40% - Accent5 2 2 3 4" xfId="4627"/>
    <cellStyle name="40% - Accent5 2 2 3 5" xfId="4628"/>
    <cellStyle name="40% - Accent5 2 2 3 6" xfId="4629"/>
    <cellStyle name="40% - Accent5 2 2 4" xfId="4630"/>
    <cellStyle name="40% - Accent5 2 2 4 2" xfId="4631"/>
    <cellStyle name="40% - Accent5 2 2 4 2 2" xfId="4632"/>
    <cellStyle name="40% - Accent5 2 2 4 3" xfId="4633"/>
    <cellStyle name="40% - Accent5 2 2 4 4" xfId="4634"/>
    <cellStyle name="40% - Accent5 2 2 4 5" xfId="4635"/>
    <cellStyle name="40% - Accent5 2 2 5" xfId="4636"/>
    <cellStyle name="40% - Accent5 2 2 5 2" xfId="4637"/>
    <cellStyle name="40% - Accent5 2 2 5 3" xfId="4638"/>
    <cellStyle name="40% - Accent5 2 2 5 4" xfId="4639"/>
    <cellStyle name="40% - Accent5 2 2 6" xfId="4640"/>
    <cellStyle name="40% - Accent5 2 2 6 2" xfId="4641"/>
    <cellStyle name="40% - Accent5 2 2 7" xfId="4642"/>
    <cellStyle name="40% - Accent5 2 2 8" xfId="4643"/>
    <cellStyle name="40% - Accent5 2 2 9" xfId="4644"/>
    <cellStyle name="40% - Accent5 2 3" xfId="4645"/>
    <cellStyle name="40% - Accent5 2 3 2" xfId="4646"/>
    <cellStyle name="40% - Accent5 2 3 2 2" xfId="4647"/>
    <cellStyle name="40% - Accent5 2 3 2 2 2" xfId="4648"/>
    <cellStyle name="40% - Accent5 2 3 2 2 3" xfId="4649"/>
    <cellStyle name="40% - Accent5 2 3 2 3" xfId="4650"/>
    <cellStyle name="40% - Accent5 2 3 2 4" xfId="4651"/>
    <cellStyle name="40% - Accent5 2 3 2 5" xfId="4652"/>
    <cellStyle name="40% - Accent5 2 3 2 6" xfId="4653"/>
    <cellStyle name="40% - Accent5 2 3 3" xfId="4654"/>
    <cellStyle name="40% - Accent5 2 3 3 2" xfId="4655"/>
    <cellStyle name="40% - Accent5 2 3 3 2 2" xfId="4656"/>
    <cellStyle name="40% - Accent5 2 3 3 3" xfId="4657"/>
    <cellStyle name="40% - Accent5 2 3 3 4" xfId="4658"/>
    <cellStyle name="40% - Accent5 2 3 3 5" xfId="4659"/>
    <cellStyle name="40% - Accent5 2 3 4" xfId="4660"/>
    <cellStyle name="40% - Accent5 2 3 4 2" xfId="4661"/>
    <cellStyle name="40% - Accent5 2 3 4 3" xfId="4662"/>
    <cellStyle name="40% - Accent5 2 3 4 4" xfId="4663"/>
    <cellStyle name="40% - Accent5 2 3 5" xfId="4664"/>
    <cellStyle name="40% - Accent5 2 3 5 2" xfId="4665"/>
    <cellStyle name="40% - Accent5 2 3 6" xfId="4666"/>
    <cellStyle name="40% - Accent5 2 3 7" xfId="4667"/>
    <cellStyle name="40% - Accent5 2 3 8" xfId="4668"/>
    <cellStyle name="40% - Accent5 2 3 9" xfId="4669"/>
    <cellStyle name="40% - Accent5 2 4" xfId="4670"/>
    <cellStyle name="40% - Accent5 2 4 2" xfId="4671"/>
    <cellStyle name="40% - Accent5 2 4 2 2" xfId="4672"/>
    <cellStyle name="40% - Accent5 2 4 2 3" xfId="4673"/>
    <cellStyle name="40% - Accent5 2 4 3" xfId="4674"/>
    <cellStyle name="40% - Accent5 2 4 4" xfId="4675"/>
    <cellStyle name="40% - Accent5 2 4 5" xfId="4676"/>
    <cellStyle name="40% - Accent5 2 4 6" xfId="4677"/>
    <cellStyle name="40% - Accent5 2 5" xfId="4678"/>
    <cellStyle name="40% - Accent5 2 5 2" xfId="4679"/>
    <cellStyle name="40% - Accent5 2 5 2 2" xfId="4680"/>
    <cellStyle name="40% - Accent5 2 5 3" xfId="4681"/>
    <cellStyle name="40% - Accent5 2 5 4" xfId="4682"/>
    <cellStyle name="40% - Accent5 2 5 5" xfId="4683"/>
    <cellStyle name="40% - Accent5 2 6" xfId="4684"/>
    <cellStyle name="40% - Accent5 2 6 2" xfId="4685"/>
    <cellStyle name="40% - Accent5 2 6 2 2" xfId="4686"/>
    <cellStyle name="40% - Accent5 2 6 3" xfId="4687"/>
    <cellStyle name="40% - Accent5 2 6 4" xfId="4688"/>
    <cellStyle name="40% - Accent5 2 6 5" xfId="4689"/>
    <cellStyle name="40% - Accent5 2 7" xfId="4690"/>
    <cellStyle name="40% - Accent5 2 7 2" xfId="4691"/>
    <cellStyle name="40% - Accent5 2 8" xfId="4692"/>
    <cellStyle name="40% - Accent5 2 9" xfId="4693"/>
    <cellStyle name="40% - Accent5 3" xfId="4694"/>
    <cellStyle name="40% - Accent5 3 10" xfId="4695"/>
    <cellStyle name="40% - Accent5 3 2" xfId="4696"/>
    <cellStyle name="40% - Accent5 3 2 2" xfId="4697"/>
    <cellStyle name="40% - Accent5 3 2 2 2" xfId="4698"/>
    <cellStyle name="40% - Accent5 3 2 2 2 2" xfId="4699"/>
    <cellStyle name="40% - Accent5 3 2 2 2 3" xfId="4700"/>
    <cellStyle name="40% - Accent5 3 2 2 3" xfId="4701"/>
    <cellStyle name="40% - Accent5 3 2 2 4" xfId="4702"/>
    <cellStyle name="40% - Accent5 3 2 2 5" xfId="4703"/>
    <cellStyle name="40% - Accent5 3 2 2 6" xfId="4704"/>
    <cellStyle name="40% - Accent5 3 2 3" xfId="4705"/>
    <cellStyle name="40% - Accent5 3 2 3 2" xfId="4706"/>
    <cellStyle name="40% - Accent5 3 2 3 2 2" xfId="4707"/>
    <cellStyle name="40% - Accent5 3 2 3 3" xfId="4708"/>
    <cellStyle name="40% - Accent5 3 2 3 4" xfId="4709"/>
    <cellStyle name="40% - Accent5 3 2 3 5" xfId="4710"/>
    <cellStyle name="40% - Accent5 3 2 4" xfId="4711"/>
    <cellStyle name="40% - Accent5 3 2 4 2" xfId="4712"/>
    <cellStyle name="40% - Accent5 3 2 4 3" xfId="4713"/>
    <cellStyle name="40% - Accent5 3 2 4 4" xfId="4714"/>
    <cellStyle name="40% - Accent5 3 2 5" xfId="4715"/>
    <cellStyle name="40% - Accent5 3 2 5 2" xfId="4716"/>
    <cellStyle name="40% - Accent5 3 2 6" xfId="4717"/>
    <cellStyle name="40% - Accent5 3 2 7" xfId="4718"/>
    <cellStyle name="40% - Accent5 3 2 8" xfId="4719"/>
    <cellStyle name="40% - Accent5 3 2 9" xfId="4720"/>
    <cellStyle name="40% - Accent5 3 3" xfId="4721"/>
    <cellStyle name="40% - Accent5 3 3 2" xfId="4722"/>
    <cellStyle name="40% - Accent5 3 3 2 2" xfId="4723"/>
    <cellStyle name="40% - Accent5 3 3 2 3" xfId="4724"/>
    <cellStyle name="40% - Accent5 3 3 3" xfId="4725"/>
    <cellStyle name="40% - Accent5 3 3 4" xfId="4726"/>
    <cellStyle name="40% - Accent5 3 3 5" xfId="4727"/>
    <cellStyle name="40% - Accent5 3 3 6" xfId="4728"/>
    <cellStyle name="40% - Accent5 3 4" xfId="4729"/>
    <cellStyle name="40% - Accent5 3 4 2" xfId="4730"/>
    <cellStyle name="40% - Accent5 3 4 2 2" xfId="4731"/>
    <cellStyle name="40% - Accent5 3 4 3" xfId="4732"/>
    <cellStyle name="40% - Accent5 3 4 4" xfId="4733"/>
    <cellStyle name="40% - Accent5 3 4 5" xfId="4734"/>
    <cellStyle name="40% - Accent5 3 5" xfId="4735"/>
    <cellStyle name="40% - Accent5 3 5 2" xfId="4736"/>
    <cellStyle name="40% - Accent5 3 5 2 2" xfId="4737"/>
    <cellStyle name="40% - Accent5 3 5 3" xfId="4738"/>
    <cellStyle name="40% - Accent5 3 5 4" xfId="4739"/>
    <cellStyle name="40% - Accent5 3 5 5" xfId="4740"/>
    <cellStyle name="40% - Accent5 3 6" xfId="4741"/>
    <cellStyle name="40% - Accent5 3 6 2" xfId="4742"/>
    <cellStyle name="40% - Accent5 3 7" xfId="4743"/>
    <cellStyle name="40% - Accent5 3 8" xfId="4744"/>
    <cellStyle name="40% - Accent5 3 9" xfId="4745"/>
    <cellStyle name="40% - Accent5 4" xfId="4746"/>
    <cellStyle name="40% - Accent5 4 10" xfId="4747"/>
    <cellStyle name="40% - Accent5 4 2" xfId="4748"/>
    <cellStyle name="40% - Accent5 4 2 2" xfId="4749"/>
    <cellStyle name="40% - Accent5 4 2 2 2" xfId="4750"/>
    <cellStyle name="40% - Accent5 4 2 2 2 2" xfId="4751"/>
    <cellStyle name="40% - Accent5 4 2 2 2 3" xfId="4752"/>
    <cellStyle name="40% - Accent5 4 2 2 3" xfId="4753"/>
    <cellStyle name="40% - Accent5 4 2 2 4" xfId="4754"/>
    <cellStyle name="40% - Accent5 4 2 2 5" xfId="4755"/>
    <cellStyle name="40% - Accent5 4 2 2 6" xfId="4756"/>
    <cellStyle name="40% - Accent5 4 2 3" xfId="4757"/>
    <cellStyle name="40% - Accent5 4 2 3 2" xfId="4758"/>
    <cellStyle name="40% - Accent5 4 2 3 2 2" xfId="4759"/>
    <cellStyle name="40% - Accent5 4 2 3 3" xfId="4760"/>
    <cellStyle name="40% - Accent5 4 2 3 4" xfId="4761"/>
    <cellStyle name="40% - Accent5 4 2 3 5" xfId="4762"/>
    <cellStyle name="40% - Accent5 4 2 4" xfId="4763"/>
    <cellStyle name="40% - Accent5 4 2 4 2" xfId="4764"/>
    <cellStyle name="40% - Accent5 4 2 4 3" xfId="4765"/>
    <cellStyle name="40% - Accent5 4 2 4 4" xfId="4766"/>
    <cellStyle name="40% - Accent5 4 2 5" xfId="4767"/>
    <cellStyle name="40% - Accent5 4 2 5 2" xfId="4768"/>
    <cellStyle name="40% - Accent5 4 2 6" xfId="4769"/>
    <cellStyle name="40% - Accent5 4 2 7" xfId="4770"/>
    <cellStyle name="40% - Accent5 4 2 8" xfId="4771"/>
    <cellStyle name="40% - Accent5 4 2 9" xfId="4772"/>
    <cellStyle name="40% - Accent5 4 3" xfId="4773"/>
    <cellStyle name="40% - Accent5 4 3 2" xfId="4774"/>
    <cellStyle name="40% - Accent5 4 3 2 2" xfId="4775"/>
    <cellStyle name="40% - Accent5 4 3 2 3" xfId="4776"/>
    <cellStyle name="40% - Accent5 4 3 3" xfId="4777"/>
    <cellStyle name="40% - Accent5 4 3 4" xfId="4778"/>
    <cellStyle name="40% - Accent5 4 3 5" xfId="4779"/>
    <cellStyle name="40% - Accent5 4 3 6" xfId="4780"/>
    <cellStyle name="40% - Accent5 4 4" xfId="4781"/>
    <cellStyle name="40% - Accent5 4 4 2" xfId="4782"/>
    <cellStyle name="40% - Accent5 4 4 2 2" xfId="4783"/>
    <cellStyle name="40% - Accent5 4 4 3" xfId="4784"/>
    <cellStyle name="40% - Accent5 4 4 4" xfId="4785"/>
    <cellStyle name="40% - Accent5 4 4 5" xfId="4786"/>
    <cellStyle name="40% - Accent5 4 5" xfId="4787"/>
    <cellStyle name="40% - Accent5 4 5 2" xfId="4788"/>
    <cellStyle name="40% - Accent5 4 5 2 2" xfId="4789"/>
    <cellStyle name="40% - Accent5 4 5 3" xfId="4790"/>
    <cellStyle name="40% - Accent5 4 5 4" xfId="4791"/>
    <cellStyle name="40% - Accent5 4 5 5" xfId="4792"/>
    <cellStyle name="40% - Accent5 4 6" xfId="4793"/>
    <cellStyle name="40% - Accent5 4 6 2" xfId="4794"/>
    <cellStyle name="40% - Accent5 4 7" xfId="4795"/>
    <cellStyle name="40% - Accent5 4 8" xfId="4796"/>
    <cellStyle name="40% - Accent5 4 9" xfId="4797"/>
    <cellStyle name="40% - Accent5 5" xfId="4798"/>
    <cellStyle name="40% - Accent5 5 10" xfId="4799"/>
    <cellStyle name="40% - Accent5 5 2" xfId="4800"/>
    <cellStyle name="40% - Accent5 5 2 2" xfId="4801"/>
    <cellStyle name="40% - Accent5 5 2 2 2" xfId="4802"/>
    <cellStyle name="40% - Accent5 5 2 2 2 2" xfId="4803"/>
    <cellStyle name="40% - Accent5 5 2 2 2 3" xfId="4804"/>
    <cellStyle name="40% - Accent5 5 2 2 3" xfId="4805"/>
    <cellStyle name="40% - Accent5 5 2 2 4" xfId="4806"/>
    <cellStyle name="40% - Accent5 5 2 2 5" xfId="4807"/>
    <cellStyle name="40% - Accent5 5 2 2 6" xfId="4808"/>
    <cellStyle name="40% - Accent5 5 2 3" xfId="4809"/>
    <cellStyle name="40% - Accent5 5 2 3 2" xfId="4810"/>
    <cellStyle name="40% - Accent5 5 2 3 2 2" xfId="4811"/>
    <cellStyle name="40% - Accent5 5 2 3 3" xfId="4812"/>
    <cellStyle name="40% - Accent5 5 2 3 4" xfId="4813"/>
    <cellStyle name="40% - Accent5 5 2 3 5" xfId="4814"/>
    <cellStyle name="40% - Accent5 5 2 4" xfId="4815"/>
    <cellStyle name="40% - Accent5 5 2 4 2" xfId="4816"/>
    <cellStyle name="40% - Accent5 5 2 4 3" xfId="4817"/>
    <cellStyle name="40% - Accent5 5 2 4 4" xfId="4818"/>
    <cellStyle name="40% - Accent5 5 2 5" xfId="4819"/>
    <cellStyle name="40% - Accent5 5 2 5 2" xfId="4820"/>
    <cellStyle name="40% - Accent5 5 2 6" xfId="4821"/>
    <cellStyle name="40% - Accent5 5 2 7" xfId="4822"/>
    <cellStyle name="40% - Accent5 5 2 8" xfId="4823"/>
    <cellStyle name="40% - Accent5 5 2 9" xfId="4824"/>
    <cellStyle name="40% - Accent5 5 3" xfId="4825"/>
    <cellStyle name="40% - Accent5 5 3 2" xfId="4826"/>
    <cellStyle name="40% - Accent5 5 3 2 2" xfId="4827"/>
    <cellStyle name="40% - Accent5 5 3 2 3" xfId="4828"/>
    <cellStyle name="40% - Accent5 5 3 3" xfId="4829"/>
    <cellStyle name="40% - Accent5 5 3 4" xfId="4830"/>
    <cellStyle name="40% - Accent5 5 3 5" xfId="4831"/>
    <cellStyle name="40% - Accent5 5 3 6" xfId="4832"/>
    <cellStyle name="40% - Accent5 5 4" xfId="4833"/>
    <cellStyle name="40% - Accent5 5 4 2" xfId="4834"/>
    <cellStyle name="40% - Accent5 5 4 2 2" xfId="4835"/>
    <cellStyle name="40% - Accent5 5 4 3" xfId="4836"/>
    <cellStyle name="40% - Accent5 5 4 4" xfId="4837"/>
    <cellStyle name="40% - Accent5 5 4 5" xfId="4838"/>
    <cellStyle name="40% - Accent5 5 5" xfId="4839"/>
    <cellStyle name="40% - Accent5 5 5 2" xfId="4840"/>
    <cellStyle name="40% - Accent5 5 5 3" xfId="4841"/>
    <cellStyle name="40% - Accent5 5 5 4" xfId="4842"/>
    <cellStyle name="40% - Accent5 5 6" xfId="4843"/>
    <cellStyle name="40% - Accent5 5 6 2" xfId="4844"/>
    <cellStyle name="40% - Accent5 5 7" xfId="4845"/>
    <cellStyle name="40% - Accent5 5 8" xfId="4846"/>
    <cellStyle name="40% - Accent5 5 9" xfId="4847"/>
    <cellStyle name="40% - Accent5 6" xfId="4848"/>
    <cellStyle name="40% - Accent5 6 10" xfId="4849"/>
    <cellStyle name="40% - Accent5 6 2" xfId="4850"/>
    <cellStyle name="40% - Accent5 6 2 2" xfId="4851"/>
    <cellStyle name="40% - Accent5 6 2 2 2" xfId="4852"/>
    <cellStyle name="40% - Accent5 6 2 2 2 2" xfId="4853"/>
    <cellStyle name="40% - Accent5 6 2 2 2 3" xfId="4854"/>
    <cellStyle name="40% - Accent5 6 2 2 3" xfId="4855"/>
    <cellStyle name="40% - Accent5 6 2 2 4" xfId="4856"/>
    <cellStyle name="40% - Accent5 6 2 2 5" xfId="4857"/>
    <cellStyle name="40% - Accent5 6 2 2 6" xfId="4858"/>
    <cellStyle name="40% - Accent5 6 2 3" xfId="4859"/>
    <cellStyle name="40% - Accent5 6 2 3 2" xfId="4860"/>
    <cellStyle name="40% - Accent5 6 2 3 2 2" xfId="4861"/>
    <cellStyle name="40% - Accent5 6 2 3 3" xfId="4862"/>
    <cellStyle name="40% - Accent5 6 2 3 4" xfId="4863"/>
    <cellStyle name="40% - Accent5 6 2 3 5" xfId="4864"/>
    <cellStyle name="40% - Accent5 6 2 4" xfId="4865"/>
    <cellStyle name="40% - Accent5 6 2 4 2" xfId="4866"/>
    <cellStyle name="40% - Accent5 6 2 4 3" xfId="4867"/>
    <cellStyle name="40% - Accent5 6 2 4 4" xfId="4868"/>
    <cellStyle name="40% - Accent5 6 2 5" xfId="4869"/>
    <cellStyle name="40% - Accent5 6 2 5 2" xfId="4870"/>
    <cellStyle name="40% - Accent5 6 2 6" xfId="4871"/>
    <cellStyle name="40% - Accent5 6 2 7" xfId="4872"/>
    <cellStyle name="40% - Accent5 6 2 8" xfId="4873"/>
    <cellStyle name="40% - Accent5 6 2 9" xfId="4874"/>
    <cellStyle name="40% - Accent5 6 3" xfId="4875"/>
    <cellStyle name="40% - Accent5 6 3 2" xfId="4876"/>
    <cellStyle name="40% - Accent5 6 3 2 2" xfId="4877"/>
    <cellStyle name="40% - Accent5 6 3 2 3" xfId="4878"/>
    <cellStyle name="40% - Accent5 6 3 3" xfId="4879"/>
    <cellStyle name="40% - Accent5 6 3 4" xfId="4880"/>
    <cellStyle name="40% - Accent5 6 3 5" xfId="4881"/>
    <cellStyle name="40% - Accent5 6 3 6" xfId="4882"/>
    <cellStyle name="40% - Accent5 6 4" xfId="4883"/>
    <cellStyle name="40% - Accent5 6 4 2" xfId="4884"/>
    <cellStyle name="40% - Accent5 6 4 2 2" xfId="4885"/>
    <cellStyle name="40% - Accent5 6 4 3" xfId="4886"/>
    <cellStyle name="40% - Accent5 6 4 4" xfId="4887"/>
    <cellStyle name="40% - Accent5 6 4 5" xfId="4888"/>
    <cellStyle name="40% - Accent5 6 5" xfId="4889"/>
    <cellStyle name="40% - Accent5 6 5 2" xfId="4890"/>
    <cellStyle name="40% - Accent5 6 5 3" xfId="4891"/>
    <cellStyle name="40% - Accent5 6 5 4" xfId="4892"/>
    <cellStyle name="40% - Accent5 6 6" xfId="4893"/>
    <cellStyle name="40% - Accent5 6 6 2" xfId="4894"/>
    <cellStyle name="40% - Accent5 6 7" xfId="4895"/>
    <cellStyle name="40% - Accent5 6 8" xfId="4896"/>
    <cellStyle name="40% - Accent5 6 9" xfId="4897"/>
    <cellStyle name="40% - Accent5 7" xfId="4898"/>
    <cellStyle name="40% - Accent5 7 2" xfId="4899"/>
    <cellStyle name="40% - Accent5 7 2 2" xfId="4900"/>
    <cellStyle name="40% - Accent5 7 2 2 2" xfId="4901"/>
    <cellStyle name="40% - Accent5 7 2 2 3" xfId="4902"/>
    <cellStyle name="40% - Accent5 7 2 3" xfId="4903"/>
    <cellStyle name="40% - Accent5 7 2 4" xfId="4904"/>
    <cellStyle name="40% - Accent5 7 2 5" xfId="4905"/>
    <cellStyle name="40% - Accent5 7 2 6" xfId="4906"/>
    <cellStyle name="40% - Accent5 7 3" xfId="4907"/>
    <cellStyle name="40% - Accent5 7 3 2" xfId="4908"/>
    <cellStyle name="40% - Accent5 7 3 2 2" xfId="4909"/>
    <cellStyle name="40% - Accent5 7 3 3" xfId="4910"/>
    <cellStyle name="40% - Accent5 7 3 4" xfId="4911"/>
    <cellStyle name="40% - Accent5 7 3 5" xfId="4912"/>
    <cellStyle name="40% - Accent5 7 4" xfId="4913"/>
    <cellStyle name="40% - Accent5 7 4 2" xfId="4914"/>
    <cellStyle name="40% - Accent5 7 4 3" xfId="4915"/>
    <cellStyle name="40% - Accent5 7 4 4" xfId="4916"/>
    <cellStyle name="40% - Accent5 7 5" xfId="4917"/>
    <cellStyle name="40% - Accent5 7 5 2" xfId="4918"/>
    <cellStyle name="40% - Accent5 7 6" xfId="4919"/>
    <cellStyle name="40% - Accent5 7 7" xfId="4920"/>
    <cellStyle name="40% - Accent5 7 8" xfId="4921"/>
    <cellStyle name="40% - Accent5 7 9" xfId="4922"/>
    <cellStyle name="40% - Accent5 8" xfId="4923"/>
    <cellStyle name="40% - Accent5 8 2" xfId="4924"/>
    <cellStyle name="40% - Accent5 8 2 2" xfId="4925"/>
    <cellStyle name="40% - Accent5 8 2 2 2" xfId="4926"/>
    <cellStyle name="40% - Accent5 8 2 2 3" xfId="4927"/>
    <cellStyle name="40% - Accent5 8 2 3" xfId="4928"/>
    <cellStyle name="40% - Accent5 8 2 4" xfId="4929"/>
    <cellStyle name="40% - Accent5 8 2 5" xfId="4930"/>
    <cellStyle name="40% - Accent5 8 2 6" xfId="4931"/>
    <cellStyle name="40% - Accent5 8 3" xfId="4932"/>
    <cellStyle name="40% - Accent5 8 3 2" xfId="4933"/>
    <cellStyle name="40% - Accent5 8 3 2 2" xfId="4934"/>
    <cellStyle name="40% - Accent5 8 3 3" xfId="4935"/>
    <cellStyle name="40% - Accent5 8 3 4" xfId="4936"/>
    <cellStyle name="40% - Accent5 8 3 5" xfId="4937"/>
    <cellStyle name="40% - Accent5 8 4" xfId="4938"/>
    <cellStyle name="40% - Accent5 8 4 2" xfId="4939"/>
    <cellStyle name="40% - Accent5 8 4 3" xfId="4940"/>
    <cellStyle name="40% - Accent5 8 4 4" xfId="4941"/>
    <cellStyle name="40% - Accent5 8 5" xfId="4942"/>
    <cellStyle name="40% - Accent5 8 5 2" xfId="4943"/>
    <cellStyle name="40% - Accent5 8 6" xfId="4944"/>
    <cellStyle name="40% - Accent5 8 7" xfId="4945"/>
    <cellStyle name="40% - Accent5 8 8" xfId="4946"/>
    <cellStyle name="40% - Accent5 8 9" xfId="4947"/>
    <cellStyle name="40% - Accent5 9" xfId="4948"/>
    <cellStyle name="40% - Accent5 9 2" xfId="4949"/>
    <cellStyle name="40% - Accent5 9 2 2" xfId="4950"/>
    <cellStyle name="40% - Accent5 9 2 2 2" xfId="4951"/>
    <cellStyle name="40% - Accent5 9 2 3" xfId="4952"/>
    <cellStyle name="40% - Accent5 9 2 4" xfId="4953"/>
    <cellStyle name="40% - Accent5 9 2 5" xfId="4954"/>
    <cellStyle name="40% - Accent5 9 3" xfId="4955"/>
    <cellStyle name="40% - Accent5 9 3 2" xfId="4956"/>
    <cellStyle name="40% - Accent5 9 3 3" xfId="4957"/>
    <cellStyle name="40% - Accent5 9 3 4" xfId="4958"/>
    <cellStyle name="40% - Accent5 9 4" xfId="4959"/>
    <cellStyle name="40% - Accent5 9 4 2" xfId="4960"/>
    <cellStyle name="40% - Accent5 9 5" xfId="4961"/>
    <cellStyle name="40% - Accent5 9 6" xfId="4962"/>
    <cellStyle name="40% - Accent5 9 7" xfId="4963"/>
    <cellStyle name="40% - Accent5 9 8" xfId="4964"/>
    <cellStyle name="40% - Accent6 10" xfId="4965"/>
    <cellStyle name="40% - Accent6 10 2" xfId="4966"/>
    <cellStyle name="40% - Accent6 10 2 2" xfId="4967"/>
    <cellStyle name="40% - Accent6 10 2 2 2" xfId="4968"/>
    <cellStyle name="40% - Accent6 10 2 3" xfId="4969"/>
    <cellStyle name="40% - Accent6 10 2 4" xfId="4970"/>
    <cellStyle name="40% - Accent6 10 2 5" xfId="4971"/>
    <cellStyle name="40% - Accent6 10 3" xfId="4972"/>
    <cellStyle name="40% - Accent6 10 3 2" xfId="4973"/>
    <cellStyle name="40% - Accent6 10 3 3" xfId="4974"/>
    <cellStyle name="40% - Accent6 10 3 4" xfId="4975"/>
    <cellStyle name="40% - Accent6 10 4" xfId="4976"/>
    <cellStyle name="40% - Accent6 10 4 2" xfId="4977"/>
    <cellStyle name="40% - Accent6 10 5" xfId="4978"/>
    <cellStyle name="40% - Accent6 10 6" xfId="4979"/>
    <cellStyle name="40% - Accent6 10 7" xfId="4980"/>
    <cellStyle name="40% - Accent6 10 8" xfId="4981"/>
    <cellStyle name="40% - Accent6 11" xfId="4982"/>
    <cellStyle name="40% - Accent6 11 2" xfId="4983"/>
    <cellStyle name="40% - Accent6 11 2 2" xfId="4984"/>
    <cellStyle name="40% - Accent6 11 2 2 2" xfId="4985"/>
    <cellStyle name="40% - Accent6 11 2 3" xfId="4986"/>
    <cellStyle name="40% - Accent6 11 2 4" xfId="4987"/>
    <cellStyle name="40% - Accent6 11 2 5" xfId="4988"/>
    <cellStyle name="40% - Accent6 11 3" xfId="4989"/>
    <cellStyle name="40% - Accent6 11 3 2" xfId="4990"/>
    <cellStyle name="40% - Accent6 11 3 3" xfId="4991"/>
    <cellStyle name="40% - Accent6 11 3 4" xfId="4992"/>
    <cellStyle name="40% - Accent6 11 4" xfId="4993"/>
    <cellStyle name="40% - Accent6 11 4 2" xfId="4994"/>
    <cellStyle name="40% - Accent6 11 5" xfId="4995"/>
    <cellStyle name="40% - Accent6 11 6" xfId="4996"/>
    <cellStyle name="40% - Accent6 11 7" xfId="4997"/>
    <cellStyle name="40% - Accent6 11 8" xfId="4998"/>
    <cellStyle name="40% - Accent6 12" xfId="4999"/>
    <cellStyle name="40% - Accent6 12 2" xfId="5000"/>
    <cellStyle name="40% - Accent6 12 2 2" xfId="5001"/>
    <cellStyle name="40% - Accent6 12 2 2 2" xfId="5002"/>
    <cellStyle name="40% - Accent6 12 2 3" xfId="5003"/>
    <cellStyle name="40% - Accent6 12 2 4" xfId="5004"/>
    <cellStyle name="40% - Accent6 12 2 5" xfId="5005"/>
    <cellStyle name="40% - Accent6 12 3" xfId="5006"/>
    <cellStyle name="40% - Accent6 12 3 2" xfId="5007"/>
    <cellStyle name="40% - Accent6 12 3 3" xfId="5008"/>
    <cellStyle name="40% - Accent6 12 3 4" xfId="5009"/>
    <cellStyle name="40% - Accent6 12 4" xfId="5010"/>
    <cellStyle name="40% - Accent6 12 4 2" xfId="5011"/>
    <cellStyle name="40% - Accent6 12 5" xfId="5012"/>
    <cellStyle name="40% - Accent6 12 6" xfId="5013"/>
    <cellStyle name="40% - Accent6 12 7" xfId="5014"/>
    <cellStyle name="40% - Accent6 12 8" xfId="5015"/>
    <cellStyle name="40% - Accent6 13" xfId="5016"/>
    <cellStyle name="40% - Accent6 13 2" xfId="5017"/>
    <cellStyle name="40% - Accent6 13 2 2" xfId="5018"/>
    <cellStyle name="40% - Accent6 13 2 3" xfId="5019"/>
    <cellStyle name="40% - Accent6 13 2 4" xfId="5020"/>
    <cellStyle name="40% - Accent6 13 3" xfId="5021"/>
    <cellStyle name="40% - Accent6 13 3 2" xfId="5022"/>
    <cellStyle name="40% - Accent6 13 4" xfId="5023"/>
    <cellStyle name="40% - Accent6 13 5" xfId="5024"/>
    <cellStyle name="40% - Accent6 13 6" xfId="5025"/>
    <cellStyle name="40% - Accent6 14" xfId="5026"/>
    <cellStyle name="40% - Accent6 14 2" xfId="5027"/>
    <cellStyle name="40% - Accent6 14 2 2" xfId="5028"/>
    <cellStyle name="40% - Accent6 14 3" xfId="5029"/>
    <cellStyle name="40% - Accent6 14 4" xfId="5030"/>
    <cellStyle name="40% - Accent6 14 5" xfId="5031"/>
    <cellStyle name="40% - Accent6 15" xfId="5032"/>
    <cellStyle name="40% - Accent6 15 2" xfId="5033"/>
    <cellStyle name="40% - Accent6 15 2 2" xfId="5034"/>
    <cellStyle name="40% - Accent6 15 3" xfId="5035"/>
    <cellStyle name="40% - Accent6 15 4" xfId="5036"/>
    <cellStyle name="40% - Accent6 15 5" xfId="5037"/>
    <cellStyle name="40% - Accent6 16" xfId="5038"/>
    <cellStyle name="40% - Accent6 16 2" xfId="5039"/>
    <cellStyle name="40% - Accent6 17" xfId="5040"/>
    <cellStyle name="40% - Accent6 18" xfId="5041"/>
    <cellStyle name="40% - Accent6 19" xfId="5042"/>
    <cellStyle name="40% - Accent6 2" xfId="5043"/>
    <cellStyle name="40% - Accent6 2 10" xfId="5044"/>
    <cellStyle name="40% - Accent6 2 11" xfId="5045"/>
    <cellStyle name="40% - Accent6 2 2" xfId="5046"/>
    <cellStyle name="40% - Accent6 2 2 10" xfId="5047"/>
    <cellStyle name="40% - Accent6 2 2 2" xfId="5048"/>
    <cellStyle name="40% - Accent6 2 2 2 2" xfId="5049"/>
    <cellStyle name="40% - Accent6 2 2 2 2 2" xfId="5050"/>
    <cellStyle name="40% - Accent6 2 2 2 2 2 2" xfId="5051"/>
    <cellStyle name="40% - Accent6 2 2 2 2 2 3" xfId="5052"/>
    <cellStyle name="40% - Accent6 2 2 2 2 3" xfId="5053"/>
    <cellStyle name="40% - Accent6 2 2 2 2 4" xfId="5054"/>
    <cellStyle name="40% - Accent6 2 2 2 2 5" xfId="5055"/>
    <cellStyle name="40% - Accent6 2 2 2 2 6" xfId="5056"/>
    <cellStyle name="40% - Accent6 2 2 2 3" xfId="5057"/>
    <cellStyle name="40% - Accent6 2 2 2 3 2" xfId="5058"/>
    <cellStyle name="40% - Accent6 2 2 2 3 2 2" xfId="5059"/>
    <cellStyle name="40% - Accent6 2 2 2 3 3" xfId="5060"/>
    <cellStyle name="40% - Accent6 2 2 2 3 4" xfId="5061"/>
    <cellStyle name="40% - Accent6 2 2 2 3 5" xfId="5062"/>
    <cellStyle name="40% - Accent6 2 2 2 4" xfId="5063"/>
    <cellStyle name="40% - Accent6 2 2 2 4 2" xfId="5064"/>
    <cellStyle name="40% - Accent6 2 2 2 4 3" xfId="5065"/>
    <cellStyle name="40% - Accent6 2 2 2 4 4" xfId="5066"/>
    <cellStyle name="40% - Accent6 2 2 2 5" xfId="5067"/>
    <cellStyle name="40% - Accent6 2 2 2 5 2" xfId="5068"/>
    <cellStyle name="40% - Accent6 2 2 2 6" xfId="5069"/>
    <cellStyle name="40% - Accent6 2 2 2 7" xfId="5070"/>
    <cellStyle name="40% - Accent6 2 2 2 8" xfId="5071"/>
    <cellStyle name="40% - Accent6 2 2 2 9" xfId="5072"/>
    <cellStyle name="40% - Accent6 2 2 3" xfId="5073"/>
    <cellStyle name="40% - Accent6 2 2 3 2" xfId="5074"/>
    <cellStyle name="40% - Accent6 2 2 3 2 2" xfId="5075"/>
    <cellStyle name="40% - Accent6 2 2 3 2 3" xfId="5076"/>
    <cellStyle name="40% - Accent6 2 2 3 3" xfId="5077"/>
    <cellStyle name="40% - Accent6 2 2 3 4" xfId="5078"/>
    <cellStyle name="40% - Accent6 2 2 3 5" xfId="5079"/>
    <cellStyle name="40% - Accent6 2 2 3 6" xfId="5080"/>
    <cellStyle name="40% - Accent6 2 2 4" xfId="5081"/>
    <cellStyle name="40% - Accent6 2 2 4 2" xfId="5082"/>
    <cellStyle name="40% - Accent6 2 2 4 2 2" xfId="5083"/>
    <cellStyle name="40% - Accent6 2 2 4 3" xfId="5084"/>
    <cellStyle name="40% - Accent6 2 2 4 4" xfId="5085"/>
    <cellStyle name="40% - Accent6 2 2 4 5" xfId="5086"/>
    <cellStyle name="40% - Accent6 2 2 5" xfId="5087"/>
    <cellStyle name="40% - Accent6 2 2 5 2" xfId="5088"/>
    <cellStyle name="40% - Accent6 2 2 5 3" xfId="5089"/>
    <cellStyle name="40% - Accent6 2 2 5 4" xfId="5090"/>
    <cellStyle name="40% - Accent6 2 2 6" xfId="5091"/>
    <cellStyle name="40% - Accent6 2 2 6 2" xfId="5092"/>
    <cellStyle name="40% - Accent6 2 2 7" xfId="5093"/>
    <cellStyle name="40% - Accent6 2 2 8" xfId="5094"/>
    <cellStyle name="40% - Accent6 2 2 9" xfId="5095"/>
    <cellStyle name="40% - Accent6 2 3" xfId="5096"/>
    <cellStyle name="40% - Accent6 2 3 2" xfId="5097"/>
    <cellStyle name="40% - Accent6 2 3 2 2" xfId="5098"/>
    <cellStyle name="40% - Accent6 2 3 2 2 2" xfId="5099"/>
    <cellStyle name="40% - Accent6 2 3 2 2 3" xfId="5100"/>
    <cellStyle name="40% - Accent6 2 3 2 3" xfId="5101"/>
    <cellStyle name="40% - Accent6 2 3 2 4" xfId="5102"/>
    <cellStyle name="40% - Accent6 2 3 2 5" xfId="5103"/>
    <cellStyle name="40% - Accent6 2 3 2 6" xfId="5104"/>
    <cellStyle name="40% - Accent6 2 3 3" xfId="5105"/>
    <cellStyle name="40% - Accent6 2 3 3 2" xfId="5106"/>
    <cellStyle name="40% - Accent6 2 3 3 2 2" xfId="5107"/>
    <cellStyle name="40% - Accent6 2 3 3 3" xfId="5108"/>
    <cellStyle name="40% - Accent6 2 3 3 4" xfId="5109"/>
    <cellStyle name="40% - Accent6 2 3 3 5" xfId="5110"/>
    <cellStyle name="40% - Accent6 2 3 4" xfId="5111"/>
    <cellStyle name="40% - Accent6 2 3 4 2" xfId="5112"/>
    <cellStyle name="40% - Accent6 2 3 4 3" xfId="5113"/>
    <cellStyle name="40% - Accent6 2 3 4 4" xfId="5114"/>
    <cellStyle name="40% - Accent6 2 3 5" xfId="5115"/>
    <cellStyle name="40% - Accent6 2 3 5 2" xfId="5116"/>
    <cellStyle name="40% - Accent6 2 3 6" xfId="5117"/>
    <cellStyle name="40% - Accent6 2 3 7" xfId="5118"/>
    <cellStyle name="40% - Accent6 2 3 8" xfId="5119"/>
    <cellStyle name="40% - Accent6 2 3 9" xfId="5120"/>
    <cellStyle name="40% - Accent6 2 4" xfId="5121"/>
    <cellStyle name="40% - Accent6 2 4 2" xfId="5122"/>
    <cellStyle name="40% - Accent6 2 4 2 2" xfId="5123"/>
    <cellStyle name="40% - Accent6 2 4 2 3" xfId="5124"/>
    <cellStyle name="40% - Accent6 2 4 3" xfId="5125"/>
    <cellStyle name="40% - Accent6 2 4 4" xfId="5126"/>
    <cellStyle name="40% - Accent6 2 4 5" xfId="5127"/>
    <cellStyle name="40% - Accent6 2 4 6" xfId="5128"/>
    <cellStyle name="40% - Accent6 2 5" xfId="5129"/>
    <cellStyle name="40% - Accent6 2 5 2" xfId="5130"/>
    <cellStyle name="40% - Accent6 2 5 2 2" xfId="5131"/>
    <cellStyle name="40% - Accent6 2 5 3" xfId="5132"/>
    <cellStyle name="40% - Accent6 2 5 4" xfId="5133"/>
    <cellStyle name="40% - Accent6 2 5 5" xfId="5134"/>
    <cellStyle name="40% - Accent6 2 6" xfId="5135"/>
    <cellStyle name="40% - Accent6 2 6 2" xfId="5136"/>
    <cellStyle name="40% - Accent6 2 6 2 2" xfId="5137"/>
    <cellStyle name="40% - Accent6 2 6 3" xfId="5138"/>
    <cellStyle name="40% - Accent6 2 6 4" xfId="5139"/>
    <cellStyle name="40% - Accent6 2 6 5" xfId="5140"/>
    <cellStyle name="40% - Accent6 2 7" xfId="5141"/>
    <cellStyle name="40% - Accent6 2 7 2" xfId="5142"/>
    <cellStyle name="40% - Accent6 2 8" xfId="5143"/>
    <cellStyle name="40% - Accent6 2 9" xfId="5144"/>
    <cellStyle name="40% - Accent6 3" xfId="5145"/>
    <cellStyle name="40% - Accent6 3 10" xfId="5146"/>
    <cellStyle name="40% - Accent6 3 2" xfId="5147"/>
    <cellStyle name="40% - Accent6 3 2 2" xfId="5148"/>
    <cellStyle name="40% - Accent6 3 2 2 2" xfId="5149"/>
    <cellStyle name="40% - Accent6 3 2 2 2 2" xfId="5150"/>
    <cellStyle name="40% - Accent6 3 2 2 2 3" xfId="5151"/>
    <cellStyle name="40% - Accent6 3 2 2 3" xfId="5152"/>
    <cellStyle name="40% - Accent6 3 2 2 4" xfId="5153"/>
    <cellStyle name="40% - Accent6 3 2 2 5" xfId="5154"/>
    <cellStyle name="40% - Accent6 3 2 2 6" xfId="5155"/>
    <cellStyle name="40% - Accent6 3 2 3" xfId="5156"/>
    <cellStyle name="40% - Accent6 3 2 3 2" xfId="5157"/>
    <cellStyle name="40% - Accent6 3 2 3 2 2" xfId="5158"/>
    <cellStyle name="40% - Accent6 3 2 3 3" xfId="5159"/>
    <cellStyle name="40% - Accent6 3 2 3 4" xfId="5160"/>
    <cellStyle name="40% - Accent6 3 2 3 5" xfId="5161"/>
    <cellStyle name="40% - Accent6 3 2 4" xfId="5162"/>
    <cellStyle name="40% - Accent6 3 2 4 2" xfId="5163"/>
    <cellStyle name="40% - Accent6 3 2 4 3" xfId="5164"/>
    <cellStyle name="40% - Accent6 3 2 4 4" xfId="5165"/>
    <cellStyle name="40% - Accent6 3 2 5" xfId="5166"/>
    <cellStyle name="40% - Accent6 3 2 5 2" xfId="5167"/>
    <cellStyle name="40% - Accent6 3 2 6" xfId="5168"/>
    <cellStyle name="40% - Accent6 3 2 7" xfId="5169"/>
    <cellStyle name="40% - Accent6 3 2 8" xfId="5170"/>
    <cellStyle name="40% - Accent6 3 2 9" xfId="5171"/>
    <cellStyle name="40% - Accent6 3 3" xfId="5172"/>
    <cellStyle name="40% - Accent6 3 3 2" xfId="5173"/>
    <cellStyle name="40% - Accent6 3 3 2 2" xfId="5174"/>
    <cellStyle name="40% - Accent6 3 3 2 3" xfId="5175"/>
    <cellStyle name="40% - Accent6 3 3 3" xfId="5176"/>
    <cellStyle name="40% - Accent6 3 3 4" xfId="5177"/>
    <cellStyle name="40% - Accent6 3 3 5" xfId="5178"/>
    <cellStyle name="40% - Accent6 3 3 6" xfId="5179"/>
    <cellStyle name="40% - Accent6 3 4" xfId="5180"/>
    <cellStyle name="40% - Accent6 3 4 2" xfId="5181"/>
    <cellStyle name="40% - Accent6 3 4 2 2" xfId="5182"/>
    <cellStyle name="40% - Accent6 3 4 3" xfId="5183"/>
    <cellStyle name="40% - Accent6 3 4 4" xfId="5184"/>
    <cellStyle name="40% - Accent6 3 4 5" xfId="5185"/>
    <cellStyle name="40% - Accent6 3 5" xfId="5186"/>
    <cellStyle name="40% - Accent6 3 5 2" xfId="5187"/>
    <cellStyle name="40% - Accent6 3 5 2 2" xfId="5188"/>
    <cellStyle name="40% - Accent6 3 5 3" xfId="5189"/>
    <cellStyle name="40% - Accent6 3 5 4" xfId="5190"/>
    <cellStyle name="40% - Accent6 3 5 5" xfId="5191"/>
    <cellStyle name="40% - Accent6 3 6" xfId="5192"/>
    <cellStyle name="40% - Accent6 3 6 2" xfId="5193"/>
    <cellStyle name="40% - Accent6 3 7" xfId="5194"/>
    <cellStyle name="40% - Accent6 3 8" xfId="5195"/>
    <cellStyle name="40% - Accent6 3 9" xfId="5196"/>
    <cellStyle name="40% - Accent6 4" xfId="5197"/>
    <cellStyle name="40% - Accent6 4 10" xfId="5198"/>
    <cellStyle name="40% - Accent6 4 2" xfId="5199"/>
    <cellStyle name="40% - Accent6 4 2 2" xfId="5200"/>
    <cellStyle name="40% - Accent6 4 2 2 2" xfId="5201"/>
    <cellStyle name="40% - Accent6 4 2 2 2 2" xfId="5202"/>
    <cellStyle name="40% - Accent6 4 2 2 2 3" xfId="5203"/>
    <cellStyle name="40% - Accent6 4 2 2 3" xfId="5204"/>
    <cellStyle name="40% - Accent6 4 2 2 4" xfId="5205"/>
    <cellStyle name="40% - Accent6 4 2 2 5" xfId="5206"/>
    <cellStyle name="40% - Accent6 4 2 2 6" xfId="5207"/>
    <cellStyle name="40% - Accent6 4 2 3" xfId="5208"/>
    <cellStyle name="40% - Accent6 4 2 3 2" xfId="5209"/>
    <cellStyle name="40% - Accent6 4 2 3 2 2" xfId="5210"/>
    <cellStyle name="40% - Accent6 4 2 3 3" xfId="5211"/>
    <cellStyle name="40% - Accent6 4 2 3 4" xfId="5212"/>
    <cellStyle name="40% - Accent6 4 2 3 5" xfId="5213"/>
    <cellStyle name="40% - Accent6 4 2 4" xfId="5214"/>
    <cellStyle name="40% - Accent6 4 2 4 2" xfId="5215"/>
    <cellStyle name="40% - Accent6 4 2 4 3" xfId="5216"/>
    <cellStyle name="40% - Accent6 4 2 4 4" xfId="5217"/>
    <cellStyle name="40% - Accent6 4 2 5" xfId="5218"/>
    <cellStyle name="40% - Accent6 4 2 5 2" xfId="5219"/>
    <cellStyle name="40% - Accent6 4 2 6" xfId="5220"/>
    <cellStyle name="40% - Accent6 4 2 7" xfId="5221"/>
    <cellStyle name="40% - Accent6 4 2 8" xfId="5222"/>
    <cellStyle name="40% - Accent6 4 2 9" xfId="5223"/>
    <cellStyle name="40% - Accent6 4 3" xfId="5224"/>
    <cellStyle name="40% - Accent6 4 3 2" xfId="5225"/>
    <cellStyle name="40% - Accent6 4 3 2 2" xfId="5226"/>
    <cellStyle name="40% - Accent6 4 3 2 3" xfId="5227"/>
    <cellStyle name="40% - Accent6 4 3 3" xfId="5228"/>
    <cellStyle name="40% - Accent6 4 3 4" xfId="5229"/>
    <cellStyle name="40% - Accent6 4 3 5" xfId="5230"/>
    <cellStyle name="40% - Accent6 4 3 6" xfId="5231"/>
    <cellStyle name="40% - Accent6 4 4" xfId="5232"/>
    <cellStyle name="40% - Accent6 4 4 2" xfId="5233"/>
    <cellStyle name="40% - Accent6 4 4 2 2" xfId="5234"/>
    <cellStyle name="40% - Accent6 4 4 3" xfId="5235"/>
    <cellStyle name="40% - Accent6 4 4 4" xfId="5236"/>
    <cellStyle name="40% - Accent6 4 4 5" xfId="5237"/>
    <cellStyle name="40% - Accent6 4 5" xfId="5238"/>
    <cellStyle name="40% - Accent6 4 5 2" xfId="5239"/>
    <cellStyle name="40% - Accent6 4 5 2 2" xfId="5240"/>
    <cellStyle name="40% - Accent6 4 5 3" xfId="5241"/>
    <cellStyle name="40% - Accent6 4 5 4" xfId="5242"/>
    <cellStyle name="40% - Accent6 4 5 5" xfId="5243"/>
    <cellStyle name="40% - Accent6 4 6" xfId="5244"/>
    <cellStyle name="40% - Accent6 4 6 2" xfId="5245"/>
    <cellStyle name="40% - Accent6 4 7" xfId="5246"/>
    <cellStyle name="40% - Accent6 4 8" xfId="5247"/>
    <cellStyle name="40% - Accent6 4 9" xfId="5248"/>
    <cellStyle name="40% - Accent6 5" xfId="5249"/>
    <cellStyle name="40% - Accent6 5 10" xfId="5250"/>
    <cellStyle name="40% - Accent6 5 2" xfId="5251"/>
    <cellStyle name="40% - Accent6 5 2 2" xfId="5252"/>
    <cellStyle name="40% - Accent6 5 2 2 2" xfId="5253"/>
    <cellStyle name="40% - Accent6 5 2 2 2 2" xfId="5254"/>
    <cellStyle name="40% - Accent6 5 2 2 2 3" xfId="5255"/>
    <cellStyle name="40% - Accent6 5 2 2 3" xfId="5256"/>
    <cellStyle name="40% - Accent6 5 2 2 4" xfId="5257"/>
    <cellStyle name="40% - Accent6 5 2 2 5" xfId="5258"/>
    <cellStyle name="40% - Accent6 5 2 2 6" xfId="5259"/>
    <cellStyle name="40% - Accent6 5 2 3" xfId="5260"/>
    <cellStyle name="40% - Accent6 5 2 3 2" xfId="5261"/>
    <cellStyle name="40% - Accent6 5 2 3 2 2" xfId="5262"/>
    <cellStyle name="40% - Accent6 5 2 3 3" xfId="5263"/>
    <cellStyle name="40% - Accent6 5 2 3 4" xfId="5264"/>
    <cellStyle name="40% - Accent6 5 2 3 5" xfId="5265"/>
    <cellStyle name="40% - Accent6 5 2 4" xfId="5266"/>
    <cellStyle name="40% - Accent6 5 2 4 2" xfId="5267"/>
    <cellStyle name="40% - Accent6 5 2 4 3" xfId="5268"/>
    <cellStyle name="40% - Accent6 5 2 4 4" xfId="5269"/>
    <cellStyle name="40% - Accent6 5 2 5" xfId="5270"/>
    <cellStyle name="40% - Accent6 5 2 5 2" xfId="5271"/>
    <cellStyle name="40% - Accent6 5 2 6" xfId="5272"/>
    <cellStyle name="40% - Accent6 5 2 7" xfId="5273"/>
    <cellStyle name="40% - Accent6 5 2 8" xfId="5274"/>
    <cellStyle name="40% - Accent6 5 2 9" xfId="5275"/>
    <cellStyle name="40% - Accent6 5 3" xfId="5276"/>
    <cellStyle name="40% - Accent6 5 3 2" xfId="5277"/>
    <cellStyle name="40% - Accent6 5 3 2 2" xfId="5278"/>
    <cellStyle name="40% - Accent6 5 3 2 3" xfId="5279"/>
    <cellStyle name="40% - Accent6 5 3 3" xfId="5280"/>
    <cellStyle name="40% - Accent6 5 3 4" xfId="5281"/>
    <cellStyle name="40% - Accent6 5 3 5" xfId="5282"/>
    <cellStyle name="40% - Accent6 5 3 6" xfId="5283"/>
    <cellStyle name="40% - Accent6 5 4" xfId="5284"/>
    <cellStyle name="40% - Accent6 5 4 2" xfId="5285"/>
    <cellStyle name="40% - Accent6 5 4 2 2" xfId="5286"/>
    <cellStyle name="40% - Accent6 5 4 3" xfId="5287"/>
    <cellStyle name="40% - Accent6 5 4 4" xfId="5288"/>
    <cellStyle name="40% - Accent6 5 4 5" xfId="5289"/>
    <cellStyle name="40% - Accent6 5 5" xfId="5290"/>
    <cellStyle name="40% - Accent6 5 5 2" xfId="5291"/>
    <cellStyle name="40% - Accent6 5 5 3" xfId="5292"/>
    <cellStyle name="40% - Accent6 5 5 4" xfId="5293"/>
    <cellStyle name="40% - Accent6 5 6" xfId="5294"/>
    <cellStyle name="40% - Accent6 5 6 2" xfId="5295"/>
    <cellStyle name="40% - Accent6 5 7" xfId="5296"/>
    <cellStyle name="40% - Accent6 5 8" xfId="5297"/>
    <cellStyle name="40% - Accent6 5 9" xfId="5298"/>
    <cellStyle name="40% - Accent6 6" xfId="5299"/>
    <cellStyle name="40% - Accent6 6 10" xfId="5300"/>
    <cellStyle name="40% - Accent6 6 2" xfId="5301"/>
    <cellStyle name="40% - Accent6 6 2 2" xfId="5302"/>
    <cellStyle name="40% - Accent6 6 2 2 2" xfId="5303"/>
    <cellStyle name="40% - Accent6 6 2 2 2 2" xfId="5304"/>
    <cellStyle name="40% - Accent6 6 2 2 2 3" xfId="5305"/>
    <cellStyle name="40% - Accent6 6 2 2 3" xfId="5306"/>
    <cellStyle name="40% - Accent6 6 2 2 4" xfId="5307"/>
    <cellStyle name="40% - Accent6 6 2 2 5" xfId="5308"/>
    <cellStyle name="40% - Accent6 6 2 2 6" xfId="5309"/>
    <cellStyle name="40% - Accent6 6 2 3" xfId="5310"/>
    <cellStyle name="40% - Accent6 6 2 3 2" xfId="5311"/>
    <cellStyle name="40% - Accent6 6 2 3 2 2" xfId="5312"/>
    <cellStyle name="40% - Accent6 6 2 3 3" xfId="5313"/>
    <cellStyle name="40% - Accent6 6 2 3 4" xfId="5314"/>
    <cellStyle name="40% - Accent6 6 2 3 5" xfId="5315"/>
    <cellStyle name="40% - Accent6 6 2 4" xfId="5316"/>
    <cellStyle name="40% - Accent6 6 2 4 2" xfId="5317"/>
    <cellStyle name="40% - Accent6 6 2 4 3" xfId="5318"/>
    <cellStyle name="40% - Accent6 6 2 4 4" xfId="5319"/>
    <cellStyle name="40% - Accent6 6 2 5" xfId="5320"/>
    <cellStyle name="40% - Accent6 6 2 5 2" xfId="5321"/>
    <cellStyle name="40% - Accent6 6 2 6" xfId="5322"/>
    <cellStyle name="40% - Accent6 6 2 7" xfId="5323"/>
    <cellStyle name="40% - Accent6 6 2 8" xfId="5324"/>
    <cellStyle name="40% - Accent6 6 2 9" xfId="5325"/>
    <cellStyle name="40% - Accent6 6 3" xfId="5326"/>
    <cellStyle name="40% - Accent6 6 3 2" xfId="5327"/>
    <cellStyle name="40% - Accent6 6 3 2 2" xfId="5328"/>
    <cellStyle name="40% - Accent6 6 3 2 3" xfId="5329"/>
    <cellStyle name="40% - Accent6 6 3 3" xfId="5330"/>
    <cellStyle name="40% - Accent6 6 3 4" xfId="5331"/>
    <cellStyle name="40% - Accent6 6 3 5" xfId="5332"/>
    <cellStyle name="40% - Accent6 6 3 6" xfId="5333"/>
    <cellStyle name="40% - Accent6 6 4" xfId="5334"/>
    <cellStyle name="40% - Accent6 6 4 2" xfId="5335"/>
    <cellStyle name="40% - Accent6 6 4 2 2" xfId="5336"/>
    <cellStyle name="40% - Accent6 6 4 3" xfId="5337"/>
    <cellStyle name="40% - Accent6 6 4 4" xfId="5338"/>
    <cellStyle name="40% - Accent6 6 4 5" xfId="5339"/>
    <cellStyle name="40% - Accent6 6 5" xfId="5340"/>
    <cellStyle name="40% - Accent6 6 5 2" xfId="5341"/>
    <cellStyle name="40% - Accent6 6 5 3" xfId="5342"/>
    <cellStyle name="40% - Accent6 6 5 4" xfId="5343"/>
    <cellStyle name="40% - Accent6 6 6" xfId="5344"/>
    <cellStyle name="40% - Accent6 6 6 2" xfId="5345"/>
    <cellStyle name="40% - Accent6 6 7" xfId="5346"/>
    <cellStyle name="40% - Accent6 6 8" xfId="5347"/>
    <cellStyle name="40% - Accent6 6 9" xfId="5348"/>
    <cellStyle name="40% - Accent6 7" xfId="5349"/>
    <cellStyle name="40% - Accent6 7 2" xfId="5350"/>
    <cellStyle name="40% - Accent6 7 2 2" xfId="5351"/>
    <cellStyle name="40% - Accent6 7 2 2 2" xfId="5352"/>
    <cellStyle name="40% - Accent6 7 2 2 3" xfId="5353"/>
    <cellStyle name="40% - Accent6 7 2 3" xfId="5354"/>
    <cellStyle name="40% - Accent6 7 2 4" xfId="5355"/>
    <cellStyle name="40% - Accent6 7 2 5" xfId="5356"/>
    <cellStyle name="40% - Accent6 7 2 6" xfId="5357"/>
    <cellStyle name="40% - Accent6 7 3" xfId="5358"/>
    <cellStyle name="40% - Accent6 7 3 2" xfId="5359"/>
    <cellStyle name="40% - Accent6 7 3 2 2" xfId="5360"/>
    <cellStyle name="40% - Accent6 7 3 3" xfId="5361"/>
    <cellStyle name="40% - Accent6 7 3 4" xfId="5362"/>
    <cellStyle name="40% - Accent6 7 3 5" xfId="5363"/>
    <cellStyle name="40% - Accent6 7 4" xfId="5364"/>
    <cellStyle name="40% - Accent6 7 4 2" xfId="5365"/>
    <cellStyle name="40% - Accent6 7 4 3" xfId="5366"/>
    <cellStyle name="40% - Accent6 7 4 4" xfId="5367"/>
    <cellStyle name="40% - Accent6 7 5" xfId="5368"/>
    <cellStyle name="40% - Accent6 7 5 2" xfId="5369"/>
    <cellStyle name="40% - Accent6 7 6" xfId="5370"/>
    <cellStyle name="40% - Accent6 7 7" xfId="5371"/>
    <cellStyle name="40% - Accent6 7 8" xfId="5372"/>
    <cellStyle name="40% - Accent6 7 9" xfId="5373"/>
    <cellStyle name="40% - Accent6 8" xfId="5374"/>
    <cellStyle name="40% - Accent6 8 2" xfId="5375"/>
    <cellStyle name="40% - Accent6 8 2 2" xfId="5376"/>
    <cellStyle name="40% - Accent6 8 2 2 2" xfId="5377"/>
    <cellStyle name="40% - Accent6 8 2 2 3" xfId="5378"/>
    <cellStyle name="40% - Accent6 8 2 3" xfId="5379"/>
    <cellStyle name="40% - Accent6 8 2 4" xfId="5380"/>
    <cellStyle name="40% - Accent6 8 2 5" xfId="5381"/>
    <cellStyle name="40% - Accent6 8 2 6" xfId="5382"/>
    <cellStyle name="40% - Accent6 8 3" xfId="5383"/>
    <cellStyle name="40% - Accent6 8 3 2" xfId="5384"/>
    <cellStyle name="40% - Accent6 8 3 2 2" xfId="5385"/>
    <cellStyle name="40% - Accent6 8 3 3" xfId="5386"/>
    <cellStyle name="40% - Accent6 8 3 4" xfId="5387"/>
    <cellStyle name="40% - Accent6 8 3 5" xfId="5388"/>
    <cellStyle name="40% - Accent6 8 4" xfId="5389"/>
    <cellStyle name="40% - Accent6 8 4 2" xfId="5390"/>
    <cellStyle name="40% - Accent6 8 4 3" xfId="5391"/>
    <cellStyle name="40% - Accent6 8 4 4" xfId="5392"/>
    <cellStyle name="40% - Accent6 8 5" xfId="5393"/>
    <cellStyle name="40% - Accent6 8 5 2" xfId="5394"/>
    <cellStyle name="40% - Accent6 8 6" xfId="5395"/>
    <cellStyle name="40% - Accent6 8 7" xfId="5396"/>
    <cellStyle name="40% - Accent6 8 8" xfId="5397"/>
    <cellStyle name="40% - Accent6 8 9" xfId="5398"/>
    <cellStyle name="40% - Accent6 9" xfId="5399"/>
    <cellStyle name="40% - Accent6 9 2" xfId="5400"/>
    <cellStyle name="40% - Accent6 9 2 2" xfId="5401"/>
    <cellStyle name="40% - Accent6 9 2 2 2" xfId="5402"/>
    <cellStyle name="40% - Accent6 9 2 3" xfId="5403"/>
    <cellStyle name="40% - Accent6 9 2 4" xfId="5404"/>
    <cellStyle name="40% - Accent6 9 2 5" xfId="5405"/>
    <cellStyle name="40% - Accent6 9 3" xfId="5406"/>
    <cellStyle name="40% - Accent6 9 3 2" xfId="5407"/>
    <cellStyle name="40% - Accent6 9 3 3" xfId="5408"/>
    <cellStyle name="40% - Accent6 9 3 4" xfId="5409"/>
    <cellStyle name="40% - Accent6 9 4" xfId="5410"/>
    <cellStyle name="40% - Accent6 9 4 2" xfId="5411"/>
    <cellStyle name="40% - Accent6 9 5" xfId="5412"/>
    <cellStyle name="40% - Accent6 9 6" xfId="5413"/>
    <cellStyle name="40% - Accent6 9 7" xfId="5414"/>
    <cellStyle name="40% - Accent6 9 8" xfId="5415"/>
    <cellStyle name="C00A" xfId="5416"/>
    <cellStyle name="C00B" xfId="5417"/>
    <cellStyle name="C00L" xfId="5418"/>
    <cellStyle name="C01A" xfId="5419"/>
    <cellStyle name="C01B" xfId="5420"/>
    <cellStyle name="C01H" xfId="5421"/>
    <cellStyle name="C01L" xfId="5422"/>
    <cellStyle name="C02A" xfId="5423"/>
    <cellStyle name="C02B" xfId="5424"/>
    <cellStyle name="C02H" xfId="5425"/>
    <cellStyle name="C02L" xfId="5426"/>
    <cellStyle name="C03A" xfId="5427"/>
    <cellStyle name="C03B" xfId="5428"/>
    <cellStyle name="C03H" xfId="5429"/>
    <cellStyle name="C03L" xfId="5430"/>
    <cellStyle name="C04A" xfId="5431"/>
    <cellStyle name="C04B" xfId="5432"/>
    <cellStyle name="C04H" xfId="5433"/>
    <cellStyle name="C04L" xfId="5434"/>
    <cellStyle name="C05A" xfId="5435"/>
    <cellStyle name="C05B" xfId="5436"/>
    <cellStyle name="C05H" xfId="5437"/>
    <cellStyle name="C05L" xfId="5438"/>
    <cellStyle name="C06A" xfId="5439"/>
    <cellStyle name="C06B" xfId="5440"/>
    <cellStyle name="C06H" xfId="5441"/>
    <cellStyle name="C06L" xfId="5442"/>
    <cellStyle name="C07A" xfId="5443"/>
    <cellStyle name="C07B" xfId="5444"/>
    <cellStyle name="C07H" xfId="5445"/>
    <cellStyle name="C07L" xfId="5446"/>
    <cellStyle name="Comma" xfId="1" builtinId="3"/>
    <cellStyle name="Comma 10" xfId="5447"/>
    <cellStyle name="Comma 11" xfId="5448"/>
    <cellStyle name="Comma 12" xfId="5449"/>
    <cellStyle name="Comma 13" xfId="5450"/>
    <cellStyle name="Comma 14" xfId="5451"/>
    <cellStyle name="Comma 15" xfId="5452"/>
    <cellStyle name="Comma 16" xfId="5453"/>
    <cellStyle name="Comma 17" xfId="5454"/>
    <cellStyle name="Comma 18" xfId="5455"/>
    <cellStyle name="Comma 19" xfId="5456"/>
    <cellStyle name="Comma 2" xfId="5457"/>
    <cellStyle name="Comma 2 10" xfId="5458"/>
    <cellStyle name="Comma 2 10 10" xfId="5459"/>
    <cellStyle name="Comma 2 10 11" xfId="5460"/>
    <cellStyle name="Comma 2 10 2" xfId="5461"/>
    <cellStyle name="Comma 2 10 2 2" xfId="5462"/>
    <cellStyle name="Comma 2 10 2 2 2" xfId="5463"/>
    <cellStyle name="Comma 2 10 2 2 2 2" xfId="5464"/>
    <cellStyle name="Comma 2 10 2 2 2 3" xfId="5465"/>
    <cellStyle name="Comma 2 10 2 2 3" xfId="5466"/>
    <cellStyle name="Comma 2 10 2 2 4" xfId="5467"/>
    <cellStyle name="Comma 2 10 2 2 5" xfId="5468"/>
    <cellStyle name="Comma 2 10 2 2 6" xfId="5469"/>
    <cellStyle name="Comma 2 10 2 3" xfId="5470"/>
    <cellStyle name="Comma 2 10 2 3 2" xfId="5471"/>
    <cellStyle name="Comma 2 10 2 3 2 2" xfId="5472"/>
    <cellStyle name="Comma 2 10 2 3 3" xfId="5473"/>
    <cellStyle name="Comma 2 10 2 3 4" xfId="5474"/>
    <cellStyle name="Comma 2 10 2 3 5" xfId="5475"/>
    <cellStyle name="Comma 2 10 2 4" xfId="5476"/>
    <cellStyle name="Comma 2 10 2 4 2" xfId="5477"/>
    <cellStyle name="Comma 2 10 2 4 3" xfId="5478"/>
    <cellStyle name="Comma 2 10 2 4 4" xfId="5479"/>
    <cellStyle name="Comma 2 10 2 5" xfId="5480"/>
    <cellStyle name="Comma 2 10 2 5 2" xfId="5481"/>
    <cellStyle name="Comma 2 10 2 6" xfId="5482"/>
    <cellStyle name="Comma 2 10 2 7" xfId="5483"/>
    <cellStyle name="Comma 2 10 2 8" xfId="5484"/>
    <cellStyle name="Comma 2 10 2 9" xfId="5485"/>
    <cellStyle name="Comma 2 10 3" xfId="5486"/>
    <cellStyle name="Comma 2 10 3 2" xfId="5487"/>
    <cellStyle name="Comma 2 10 3 2 2" xfId="5488"/>
    <cellStyle name="Comma 2 10 3 2 2 2" xfId="5489"/>
    <cellStyle name="Comma 2 10 3 2 2 3" xfId="5490"/>
    <cellStyle name="Comma 2 10 3 2 3" xfId="5491"/>
    <cellStyle name="Comma 2 10 3 2 4" xfId="5492"/>
    <cellStyle name="Comma 2 10 3 2 5" xfId="5493"/>
    <cellStyle name="Comma 2 10 3 2 6" xfId="5494"/>
    <cellStyle name="Comma 2 10 3 3" xfId="5495"/>
    <cellStyle name="Comma 2 10 3 3 2" xfId="5496"/>
    <cellStyle name="Comma 2 10 3 3 2 2" xfId="5497"/>
    <cellStyle name="Comma 2 10 3 3 3" xfId="5498"/>
    <cellStyle name="Comma 2 10 3 3 4" xfId="5499"/>
    <cellStyle name="Comma 2 10 3 3 5" xfId="5500"/>
    <cellStyle name="Comma 2 10 3 4" xfId="5501"/>
    <cellStyle name="Comma 2 10 3 4 2" xfId="5502"/>
    <cellStyle name="Comma 2 10 3 4 3" xfId="5503"/>
    <cellStyle name="Comma 2 10 3 4 4" xfId="5504"/>
    <cellStyle name="Comma 2 10 3 5" xfId="5505"/>
    <cellStyle name="Comma 2 10 3 5 2" xfId="5506"/>
    <cellStyle name="Comma 2 10 3 6" xfId="5507"/>
    <cellStyle name="Comma 2 10 3 7" xfId="5508"/>
    <cellStyle name="Comma 2 10 3 8" xfId="5509"/>
    <cellStyle name="Comma 2 10 3 9" xfId="5510"/>
    <cellStyle name="Comma 2 10 4" xfId="5511"/>
    <cellStyle name="Comma 2 10 4 2" xfId="5512"/>
    <cellStyle name="Comma 2 10 4 2 2" xfId="5513"/>
    <cellStyle name="Comma 2 10 4 2 3" xfId="5514"/>
    <cellStyle name="Comma 2 10 4 3" xfId="5515"/>
    <cellStyle name="Comma 2 10 4 4" xfId="5516"/>
    <cellStyle name="Comma 2 10 4 5" xfId="5517"/>
    <cellStyle name="Comma 2 10 4 6" xfId="5518"/>
    <cellStyle name="Comma 2 10 5" xfId="5519"/>
    <cellStyle name="Comma 2 10 5 2" xfId="5520"/>
    <cellStyle name="Comma 2 10 5 2 2" xfId="5521"/>
    <cellStyle name="Comma 2 10 5 3" xfId="5522"/>
    <cellStyle name="Comma 2 10 5 4" xfId="5523"/>
    <cellStyle name="Comma 2 10 5 5" xfId="5524"/>
    <cellStyle name="Comma 2 10 5 6" xfId="5525"/>
    <cellStyle name="Comma 2 10 6" xfId="5526"/>
    <cellStyle name="Comma 2 10 6 2" xfId="5527"/>
    <cellStyle name="Comma 2 10 6 3" xfId="5528"/>
    <cellStyle name="Comma 2 10 6 4" xfId="5529"/>
    <cellStyle name="Comma 2 10 6 5" xfId="5530"/>
    <cellStyle name="Comma 2 10 7" xfId="5531"/>
    <cellStyle name="Comma 2 10 7 2" xfId="5532"/>
    <cellStyle name="Comma 2 10 7 3" xfId="5533"/>
    <cellStyle name="Comma 2 10 8" xfId="5534"/>
    <cellStyle name="Comma 2 10 9" xfId="5535"/>
    <cellStyle name="Comma 2 11" xfId="5536"/>
    <cellStyle name="Comma 2 11 10" xfId="5537"/>
    <cellStyle name="Comma 2 11 11" xfId="5538"/>
    <cellStyle name="Comma 2 11 2" xfId="5539"/>
    <cellStyle name="Comma 2 11 2 2" xfId="5540"/>
    <cellStyle name="Comma 2 11 2 2 2" xfId="5541"/>
    <cellStyle name="Comma 2 11 2 2 2 2" xfId="5542"/>
    <cellStyle name="Comma 2 11 2 2 2 3" xfId="5543"/>
    <cellStyle name="Comma 2 11 2 2 3" xfId="5544"/>
    <cellStyle name="Comma 2 11 2 2 4" xfId="5545"/>
    <cellStyle name="Comma 2 11 2 2 5" xfId="5546"/>
    <cellStyle name="Comma 2 11 2 2 6" xfId="5547"/>
    <cellStyle name="Comma 2 11 2 3" xfId="5548"/>
    <cellStyle name="Comma 2 11 2 3 2" xfId="5549"/>
    <cellStyle name="Comma 2 11 2 3 2 2" xfId="5550"/>
    <cellStyle name="Comma 2 11 2 3 3" xfId="5551"/>
    <cellStyle name="Comma 2 11 2 3 4" xfId="5552"/>
    <cellStyle name="Comma 2 11 2 3 5" xfId="5553"/>
    <cellStyle name="Comma 2 11 2 4" xfId="5554"/>
    <cellStyle name="Comma 2 11 2 4 2" xfId="5555"/>
    <cellStyle name="Comma 2 11 2 4 3" xfId="5556"/>
    <cellStyle name="Comma 2 11 2 4 4" xfId="5557"/>
    <cellStyle name="Comma 2 11 2 5" xfId="5558"/>
    <cellStyle name="Comma 2 11 2 5 2" xfId="5559"/>
    <cellStyle name="Comma 2 11 2 6" xfId="5560"/>
    <cellStyle name="Comma 2 11 2 7" xfId="5561"/>
    <cellStyle name="Comma 2 11 2 8" xfId="5562"/>
    <cellStyle name="Comma 2 11 2 9" xfId="5563"/>
    <cellStyle name="Comma 2 11 3" xfId="5564"/>
    <cellStyle name="Comma 2 11 3 2" xfId="5565"/>
    <cellStyle name="Comma 2 11 3 2 2" xfId="5566"/>
    <cellStyle name="Comma 2 11 3 2 2 2" xfId="5567"/>
    <cellStyle name="Comma 2 11 3 2 2 3" xfId="5568"/>
    <cellStyle name="Comma 2 11 3 2 3" xfId="5569"/>
    <cellStyle name="Comma 2 11 3 2 4" xfId="5570"/>
    <cellStyle name="Comma 2 11 3 2 5" xfId="5571"/>
    <cellStyle name="Comma 2 11 3 2 6" xfId="5572"/>
    <cellStyle name="Comma 2 11 3 3" xfId="5573"/>
    <cellStyle name="Comma 2 11 3 3 2" xfId="5574"/>
    <cellStyle name="Comma 2 11 3 3 2 2" xfId="5575"/>
    <cellStyle name="Comma 2 11 3 3 3" xfId="5576"/>
    <cellStyle name="Comma 2 11 3 3 4" xfId="5577"/>
    <cellStyle name="Comma 2 11 3 3 5" xfId="5578"/>
    <cellStyle name="Comma 2 11 3 4" xfId="5579"/>
    <cellStyle name="Comma 2 11 3 4 2" xfId="5580"/>
    <cellStyle name="Comma 2 11 3 4 3" xfId="5581"/>
    <cellStyle name="Comma 2 11 3 4 4" xfId="5582"/>
    <cellStyle name="Comma 2 11 3 5" xfId="5583"/>
    <cellStyle name="Comma 2 11 3 5 2" xfId="5584"/>
    <cellStyle name="Comma 2 11 3 6" xfId="5585"/>
    <cellStyle name="Comma 2 11 3 7" xfId="5586"/>
    <cellStyle name="Comma 2 11 3 8" xfId="5587"/>
    <cellStyle name="Comma 2 11 3 9" xfId="5588"/>
    <cellStyle name="Comma 2 11 4" xfId="5589"/>
    <cellStyle name="Comma 2 11 4 2" xfId="5590"/>
    <cellStyle name="Comma 2 11 4 2 2" xfId="5591"/>
    <cellStyle name="Comma 2 11 4 2 3" xfId="5592"/>
    <cellStyle name="Comma 2 11 4 3" xfId="5593"/>
    <cellStyle name="Comma 2 11 4 4" xfId="5594"/>
    <cellStyle name="Comma 2 11 4 5" xfId="5595"/>
    <cellStyle name="Comma 2 11 4 6" xfId="5596"/>
    <cellStyle name="Comma 2 11 5" xfId="5597"/>
    <cellStyle name="Comma 2 11 5 2" xfId="5598"/>
    <cellStyle name="Comma 2 11 5 2 2" xfId="5599"/>
    <cellStyle name="Comma 2 11 5 3" xfId="5600"/>
    <cellStyle name="Comma 2 11 5 4" xfId="5601"/>
    <cellStyle name="Comma 2 11 5 5" xfId="5602"/>
    <cellStyle name="Comma 2 11 5 6" xfId="5603"/>
    <cellStyle name="Comma 2 11 6" xfId="5604"/>
    <cellStyle name="Comma 2 11 6 2" xfId="5605"/>
    <cellStyle name="Comma 2 11 6 3" xfId="5606"/>
    <cellStyle name="Comma 2 11 6 4" xfId="5607"/>
    <cellStyle name="Comma 2 11 6 5" xfId="5608"/>
    <cellStyle name="Comma 2 11 7" xfId="5609"/>
    <cellStyle name="Comma 2 11 7 2" xfId="5610"/>
    <cellStyle name="Comma 2 11 7 3" xfId="5611"/>
    <cellStyle name="Comma 2 11 8" xfId="5612"/>
    <cellStyle name="Comma 2 11 9" xfId="5613"/>
    <cellStyle name="Comma 2 12" xfId="5614"/>
    <cellStyle name="Comma 2 12 10" xfId="5615"/>
    <cellStyle name="Comma 2 12 11" xfId="5616"/>
    <cellStyle name="Comma 2 12 12" xfId="5617"/>
    <cellStyle name="Comma 2 12 13" xfId="5618"/>
    <cellStyle name="Comma 2 12 14" xfId="5619"/>
    <cellStyle name="Comma 2 12 15" xfId="5620"/>
    <cellStyle name="Comma 2 12 16" xfId="5621"/>
    <cellStyle name="Comma 2 12 17" xfId="5622"/>
    <cellStyle name="Comma 2 12 18" xfId="5623"/>
    <cellStyle name="Comma 2 12 19" xfId="5624"/>
    <cellStyle name="Comma 2 12 2" xfId="5625"/>
    <cellStyle name="Comma 2 12 2 2" xfId="5626"/>
    <cellStyle name="Comma 2 12 2 2 2" xfId="5627"/>
    <cellStyle name="Comma 2 12 2 2 2 2" xfId="5628"/>
    <cellStyle name="Comma 2 12 2 2 2 3" xfId="5629"/>
    <cellStyle name="Comma 2 12 2 2 3" xfId="5630"/>
    <cellStyle name="Comma 2 12 2 2 4" xfId="5631"/>
    <cellStyle name="Comma 2 12 2 2 5" xfId="5632"/>
    <cellStyle name="Comma 2 12 2 2 6" xfId="5633"/>
    <cellStyle name="Comma 2 12 2 3" xfId="5634"/>
    <cellStyle name="Comma 2 12 2 3 2" xfId="5635"/>
    <cellStyle name="Comma 2 12 2 3 2 2" xfId="5636"/>
    <cellStyle name="Comma 2 12 2 3 3" xfId="5637"/>
    <cellStyle name="Comma 2 12 2 3 4" xfId="5638"/>
    <cellStyle name="Comma 2 12 2 3 5" xfId="5639"/>
    <cellStyle name="Comma 2 12 2 4" xfId="5640"/>
    <cellStyle name="Comma 2 12 2 4 2" xfId="5641"/>
    <cellStyle name="Comma 2 12 2 4 3" xfId="5642"/>
    <cellStyle name="Comma 2 12 2 4 4" xfId="5643"/>
    <cellStyle name="Comma 2 12 2 5" xfId="5644"/>
    <cellStyle name="Comma 2 12 2 5 2" xfId="5645"/>
    <cellStyle name="Comma 2 12 2 6" xfId="5646"/>
    <cellStyle name="Comma 2 12 2 7" xfId="5647"/>
    <cellStyle name="Comma 2 12 2 8" xfId="5648"/>
    <cellStyle name="Comma 2 12 2 9" xfId="5649"/>
    <cellStyle name="Comma 2 12 20" xfId="5650"/>
    <cellStyle name="Comma 2 12 21" xfId="5651"/>
    <cellStyle name="Comma 2 12 22" xfId="5652"/>
    <cellStyle name="Comma 2 12 23" xfId="5653"/>
    <cellStyle name="Comma 2 12 24" xfId="5654"/>
    <cellStyle name="Comma 2 12 25" xfId="5655"/>
    <cellStyle name="Comma 2 12 26" xfId="5656"/>
    <cellStyle name="Comma 2 12 27" xfId="5657"/>
    <cellStyle name="Comma 2 12 28" xfId="5658"/>
    <cellStyle name="Comma 2 12 29" xfId="5659"/>
    <cellStyle name="Comma 2 12 3" xfId="5660"/>
    <cellStyle name="Comma 2 12 3 2" xfId="5661"/>
    <cellStyle name="Comma 2 12 3 2 2" xfId="5662"/>
    <cellStyle name="Comma 2 12 3 2 2 2" xfId="5663"/>
    <cellStyle name="Comma 2 12 3 2 2 3" xfId="5664"/>
    <cellStyle name="Comma 2 12 3 2 3" xfId="5665"/>
    <cellStyle name="Comma 2 12 3 2 4" xfId="5666"/>
    <cellStyle name="Comma 2 12 3 2 5" xfId="5667"/>
    <cellStyle name="Comma 2 12 3 2 6" xfId="5668"/>
    <cellStyle name="Comma 2 12 3 3" xfId="5669"/>
    <cellStyle name="Comma 2 12 3 3 2" xfId="5670"/>
    <cellStyle name="Comma 2 12 3 3 2 2" xfId="5671"/>
    <cellStyle name="Comma 2 12 3 3 3" xfId="5672"/>
    <cellStyle name="Comma 2 12 3 3 4" xfId="5673"/>
    <cellStyle name="Comma 2 12 3 3 5" xfId="5674"/>
    <cellStyle name="Comma 2 12 3 4" xfId="5675"/>
    <cellStyle name="Comma 2 12 3 4 2" xfId="5676"/>
    <cellStyle name="Comma 2 12 3 4 3" xfId="5677"/>
    <cellStyle name="Comma 2 12 3 4 4" xfId="5678"/>
    <cellStyle name="Comma 2 12 3 5" xfId="5679"/>
    <cellStyle name="Comma 2 12 3 5 2" xfId="5680"/>
    <cellStyle name="Comma 2 12 3 6" xfId="5681"/>
    <cellStyle name="Comma 2 12 3 7" xfId="5682"/>
    <cellStyle name="Comma 2 12 3 8" xfId="5683"/>
    <cellStyle name="Comma 2 12 3 9" xfId="5684"/>
    <cellStyle name="Comma 2 12 30" xfId="5685"/>
    <cellStyle name="Comma 2 12 31" xfId="5686"/>
    <cellStyle name="Comma 2 12 32" xfId="5687"/>
    <cellStyle name="Comma 2 12 33" xfId="5688"/>
    <cellStyle name="Comma 2 12 34" xfId="5689"/>
    <cellStyle name="Comma 2 12 35" xfId="5690"/>
    <cellStyle name="Comma 2 12 36" xfId="5691"/>
    <cellStyle name="Comma 2 12 37" xfId="5692"/>
    <cellStyle name="Comma 2 12 37 2" xfId="5693"/>
    <cellStyle name="Comma 2 12 38" xfId="5694"/>
    <cellStyle name="Comma 2 12 39" xfId="5695"/>
    <cellStyle name="Comma 2 12 4" xfId="5696"/>
    <cellStyle name="Comma 2 12 4 2" xfId="5697"/>
    <cellStyle name="Comma 2 12 4 2 2" xfId="5698"/>
    <cellStyle name="Comma 2 12 4 2 3" xfId="5699"/>
    <cellStyle name="Comma 2 12 4 3" xfId="5700"/>
    <cellStyle name="Comma 2 12 4 4" xfId="5701"/>
    <cellStyle name="Comma 2 12 4 5" xfId="5702"/>
    <cellStyle name="Comma 2 12 4 6" xfId="5703"/>
    <cellStyle name="Comma 2 12 40" xfId="5704"/>
    <cellStyle name="Comma 2 12 5" xfId="5705"/>
    <cellStyle name="Comma 2 12 5 2" xfId="5706"/>
    <cellStyle name="Comma 2 12 5 2 2" xfId="5707"/>
    <cellStyle name="Comma 2 12 5 2 3" xfId="5708"/>
    <cellStyle name="Comma 2 12 5 3" xfId="5709"/>
    <cellStyle name="Comma 2 12 5 4" xfId="5710"/>
    <cellStyle name="Comma 2 12 5 5" xfId="5711"/>
    <cellStyle name="Comma 2 12 5 6" xfId="5712"/>
    <cellStyle name="Comma 2 12 6" xfId="5713"/>
    <cellStyle name="Comma 2 12 6 2" xfId="5714"/>
    <cellStyle name="Comma 2 12 6 2 2" xfId="5715"/>
    <cellStyle name="Comma 2 12 6 3" xfId="5716"/>
    <cellStyle name="Comma 2 12 6 4" xfId="5717"/>
    <cellStyle name="Comma 2 12 6 5" xfId="5718"/>
    <cellStyle name="Comma 2 12 7" xfId="5719"/>
    <cellStyle name="Comma 2 12 7 2" xfId="5720"/>
    <cellStyle name="Comma 2 12 7 3" xfId="5721"/>
    <cellStyle name="Comma 2 12 8" xfId="5722"/>
    <cellStyle name="Comma 2 12 8 2" xfId="5723"/>
    <cellStyle name="Comma 2 12 8 3" xfId="5724"/>
    <cellStyle name="Comma 2 12 9" xfId="5725"/>
    <cellStyle name="Comma 2 13" xfId="5726"/>
    <cellStyle name="Comma 2 13 10" xfId="5727"/>
    <cellStyle name="Comma 2 13 11" xfId="5728"/>
    <cellStyle name="Comma 2 13 2" xfId="5729"/>
    <cellStyle name="Comma 2 13 2 2" xfId="5730"/>
    <cellStyle name="Comma 2 13 2 2 2" xfId="5731"/>
    <cellStyle name="Comma 2 13 2 2 2 2" xfId="5732"/>
    <cellStyle name="Comma 2 13 2 2 2 3" xfId="5733"/>
    <cellStyle name="Comma 2 13 2 2 3" xfId="5734"/>
    <cellStyle name="Comma 2 13 2 2 4" xfId="5735"/>
    <cellStyle name="Comma 2 13 2 2 5" xfId="5736"/>
    <cellStyle name="Comma 2 13 2 2 6" xfId="5737"/>
    <cellStyle name="Comma 2 13 2 3" xfId="5738"/>
    <cellStyle name="Comma 2 13 2 3 2" xfId="5739"/>
    <cellStyle name="Comma 2 13 2 3 2 2" xfId="5740"/>
    <cellStyle name="Comma 2 13 2 3 3" xfId="5741"/>
    <cellStyle name="Comma 2 13 2 3 4" xfId="5742"/>
    <cellStyle name="Comma 2 13 2 3 5" xfId="5743"/>
    <cellStyle name="Comma 2 13 2 4" xfId="5744"/>
    <cellStyle name="Comma 2 13 2 4 2" xfId="5745"/>
    <cellStyle name="Comma 2 13 2 4 3" xfId="5746"/>
    <cellStyle name="Comma 2 13 2 4 4" xfId="5747"/>
    <cellStyle name="Comma 2 13 2 5" xfId="5748"/>
    <cellStyle name="Comma 2 13 2 5 2" xfId="5749"/>
    <cellStyle name="Comma 2 13 2 6" xfId="5750"/>
    <cellStyle name="Comma 2 13 2 7" xfId="5751"/>
    <cellStyle name="Comma 2 13 2 8" xfId="5752"/>
    <cellStyle name="Comma 2 13 2 9" xfId="5753"/>
    <cellStyle name="Comma 2 13 3" xfId="5754"/>
    <cellStyle name="Comma 2 13 3 2" xfId="5755"/>
    <cellStyle name="Comma 2 13 3 2 2" xfId="5756"/>
    <cellStyle name="Comma 2 13 3 2 2 2" xfId="5757"/>
    <cellStyle name="Comma 2 13 3 2 2 3" xfId="5758"/>
    <cellStyle name="Comma 2 13 3 2 3" xfId="5759"/>
    <cellStyle name="Comma 2 13 3 2 4" xfId="5760"/>
    <cellStyle name="Comma 2 13 3 2 5" xfId="5761"/>
    <cellStyle name="Comma 2 13 3 2 6" xfId="5762"/>
    <cellStyle name="Comma 2 13 3 3" xfId="5763"/>
    <cellStyle name="Comma 2 13 3 3 2" xfId="5764"/>
    <cellStyle name="Comma 2 13 3 3 2 2" xfId="5765"/>
    <cellStyle name="Comma 2 13 3 3 3" xfId="5766"/>
    <cellStyle name="Comma 2 13 3 3 4" xfId="5767"/>
    <cellStyle name="Comma 2 13 3 3 5" xfId="5768"/>
    <cellStyle name="Comma 2 13 3 4" xfId="5769"/>
    <cellStyle name="Comma 2 13 3 4 2" xfId="5770"/>
    <cellStyle name="Comma 2 13 3 4 3" xfId="5771"/>
    <cellStyle name="Comma 2 13 3 4 4" xfId="5772"/>
    <cellStyle name="Comma 2 13 3 5" xfId="5773"/>
    <cellStyle name="Comma 2 13 3 5 2" xfId="5774"/>
    <cellStyle name="Comma 2 13 3 6" xfId="5775"/>
    <cellStyle name="Comma 2 13 3 7" xfId="5776"/>
    <cellStyle name="Comma 2 13 3 8" xfId="5777"/>
    <cellStyle name="Comma 2 13 3 9" xfId="5778"/>
    <cellStyle name="Comma 2 13 4" xfId="5779"/>
    <cellStyle name="Comma 2 13 4 2" xfId="5780"/>
    <cellStyle name="Comma 2 13 4 2 2" xfId="5781"/>
    <cellStyle name="Comma 2 13 4 2 3" xfId="5782"/>
    <cellStyle name="Comma 2 13 4 3" xfId="5783"/>
    <cellStyle name="Comma 2 13 4 4" xfId="5784"/>
    <cellStyle name="Comma 2 13 4 5" xfId="5785"/>
    <cellStyle name="Comma 2 13 4 6" xfId="5786"/>
    <cellStyle name="Comma 2 13 5" xfId="5787"/>
    <cellStyle name="Comma 2 13 5 2" xfId="5788"/>
    <cellStyle name="Comma 2 13 5 2 2" xfId="5789"/>
    <cellStyle name="Comma 2 13 5 3" xfId="5790"/>
    <cellStyle name="Comma 2 13 5 4" xfId="5791"/>
    <cellStyle name="Comma 2 13 5 5" xfId="5792"/>
    <cellStyle name="Comma 2 13 5 6" xfId="5793"/>
    <cellStyle name="Comma 2 13 6" xfId="5794"/>
    <cellStyle name="Comma 2 13 6 2" xfId="5795"/>
    <cellStyle name="Comma 2 13 6 3" xfId="5796"/>
    <cellStyle name="Comma 2 13 6 4" xfId="5797"/>
    <cellStyle name="Comma 2 13 6 5" xfId="5798"/>
    <cellStyle name="Comma 2 13 7" xfId="5799"/>
    <cellStyle name="Comma 2 13 7 2" xfId="5800"/>
    <cellStyle name="Comma 2 13 7 3" xfId="5801"/>
    <cellStyle name="Comma 2 13 8" xfId="5802"/>
    <cellStyle name="Comma 2 13 9" xfId="5803"/>
    <cellStyle name="Comma 2 14" xfId="5804"/>
    <cellStyle name="Comma 2 14 10" xfId="5805"/>
    <cellStyle name="Comma 2 14 11" xfId="5806"/>
    <cellStyle name="Comma 2 14 2" xfId="5807"/>
    <cellStyle name="Comma 2 14 2 2" xfId="5808"/>
    <cellStyle name="Comma 2 14 2 2 2" xfId="5809"/>
    <cellStyle name="Comma 2 14 2 2 2 2" xfId="5810"/>
    <cellStyle name="Comma 2 14 2 2 2 3" xfId="5811"/>
    <cellStyle name="Comma 2 14 2 2 3" xfId="5812"/>
    <cellStyle name="Comma 2 14 2 2 4" xfId="5813"/>
    <cellStyle name="Comma 2 14 2 2 5" xfId="5814"/>
    <cellStyle name="Comma 2 14 2 2 6" xfId="5815"/>
    <cellStyle name="Comma 2 14 2 3" xfId="5816"/>
    <cellStyle name="Comma 2 14 2 3 2" xfId="5817"/>
    <cellStyle name="Comma 2 14 2 3 2 2" xfId="5818"/>
    <cellStyle name="Comma 2 14 2 3 3" xfId="5819"/>
    <cellStyle name="Comma 2 14 2 3 4" xfId="5820"/>
    <cellStyle name="Comma 2 14 2 3 5" xfId="5821"/>
    <cellStyle name="Comma 2 14 2 4" xfId="5822"/>
    <cellStyle name="Comma 2 14 2 4 2" xfId="5823"/>
    <cellStyle name="Comma 2 14 2 4 3" xfId="5824"/>
    <cellStyle name="Comma 2 14 2 4 4" xfId="5825"/>
    <cellStyle name="Comma 2 14 2 5" xfId="5826"/>
    <cellStyle name="Comma 2 14 2 5 2" xfId="5827"/>
    <cellStyle name="Comma 2 14 2 6" xfId="5828"/>
    <cellStyle name="Comma 2 14 2 7" xfId="5829"/>
    <cellStyle name="Comma 2 14 2 8" xfId="5830"/>
    <cellStyle name="Comma 2 14 2 9" xfId="5831"/>
    <cellStyle name="Comma 2 14 3" xfId="5832"/>
    <cellStyle name="Comma 2 14 3 2" xfId="5833"/>
    <cellStyle name="Comma 2 14 3 2 2" xfId="5834"/>
    <cellStyle name="Comma 2 14 3 2 2 2" xfId="5835"/>
    <cellStyle name="Comma 2 14 3 2 2 3" xfId="5836"/>
    <cellStyle name="Comma 2 14 3 2 3" xfId="5837"/>
    <cellStyle name="Comma 2 14 3 2 4" xfId="5838"/>
    <cellStyle name="Comma 2 14 3 2 5" xfId="5839"/>
    <cellStyle name="Comma 2 14 3 2 6" xfId="5840"/>
    <cellStyle name="Comma 2 14 3 3" xfId="5841"/>
    <cellStyle name="Comma 2 14 3 3 2" xfId="5842"/>
    <cellStyle name="Comma 2 14 3 3 2 2" xfId="5843"/>
    <cellStyle name="Comma 2 14 3 3 3" xfId="5844"/>
    <cellStyle name="Comma 2 14 3 3 4" xfId="5845"/>
    <cellStyle name="Comma 2 14 3 3 5" xfId="5846"/>
    <cellStyle name="Comma 2 14 3 4" xfId="5847"/>
    <cellStyle name="Comma 2 14 3 4 2" xfId="5848"/>
    <cellStyle name="Comma 2 14 3 4 3" xfId="5849"/>
    <cellStyle name="Comma 2 14 3 4 4" xfId="5850"/>
    <cellStyle name="Comma 2 14 3 5" xfId="5851"/>
    <cellStyle name="Comma 2 14 3 5 2" xfId="5852"/>
    <cellStyle name="Comma 2 14 3 6" xfId="5853"/>
    <cellStyle name="Comma 2 14 3 7" xfId="5854"/>
    <cellStyle name="Comma 2 14 3 8" xfId="5855"/>
    <cellStyle name="Comma 2 14 3 9" xfId="5856"/>
    <cellStyle name="Comma 2 14 4" xfId="5857"/>
    <cellStyle name="Comma 2 14 4 2" xfId="5858"/>
    <cellStyle name="Comma 2 14 4 2 2" xfId="5859"/>
    <cellStyle name="Comma 2 14 4 2 3" xfId="5860"/>
    <cellStyle name="Comma 2 14 4 3" xfId="5861"/>
    <cellStyle name="Comma 2 14 4 4" xfId="5862"/>
    <cellStyle name="Comma 2 14 4 5" xfId="5863"/>
    <cellStyle name="Comma 2 14 4 6" xfId="5864"/>
    <cellStyle name="Comma 2 14 5" xfId="5865"/>
    <cellStyle name="Comma 2 14 5 2" xfId="5866"/>
    <cellStyle name="Comma 2 14 5 2 2" xfId="5867"/>
    <cellStyle name="Comma 2 14 5 3" xfId="5868"/>
    <cellStyle name="Comma 2 14 5 4" xfId="5869"/>
    <cellStyle name="Comma 2 14 5 5" xfId="5870"/>
    <cellStyle name="Comma 2 14 5 6" xfId="5871"/>
    <cellStyle name="Comma 2 14 6" xfId="5872"/>
    <cellStyle name="Comma 2 14 6 2" xfId="5873"/>
    <cellStyle name="Comma 2 14 6 3" xfId="5874"/>
    <cellStyle name="Comma 2 14 6 4" xfId="5875"/>
    <cellStyle name="Comma 2 14 6 5" xfId="5876"/>
    <cellStyle name="Comma 2 14 7" xfId="5877"/>
    <cellStyle name="Comma 2 14 7 2" xfId="5878"/>
    <cellStyle name="Comma 2 14 7 3" xfId="5879"/>
    <cellStyle name="Comma 2 14 8" xfId="5880"/>
    <cellStyle name="Comma 2 14 9" xfId="5881"/>
    <cellStyle name="Comma 2 15" xfId="5882"/>
    <cellStyle name="Comma 2 15 10" xfId="5883"/>
    <cellStyle name="Comma 2 15 11" xfId="5884"/>
    <cellStyle name="Comma 2 15 2" xfId="5885"/>
    <cellStyle name="Comma 2 15 2 2" xfId="5886"/>
    <cellStyle name="Comma 2 15 2 2 2" xfId="5887"/>
    <cellStyle name="Comma 2 15 2 2 2 2" xfId="5888"/>
    <cellStyle name="Comma 2 15 2 2 2 3" xfId="5889"/>
    <cellStyle name="Comma 2 15 2 2 3" xfId="5890"/>
    <cellStyle name="Comma 2 15 2 2 4" xfId="5891"/>
    <cellStyle name="Comma 2 15 2 2 5" xfId="5892"/>
    <cellStyle name="Comma 2 15 2 2 6" xfId="5893"/>
    <cellStyle name="Comma 2 15 2 3" xfId="5894"/>
    <cellStyle name="Comma 2 15 2 3 2" xfId="5895"/>
    <cellStyle name="Comma 2 15 2 3 2 2" xfId="5896"/>
    <cellStyle name="Comma 2 15 2 3 3" xfId="5897"/>
    <cellStyle name="Comma 2 15 2 3 4" xfId="5898"/>
    <cellStyle name="Comma 2 15 2 3 5" xfId="5899"/>
    <cellStyle name="Comma 2 15 2 4" xfId="5900"/>
    <cellStyle name="Comma 2 15 2 4 2" xfId="5901"/>
    <cellStyle name="Comma 2 15 2 4 3" xfId="5902"/>
    <cellStyle name="Comma 2 15 2 4 4" xfId="5903"/>
    <cellStyle name="Comma 2 15 2 5" xfId="5904"/>
    <cellStyle name="Comma 2 15 2 5 2" xfId="5905"/>
    <cellStyle name="Comma 2 15 2 6" xfId="5906"/>
    <cellStyle name="Comma 2 15 2 7" xfId="5907"/>
    <cellStyle name="Comma 2 15 2 8" xfId="5908"/>
    <cellStyle name="Comma 2 15 2 9" xfId="5909"/>
    <cellStyle name="Comma 2 15 3" xfId="5910"/>
    <cellStyle name="Comma 2 15 3 2" xfId="5911"/>
    <cellStyle name="Comma 2 15 3 2 2" xfId="5912"/>
    <cellStyle name="Comma 2 15 3 2 2 2" xfId="5913"/>
    <cellStyle name="Comma 2 15 3 2 2 3" xfId="5914"/>
    <cellStyle name="Comma 2 15 3 2 3" xfId="5915"/>
    <cellStyle name="Comma 2 15 3 2 4" xfId="5916"/>
    <cellStyle name="Comma 2 15 3 2 5" xfId="5917"/>
    <cellStyle name="Comma 2 15 3 2 6" xfId="5918"/>
    <cellStyle name="Comma 2 15 3 3" xfId="5919"/>
    <cellStyle name="Comma 2 15 3 3 2" xfId="5920"/>
    <cellStyle name="Comma 2 15 3 3 2 2" xfId="5921"/>
    <cellStyle name="Comma 2 15 3 3 3" xfId="5922"/>
    <cellStyle name="Comma 2 15 3 3 4" xfId="5923"/>
    <cellStyle name="Comma 2 15 3 3 5" xfId="5924"/>
    <cellStyle name="Comma 2 15 3 4" xfId="5925"/>
    <cellStyle name="Comma 2 15 3 4 2" xfId="5926"/>
    <cellStyle name="Comma 2 15 3 4 3" xfId="5927"/>
    <cellStyle name="Comma 2 15 3 4 4" xfId="5928"/>
    <cellStyle name="Comma 2 15 3 5" xfId="5929"/>
    <cellStyle name="Comma 2 15 3 5 2" xfId="5930"/>
    <cellStyle name="Comma 2 15 3 6" xfId="5931"/>
    <cellStyle name="Comma 2 15 3 7" xfId="5932"/>
    <cellStyle name="Comma 2 15 3 8" xfId="5933"/>
    <cellStyle name="Comma 2 15 3 9" xfId="5934"/>
    <cellStyle name="Comma 2 15 4" xfId="5935"/>
    <cellStyle name="Comma 2 15 4 2" xfId="5936"/>
    <cellStyle name="Comma 2 15 4 2 2" xfId="5937"/>
    <cellStyle name="Comma 2 15 4 2 3" xfId="5938"/>
    <cellStyle name="Comma 2 15 4 3" xfId="5939"/>
    <cellStyle name="Comma 2 15 4 4" xfId="5940"/>
    <cellStyle name="Comma 2 15 4 5" xfId="5941"/>
    <cellStyle name="Comma 2 15 4 6" xfId="5942"/>
    <cellStyle name="Comma 2 15 5" xfId="5943"/>
    <cellStyle name="Comma 2 15 5 2" xfId="5944"/>
    <cellStyle name="Comma 2 15 5 2 2" xfId="5945"/>
    <cellStyle name="Comma 2 15 5 3" xfId="5946"/>
    <cellStyle name="Comma 2 15 5 4" xfId="5947"/>
    <cellStyle name="Comma 2 15 5 5" xfId="5948"/>
    <cellStyle name="Comma 2 15 5 6" xfId="5949"/>
    <cellStyle name="Comma 2 15 6" xfId="5950"/>
    <cellStyle name="Comma 2 15 6 2" xfId="5951"/>
    <cellStyle name="Comma 2 15 6 3" xfId="5952"/>
    <cellStyle name="Comma 2 15 6 4" xfId="5953"/>
    <cellStyle name="Comma 2 15 6 5" xfId="5954"/>
    <cellStyle name="Comma 2 15 7" xfId="5955"/>
    <cellStyle name="Comma 2 15 7 2" xfId="5956"/>
    <cellStyle name="Comma 2 15 7 3" xfId="5957"/>
    <cellStyle name="Comma 2 15 8" xfId="5958"/>
    <cellStyle name="Comma 2 15 9" xfId="5959"/>
    <cellStyle name="Comma 2 16" xfId="5960"/>
    <cellStyle name="Comma 2 16 10" xfId="5961"/>
    <cellStyle name="Comma 2 16 2" xfId="5962"/>
    <cellStyle name="Comma 2 16 2 2" xfId="5963"/>
    <cellStyle name="Comma 2 16 2 2 2" xfId="5964"/>
    <cellStyle name="Comma 2 16 2 2 3" xfId="5965"/>
    <cellStyle name="Comma 2 16 2 3" xfId="5966"/>
    <cellStyle name="Comma 2 16 2 4" xfId="5967"/>
    <cellStyle name="Comma 2 16 2 5" xfId="5968"/>
    <cellStyle name="Comma 2 16 2 6" xfId="5969"/>
    <cellStyle name="Comma 2 16 3" xfId="5970"/>
    <cellStyle name="Comma 2 16 3 2" xfId="5971"/>
    <cellStyle name="Comma 2 16 3 2 2" xfId="5972"/>
    <cellStyle name="Comma 2 16 3 2 3" xfId="5973"/>
    <cellStyle name="Comma 2 16 3 3" xfId="5974"/>
    <cellStyle name="Comma 2 16 3 4" xfId="5975"/>
    <cellStyle name="Comma 2 16 3 5" xfId="5976"/>
    <cellStyle name="Comma 2 16 3 6" xfId="5977"/>
    <cellStyle name="Comma 2 16 4" xfId="5978"/>
    <cellStyle name="Comma 2 16 4 2" xfId="5979"/>
    <cellStyle name="Comma 2 16 4 2 2" xfId="5980"/>
    <cellStyle name="Comma 2 16 4 3" xfId="5981"/>
    <cellStyle name="Comma 2 16 4 4" xfId="5982"/>
    <cellStyle name="Comma 2 16 4 5" xfId="5983"/>
    <cellStyle name="Comma 2 16 4 6" xfId="5984"/>
    <cellStyle name="Comma 2 16 5" xfId="5985"/>
    <cellStyle name="Comma 2 16 5 2" xfId="5986"/>
    <cellStyle name="Comma 2 16 5 3" xfId="5987"/>
    <cellStyle name="Comma 2 16 5 4" xfId="5988"/>
    <cellStyle name="Comma 2 16 5 5" xfId="5989"/>
    <cellStyle name="Comma 2 16 6" xfId="5990"/>
    <cellStyle name="Comma 2 16 6 2" xfId="5991"/>
    <cellStyle name="Comma 2 16 6 3" xfId="5992"/>
    <cellStyle name="Comma 2 16 7" xfId="5993"/>
    <cellStyle name="Comma 2 16 7 2" xfId="5994"/>
    <cellStyle name="Comma 2 16 8" xfId="5995"/>
    <cellStyle name="Comma 2 16 9" xfId="5996"/>
    <cellStyle name="Comma 2 17" xfId="5997"/>
    <cellStyle name="Comma 2 17 10" xfId="5998"/>
    <cellStyle name="Comma 2 17 2" xfId="5999"/>
    <cellStyle name="Comma 2 17 2 2" xfId="6000"/>
    <cellStyle name="Comma 2 17 2 2 2" xfId="6001"/>
    <cellStyle name="Comma 2 17 2 2 3" xfId="6002"/>
    <cellStyle name="Comma 2 17 2 3" xfId="6003"/>
    <cellStyle name="Comma 2 17 2 4" xfId="6004"/>
    <cellStyle name="Comma 2 17 2 5" xfId="6005"/>
    <cellStyle name="Comma 2 17 2 6" xfId="6006"/>
    <cellStyle name="Comma 2 17 3" xfId="6007"/>
    <cellStyle name="Comma 2 17 3 2" xfId="6008"/>
    <cellStyle name="Comma 2 17 3 2 2" xfId="6009"/>
    <cellStyle name="Comma 2 17 3 2 3" xfId="6010"/>
    <cellStyle name="Comma 2 17 3 3" xfId="6011"/>
    <cellStyle name="Comma 2 17 3 4" xfId="6012"/>
    <cellStyle name="Comma 2 17 3 5" xfId="6013"/>
    <cellStyle name="Comma 2 17 3 6" xfId="6014"/>
    <cellStyle name="Comma 2 17 4" xfId="6015"/>
    <cellStyle name="Comma 2 17 4 2" xfId="6016"/>
    <cellStyle name="Comma 2 17 4 2 2" xfId="6017"/>
    <cellStyle name="Comma 2 17 4 3" xfId="6018"/>
    <cellStyle name="Comma 2 17 4 4" xfId="6019"/>
    <cellStyle name="Comma 2 17 4 5" xfId="6020"/>
    <cellStyle name="Comma 2 17 4 6" xfId="6021"/>
    <cellStyle name="Comma 2 17 5" xfId="6022"/>
    <cellStyle name="Comma 2 17 5 2" xfId="6023"/>
    <cellStyle name="Comma 2 17 5 3" xfId="6024"/>
    <cellStyle name="Comma 2 17 5 4" xfId="6025"/>
    <cellStyle name="Comma 2 17 5 5" xfId="6026"/>
    <cellStyle name="Comma 2 17 6" xfId="6027"/>
    <cellStyle name="Comma 2 17 6 2" xfId="6028"/>
    <cellStyle name="Comma 2 17 6 3" xfId="6029"/>
    <cellStyle name="Comma 2 17 7" xfId="6030"/>
    <cellStyle name="Comma 2 17 7 2" xfId="6031"/>
    <cellStyle name="Comma 2 17 8" xfId="6032"/>
    <cellStyle name="Comma 2 17 9" xfId="6033"/>
    <cellStyle name="Comma 2 18" xfId="6034"/>
    <cellStyle name="Comma 2 18 10" xfId="6035"/>
    <cellStyle name="Comma 2 18 2" xfId="6036"/>
    <cellStyle name="Comma 2 18 2 2" xfId="6037"/>
    <cellStyle name="Comma 2 18 2 2 2" xfId="6038"/>
    <cellStyle name="Comma 2 18 2 2 3" xfId="6039"/>
    <cellStyle name="Comma 2 18 2 3" xfId="6040"/>
    <cellStyle name="Comma 2 18 2 4" xfId="6041"/>
    <cellStyle name="Comma 2 18 2 5" xfId="6042"/>
    <cellStyle name="Comma 2 18 2 6" xfId="6043"/>
    <cellStyle name="Comma 2 18 3" xfId="6044"/>
    <cellStyle name="Comma 2 18 3 2" xfId="6045"/>
    <cellStyle name="Comma 2 18 3 2 2" xfId="6046"/>
    <cellStyle name="Comma 2 18 3 2 3" xfId="6047"/>
    <cellStyle name="Comma 2 18 3 3" xfId="6048"/>
    <cellStyle name="Comma 2 18 3 4" xfId="6049"/>
    <cellStyle name="Comma 2 18 3 5" xfId="6050"/>
    <cellStyle name="Comma 2 18 3 6" xfId="6051"/>
    <cellStyle name="Comma 2 18 4" xfId="6052"/>
    <cellStyle name="Comma 2 18 4 2" xfId="6053"/>
    <cellStyle name="Comma 2 18 4 2 2" xfId="6054"/>
    <cellStyle name="Comma 2 18 4 3" xfId="6055"/>
    <cellStyle name="Comma 2 18 4 4" xfId="6056"/>
    <cellStyle name="Comma 2 18 4 5" xfId="6057"/>
    <cellStyle name="Comma 2 18 4 6" xfId="6058"/>
    <cellStyle name="Comma 2 18 5" xfId="6059"/>
    <cellStyle name="Comma 2 18 5 2" xfId="6060"/>
    <cellStyle name="Comma 2 18 5 3" xfId="6061"/>
    <cellStyle name="Comma 2 18 5 4" xfId="6062"/>
    <cellStyle name="Comma 2 18 5 5" xfId="6063"/>
    <cellStyle name="Comma 2 18 6" xfId="6064"/>
    <cellStyle name="Comma 2 18 6 2" xfId="6065"/>
    <cellStyle name="Comma 2 18 6 3" xfId="6066"/>
    <cellStyle name="Comma 2 18 7" xfId="6067"/>
    <cellStyle name="Comma 2 18 7 2" xfId="6068"/>
    <cellStyle name="Comma 2 18 8" xfId="6069"/>
    <cellStyle name="Comma 2 18 9" xfId="6070"/>
    <cellStyle name="Comma 2 19" xfId="6071"/>
    <cellStyle name="Comma 2 19 10" xfId="6072"/>
    <cellStyle name="Comma 2 19 2" xfId="6073"/>
    <cellStyle name="Comma 2 19 2 2" xfId="6074"/>
    <cellStyle name="Comma 2 19 2 2 2" xfId="6075"/>
    <cellStyle name="Comma 2 19 2 2 3" xfId="6076"/>
    <cellStyle name="Comma 2 19 2 3" xfId="6077"/>
    <cellStyle name="Comma 2 19 2 4" xfId="6078"/>
    <cellStyle name="Comma 2 19 2 5" xfId="6079"/>
    <cellStyle name="Comma 2 19 2 6" xfId="6080"/>
    <cellStyle name="Comma 2 19 3" xfId="6081"/>
    <cellStyle name="Comma 2 19 3 2" xfId="6082"/>
    <cellStyle name="Comma 2 19 3 2 2" xfId="6083"/>
    <cellStyle name="Comma 2 19 3 2 3" xfId="6084"/>
    <cellStyle name="Comma 2 19 3 3" xfId="6085"/>
    <cellStyle name="Comma 2 19 3 4" xfId="6086"/>
    <cellStyle name="Comma 2 19 3 5" xfId="6087"/>
    <cellStyle name="Comma 2 19 3 6" xfId="6088"/>
    <cellStyle name="Comma 2 19 4" xfId="6089"/>
    <cellStyle name="Comma 2 19 4 2" xfId="6090"/>
    <cellStyle name="Comma 2 19 4 2 2" xfId="6091"/>
    <cellStyle name="Comma 2 19 4 3" xfId="6092"/>
    <cellStyle name="Comma 2 19 4 4" xfId="6093"/>
    <cellStyle name="Comma 2 19 4 5" xfId="6094"/>
    <cellStyle name="Comma 2 19 4 6" xfId="6095"/>
    <cellStyle name="Comma 2 19 5" xfId="6096"/>
    <cellStyle name="Comma 2 19 5 2" xfId="6097"/>
    <cellStyle name="Comma 2 19 5 3" xfId="6098"/>
    <cellStyle name="Comma 2 19 5 4" xfId="6099"/>
    <cellStyle name="Comma 2 19 5 5" xfId="6100"/>
    <cellStyle name="Comma 2 19 6" xfId="6101"/>
    <cellStyle name="Comma 2 19 6 2" xfId="6102"/>
    <cellStyle name="Comma 2 19 6 3" xfId="6103"/>
    <cellStyle name="Comma 2 19 7" xfId="6104"/>
    <cellStyle name="Comma 2 19 7 2" xfId="6105"/>
    <cellStyle name="Comma 2 19 8" xfId="6106"/>
    <cellStyle name="Comma 2 19 9" xfId="6107"/>
    <cellStyle name="Comma 2 2" xfId="6108"/>
    <cellStyle name="Comma 2 2 10" xfId="6109"/>
    <cellStyle name="Comma 2 2 10 10" xfId="6110"/>
    <cellStyle name="Comma 2 2 10 2" xfId="6111"/>
    <cellStyle name="Comma 2 2 10 2 2" xfId="6112"/>
    <cellStyle name="Comma 2 2 10 2 2 2" xfId="6113"/>
    <cellStyle name="Comma 2 2 10 2 2 3" xfId="6114"/>
    <cellStyle name="Comma 2 2 10 2 3" xfId="6115"/>
    <cellStyle name="Comma 2 2 10 2 4" xfId="6116"/>
    <cellStyle name="Comma 2 2 10 2 5" xfId="6117"/>
    <cellStyle name="Comma 2 2 10 2 6" xfId="6118"/>
    <cellStyle name="Comma 2 2 10 3" xfId="6119"/>
    <cellStyle name="Comma 2 2 10 3 2" xfId="6120"/>
    <cellStyle name="Comma 2 2 10 3 2 2" xfId="6121"/>
    <cellStyle name="Comma 2 2 10 3 2 3" xfId="6122"/>
    <cellStyle name="Comma 2 2 10 3 3" xfId="6123"/>
    <cellStyle name="Comma 2 2 10 3 4" xfId="6124"/>
    <cellStyle name="Comma 2 2 10 3 5" xfId="6125"/>
    <cellStyle name="Comma 2 2 10 3 6" xfId="6126"/>
    <cellStyle name="Comma 2 2 10 4" xfId="6127"/>
    <cellStyle name="Comma 2 2 10 4 2" xfId="6128"/>
    <cellStyle name="Comma 2 2 10 4 2 2" xfId="6129"/>
    <cellStyle name="Comma 2 2 10 4 3" xfId="6130"/>
    <cellStyle name="Comma 2 2 10 4 4" xfId="6131"/>
    <cellStyle name="Comma 2 2 10 4 5" xfId="6132"/>
    <cellStyle name="Comma 2 2 10 5" xfId="6133"/>
    <cellStyle name="Comma 2 2 10 5 2" xfId="6134"/>
    <cellStyle name="Comma 2 2 10 5 3" xfId="6135"/>
    <cellStyle name="Comma 2 2 10 5 4" xfId="6136"/>
    <cellStyle name="Comma 2 2 10 6" xfId="6137"/>
    <cellStyle name="Comma 2 2 10 6 2" xfId="6138"/>
    <cellStyle name="Comma 2 2 10 7" xfId="6139"/>
    <cellStyle name="Comma 2 2 10 8" xfId="6140"/>
    <cellStyle name="Comma 2 2 10 9" xfId="6141"/>
    <cellStyle name="Comma 2 2 11" xfId="6142"/>
    <cellStyle name="Comma 2 2 11 10" xfId="6143"/>
    <cellStyle name="Comma 2 2 11 2" xfId="6144"/>
    <cellStyle name="Comma 2 2 11 2 2" xfId="6145"/>
    <cellStyle name="Comma 2 2 11 2 2 2" xfId="6146"/>
    <cellStyle name="Comma 2 2 11 2 2 3" xfId="6147"/>
    <cellStyle name="Comma 2 2 11 2 3" xfId="6148"/>
    <cellStyle name="Comma 2 2 11 2 4" xfId="6149"/>
    <cellStyle name="Comma 2 2 11 2 5" xfId="6150"/>
    <cellStyle name="Comma 2 2 11 2 6" xfId="6151"/>
    <cellStyle name="Comma 2 2 11 3" xfId="6152"/>
    <cellStyle name="Comma 2 2 11 3 2" xfId="6153"/>
    <cellStyle name="Comma 2 2 11 3 2 2" xfId="6154"/>
    <cellStyle name="Comma 2 2 11 3 2 3" xfId="6155"/>
    <cellStyle name="Comma 2 2 11 3 3" xfId="6156"/>
    <cellStyle name="Comma 2 2 11 3 4" xfId="6157"/>
    <cellStyle name="Comma 2 2 11 3 5" xfId="6158"/>
    <cellStyle name="Comma 2 2 11 3 6" xfId="6159"/>
    <cellStyle name="Comma 2 2 11 4" xfId="6160"/>
    <cellStyle name="Comma 2 2 11 4 2" xfId="6161"/>
    <cellStyle name="Comma 2 2 11 4 2 2" xfId="6162"/>
    <cellStyle name="Comma 2 2 11 4 3" xfId="6163"/>
    <cellStyle name="Comma 2 2 11 4 4" xfId="6164"/>
    <cellStyle name="Comma 2 2 11 4 5" xfId="6165"/>
    <cellStyle name="Comma 2 2 11 5" xfId="6166"/>
    <cellStyle name="Comma 2 2 11 5 2" xfId="6167"/>
    <cellStyle name="Comma 2 2 11 5 3" xfId="6168"/>
    <cellStyle name="Comma 2 2 11 5 4" xfId="6169"/>
    <cellStyle name="Comma 2 2 11 6" xfId="6170"/>
    <cellStyle name="Comma 2 2 11 6 2" xfId="6171"/>
    <cellStyle name="Comma 2 2 11 7" xfId="6172"/>
    <cellStyle name="Comma 2 2 11 8" xfId="6173"/>
    <cellStyle name="Comma 2 2 11 9" xfId="6174"/>
    <cellStyle name="Comma 2 2 12" xfId="6175"/>
    <cellStyle name="Comma 2 2 12 10" xfId="6176"/>
    <cellStyle name="Comma 2 2 12 2" xfId="6177"/>
    <cellStyle name="Comma 2 2 12 2 2" xfId="6178"/>
    <cellStyle name="Comma 2 2 12 2 2 2" xfId="6179"/>
    <cellStyle name="Comma 2 2 12 2 2 3" xfId="6180"/>
    <cellStyle name="Comma 2 2 12 2 3" xfId="6181"/>
    <cellStyle name="Comma 2 2 12 2 4" xfId="6182"/>
    <cellStyle name="Comma 2 2 12 2 5" xfId="6183"/>
    <cellStyle name="Comma 2 2 12 2 6" xfId="6184"/>
    <cellStyle name="Comma 2 2 12 3" xfId="6185"/>
    <cellStyle name="Comma 2 2 12 3 2" xfId="6186"/>
    <cellStyle name="Comma 2 2 12 3 2 2" xfId="6187"/>
    <cellStyle name="Comma 2 2 12 3 2 3" xfId="6188"/>
    <cellStyle name="Comma 2 2 12 3 3" xfId="6189"/>
    <cellStyle name="Comma 2 2 12 3 4" xfId="6190"/>
    <cellStyle name="Comma 2 2 12 3 5" xfId="6191"/>
    <cellStyle name="Comma 2 2 12 3 6" xfId="6192"/>
    <cellStyle name="Comma 2 2 12 4" xfId="6193"/>
    <cellStyle name="Comma 2 2 12 4 2" xfId="6194"/>
    <cellStyle name="Comma 2 2 12 4 2 2" xfId="6195"/>
    <cellStyle name="Comma 2 2 12 4 3" xfId="6196"/>
    <cellStyle name="Comma 2 2 12 4 4" xfId="6197"/>
    <cellStyle name="Comma 2 2 12 4 5" xfId="6198"/>
    <cellStyle name="Comma 2 2 12 5" xfId="6199"/>
    <cellStyle name="Comma 2 2 12 5 2" xfId="6200"/>
    <cellStyle name="Comma 2 2 12 5 3" xfId="6201"/>
    <cellStyle name="Comma 2 2 12 5 4" xfId="6202"/>
    <cellStyle name="Comma 2 2 12 6" xfId="6203"/>
    <cellStyle name="Comma 2 2 12 6 2" xfId="6204"/>
    <cellStyle name="Comma 2 2 12 7" xfId="6205"/>
    <cellStyle name="Comma 2 2 12 8" xfId="6206"/>
    <cellStyle name="Comma 2 2 12 9" xfId="6207"/>
    <cellStyle name="Comma 2 2 13" xfId="6208"/>
    <cellStyle name="Comma 2 2 13 10" xfId="6209"/>
    <cellStyle name="Comma 2 2 13 2" xfId="6210"/>
    <cellStyle name="Comma 2 2 13 2 2" xfId="6211"/>
    <cellStyle name="Comma 2 2 13 2 2 2" xfId="6212"/>
    <cellStyle name="Comma 2 2 13 2 2 3" xfId="6213"/>
    <cellStyle name="Comma 2 2 13 2 3" xfId="6214"/>
    <cellStyle name="Comma 2 2 13 2 4" xfId="6215"/>
    <cellStyle name="Comma 2 2 13 2 5" xfId="6216"/>
    <cellStyle name="Comma 2 2 13 2 6" xfId="6217"/>
    <cellStyle name="Comma 2 2 13 3" xfId="6218"/>
    <cellStyle name="Comma 2 2 13 3 2" xfId="6219"/>
    <cellStyle name="Comma 2 2 13 3 2 2" xfId="6220"/>
    <cellStyle name="Comma 2 2 13 3 2 3" xfId="6221"/>
    <cellStyle name="Comma 2 2 13 3 3" xfId="6222"/>
    <cellStyle name="Comma 2 2 13 3 4" xfId="6223"/>
    <cellStyle name="Comma 2 2 13 3 5" xfId="6224"/>
    <cellStyle name="Comma 2 2 13 3 6" xfId="6225"/>
    <cellStyle name="Comma 2 2 13 4" xfId="6226"/>
    <cellStyle name="Comma 2 2 13 4 2" xfId="6227"/>
    <cellStyle name="Comma 2 2 13 4 2 2" xfId="6228"/>
    <cellStyle name="Comma 2 2 13 4 3" xfId="6229"/>
    <cellStyle name="Comma 2 2 13 4 4" xfId="6230"/>
    <cellStyle name="Comma 2 2 13 4 5" xfId="6231"/>
    <cellStyle name="Comma 2 2 13 5" xfId="6232"/>
    <cellStyle name="Comma 2 2 13 5 2" xfId="6233"/>
    <cellStyle name="Comma 2 2 13 5 3" xfId="6234"/>
    <cellStyle name="Comma 2 2 13 5 4" xfId="6235"/>
    <cellStyle name="Comma 2 2 13 6" xfId="6236"/>
    <cellStyle name="Comma 2 2 13 6 2" xfId="6237"/>
    <cellStyle name="Comma 2 2 13 7" xfId="6238"/>
    <cellStyle name="Comma 2 2 13 8" xfId="6239"/>
    <cellStyle name="Comma 2 2 13 9" xfId="6240"/>
    <cellStyle name="Comma 2 2 14" xfId="6241"/>
    <cellStyle name="Comma 2 2 14 10" xfId="6242"/>
    <cellStyle name="Comma 2 2 14 2" xfId="6243"/>
    <cellStyle name="Comma 2 2 14 2 2" xfId="6244"/>
    <cellStyle name="Comma 2 2 14 2 2 2" xfId="6245"/>
    <cellStyle name="Comma 2 2 14 2 2 3" xfId="6246"/>
    <cellStyle name="Comma 2 2 14 2 3" xfId="6247"/>
    <cellStyle name="Comma 2 2 14 2 4" xfId="6248"/>
    <cellStyle name="Comma 2 2 14 2 5" xfId="6249"/>
    <cellStyle name="Comma 2 2 14 2 6" xfId="6250"/>
    <cellStyle name="Comma 2 2 14 3" xfId="6251"/>
    <cellStyle name="Comma 2 2 14 3 2" xfId="6252"/>
    <cellStyle name="Comma 2 2 14 3 2 2" xfId="6253"/>
    <cellStyle name="Comma 2 2 14 3 2 3" xfId="6254"/>
    <cellStyle name="Comma 2 2 14 3 3" xfId="6255"/>
    <cellStyle name="Comma 2 2 14 3 4" xfId="6256"/>
    <cellStyle name="Comma 2 2 14 3 5" xfId="6257"/>
    <cellStyle name="Comma 2 2 14 3 6" xfId="6258"/>
    <cellStyle name="Comma 2 2 14 4" xfId="6259"/>
    <cellStyle name="Comma 2 2 14 4 2" xfId="6260"/>
    <cellStyle name="Comma 2 2 14 4 2 2" xfId="6261"/>
    <cellStyle name="Comma 2 2 14 4 3" xfId="6262"/>
    <cellStyle name="Comma 2 2 14 4 4" xfId="6263"/>
    <cellStyle name="Comma 2 2 14 4 5" xfId="6264"/>
    <cellStyle name="Comma 2 2 14 5" xfId="6265"/>
    <cellStyle name="Comma 2 2 14 5 2" xfId="6266"/>
    <cellStyle name="Comma 2 2 14 5 3" xfId="6267"/>
    <cellStyle name="Comma 2 2 14 5 4" xfId="6268"/>
    <cellStyle name="Comma 2 2 14 6" xfId="6269"/>
    <cellStyle name="Comma 2 2 14 6 2" xfId="6270"/>
    <cellStyle name="Comma 2 2 14 7" xfId="6271"/>
    <cellStyle name="Comma 2 2 14 8" xfId="6272"/>
    <cellStyle name="Comma 2 2 14 9" xfId="6273"/>
    <cellStyle name="Comma 2 2 15" xfId="6274"/>
    <cellStyle name="Comma 2 2 15 10" xfId="6275"/>
    <cellStyle name="Comma 2 2 15 2" xfId="6276"/>
    <cellStyle name="Comma 2 2 15 2 2" xfId="6277"/>
    <cellStyle name="Comma 2 2 15 2 2 2" xfId="6278"/>
    <cellStyle name="Comma 2 2 15 2 2 3" xfId="6279"/>
    <cellStyle name="Comma 2 2 15 2 3" xfId="6280"/>
    <cellStyle name="Comma 2 2 15 2 4" xfId="6281"/>
    <cellStyle name="Comma 2 2 15 2 5" xfId="6282"/>
    <cellStyle name="Comma 2 2 15 2 6" xfId="6283"/>
    <cellStyle name="Comma 2 2 15 3" xfId="6284"/>
    <cellStyle name="Comma 2 2 15 3 2" xfId="6285"/>
    <cellStyle name="Comma 2 2 15 3 2 2" xfId="6286"/>
    <cellStyle name="Comma 2 2 15 3 2 3" xfId="6287"/>
    <cellStyle name="Comma 2 2 15 3 3" xfId="6288"/>
    <cellStyle name="Comma 2 2 15 3 4" xfId="6289"/>
    <cellStyle name="Comma 2 2 15 3 5" xfId="6290"/>
    <cellStyle name="Comma 2 2 15 3 6" xfId="6291"/>
    <cellStyle name="Comma 2 2 15 4" xfId="6292"/>
    <cellStyle name="Comma 2 2 15 4 2" xfId="6293"/>
    <cellStyle name="Comma 2 2 15 4 2 2" xfId="6294"/>
    <cellStyle name="Comma 2 2 15 4 3" xfId="6295"/>
    <cellStyle name="Comma 2 2 15 4 4" xfId="6296"/>
    <cellStyle name="Comma 2 2 15 4 5" xfId="6297"/>
    <cellStyle name="Comma 2 2 15 5" xfId="6298"/>
    <cellStyle name="Comma 2 2 15 5 2" xfId="6299"/>
    <cellStyle name="Comma 2 2 15 5 3" xfId="6300"/>
    <cellStyle name="Comma 2 2 15 5 4" xfId="6301"/>
    <cellStyle name="Comma 2 2 15 6" xfId="6302"/>
    <cellStyle name="Comma 2 2 15 6 2" xfId="6303"/>
    <cellStyle name="Comma 2 2 15 7" xfId="6304"/>
    <cellStyle name="Comma 2 2 15 8" xfId="6305"/>
    <cellStyle name="Comma 2 2 15 9" xfId="6306"/>
    <cellStyle name="Comma 2 2 16" xfId="6307"/>
    <cellStyle name="Comma 2 2 16 10" xfId="6308"/>
    <cellStyle name="Comma 2 2 16 2" xfId="6309"/>
    <cellStyle name="Comma 2 2 16 2 2" xfId="6310"/>
    <cellStyle name="Comma 2 2 16 2 2 2" xfId="6311"/>
    <cellStyle name="Comma 2 2 16 2 2 3" xfId="6312"/>
    <cellStyle name="Comma 2 2 16 2 3" xfId="6313"/>
    <cellStyle name="Comma 2 2 16 2 4" xfId="6314"/>
    <cellStyle name="Comma 2 2 16 2 5" xfId="6315"/>
    <cellStyle name="Comma 2 2 16 2 6" xfId="6316"/>
    <cellStyle name="Comma 2 2 16 3" xfId="6317"/>
    <cellStyle name="Comma 2 2 16 3 2" xfId="6318"/>
    <cellStyle name="Comma 2 2 16 3 2 2" xfId="6319"/>
    <cellStyle name="Comma 2 2 16 3 2 3" xfId="6320"/>
    <cellStyle name="Comma 2 2 16 3 3" xfId="6321"/>
    <cellStyle name="Comma 2 2 16 3 4" xfId="6322"/>
    <cellStyle name="Comma 2 2 16 3 5" xfId="6323"/>
    <cellStyle name="Comma 2 2 16 3 6" xfId="6324"/>
    <cellStyle name="Comma 2 2 16 4" xfId="6325"/>
    <cellStyle name="Comma 2 2 16 4 2" xfId="6326"/>
    <cellStyle name="Comma 2 2 16 4 2 2" xfId="6327"/>
    <cellStyle name="Comma 2 2 16 4 3" xfId="6328"/>
    <cellStyle name="Comma 2 2 16 4 4" xfId="6329"/>
    <cellStyle name="Comma 2 2 16 4 5" xfId="6330"/>
    <cellStyle name="Comma 2 2 16 5" xfId="6331"/>
    <cellStyle name="Comma 2 2 16 5 2" xfId="6332"/>
    <cellStyle name="Comma 2 2 16 5 3" xfId="6333"/>
    <cellStyle name="Comma 2 2 16 5 4" xfId="6334"/>
    <cellStyle name="Comma 2 2 16 6" xfId="6335"/>
    <cellStyle name="Comma 2 2 16 6 2" xfId="6336"/>
    <cellStyle name="Comma 2 2 16 7" xfId="6337"/>
    <cellStyle name="Comma 2 2 16 8" xfId="6338"/>
    <cellStyle name="Comma 2 2 16 9" xfId="6339"/>
    <cellStyle name="Comma 2 2 17" xfId="6340"/>
    <cellStyle name="Comma 2 2 17 10" xfId="6341"/>
    <cellStyle name="Comma 2 2 17 2" xfId="6342"/>
    <cellStyle name="Comma 2 2 17 2 2" xfId="6343"/>
    <cellStyle name="Comma 2 2 17 2 2 2" xfId="6344"/>
    <cellStyle name="Comma 2 2 17 2 2 3" xfId="6345"/>
    <cellStyle name="Comma 2 2 17 2 3" xfId="6346"/>
    <cellStyle name="Comma 2 2 17 2 4" xfId="6347"/>
    <cellStyle name="Comma 2 2 17 2 5" xfId="6348"/>
    <cellStyle name="Comma 2 2 17 2 6" xfId="6349"/>
    <cellStyle name="Comma 2 2 17 3" xfId="6350"/>
    <cellStyle name="Comma 2 2 17 3 2" xfId="6351"/>
    <cellStyle name="Comma 2 2 17 3 2 2" xfId="6352"/>
    <cellStyle name="Comma 2 2 17 3 2 3" xfId="6353"/>
    <cellStyle name="Comma 2 2 17 3 3" xfId="6354"/>
    <cellStyle name="Comma 2 2 17 3 4" xfId="6355"/>
    <cellStyle name="Comma 2 2 17 3 5" xfId="6356"/>
    <cellStyle name="Comma 2 2 17 3 6" xfId="6357"/>
    <cellStyle name="Comma 2 2 17 4" xfId="6358"/>
    <cellStyle name="Comma 2 2 17 4 2" xfId="6359"/>
    <cellStyle name="Comma 2 2 17 4 2 2" xfId="6360"/>
    <cellStyle name="Comma 2 2 17 4 3" xfId="6361"/>
    <cellStyle name="Comma 2 2 17 4 4" xfId="6362"/>
    <cellStyle name="Comma 2 2 17 4 5" xfId="6363"/>
    <cellStyle name="Comma 2 2 17 5" xfId="6364"/>
    <cellStyle name="Comma 2 2 17 5 2" xfId="6365"/>
    <cellStyle name="Comma 2 2 17 5 3" xfId="6366"/>
    <cellStyle name="Comma 2 2 17 5 4" xfId="6367"/>
    <cellStyle name="Comma 2 2 17 6" xfId="6368"/>
    <cellStyle name="Comma 2 2 17 6 2" xfId="6369"/>
    <cellStyle name="Comma 2 2 17 7" xfId="6370"/>
    <cellStyle name="Comma 2 2 17 8" xfId="6371"/>
    <cellStyle name="Comma 2 2 17 9" xfId="6372"/>
    <cellStyle name="Comma 2 2 18" xfId="6373"/>
    <cellStyle name="Comma 2 2 18 10" xfId="6374"/>
    <cellStyle name="Comma 2 2 18 2" xfId="6375"/>
    <cellStyle name="Comma 2 2 18 2 2" xfId="6376"/>
    <cellStyle name="Comma 2 2 18 2 2 2" xfId="6377"/>
    <cellStyle name="Comma 2 2 18 2 2 3" xfId="6378"/>
    <cellStyle name="Comma 2 2 18 2 3" xfId="6379"/>
    <cellStyle name="Comma 2 2 18 2 4" xfId="6380"/>
    <cellStyle name="Comma 2 2 18 2 5" xfId="6381"/>
    <cellStyle name="Comma 2 2 18 2 6" xfId="6382"/>
    <cellStyle name="Comma 2 2 18 3" xfId="6383"/>
    <cellStyle name="Comma 2 2 18 3 2" xfId="6384"/>
    <cellStyle name="Comma 2 2 18 3 2 2" xfId="6385"/>
    <cellStyle name="Comma 2 2 18 3 2 3" xfId="6386"/>
    <cellStyle name="Comma 2 2 18 3 3" xfId="6387"/>
    <cellStyle name="Comma 2 2 18 3 4" xfId="6388"/>
    <cellStyle name="Comma 2 2 18 3 5" xfId="6389"/>
    <cellStyle name="Comma 2 2 18 3 6" xfId="6390"/>
    <cellStyle name="Comma 2 2 18 4" xfId="6391"/>
    <cellStyle name="Comma 2 2 18 4 2" xfId="6392"/>
    <cellStyle name="Comma 2 2 18 4 2 2" xfId="6393"/>
    <cellStyle name="Comma 2 2 18 4 3" xfId="6394"/>
    <cellStyle name="Comma 2 2 18 4 4" xfId="6395"/>
    <cellStyle name="Comma 2 2 18 4 5" xfId="6396"/>
    <cellStyle name="Comma 2 2 18 5" xfId="6397"/>
    <cellStyle name="Comma 2 2 18 5 2" xfId="6398"/>
    <cellStyle name="Comma 2 2 18 5 3" xfId="6399"/>
    <cellStyle name="Comma 2 2 18 5 4" xfId="6400"/>
    <cellStyle name="Comma 2 2 18 6" xfId="6401"/>
    <cellStyle name="Comma 2 2 18 6 2" xfId="6402"/>
    <cellStyle name="Comma 2 2 18 7" xfId="6403"/>
    <cellStyle name="Comma 2 2 18 8" xfId="6404"/>
    <cellStyle name="Comma 2 2 18 9" xfId="6405"/>
    <cellStyle name="Comma 2 2 19" xfId="6406"/>
    <cellStyle name="Comma 2 2 19 10" xfId="6407"/>
    <cellStyle name="Comma 2 2 19 2" xfId="6408"/>
    <cellStyle name="Comma 2 2 19 2 2" xfId="6409"/>
    <cellStyle name="Comma 2 2 19 2 2 2" xfId="6410"/>
    <cellStyle name="Comma 2 2 19 2 2 3" xfId="6411"/>
    <cellStyle name="Comma 2 2 19 2 3" xfId="6412"/>
    <cellStyle name="Comma 2 2 19 2 4" xfId="6413"/>
    <cellStyle name="Comma 2 2 19 2 5" xfId="6414"/>
    <cellStyle name="Comma 2 2 19 2 6" xfId="6415"/>
    <cellStyle name="Comma 2 2 19 3" xfId="6416"/>
    <cellStyle name="Comma 2 2 19 3 2" xfId="6417"/>
    <cellStyle name="Comma 2 2 19 3 2 2" xfId="6418"/>
    <cellStyle name="Comma 2 2 19 3 2 3" xfId="6419"/>
    <cellStyle name="Comma 2 2 19 3 3" xfId="6420"/>
    <cellStyle name="Comma 2 2 19 3 4" xfId="6421"/>
    <cellStyle name="Comma 2 2 19 3 5" xfId="6422"/>
    <cellStyle name="Comma 2 2 19 3 6" xfId="6423"/>
    <cellStyle name="Comma 2 2 19 4" xfId="6424"/>
    <cellStyle name="Comma 2 2 19 4 2" xfId="6425"/>
    <cellStyle name="Comma 2 2 19 4 2 2" xfId="6426"/>
    <cellStyle name="Comma 2 2 19 4 3" xfId="6427"/>
    <cellStyle name="Comma 2 2 19 4 4" xfId="6428"/>
    <cellStyle name="Comma 2 2 19 4 5" xfId="6429"/>
    <cellStyle name="Comma 2 2 19 5" xfId="6430"/>
    <cellStyle name="Comma 2 2 19 5 2" xfId="6431"/>
    <cellStyle name="Comma 2 2 19 5 3" xfId="6432"/>
    <cellStyle name="Comma 2 2 19 5 4" xfId="6433"/>
    <cellStyle name="Comma 2 2 19 6" xfId="6434"/>
    <cellStyle name="Comma 2 2 19 6 2" xfId="6435"/>
    <cellStyle name="Comma 2 2 19 7" xfId="6436"/>
    <cellStyle name="Comma 2 2 19 8" xfId="6437"/>
    <cellStyle name="Comma 2 2 19 9" xfId="6438"/>
    <cellStyle name="Comma 2 2 2" xfId="6439"/>
    <cellStyle name="Comma 2 2 2 10" xfId="6440"/>
    <cellStyle name="Comma 2 2 2 10 10" xfId="6441"/>
    <cellStyle name="Comma 2 2 2 10 2" xfId="6442"/>
    <cellStyle name="Comma 2 2 2 10 2 2" xfId="6443"/>
    <cellStyle name="Comma 2 2 2 10 2 2 2" xfId="6444"/>
    <cellStyle name="Comma 2 2 2 10 2 2 3" xfId="6445"/>
    <cellStyle name="Comma 2 2 2 10 2 3" xfId="6446"/>
    <cellStyle name="Comma 2 2 2 10 2 4" xfId="6447"/>
    <cellStyle name="Comma 2 2 2 10 2 5" xfId="6448"/>
    <cellStyle name="Comma 2 2 2 10 2 6" xfId="6449"/>
    <cellStyle name="Comma 2 2 2 10 3" xfId="6450"/>
    <cellStyle name="Comma 2 2 2 10 3 2" xfId="6451"/>
    <cellStyle name="Comma 2 2 2 10 3 2 2" xfId="6452"/>
    <cellStyle name="Comma 2 2 2 10 3 2 3" xfId="6453"/>
    <cellStyle name="Comma 2 2 2 10 3 3" xfId="6454"/>
    <cellStyle name="Comma 2 2 2 10 3 4" xfId="6455"/>
    <cellStyle name="Comma 2 2 2 10 3 5" xfId="6456"/>
    <cellStyle name="Comma 2 2 2 10 3 6" xfId="6457"/>
    <cellStyle name="Comma 2 2 2 10 4" xfId="6458"/>
    <cellStyle name="Comma 2 2 2 10 4 2" xfId="6459"/>
    <cellStyle name="Comma 2 2 2 10 4 2 2" xfId="6460"/>
    <cellStyle name="Comma 2 2 2 10 4 3" xfId="6461"/>
    <cellStyle name="Comma 2 2 2 10 4 4" xfId="6462"/>
    <cellStyle name="Comma 2 2 2 10 4 5" xfId="6463"/>
    <cellStyle name="Comma 2 2 2 10 5" xfId="6464"/>
    <cellStyle name="Comma 2 2 2 10 5 2" xfId="6465"/>
    <cellStyle name="Comma 2 2 2 10 5 3" xfId="6466"/>
    <cellStyle name="Comma 2 2 2 10 5 4" xfId="6467"/>
    <cellStyle name="Comma 2 2 2 10 6" xfId="6468"/>
    <cellStyle name="Comma 2 2 2 10 6 2" xfId="6469"/>
    <cellStyle name="Comma 2 2 2 10 7" xfId="6470"/>
    <cellStyle name="Comma 2 2 2 10 8" xfId="6471"/>
    <cellStyle name="Comma 2 2 2 10 9" xfId="6472"/>
    <cellStyle name="Comma 2 2 2 11" xfId="6473"/>
    <cellStyle name="Comma 2 2 2 11 10" xfId="6474"/>
    <cellStyle name="Comma 2 2 2 11 2" xfId="6475"/>
    <cellStyle name="Comma 2 2 2 11 2 2" xfId="6476"/>
    <cellStyle name="Comma 2 2 2 11 2 2 2" xfId="6477"/>
    <cellStyle name="Comma 2 2 2 11 2 2 3" xfId="6478"/>
    <cellStyle name="Comma 2 2 2 11 2 3" xfId="6479"/>
    <cellStyle name="Comma 2 2 2 11 2 4" xfId="6480"/>
    <cellStyle name="Comma 2 2 2 11 2 5" xfId="6481"/>
    <cellStyle name="Comma 2 2 2 11 2 6" xfId="6482"/>
    <cellStyle name="Comma 2 2 2 11 3" xfId="6483"/>
    <cellStyle name="Comma 2 2 2 11 3 2" xfId="6484"/>
    <cellStyle name="Comma 2 2 2 11 3 2 2" xfId="6485"/>
    <cellStyle name="Comma 2 2 2 11 3 2 3" xfId="6486"/>
    <cellStyle name="Comma 2 2 2 11 3 3" xfId="6487"/>
    <cellStyle name="Comma 2 2 2 11 3 4" xfId="6488"/>
    <cellStyle name="Comma 2 2 2 11 3 5" xfId="6489"/>
    <cellStyle name="Comma 2 2 2 11 3 6" xfId="6490"/>
    <cellStyle name="Comma 2 2 2 11 4" xfId="6491"/>
    <cellStyle name="Comma 2 2 2 11 4 2" xfId="6492"/>
    <cellStyle name="Comma 2 2 2 11 4 2 2" xfId="6493"/>
    <cellStyle name="Comma 2 2 2 11 4 3" xfId="6494"/>
    <cellStyle name="Comma 2 2 2 11 4 4" xfId="6495"/>
    <cellStyle name="Comma 2 2 2 11 4 5" xfId="6496"/>
    <cellStyle name="Comma 2 2 2 11 5" xfId="6497"/>
    <cellStyle name="Comma 2 2 2 11 5 2" xfId="6498"/>
    <cellStyle name="Comma 2 2 2 11 5 3" xfId="6499"/>
    <cellStyle name="Comma 2 2 2 11 5 4" xfId="6500"/>
    <cellStyle name="Comma 2 2 2 11 6" xfId="6501"/>
    <cellStyle name="Comma 2 2 2 11 6 2" xfId="6502"/>
    <cellStyle name="Comma 2 2 2 11 7" xfId="6503"/>
    <cellStyle name="Comma 2 2 2 11 8" xfId="6504"/>
    <cellStyle name="Comma 2 2 2 11 9" xfId="6505"/>
    <cellStyle name="Comma 2 2 2 12" xfId="6506"/>
    <cellStyle name="Comma 2 2 2 12 10" xfId="6507"/>
    <cellStyle name="Comma 2 2 2 12 2" xfId="6508"/>
    <cellStyle name="Comma 2 2 2 12 2 2" xfId="6509"/>
    <cellStyle name="Comma 2 2 2 12 2 2 2" xfId="6510"/>
    <cellStyle name="Comma 2 2 2 12 2 2 3" xfId="6511"/>
    <cellStyle name="Comma 2 2 2 12 2 3" xfId="6512"/>
    <cellStyle name="Comma 2 2 2 12 2 4" xfId="6513"/>
    <cellStyle name="Comma 2 2 2 12 2 5" xfId="6514"/>
    <cellStyle name="Comma 2 2 2 12 2 6" xfId="6515"/>
    <cellStyle name="Comma 2 2 2 12 3" xfId="6516"/>
    <cellStyle name="Comma 2 2 2 12 3 2" xfId="6517"/>
    <cellStyle name="Comma 2 2 2 12 3 2 2" xfId="6518"/>
    <cellStyle name="Comma 2 2 2 12 3 2 3" xfId="6519"/>
    <cellStyle name="Comma 2 2 2 12 3 3" xfId="6520"/>
    <cellStyle name="Comma 2 2 2 12 3 4" xfId="6521"/>
    <cellStyle name="Comma 2 2 2 12 3 5" xfId="6522"/>
    <cellStyle name="Comma 2 2 2 12 3 6" xfId="6523"/>
    <cellStyle name="Comma 2 2 2 12 4" xfId="6524"/>
    <cellStyle name="Comma 2 2 2 12 4 2" xfId="6525"/>
    <cellStyle name="Comma 2 2 2 12 4 2 2" xfId="6526"/>
    <cellStyle name="Comma 2 2 2 12 4 3" xfId="6527"/>
    <cellStyle name="Comma 2 2 2 12 4 4" xfId="6528"/>
    <cellStyle name="Comma 2 2 2 12 4 5" xfId="6529"/>
    <cellStyle name="Comma 2 2 2 12 5" xfId="6530"/>
    <cellStyle name="Comma 2 2 2 12 5 2" xfId="6531"/>
    <cellStyle name="Comma 2 2 2 12 5 3" xfId="6532"/>
    <cellStyle name="Comma 2 2 2 12 5 4" xfId="6533"/>
    <cellStyle name="Comma 2 2 2 12 6" xfId="6534"/>
    <cellStyle name="Comma 2 2 2 12 6 2" xfId="6535"/>
    <cellStyle name="Comma 2 2 2 12 7" xfId="6536"/>
    <cellStyle name="Comma 2 2 2 12 8" xfId="6537"/>
    <cellStyle name="Comma 2 2 2 12 9" xfId="6538"/>
    <cellStyle name="Comma 2 2 2 13" xfId="6539"/>
    <cellStyle name="Comma 2 2 2 13 2" xfId="6540"/>
    <cellStyle name="Comma 2 2 2 13 2 2" xfId="6541"/>
    <cellStyle name="Comma 2 2 2 13 2 2 2" xfId="6542"/>
    <cellStyle name="Comma 2 2 2 13 2 2 3" xfId="6543"/>
    <cellStyle name="Comma 2 2 2 13 2 3" xfId="6544"/>
    <cellStyle name="Comma 2 2 2 13 2 4" xfId="6545"/>
    <cellStyle name="Comma 2 2 2 13 2 5" xfId="6546"/>
    <cellStyle name="Comma 2 2 2 13 2 6" xfId="6547"/>
    <cellStyle name="Comma 2 2 2 13 3" xfId="6548"/>
    <cellStyle name="Comma 2 2 2 13 3 2" xfId="6549"/>
    <cellStyle name="Comma 2 2 2 13 3 2 2" xfId="6550"/>
    <cellStyle name="Comma 2 2 2 13 3 3" xfId="6551"/>
    <cellStyle name="Comma 2 2 2 13 3 4" xfId="6552"/>
    <cellStyle name="Comma 2 2 2 13 3 5" xfId="6553"/>
    <cellStyle name="Comma 2 2 2 13 4" xfId="6554"/>
    <cellStyle name="Comma 2 2 2 13 4 2" xfId="6555"/>
    <cellStyle name="Comma 2 2 2 13 4 3" xfId="6556"/>
    <cellStyle name="Comma 2 2 2 13 4 4" xfId="6557"/>
    <cellStyle name="Comma 2 2 2 13 5" xfId="6558"/>
    <cellStyle name="Comma 2 2 2 13 5 2" xfId="6559"/>
    <cellStyle name="Comma 2 2 2 13 6" xfId="6560"/>
    <cellStyle name="Comma 2 2 2 13 7" xfId="6561"/>
    <cellStyle name="Comma 2 2 2 13 8" xfId="6562"/>
    <cellStyle name="Comma 2 2 2 13 9" xfId="6563"/>
    <cellStyle name="Comma 2 2 2 14" xfId="6564"/>
    <cellStyle name="Comma 2 2 2 14 2" xfId="6565"/>
    <cellStyle name="Comma 2 2 2 14 2 2" xfId="6566"/>
    <cellStyle name="Comma 2 2 2 14 2 2 2" xfId="6567"/>
    <cellStyle name="Comma 2 2 2 14 2 2 3" xfId="6568"/>
    <cellStyle name="Comma 2 2 2 14 2 3" xfId="6569"/>
    <cellStyle name="Comma 2 2 2 14 2 4" xfId="6570"/>
    <cellStyle name="Comma 2 2 2 14 2 5" xfId="6571"/>
    <cellStyle name="Comma 2 2 2 14 2 6" xfId="6572"/>
    <cellStyle name="Comma 2 2 2 14 3" xfId="6573"/>
    <cellStyle name="Comma 2 2 2 14 3 2" xfId="6574"/>
    <cellStyle name="Comma 2 2 2 14 3 2 2" xfId="6575"/>
    <cellStyle name="Comma 2 2 2 14 3 3" xfId="6576"/>
    <cellStyle name="Comma 2 2 2 14 3 4" xfId="6577"/>
    <cellStyle name="Comma 2 2 2 14 3 5" xfId="6578"/>
    <cellStyle name="Comma 2 2 2 14 4" xfId="6579"/>
    <cellStyle name="Comma 2 2 2 14 4 2" xfId="6580"/>
    <cellStyle name="Comma 2 2 2 14 4 3" xfId="6581"/>
    <cellStyle name="Comma 2 2 2 14 4 4" xfId="6582"/>
    <cellStyle name="Comma 2 2 2 14 5" xfId="6583"/>
    <cellStyle name="Comma 2 2 2 14 5 2" xfId="6584"/>
    <cellStyle name="Comma 2 2 2 14 6" xfId="6585"/>
    <cellStyle name="Comma 2 2 2 14 7" xfId="6586"/>
    <cellStyle name="Comma 2 2 2 14 8" xfId="6587"/>
    <cellStyle name="Comma 2 2 2 14 9" xfId="6588"/>
    <cellStyle name="Comma 2 2 2 15" xfId="6589"/>
    <cellStyle name="Comma 2 2 2 15 2" xfId="6590"/>
    <cellStyle name="Comma 2 2 2 15 2 2" xfId="6591"/>
    <cellStyle name="Comma 2 2 2 15 2 3" xfId="6592"/>
    <cellStyle name="Comma 2 2 2 15 3" xfId="6593"/>
    <cellStyle name="Comma 2 2 2 15 4" xfId="6594"/>
    <cellStyle name="Comma 2 2 2 15 5" xfId="6595"/>
    <cellStyle name="Comma 2 2 2 15 6" xfId="6596"/>
    <cellStyle name="Comma 2 2 2 16" xfId="6597"/>
    <cellStyle name="Comma 2 2 2 16 2" xfId="6598"/>
    <cellStyle name="Comma 2 2 2 16 2 2" xfId="6599"/>
    <cellStyle name="Comma 2 2 2 16 2 3" xfId="6600"/>
    <cellStyle name="Comma 2 2 2 16 3" xfId="6601"/>
    <cellStyle name="Comma 2 2 2 16 4" xfId="6602"/>
    <cellStyle name="Comma 2 2 2 16 5" xfId="6603"/>
    <cellStyle name="Comma 2 2 2 16 6" xfId="6604"/>
    <cellStyle name="Comma 2 2 2 17" xfId="6605"/>
    <cellStyle name="Comma 2 2 2 17 2" xfId="6606"/>
    <cellStyle name="Comma 2 2 2 17 2 2" xfId="6607"/>
    <cellStyle name="Comma 2 2 2 17 2 3" xfId="6608"/>
    <cellStyle name="Comma 2 2 2 17 3" xfId="6609"/>
    <cellStyle name="Comma 2 2 2 17 4" xfId="6610"/>
    <cellStyle name="Comma 2 2 2 17 5" xfId="6611"/>
    <cellStyle name="Comma 2 2 2 17 6" xfId="6612"/>
    <cellStyle name="Comma 2 2 2 18" xfId="6613"/>
    <cellStyle name="Comma 2 2 2 18 2" xfId="6614"/>
    <cellStyle name="Comma 2 2 2 18 3" xfId="6615"/>
    <cellStyle name="Comma 2 2 2 18 4" xfId="6616"/>
    <cellStyle name="Comma 2 2 2 19" xfId="6617"/>
    <cellStyle name="Comma 2 2 2 19 2" xfId="6618"/>
    <cellStyle name="Comma 2 2 2 19 3" xfId="6619"/>
    <cellStyle name="Comma 2 2 2 2" xfId="6620"/>
    <cellStyle name="Comma 2 2 2 2 10" xfId="6621"/>
    <cellStyle name="Comma 2 2 2 2 11" xfId="6622"/>
    <cellStyle name="Comma 2 2 2 2 2" xfId="6623"/>
    <cellStyle name="Comma 2 2 2 2 2 2" xfId="6624"/>
    <cellStyle name="Comma 2 2 2 2 2 2 2" xfId="6625"/>
    <cellStyle name="Comma 2 2 2 2 2 2 2 2" xfId="6626"/>
    <cellStyle name="Comma 2 2 2 2 2 2 2 3" xfId="6627"/>
    <cellStyle name="Comma 2 2 2 2 2 2 3" xfId="6628"/>
    <cellStyle name="Comma 2 2 2 2 2 2 4" xfId="6629"/>
    <cellStyle name="Comma 2 2 2 2 2 2 5" xfId="6630"/>
    <cellStyle name="Comma 2 2 2 2 2 2 6" xfId="6631"/>
    <cellStyle name="Comma 2 2 2 2 2 3" xfId="6632"/>
    <cellStyle name="Comma 2 2 2 2 2 3 2" xfId="6633"/>
    <cellStyle name="Comma 2 2 2 2 2 3 2 2" xfId="6634"/>
    <cellStyle name="Comma 2 2 2 2 2 3 3" xfId="6635"/>
    <cellStyle name="Comma 2 2 2 2 2 3 4" xfId="6636"/>
    <cellStyle name="Comma 2 2 2 2 2 3 5" xfId="6637"/>
    <cellStyle name="Comma 2 2 2 2 2 3 6" xfId="6638"/>
    <cellStyle name="Comma 2 2 2 2 2 4" xfId="6639"/>
    <cellStyle name="Comma 2 2 2 2 2 4 2" xfId="6640"/>
    <cellStyle name="Comma 2 2 2 2 2 4 3" xfId="6641"/>
    <cellStyle name="Comma 2 2 2 2 2 4 4" xfId="6642"/>
    <cellStyle name="Comma 2 2 2 2 2 4 5" xfId="6643"/>
    <cellStyle name="Comma 2 2 2 2 2 5" xfId="6644"/>
    <cellStyle name="Comma 2 2 2 2 2 5 2" xfId="6645"/>
    <cellStyle name="Comma 2 2 2 2 2 6" xfId="6646"/>
    <cellStyle name="Comma 2 2 2 2 2 7" xfId="6647"/>
    <cellStyle name="Comma 2 2 2 2 2 8" xfId="6648"/>
    <cellStyle name="Comma 2 2 2 2 2 9" xfId="6649"/>
    <cellStyle name="Comma 2 2 2 2 3" xfId="6650"/>
    <cellStyle name="Comma 2 2 2 2 3 2" xfId="6651"/>
    <cellStyle name="Comma 2 2 2 2 3 2 2" xfId="6652"/>
    <cellStyle name="Comma 2 2 2 2 3 2 2 2" xfId="6653"/>
    <cellStyle name="Comma 2 2 2 2 3 2 2 3" xfId="6654"/>
    <cellStyle name="Comma 2 2 2 2 3 2 3" xfId="6655"/>
    <cellStyle name="Comma 2 2 2 2 3 2 4" xfId="6656"/>
    <cellStyle name="Comma 2 2 2 2 3 2 5" xfId="6657"/>
    <cellStyle name="Comma 2 2 2 2 3 2 6" xfId="6658"/>
    <cellStyle name="Comma 2 2 2 2 3 3" xfId="6659"/>
    <cellStyle name="Comma 2 2 2 2 3 3 2" xfId="6660"/>
    <cellStyle name="Comma 2 2 2 2 3 3 2 2" xfId="6661"/>
    <cellStyle name="Comma 2 2 2 2 3 3 3" xfId="6662"/>
    <cellStyle name="Comma 2 2 2 2 3 3 4" xfId="6663"/>
    <cellStyle name="Comma 2 2 2 2 3 3 5" xfId="6664"/>
    <cellStyle name="Comma 2 2 2 2 3 4" xfId="6665"/>
    <cellStyle name="Comma 2 2 2 2 3 4 2" xfId="6666"/>
    <cellStyle name="Comma 2 2 2 2 3 4 3" xfId="6667"/>
    <cellStyle name="Comma 2 2 2 2 3 4 4" xfId="6668"/>
    <cellStyle name="Comma 2 2 2 2 3 5" xfId="6669"/>
    <cellStyle name="Comma 2 2 2 2 3 5 2" xfId="6670"/>
    <cellStyle name="Comma 2 2 2 2 3 6" xfId="6671"/>
    <cellStyle name="Comma 2 2 2 2 3 7" xfId="6672"/>
    <cellStyle name="Comma 2 2 2 2 3 8" xfId="6673"/>
    <cellStyle name="Comma 2 2 2 2 3 9" xfId="6674"/>
    <cellStyle name="Comma 2 2 2 2 4" xfId="6675"/>
    <cellStyle name="Comma 2 2 2 2 4 2" xfId="6676"/>
    <cellStyle name="Comma 2 2 2 2 4 2 2" xfId="6677"/>
    <cellStyle name="Comma 2 2 2 2 4 2 3" xfId="6678"/>
    <cellStyle name="Comma 2 2 2 2 4 3" xfId="6679"/>
    <cellStyle name="Comma 2 2 2 2 4 4" xfId="6680"/>
    <cellStyle name="Comma 2 2 2 2 4 5" xfId="6681"/>
    <cellStyle name="Comma 2 2 2 2 4 6" xfId="6682"/>
    <cellStyle name="Comma 2 2 2 2 5" xfId="6683"/>
    <cellStyle name="Comma 2 2 2 2 5 2" xfId="6684"/>
    <cellStyle name="Comma 2 2 2 2 5 2 2" xfId="6685"/>
    <cellStyle name="Comma 2 2 2 2 5 3" xfId="6686"/>
    <cellStyle name="Comma 2 2 2 2 5 4" xfId="6687"/>
    <cellStyle name="Comma 2 2 2 2 5 5" xfId="6688"/>
    <cellStyle name="Comma 2 2 2 2 6" xfId="6689"/>
    <cellStyle name="Comma 2 2 2 2 6 2" xfId="6690"/>
    <cellStyle name="Comma 2 2 2 2 6 3" xfId="6691"/>
    <cellStyle name="Comma 2 2 2 2 6 4" xfId="6692"/>
    <cellStyle name="Comma 2 2 2 2 7" xfId="6693"/>
    <cellStyle name="Comma 2 2 2 2 7 2" xfId="6694"/>
    <cellStyle name="Comma 2 2 2 2 8" xfId="6695"/>
    <cellStyle name="Comma 2 2 2 2 9" xfId="6696"/>
    <cellStyle name="Comma 2 2 2 20" xfId="6697"/>
    <cellStyle name="Comma 2 2 2 20 2" xfId="6698"/>
    <cellStyle name="Comma 2 2 2 21" xfId="6699"/>
    <cellStyle name="Comma 2 2 2 21 2" xfId="6700"/>
    <cellStyle name="Comma 2 2 2 22" xfId="6701"/>
    <cellStyle name="Comma 2 2 2 22 2" xfId="6702"/>
    <cellStyle name="Comma 2 2 2 23" xfId="6703"/>
    <cellStyle name="Comma 2 2 2 23 2" xfId="6704"/>
    <cellStyle name="Comma 2 2 2 24" xfId="6705"/>
    <cellStyle name="Comma 2 2 2 24 2" xfId="6706"/>
    <cellStyle name="Comma 2 2 2 25" xfId="6707"/>
    <cellStyle name="Comma 2 2 2 25 2" xfId="6708"/>
    <cellStyle name="Comma 2 2 2 26" xfId="6709"/>
    <cellStyle name="Comma 2 2 2 26 2" xfId="6710"/>
    <cellStyle name="Comma 2 2 2 27" xfId="6711"/>
    <cellStyle name="Comma 2 2 2 27 2" xfId="6712"/>
    <cellStyle name="Comma 2 2 2 28" xfId="6713"/>
    <cellStyle name="Comma 2 2 2 28 2" xfId="6714"/>
    <cellStyle name="Comma 2 2 2 29" xfId="6715"/>
    <cellStyle name="Comma 2 2 2 29 2" xfId="6716"/>
    <cellStyle name="Comma 2 2 2 3" xfId="6717"/>
    <cellStyle name="Comma 2 2 2 3 10" xfId="6718"/>
    <cellStyle name="Comma 2 2 2 3 11" xfId="6719"/>
    <cellStyle name="Comma 2 2 2 3 2" xfId="6720"/>
    <cellStyle name="Comma 2 2 2 3 2 2" xfId="6721"/>
    <cellStyle name="Comma 2 2 2 3 2 2 2" xfId="6722"/>
    <cellStyle name="Comma 2 2 2 3 2 2 2 2" xfId="6723"/>
    <cellStyle name="Comma 2 2 2 3 2 2 2 3" xfId="6724"/>
    <cellStyle name="Comma 2 2 2 3 2 2 3" xfId="6725"/>
    <cellStyle name="Comma 2 2 2 3 2 2 4" xfId="6726"/>
    <cellStyle name="Comma 2 2 2 3 2 2 5" xfId="6727"/>
    <cellStyle name="Comma 2 2 2 3 2 2 6" xfId="6728"/>
    <cellStyle name="Comma 2 2 2 3 2 3" xfId="6729"/>
    <cellStyle name="Comma 2 2 2 3 2 3 2" xfId="6730"/>
    <cellStyle name="Comma 2 2 2 3 2 3 2 2" xfId="6731"/>
    <cellStyle name="Comma 2 2 2 3 2 3 3" xfId="6732"/>
    <cellStyle name="Comma 2 2 2 3 2 3 4" xfId="6733"/>
    <cellStyle name="Comma 2 2 2 3 2 3 5" xfId="6734"/>
    <cellStyle name="Comma 2 2 2 3 2 4" xfId="6735"/>
    <cellStyle name="Comma 2 2 2 3 2 4 2" xfId="6736"/>
    <cellStyle name="Comma 2 2 2 3 2 4 3" xfId="6737"/>
    <cellStyle name="Comma 2 2 2 3 2 4 4" xfId="6738"/>
    <cellStyle name="Comma 2 2 2 3 2 5" xfId="6739"/>
    <cellStyle name="Comma 2 2 2 3 2 5 2" xfId="6740"/>
    <cellStyle name="Comma 2 2 2 3 2 6" xfId="6741"/>
    <cellStyle name="Comma 2 2 2 3 2 7" xfId="6742"/>
    <cellStyle name="Comma 2 2 2 3 2 8" xfId="6743"/>
    <cellStyle name="Comma 2 2 2 3 2 9" xfId="6744"/>
    <cellStyle name="Comma 2 2 2 3 3" xfId="6745"/>
    <cellStyle name="Comma 2 2 2 3 3 2" xfId="6746"/>
    <cellStyle name="Comma 2 2 2 3 3 2 2" xfId="6747"/>
    <cellStyle name="Comma 2 2 2 3 3 2 2 2" xfId="6748"/>
    <cellStyle name="Comma 2 2 2 3 3 2 2 3" xfId="6749"/>
    <cellStyle name="Comma 2 2 2 3 3 2 3" xfId="6750"/>
    <cellStyle name="Comma 2 2 2 3 3 2 4" xfId="6751"/>
    <cellStyle name="Comma 2 2 2 3 3 2 5" xfId="6752"/>
    <cellStyle name="Comma 2 2 2 3 3 2 6" xfId="6753"/>
    <cellStyle name="Comma 2 2 2 3 3 3" xfId="6754"/>
    <cellStyle name="Comma 2 2 2 3 3 3 2" xfId="6755"/>
    <cellStyle name="Comma 2 2 2 3 3 3 2 2" xfId="6756"/>
    <cellStyle name="Comma 2 2 2 3 3 3 3" xfId="6757"/>
    <cellStyle name="Comma 2 2 2 3 3 3 4" xfId="6758"/>
    <cellStyle name="Comma 2 2 2 3 3 3 5" xfId="6759"/>
    <cellStyle name="Comma 2 2 2 3 3 4" xfId="6760"/>
    <cellStyle name="Comma 2 2 2 3 3 4 2" xfId="6761"/>
    <cellStyle name="Comma 2 2 2 3 3 4 3" xfId="6762"/>
    <cellStyle name="Comma 2 2 2 3 3 4 4" xfId="6763"/>
    <cellStyle name="Comma 2 2 2 3 3 5" xfId="6764"/>
    <cellStyle name="Comma 2 2 2 3 3 5 2" xfId="6765"/>
    <cellStyle name="Comma 2 2 2 3 3 6" xfId="6766"/>
    <cellStyle name="Comma 2 2 2 3 3 7" xfId="6767"/>
    <cellStyle name="Comma 2 2 2 3 3 8" xfId="6768"/>
    <cellStyle name="Comma 2 2 2 3 3 9" xfId="6769"/>
    <cellStyle name="Comma 2 2 2 3 4" xfId="6770"/>
    <cellStyle name="Comma 2 2 2 3 4 2" xfId="6771"/>
    <cellStyle name="Comma 2 2 2 3 4 2 2" xfId="6772"/>
    <cellStyle name="Comma 2 2 2 3 4 2 3" xfId="6773"/>
    <cellStyle name="Comma 2 2 2 3 4 3" xfId="6774"/>
    <cellStyle name="Comma 2 2 2 3 4 4" xfId="6775"/>
    <cellStyle name="Comma 2 2 2 3 4 5" xfId="6776"/>
    <cellStyle name="Comma 2 2 2 3 4 6" xfId="6777"/>
    <cellStyle name="Comma 2 2 2 3 5" xfId="6778"/>
    <cellStyle name="Comma 2 2 2 3 5 2" xfId="6779"/>
    <cellStyle name="Comma 2 2 2 3 5 2 2" xfId="6780"/>
    <cellStyle name="Comma 2 2 2 3 5 3" xfId="6781"/>
    <cellStyle name="Comma 2 2 2 3 5 4" xfId="6782"/>
    <cellStyle name="Comma 2 2 2 3 5 5" xfId="6783"/>
    <cellStyle name="Comma 2 2 2 3 6" xfId="6784"/>
    <cellStyle name="Comma 2 2 2 3 6 2" xfId="6785"/>
    <cellStyle name="Comma 2 2 2 3 6 3" xfId="6786"/>
    <cellStyle name="Comma 2 2 2 3 6 4" xfId="6787"/>
    <cellStyle name="Comma 2 2 2 3 7" xfId="6788"/>
    <cellStyle name="Comma 2 2 2 3 7 2" xfId="6789"/>
    <cellStyle name="Comma 2 2 2 3 8" xfId="6790"/>
    <cellStyle name="Comma 2 2 2 3 9" xfId="6791"/>
    <cellStyle name="Comma 2 2 2 30" xfId="6792"/>
    <cellStyle name="Comma 2 2 2 30 2" xfId="6793"/>
    <cellStyle name="Comma 2 2 2 31" xfId="6794"/>
    <cellStyle name="Comma 2 2 2 31 2" xfId="6795"/>
    <cellStyle name="Comma 2 2 2 32" xfId="6796"/>
    <cellStyle name="Comma 2 2 2 32 2" xfId="6797"/>
    <cellStyle name="Comma 2 2 2 33" xfId="6798"/>
    <cellStyle name="Comma 2 2 2 33 2" xfId="6799"/>
    <cellStyle name="Comma 2 2 2 34" xfId="6800"/>
    <cellStyle name="Comma 2 2 2 34 2" xfId="6801"/>
    <cellStyle name="Comma 2 2 2 35" xfId="6802"/>
    <cellStyle name="Comma 2 2 2 35 2" xfId="6803"/>
    <cellStyle name="Comma 2 2 2 36" xfId="6804"/>
    <cellStyle name="Comma 2 2 2 37" xfId="6805"/>
    <cellStyle name="Comma 2 2 2 38" xfId="6806"/>
    <cellStyle name="Comma 2 2 2 4" xfId="6807"/>
    <cellStyle name="Comma 2 2 2 4 10" xfId="6808"/>
    <cellStyle name="Comma 2 2 2 4 11" xfId="6809"/>
    <cellStyle name="Comma 2 2 2 4 2" xfId="6810"/>
    <cellStyle name="Comma 2 2 2 4 2 2" xfId="6811"/>
    <cellStyle name="Comma 2 2 2 4 2 2 2" xfId="6812"/>
    <cellStyle name="Comma 2 2 2 4 2 2 2 2" xfId="6813"/>
    <cellStyle name="Comma 2 2 2 4 2 2 2 3" xfId="6814"/>
    <cellStyle name="Comma 2 2 2 4 2 2 3" xfId="6815"/>
    <cellStyle name="Comma 2 2 2 4 2 2 4" xfId="6816"/>
    <cellStyle name="Comma 2 2 2 4 2 2 5" xfId="6817"/>
    <cellStyle name="Comma 2 2 2 4 2 2 6" xfId="6818"/>
    <cellStyle name="Comma 2 2 2 4 2 3" xfId="6819"/>
    <cellStyle name="Comma 2 2 2 4 2 3 2" xfId="6820"/>
    <cellStyle name="Comma 2 2 2 4 2 3 2 2" xfId="6821"/>
    <cellStyle name="Comma 2 2 2 4 2 3 3" xfId="6822"/>
    <cellStyle name="Comma 2 2 2 4 2 3 4" xfId="6823"/>
    <cellStyle name="Comma 2 2 2 4 2 3 5" xfId="6824"/>
    <cellStyle name="Comma 2 2 2 4 2 4" xfId="6825"/>
    <cellStyle name="Comma 2 2 2 4 2 4 2" xfId="6826"/>
    <cellStyle name="Comma 2 2 2 4 2 4 3" xfId="6827"/>
    <cellStyle name="Comma 2 2 2 4 2 4 4" xfId="6828"/>
    <cellStyle name="Comma 2 2 2 4 2 5" xfId="6829"/>
    <cellStyle name="Comma 2 2 2 4 2 5 2" xfId="6830"/>
    <cellStyle name="Comma 2 2 2 4 2 6" xfId="6831"/>
    <cellStyle name="Comma 2 2 2 4 2 7" xfId="6832"/>
    <cellStyle name="Comma 2 2 2 4 2 8" xfId="6833"/>
    <cellStyle name="Comma 2 2 2 4 2 9" xfId="6834"/>
    <cellStyle name="Comma 2 2 2 4 3" xfId="6835"/>
    <cellStyle name="Comma 2 2 2 4 3 2" xfId="6836"/>
    <cellStyle name="Comma 2 2 2 4 3 2 2" xfId="6837"/>
    <cellStyle name="Comma 2 2 2 4 3 2 2 2" xfId="6838"/>
    <cellStyle name="Comma 2 2 2 4 3 2 2 3" xfId="6839"/>
    <cellStyle name="Comma 2 2 2 4 3 2 3" xfId="6840"/>
    <cellStyle name="Comma 2 2 2 4 3 2 4" xfId="6841"/>
    <cellStyle name="Comma 2 2 2 4 3 2 5" xfId="6842"/>
    <cellStyle name="Comma 2 2 2 4 3 2 6" xfId="6843"/>
    <cellStyle name="Comma 2 2 2 4 3 3" xfId="6844"/>
    <cellStyle name="Comma 2 2 2 4 3 3 2" xfId="6845"/>
    <cellStyle name="Comma 2 2 2 4 3 3 2 2" xfId="6846"/>
    <cellStyle name="Comma 2 2 2 4 3 3 3" xfId="6847"/>
    <cellStyle name="Comma 2 2 2 4 3 3 4" xfId="6848"/>
    <cellStyle name="Comma 2 2 2 4 3 3 5" xfId="6849"/>
    <cellStyle name="Comma 2 2 2 4 3 4" xfId="6850"/>
    <cellStyle name="Comma 2 2 2 4 3 4 2" xfId="6851"/>
    <cellStyle name="Comma 2 2 2 4 3 4 3" xfId="6852"/>
    <cellStyle name="Comma 2 2 2 4 3 4 4" xfId="6853"/>
    <cellStyle name="Comma 2 2 2 4 3 5" xfId="6854"/>
    <cellStyle name="Comma 2 2 2 4 3 5 2" xfId="6855"/>
    <cellStyle name="Comma 2 2 2 4 3 6" xfId="6856"/>
    <cellStyle name="Comma 2 2 2 4 3 7" xfId="6857"/>
    <cellStyle name="Comma 2 2 2 4 3 8" xfId="6858"/>
    <cellStyle name="Comma 2 2 2 4 3 9" xfId="6859"/>
    <cellStyle name="Comma 2 2 2 4 4" xfId="6860"/>
    <cellStyle name="Comma 2 2 2 4 4 2" xfId="6861"/>
    <cellStyle name="Comma 2 2 2 4 4 2 2" xfId="6862"/>
    <cellStyle name="Comma 2 2 2 4 4 2 3" xfId="6863"/>
    <cellStyle name="Comma 2 2 2 4 4 3" xfId="6864"/>
    <cellStyle name="Comma 2 2 2 4 4 4" xfId="6865"/>
    <cellStyle name="Comma 2 2 2 4 4 5" xfId="6866"/>
    <cellStyle name="Comma 2 2 2 4 4 6" xfId="6867"/>
    <cellStyle name="Comma 2 2 2 4 5" xfId="6868"/>
    <cellStyle name="Comma 2 2 2 4 5 2" xfId="6869"/>
    <cellStyle name="Comma 2 2 2 4 5 2 2" xfId="6870"/>
    <cellStyle name="Comma 2 2 2 4 5 3" xfId="6871"/>
    <cellStyle name="Comma 2 2 2 4 5 4" xfId="6872"/>
    <cellStyle name="Comma 2 2 2 4 5 5" xfId="6873"/>
    <cellStyle name="Comma 2 2 2 4 6" xfId="6874"/>
    <cellStyle name="Comma 2 2 2 4 6 2" xfId="6875"/>
    <cellStyle name="Comma 2 2 2 4 6 3" xfId="6876"/>
    <cellStyle name="Comma 2 2 2 4 6 4" xfId="6877"/>
    <cellStyle name="Comma 2 2 2 4 7" xfId="6878"/>
    <cellStyle name="Comma 2 2 2 4 7 2" xfId="6879"/>
    <cellStyle name="Comma 2 2 2 4 8" xfId="6880"/>
    <cellStyle name="Comma 2 2 2 4 9" xfId="6881"/>
    <cellStyle name="Comma 2 2 2 5" xfId="6882"/>
    <cellStyle name="Comma 2 2 2 5 10" xfId="6883"/>
    <cellStyle name="Comma 2 2 2 5 11" xfId="6884"/>
    <cellStyle name="Comma 2 2 2 5 2" xfId="6885"/>
    <cellStyle name="Comma 2 2 2 5 2 2" xfId="6886"/>
    <cellStyle name="Comma 2 2 2 5 2 2 2" xfId="6887"/>
    <cellStyle name="Comma 2 2 2 5 2 2 2 2" xfId="6888"/>
    <cellStyle name="Comma 2 2 2 5 2 2 2 3" xfId="6889"/>
    <cellStyle name="Comma 2 2 2 5 2 2 3" xfId="6890"/>
    <cellStyle name="Comma 2 2 2 5 2 2 4" xfId="6891"/>
    <cellStyle name="Comma 2 2 2 5 2 2 5" xfId="6892"/>
    <cellStyle name="Comma 2 2 2 5 2 2 6" xfId="6893"/>
    <cellStyle name="Comma 2 2 2 5 2 3" xfId="6894"/>
    <cellStyle name="Comma 2 2 2 5 2 3 2" xfId="6895"/>
    <cellStyle name="Comma 2 2 2 5 2 3 2 2" xfId="6896"/>
    <cellStyle name="Comma 2 2 2 5 2 3 3" xfId="6897"/>
    <cellStyle name="Comma 2 2 2 5 2 3 4" xfId="6898"/>
    <cellStyle name="Comma 2 2 2 5 2 3 5" xfId="6899"/>
    <cellStyle name="Comma 2 2 2 5 2 4" xfId="6900"/>
    <cellStyle name="Comma 2 2 2 5 2 4 2" xfId="6901"/>
    <cellStyle name="Comma 2 2 2 5 2 4 3" xfId="6902"/>
    <cellStyle name="Comma 2 2 2 5 2 4 4" xfId="6903"/>
    <cellStyle name="Comma 2 2 2 5 2 5" xfId="6904"/>
    <cellStyle name="Comma 2 2 2 5 2 5 2" xfId="6905"/>
    <cellStyle name="Comma 2 2 2 5 2 6" xfId="6906"/>
    <cellStyle name="Comma 2 2 2 5 2 7" xfId="6907"/>
    <cellStyle name="Comma 2 2 2 5 2 8" xfId="6908"/>
    <cellStyle name="Comma 2 2 2 5 2 9" xfId="6909"/>
    <cellStyle name="Comma 2 2 2 5 3" xfId="6910"/>
    <cellStyle name="Comma 2 2 2 5 3 2" xfId="6911"/>
    <cellStyle name="Comma 2 2 2 5 3 2 2" xfId="6912"/>
    <cellStyle name="Comma 2 2 2 5 3 2 2 2" xfId="6913"/>
    <cellStyle name="Comma 2 2 2 5 3 2 2 3" xfId="6914"/>
    <cellStyle name="Comma 2 2 2 5 3 2 3" xfId="6915"/>
    <cellStyle name="Comma 2 2 2 5 3 2 4" xfId="6916"/>
    <cellStyle name="Comma 2 2 2 5 3 2 5" xfId="6917"/>
    <cellStyle name="Comma 2 2 2 5 3 2 6" xfId="6918"/>
    <cellStyle name="Comma 2 2 2 5 3 3" xfId="6919"/>
    <cellStyle name="Comma 2 2 2 5 3 3 2" xfId="6920"/>
    <cellStyle name="Comma 2 2 2 5 3 3 2 2" xfId="6921"/>
    <cellStyle name="Comma 2 2 2 5 3 3 3" xfId="6922"/>
    <cellStyle name="Comma 2 2 2 5 3 3 4" xfId="6923"/>
    <cellStyle name="Comma 2 2 2 5 3 3 5" xfId="6924"/>
    <cellStyle name="Comma 2 2 2 5 3 4" xfId="6925"/>
    <cellStyle name="Comma 2 2 2 5 3 4 2" xfId="6926"/>
    <cellStyle name="Comma 2 2 2 5 3 4 3" xfId="6927"/>
    <cellStyle name="Comma 2 2 2 5 3 4 4" xfId="6928"/>
    <cellStyle name="Comma 2 2 2 5 3 5" xfId="6929"/>
    <cellStyle name="Comma 2 2 2 5 3 5 2" xfId="6930"/>
    <cellStyle name="Comma 2 2 2 5 3 6" xfId="6931"/>
    <cellStyle name="Comma 2 2 2 5 3 7" xfId="6932"/>
    <cellStyle name="Comma 2 2 2 5 3 8" xfId="6933"/>
    <cellStyle name="Comma 2 2 2 5 3 9" xfId="6934"/>
    <cellStyle name="Comma 2 2 2 5 4" xfId="6935"/>
    <cellStyle name="Comma 2 2 2 5 4 2" xfId="6936"/>
    <cellStyle name="Comma 2 2 2 5 4 2 2" xfId="6937"/>
    <cellStyle name="Comma 2 2 2 5 4 2 3" xfId="6938"/>
    <cellStyle name="Comma 2 2 2 5 4 3" xfId="6939"/>
    <cellStyle name="Comma 2 2 2 5 4 4" xfId="6940"/>
    <cellStyle name="Comma 2 2 2 5 4 5" xfId="6941"/>
    <cellStyle name="Comma 2 2 2 5 4 6" xfId="6942"/>
    <cellStyle name="Comma 2 2 2 5 5" xfId="6943"/>
    <cellStyle name="Comma 2 2 2 5 5 2" xfId="6944"/>
    <cellStyle name="Comma 2 2 2 5 5 2 2" xfId="6945"/>
    <cellStyle name="Comma 2 2 2 5 5 3" xfId="6946"/>
    <cellStyle name="Comma 2 2 2 5 5 4" xfId="6947"/>
    <cellStyle name="Comma 2 2 2 5 5 5" xfId="6948"/>
    <cellStyle name="Comma 2 2 2 5 6" xfId="6949"/>
    <cellStyle name="Comma 2 2 2 5 6 2" xfId="6950"/>
    <cellStyle name="Comma 2 2 2 5 6 3" xfId="6951"/>
    <cellStyle name="Comma 2 2 2 5 6 4" xfId="6952"/>
    <cellStyle name="Comma 2 2 2 5 7" xfId="6953"/>
    <cellStyle name="Comma 2 2 2 5 7 2" xfId="6954"/>
    <cellStyle name="Comma 2 2 2 5 8" xfId="6955"/>
    <cellStyle name="Comma 2 2 2 5 9" xfId="6956"/>
    <cellStyle name="Comma 2 2 2 6" xfId="6957"/>
    <cellStyle name="Comma 2 2 2 6 10" xfId="6958"/>
    <cellStyle name="Comma 2 2 2 6 11" xfId="6959"/>
    <cellStyle name="Comma 2 2 2 6 2" xfId="6960"/>
    <cellStyle name="Comma 2 2 2 6 2 2" xfId="6961"/>
    <cellStyle name="Comma 2 2 2 6 2 2 2" xfId="6962"/>
    <cellStyle name="Comma 2 2 2 6 2 2 2 2" xfId="6963"/>
    <cellStyle name="Comma 2 2 2 6 2 2 2 3" xfId="6964"/>
    <cellStyle name="Comma 2 2 2 6 2 2 3" xfId="6965"/>
    <cellStyle name="Comma 2 2 2 6 2 2 4" xfId="6966"/>
    <cellStyle name="Comma 2 2 2 6 2 2 5" xfId="6967"/>
    <cellStyle name="Comma 2 2 2 6 2 2 6" xfId="6968"/>
    <cellStyle name="Comma 2 2 2 6 2 3" xfId="6969"/>
    <cellStyle name="Comma 2 2 2 6 2 3 2" xfId="6970"/>
    <cellStyle name="Comma 2 2 2 6 2 3 2 2" xfId="6971"/>
    <cellStyle name="Comma 2 2 2 6 2 3 3" xfId="6972"/>
    <cellStyle name="Comma 2 2 2 6 2 3 4" xfId="6973"/>
    <cellStyle name="Comma 2 2 2 6 2 3 5" xfId="6974"/>
    <cellStyle name="Comma 2 2 2 6 2 4" xfId="6975"/>
    <cellStyle name="Comma 2 2 2 6 2 4 2" xfId="6976"/>
    <cellStyle name="Comma 2 2 2 6 2 4 3" xfId="6977"/>
    <cellStyle name="Comma 2 2 2 6 2 4 4" xfId="6978"/>
    <cellStyle name="Comma 2 2 2 6 2 5" xfId="6979"/>
    <cellStyle name="Comma 2 2 2 6 2 5 2" xfId="6980"/>
    <cellStyle name="Comma 2 2 2 6 2 6" xfId="6981"/>
    <cellStyle name="Comma 2 2 2 6 2 7" xfId="6982"/>
    <cellStyle name="Comma 2 2 2 6 2 8" xfId="6983"/>
    <cellStyle name="Comma 2 2 2 6 2 9" xfId="6984"/>
    <cellStyle name="Comma 2 2 2 6 3" xfId="6985"/>
    <cellStyle name="Comma 2 2 2 6 3 2" xfId="6986"/>
    <cellStyle name="Comma 2 2 2 6 3 2 2" xfId="6987"/>
    <cellStyle name="Comma 2 2 2 6 3 2 2 2" xfId="6988"/>
    <cellStyle name="Comma 2 2 2 6 3 2 2 3" xfId="6989"/>
    <cellStyle name="Comma 2 2 2 6 3 2 3" xfId="6990"/>
    <cellStyle name="Comma 2 2 2 6 3 2 4" xfId="6991"/>
    <cellStyle name="Comma 2 2 2 6 3 2 5" xfId="6992"/>
    <cellStyle name="Comma 2 2 2 6 3 2 6" xfId="6993"/>
    <cellStyle name="Comma 2 2 2 6 3 3" xfId="6994"/>
    <cellStyle name="Comma 2 2 2 6 3 3 2" xfId="6995"/>
    <cellStyle name="Comma 2 2 2 6 3 3 2 2" xfId="6996"/>
    <cellStyle name="Comma 2 2 2 6 3 3 3" xfId="6997"/>
    <cellStyle name="Comma 2 2 2 6 3 3 4" xfId="6998"/>
    <cellStyle name="Comma 2 2 2 6 3 3 5" xfId="6999"/>
    <cellStyle name="Comma 2 2 2 6 3 4" xfId="7000"/>
    <cellStyle name="Comma 2 2 2 6 3 4 2" xfId="7001"/>
    <cellStyle name="Comma 2 2 2 6 3 4 3" xfId="7002"/>
    <cellStyle name="Comma 2 2 2 6 3 4 4" xfId="7003"/>
    <cellStyle name="Comma 2 2 2 6 3 5" xfId="7004"/>
    <cellStyle name="Comma 2 2 2 6 3 5 2" xfId="7005"/>
    <cellStyle name="Comma 2 2 2 6 3 6" xfId="7006"/>
    <cellStyle name="Comma 2 2 2 6 3 7" xfId="7007"/>
    <cellStyle name="Comma 2 2 2 6 3 8" xfId="7008"/>
    <cellStyle name="Comma 2 2 2 6 3 9" xfId="7009"/>
    <cellStyle name="Comma 2 2 2 6 4" xfId="7010"/>
    <cellStyle name="Comma 2 2 2 6 4 2" xfId="7011"/>
    <cellStyle name="Comma 2 2 2 6 4 2 2" xfId="7012"/>
    <cellStyle name="Comma 2 2 2 6 4 2 3" xfId="7013"/>
    <cellStyle name="Comma 2 2 2 6 4 3" xfId="7014"/>
    <cellStyle name="Comma 2 2 2 6 4 4" xfId="7015"/>
    <cellStyle name="Comma 2 2 2 6 4 5" xfId="7016"/>
    <cellStyle name="Comma 2 2 2 6 4 6" xfId="7017"/>
    <cellStyle name="Comma 2 2 2 6 5" xfId="7018"/>
    <cellStyle name="Comma 2 2 2 6 5 2" xfId="7019"/>
    <cellStyle name="Comma 2 2 2 6 5 2 2" xfId="7020"/>
    <cellStyle name="Comma 2 2 2 6 5 3" xfId="7021"/>
    <cellStyle name="Comma 2 2 2 6 5 4" xfId="7022"/>
    <cellStyle name="Comma 2 2 2 6 5 5" xfId="7023"/>
    <cellStyle name="Comma 2 2 2 6 6" xfId="7024"/>
    <cellStyle name="Comma 2 2 2 6 6 2" xfId="7025"/>
    <cellStyle name="Comma 2 2 2 6 6 3" xfId="7026"/>
    <cellStyle name="Comma 2 2 2 6 6 4" xfId="7027"/>
    <cellStyle name="Comma 2 2 2 6 7" xfId="7028"/>
    <cellStyle name="Comma 2 2 2 6 7 2" xfId="7029"/>
    <cellStyle name="Comma 2 2 2 6 8" xfId="7030"/>
    <cellStyle name="Comma 2 2 2 6 9" xfId="7031"/>
    <cellStyle name="Comma 2 2 2 7" xfId="7032"/>
    <cellStyle name="Comma 2 2 2 7 10" xfId="7033"/>
    <cellStyle name="Comma 2 2 2 7 11" xfId="7034"/>
    <cellStyle name="Comma 2 2 2 7 2" xfId="7035"/>
    <cellStyle name="Comma 2 2 2 7 2 2" xfId="7036"/>
    <cellStyle name="Comma 2 2 2 7 2 2 2" xfId="7037"/>
    <cellStyle name="Comma 2 2 2 7 2 2 2 2" xfId="7038"/>
    <cellStyle name="Comma 2 2 2 7 2 2 2 3" xfId="7039"/>
    <cellStyle name="Comma 2 2 2 7 2 2 3" xfId="7040"/>
    <cellStyle name="Comma 2 2 2 7 2 2 4" xfId="7041"/>
    <cellStyle name="Comma 2 2 2 7 2 2 5" xfId="7042"/>
    <cellStyle name="Comma 2 2 2 7 2 2 6" xfId="7043"/>
    <cellStyle name="Comma 2 2 2 7 2 3" xfId="7044"/>
    <cellStyle name="Comma 2 2 2 7 2 3 2" xfId="7045"/>
    <cellStyle name="Comma 2 2 2 7 2 3 2 2" xfId="7046"/>
    <cellStyle name="Comma 2 2 2 7 2 3 3" xfId="7047"/>
    <cellStyle name="Comma 2 2 2 7 2 3 4" xfId="7048"/>
    <cellStyle name="Comma 2 2 2 7 2 3 5" xfId="7049"/>
    <cellStyle name="Comma 2 2 2 7 2 4" xfId="7050"/>
    <cellStyle name="Comma 2 2 2 7 2 4 2" xfId="7051"/>
    <cellStyle name="Comma 2 2 2 7 2 4 3" xfId="7052"/>
    <cellStyle name="Comma 2 2 2 7 2 4 4" xfId="7053"/>
    <cellStyle name="Comma 2 2 2 7 2 5" xfId="7054"/>
    <cellStyle name="Comma 2 2 2 7 2 5 2" xfId="7055"/>
    <cellStyle name="Comma 2 2 2 7 2 6" xfId="7056"/>
    <cellStyle name="Comma 2 2 2 7 2 7" xfId="7057"/>
    <cellStyle name="Comma 2 2 2 7 2 8" xfId="7058"/>
    <cellStyle name="Comma 2 2 2 7 2 9" xfId="7059"/>
    <cellStyle name="Comma 2 2 2 7 3" xfId="7060"/>
    <cellStyle name="Comma 2 2 2 7 3 2" xfId="7061"/>
    <cellStyle name="Comma 2 2 2 7 3 2 2" xfId="7062"/>
    <cellStyle name="Comma 2 2 2 7 3 2 2 2" xfId="7063"/>
    <cellStyle name="Comma 2 2 2 7 3 2 2 3" xfId="7064"/>
    <cellStyle name="Comma 2 2 2 7 3 2 3" xfId="7065"/>
    <cellStyle name="Comma 2 2 2 7 3 2 4" xfId="7066"/>
    <cellStyle name="Comma 2 2 2 7 3 2 5" xfId="7067"/>
    <cellStyle name="Comma 2 2 2 7 3 2 6" xfId="7068"/>
    <cellStyle name="Comma 2 2 2 7 3 3" xfId="7069"/>
    <cellStyle name="Comma 2 2 2 7 3 3 2" xfId="7070"/>
    <cellStyle name="Comma 2 2 2 7 3 3 2 2" xfId="7071"/>
    <cellStyle name="Comma 2 2 2 7 3 3 3" xfId="7072"/>
    <cellStyle name="Comma 2 2 2 7 3 3 4" xfId="7073"/>
    <cellStyle name="Comma 2 2 2 7 3 3 5" xfId="7074"/>
    <cellStyle name="Comma 2 2 2 7 3 4" xfId="7075"/>
    <cellStyle name="Comma 2 2 2 7 3 4 2" xfId="7076"/>
    <cellStyle name="Comma 2 2 2 7 3 4 3" xfId="7077"/>
    <cellStyle name="Comma 2 2 2 7 3 4 4" xfId="7078"/>
    <cellStyle name="Comma 2 2 2 7 3 5" xfId="7079"/>
    <cellStyle name="Comma 2 2 2 7 3 5 2" xfId="7080"/>
    <cellStyle name="Comma 2 2 2 7 3 6" xfId="7081"/>
    <cellStyle name="Comma 2 2 2 7 3 7" xfId="7082"/>
    <cellStyle name="Comma 2 2 2 7 3 8" xfId="7083"/>
    <cellStyle name="Comma 2 2 2 7 3 9" xfId="7084"/>
    <cellStyle name="Comma 2 2 2 7 4" xfId="7085"/>
    <cellStyle name="Comma 2 2 2 7 4 2" xfId="7086"/>
    <cellStyle name="Comma 2 2 2 7 4 2 2" xfId="7087"/>
    <cellStyle name="Comma 2 2 2 7 4 2 3" xfId="7088"/>
    <cellStyle name="Comma 2 2 2 7 4 3" xfId="7089"/>
    <cellStyle name="Comma 2 2 2 7 4 4" xfId="7090"/>
    <cellStyle name="Comma 2 2 2 7 4 5" xfId="7091"/>
    <cellStyle name="Comma 2 2 2 7 4 6" xfId="7092"/>
    <cellStyle name="Comma 2 2 2 7 5" xfId="7093"/>
    <cellStyle name="Comma 2 2 2 7 5 2" xfId="7094"/>
    <cellStyle name="Comma 2 2 2 7 5 2 2" xfId="7095"/>
    <cellStyle name="Comma 2 2 2 7 5 3" xfId="7096"/>
    <cellStyle name="Comma 2 2 2 7 5 4" xfId="7097"/>
    <cellStyle name="Comma 2 2 2 7 5 5" xfId="7098"/>
    <cellStyle name="Comma 2 2 2 7 6" xfId="7099"/>
    <cellStyle name="Comma 2 2 2 7 6 2" xfId="7100"/>
    <cellStyle name="Comma 2 2 2 7 6 3" xfId="7101"/>
    <cellStyle name="Comma 2 2 2 7 6 4" xfId="7102"/>
    <cellStyle name="Comma 2 2 2 7 7" xfId="7103"/>
    <cellStyle name="Comma 2 2 2 7 7 2" xfId="7104"/>
    <cellStyle name="Comma 2 2 2 7 8" xfId="7105"/>
    <cellStyle name="Comma 2 2 2 7 9" xfId="7106"/>
    <cellStyle name="Comma 2 2 2 8" xfId="7107"/>
    <cellStyle name="Comma 2 2 2 8 10" xfId="7108"/>
    <cellStyle name="Comma 2 2 2 8 2" xfId="7109"/>
    <cellStyle name="Comma 2 2 2 8 2 2" xfId="7110"/>
    <cellStyle name="Comma 2 2 2 8 2 2 2" xfId="7111"/>
    <cellStyle name="Comma 2 2 2 8 2 2 3" xfId="7112"/>
    <cellStyle name="Comma 2 2 2 8 2 3" xfId="7113"/>
    <cellStyle name="Comma 2 2 2 8 2 4" xfId="7114"/>
    <cellStyle name="Comma 2 2 2 8 2 5" xfId="7115"/>
    <cellStyle name="Comma 2 2 2 8 2 6" xfId="7116"/>
    <cellStyle name="Comma 2 2 2 8 3" xfId="7117"/>
    <cellStyle name="Comma 2 2 2 8 3 2" xfId="7118"/>
    <cellStyle name="Comma 2 2 2 8 3 2 2" xfId="7119"/>
    <cellStyle name="Comma 2 2 2 8 3 2 3" xfId="7120"/>
    <cellStyle name="Comma 2 2 2 8 3 3" xfId="7121"/>
    <cellStyle name="Comma 2 2 2 8 3 4" xfId="7122"/>
    <cellStyle name="Comma 2 2 2 8 3 5" xfId="7123"/>
    <cellStyle name="Comma 2 2 2 8 3 6" xfId="7124"/>
    <cellStyle name="Comma 2 2 2 8 4" xfId="7125"/>
    <cellStyle name="Comma 2 2 2 8 4 2" xfId="7126"/>
    <cellStyle name="Comma 2 2 2 8 4 2 2" xfId="7127"/>
    <cellStyle name="Comma 2 2 2 8 4 3" xfId="7128"/>
    <cellStyle name="Comma 2 2 2 8 4 4" xfId="7129"/>
    <cellStyle name="Comma 2 2 2 8 4 5" xfId="7130"/>
    <cellStyle name="Comma 2 2 2 8 5" xfId="7131"/>
    <cellStyle name="Comma 2 2 2 8 5 2" xfId="7132"/>
    <cellStyle name="Comma 2 2 2 8 5 3" xfId="7133"/>
    <cellStyle name="Comma 2 2 2 8 5 4" xfId="7134"/>
    <cellStyle name="Comma 2 2 2 8 6" xfId="7135"/>
    <cellStyle name="Comma 2 2 2 8 6 2" xfId="7136"/>
    <cellStyle name="Comma 2 2 2 8 7" xfId="7137"/>
    <cellStyle name="Comma 2 2 2 8 8" xfId="7138"/>
    <cellStyle name="Comma 2 2 2 8 9" xfId="7139"/>
    <cellStyle name="Comma 2 2 2 9" xfId="7140"/>
    <cellStyle name="Comma 2 2 2 9 10" xfId="7141"/>
    <cellStyle name="Comma 2 2 2 9 2" xfId="7142"/>
    <cellStyle name="Comma 2 2 2 9 2 2" xfId="7143"/>
    <cellStyle name="Comma 2 2 2 9 2 2 2" xfId="7144"/>
    <cellStyle name="Comma 2 2 2 9 2 2 3" xfId="7145"/>
    <cellStyle name="Comma 2 2 2 9 2 3" xfId="7146"/>
    <cellStyle name="Comma 2 2 2 9 2 4" xfId="7147"/>
    <cellStyle name="Comma 2 2 2 9 2 5" xfId="7148"/>
    <cellStyle name="Comma 2 2 2 9 2 6" xfId="7149"/>
    <cellStyle name="Comma 2 2 2 9 3" xfId="7150"/>
    <cellStyle name="Comma 2 2 2 9 3 2" xfId="7151"/>
    <cellStyle name="Comma 2 2 2 9 3 2 2" xfId="7152"/>
    <cellStyle name="Comma 2 2 2 9 3 2 3" xfId="7153"/>
    <cellStyle name="Comma 2 2 2 9 3 3" xfId="7154"/>
    <cellStyle name="Comma 2 2 2 9 3 4" xfId="7155"/>
    <cellStyle name="Comma 2 2 2 9 3 5" xfId="7156"/>
    <cellStyle name="Comma 2 2 2 9 3 6" xfId="7157"/>
    <cellStyle name="Comma 2 2 2 9 4" xfId="7158"/>
    <cellStyle name="Comma 2 2 2 9 4 2" xfId="7159"/>
    <cellStyle name="Comma 2 2 2 9 4 2 2" xfId="7160"/>
    <cellStyle name="Comma 2 2 2 9 4 3" xfId="7161"/>
    <cellStyle name="Comma 2 2 2 9 4 4" xfId="7162"/>
    <cellStyle name="Comma 2 2 2 9 4 5" xfId="7163"/>
    <cellStyle name="Comma 2 2 2 9 5" xfId="7164"/>
    <cellStyle name="Comma 2 2 2 9 5 2" xfId="7165"/>
    <cellStyle name="Comma 2 2 2 9 5 3" xfId="7166"/>
    <cellStyle name="Comma 2 2 2 9 5 4" xfId="7167"/>
    <cellStyle name="Comma 2 2 2 9 6" xfId="7168"/>
    <cellStyle name="Comma 2 2 2 9 6 2" xfId="7169"/>
    <cellStyle name="Comma 2 2 2 9 7" xfId="7170"/>
    <cellStyle name="Comma 2 2 2 9 8" xfId="7171"/>
    <cellStyle name="Comma 2 2 2 9 9" xfId="7172"/>
    <cellStyle name="Comma 2 2 20" xfId="7173"/>
    <cellStyle name="Comma 2 2 20 10" xfId="7174"/>
    <cellStyle name="Comma 2 2 20 2" xfId="7175"/>
    <cellStyle name="Comma 2 2 20 2 2" xfId="7176"/>
    <cellStyle name="Comma 2 2 20 2 2 2" xfId="7177"/>
    <cellStyle name="Comma 2 2 20 2 2 3" xfId="7178"/>
    <cellStyle name="Comma 2 2 20 2 3" xfId="7179"/>
    <cellStyle name="Comma 2 2 20 2 4" xfId="7180"/>
    <cellStyle name="Comma 2 2 20 2 5" xfId="7181"/>
    <cellStyle name="Comma 2 2 20 2 6" xfId="7182"/>
    <cellStyle name="Comma 2 2 20 3" xfId="7183"/>
    <cellStyle name="Comma 2 2 20 3 2" xfId="7184"/>
    <cellStyle name="Comma 2 2 20 3 2 2" xfId="7185"/>
    <cellStyle name="Comma 2 2 20 3 2 3" xfId="7186"/>
    <cellStyle name="Comma 2 2 20 3 3" xfId="7187"/>
    <cellStyle name="Comma 2 2 20 3 4" xfId="7188"/>
    <cellStyle name="Comma 2 2 20 3 5" xfId="7189"/>
    <cellStyle name="Comma 2 2 20 3 6" xfId="7190"/>
    <cellStyle name="Comma 2 2 20 4" xfId="7191"/>
    <cellStyle name="Comma 2 2 20 4 2" xfId="7192"/>
    <cellStyle name="Comma 2 2 20 4 2 2" xfId="7193"/>
    <cellStyle name="Comma 2 2 20 4 3" xfId="7194"/>
    <cellStyle name="Comma 2 2 20 4 4" xfId="7195"/>
    <cellStyle name="Comma 2 2 20 4 5" xfId="7196"/>
    <cellStyle name="Comma 2 2 20 5" xfId="7197"/>
    <cellStyle name="Comma 2 2 20 5 2" xfId="7198"/>
    <cellStyle name="Comma 2 2 20 5 3" xfId="7199"/>
    <cellStyle name="Comma 2 2 20 5 4" xfId="7200"/>
    <cellStyle name="Comma 2 2 20 6" xfId="7201"/>
    <cellStyle name="Comma 2 2 20 6 2" xfId="7202"/>
    <cellStyle name="Comma 2 2 20 7" xfId="7203"/>
    <cellStyle name="Comma 2 2 20 8" xfId="7204"/>
    <cellStyle name="Comma 2 2 20 9" xfId="7205"/>
    <cellStyle name="Comma 2 2 21" xfId="7206"/>
    <cellStyle name="Comma 2 2 21 10" xfId="7207"/>
    <cellStyle name="Comma 2 2 21 2" xfId="7208"/>
    <cellStyle name="Comma 2 2 21 2 2" xfId="7209"/>
    <cellStyle name="Comma 2 2 21 2 2 2" xfId="7210"/>
    <cellStyle name="Comma 2 2 21 2 2 3" xfId="7211"/>
    <cellStyle name="Comma 2 2 21 2 3" xfId="7212"/>
    <cellStyle name="Comma 2 2 21 2 4" xfId="7213"/>
    <cellStyle name="Comma 2 2 21 2 5" xfId="7214"/>
    <cellStyle name="Comma 2 2 21 2 6" xfId="7215"/>
    <cellStyle name="Comma 2 2 21 3" xfId="7216"/>
    <cellStyle name="Comma 2 2 21 3 2" xfId="7217"/>
    <cellStyle name="Comma 2 2 21 3 2 2" xfId="7218"/>
    <cellStyle name="Comma 2 2 21 3 2 3" xfId="7219"/>
    <cellStyle name="Comma 2 2 21 3 3" xfId="7220"/>
    <cellStyle name="Comma 2 2 21 3 4" xfId="7221"/>
    <cellStyle name="Comma 2 2 21 3 5" xfId="7222"/>
    <cellStyle name="Comma 2 2 21 3 6" xfId="7223"/>
    <cellStyle name="Comma 2 2 21 4" xfId="7224"/>
    <cellStyle name="Comma 2 2 21 4 2" xfId="7225"/>
    <cellStyle name="Comma 2 2 21 4 2 2" xfId="7226"/>
    <cellStyle name="Comma 2 2 21 4 3" xfId="7227"/>
    <cellStyle name="Comma 2 2 21 4 4" xfId="7228"/>
    <cellStyle name="Comma 2 2 21 4 5" xfId="7229"/>
    <cellStyle name="Comma 2 2 21 5" xfId="7230"/>
    <cellStyle name="Comma 2 2 21 5 2" xfId="7231"/>
    <cellStyle name="Comma 2 2 21 5 3" xfId="7232"/>
    <cellStyle name="Comma 2 2 21 5 4" xfId="7233"/>
    <cellStyle name="Comma 2 2 21 6" xfId="7234"/>
    <cellStyle name="Comma 2 2 21 6 2" xfId="7235"/>
    <cellStyle name="Comma 2 2 21 7" xfId="7236"/>
    <cellStyle name="Comma 2 2 21 8" xfId="7237"/>
    <cellStyle name="Comma 2 2 21 9" xfId="7238"/>
    <cellStyle name="Comma 2 2 22" xfId="7239"/>
    <cellStyle name="Comma 2 2 22 10" xfId="7240"/>
    <cellStyle name="Comma 2 2 22 2" xfId="7241"/>
    <cellStyle name="Comma 2 2 22 2 2" xfId="7242"/>
    <cellStyle name="Comma 2 2 22 2 2 2" xfId="7243"/>
    <cellStyle name="Comma 2 2 22 2 2 3" xfId="7244"/>
    <cellStyle name="Comma 2 2 22 2 3" xfId="7245"/>
    <cellStyle name="Comma 2 2 22 2 4" xfId="7246"/>
    <cellStyle name="Comma 2 2 22 2 5" xfId="7247"/>
    <cellStyle name="Comma 2 2 22 2 6" xfId="7248"/>
    <cellStyle name="Comma 2 2 22 3" xfId="7249"/>
    <cellStyle name="Comma 2 2 22 3 2" xfId="7250"/>
    <cellStyle name="Comma 2 2 22 3 2 2" xfId="7251"/>
    <cellStyle name="Comma 2 2 22 3 2 3" xfId="7252"/>
    <cellStyle name="Comma 2 2 22 3 3" xfId="7253"/>
    <cellStyle name="Comma 2 2 22 3 4" xfId="7254"/>
    <cellStyle name="Comma 2 2 22 3 5" xfId="7255"/>
    <cellStyle name="Comma 2 2 22 3 6" xfId="7256"/>
    <cellStyle name="Comma 2 2 22 4" xfId="7257"/>
    <cellStyle name="Comma 2 2 22 4 2" xfId="7258"/>
    <cellStyle name="Comma 2 2 22 4 2 2" xfId="7259"/>
    <cellStyle name="Comma 2 2 22 4 3" xfId="7260"/>
    <cellStyle name="Comma 2 2 22 4 4" xfId="7261"/>
    <cellStyle name="Comma 2 2 22 4 5" xfId="7262"/>
    <cellStyle name="Comma 2 2 22 5" xfId="7263"/>
    <cellStyle name="Comma 2 2 22 5 2" xfId="7264"/>
    <cellStyle name="Comma 2 2 22 5 3" xfId="7265"/>
    <cellStyle name="Comma 2 2 22 5 4" xfId="7266"/>
    <cellStyle name="Comma 2 2 22 6" xfId="7267"/>
    <cellStyle name="Comma 2 2 22 6 2" xfId="7268"/>
    <cellStyle name="Comma 2 2 22 7" xfId="7269"/>
    <cellStyle name="Comma 2 2 22 8" xfId="7270"/>
    <cellStyle name="Comma 2 2 22 9" xfId="7271"/>
    <cellStyle name="Comma 2 2 23" xfId="7272"/>
    <cellStyle name="Comma 2 2 23 10" xfId="7273"/>
    <cellStyle name="Comma 2 2 23 2" xfId="7274"/>
    <cellStyle name="Comma 2 2 23 2 2" xfId="7275"/>
    <cellStyle name="Comma 2 2 23 2 2 2" xfId="7276"/>
    <cellStyle name="Comma 2 2 23 2 2 3" xfId="7277"/>
    <cellStyle name="Comma 2 2 23 2 3" xfId="7278"/>
    <cellStyle name="Comma 2 2 23 2 4" xfId="7279"/>
    <cellStyle name="Comma 2 2 23 2 5" xfId="7280"/>
    <cellStyle name="Comma 2 2 23 2 6" xfId="7281"/>
    <cellStyle name="Comma 2 2 23 3" xfId="7282"/>
    <cellStyle name="Comma 2 2 23 3 2" xfId="7283"/>
    <cellStyle name="Comma 2 2 23 3 2 2" xfId="7284"/>
    <cellStyle name="Comma 2 2 23 3 2 3" xfId="7285"/>
    <cellStyle name="Comma 2 2 23 3 3" xfId="7286"/>
    <cellStyle name="Comma 2 2 23 3 4" xfId="7287"/>
    <cellStyle name="Comma 2 2 23 3 5" xfId="7288"/>
    <cellStyle name="Comma 2 2 23 3 6" xfId="7289"/>
    <cellStyle name="Comma 2 2 23 4" xfId="7290"/>
    <cellStyle name="Comma 2 2 23 4 2" xfId="7291"/>
    <cellStyle name="Comma 2 2 23 4 2 2" xfId="7292"/>
    <cellStyle name="Comma 2 2 23 4 3" xfId="7293"/>
    <cellStyle name="Comma 2 2 23 4 4" xfId="7294"/>
    <cellStyle name="Comma 2 2 23 4 5" xfId="7295"/>
    <cellStyle name="Comma 2 2 23 5" xfId="7296"/>
    <cellStyle name="Comma 2 2 23 5 2" xfId="7297"/>
    <cellStyle name="Comma 2 2 23 5 3" xfId="7298"/>
    <cellStyle name="Comma 2 2 23 5 4" xfId="7299"/>
    <cellStyle name="Comma 2 2 23 6" xfId="7300"/>
    <cellStyle name="Comma 2 2 23 6 2" xfId="7301"/>
    <cellStyle name="Comma 2 2 23 7" xfId="7302"/>
    <cellStyle name="Comma 2 2 23 8" xfId="7303"/>
    <cellStyle name="Comma 2 2 23 9" xfId="7304"/>
    <cellStyle name="Comma 2 2 24" xfId="7305"/>
    <cellStyle name="Comma 2 2 24 10" xfId="7306"/>
    <cellStyle name="Comma 2 2 24 2" xfId="7307"/>
    <cellStyle name="Comma 2 2 24 2 2" xfId="7308"/>
    <cellStyle name="Comma 2 2 24 2 2 2" xfId="7309"/>
    <cellStyle name="Comma 2 2 24 2 2 3" xfId="7310"/>
    <cellStyle name="Comma 2 2 24 2 3" xfId="7311"/>
    <cellStyle name="Comma 2 2 24 2 4" xfId="7312"/>
    <cellStyle name="Comma 2 2 24 2 5" xfId="7313"/>
    <cellStyle name="Comma 2 2 24 2 6" xfId="7314"/>
    <cellStyle name="Comma 2 2 24 3" xfId="7315"/>
    <cellStyle name="Comma 2 2 24 3 2" xfId="7316"/>
    <cellStyle name="Comma 2 2 24 3 2 2" xfId="7317"/>
    <cellStyle name="Comma 2 2 24 3 2 3" xfId="7318"/>
    <cellStyle name="Comma 2 2 24 3 3" xfId="7319"/>
    <cellStyle name="Comma 2 2 24 3 4" xfId="7320"/>
    <cellStyle name="Comma 2 2 24 3 5" xfId="7321"/>
    <cellStyle name="Comma 2 2 24 3 6" xfId="7322"/>
    <cellStyle name="Comma 2 2 24 4" xfId="7323"/>
    <cellStyle name="Comma 2 2 24 4 2" xfId="7324"/>
    <cellStyle name="Comma 2 2 24 4 2 2" xfId="7325"/>
    <cellStyle name="Comma 2 2 24 4 3" xfId="7326"/>
    <cellStyle name="Comma 2 2 24 4 4" xfId="7327"/>
    <cellStyle name="Comma 2 2 24 4 5" xfId="7328"/>
    <cellStyle name="Comma 2 2 24 5" xfId="7329"/>
    <cellStyle name="Comma 2 2 24 5 2" xfId="7330"/>
    <cellStyle name="Comma 2 2 24 5 3" xfId="7331"/>
    <cellStyle name="Comma 2 2 24 5 4" xfId="7332"/>
    <cellStyle name="Comma 2 2 24 6" xfId="7333"/>
    <cellStyle name="Comma 2 2 24 6 2" xfId="7334"/>
    <cellStyle name="Comma 2 2 24 7" xfId="7335"/>
    <cellStyle name="Comma 2 2 24 8" xfId="7336"/>
    <cellStyle name="Comma 2 2 24 9" xfId="7337"/>
    <cellStyle name="Comma 2 2 25" xfId="7338"/>
    <cellStyle name="Comma 2 2 25 10" xfId="7339"/>
    <cellStyle name="Comma 2 2 25 2" xfId="7340"/>
    <cellStyle name="Comma 2 2 25 2 2" xfId="7341"/>
    <cellStyle name="Comma 2 2 25 2 2 2" xfId="7342"/>
    <cellStyle name="Comma 2 2 25 2 2 3" xfId="7343"/>
    <cellStyle name="Comma 2 2 25 2 3" xfId="7344"/>
    <cellStyle name="Comma 2 2 25 2 4" xfId="7345"/>
    <cellStyle name="Comma 2 2 25 2 5" xfId="7346"/>
    <cellStyle name="Comma 2 2 25 2 6" xfId="7347"/>
    <cellStyle name="Comma 2 2 25 3" xfId="7348"/>
    <cellStyle name="Comma 2 2 25 3 2" xfId="7349"/>
    <cellStyle name="Comma 2 2 25 3 2 2" xfId="7350"/>
    <cellStyle name="Comma 2 2 25 3 2 3" xfId="7351"/>
    <cellStyle name="Comma 2 2 25 3 3" xfId="7352"/>
    <cellStyle name="Comma 2 2 25 3 4" xfId="7353"/>
    <cellStyle name="Comma 2 2 25 3 5" xfId="7354"/>
    <cellStyle name="Comma 2 2 25 3 6" xfId="7355"/>
    <cellStyle name="Comma 2 2 25 4" xfId="7356"/>
    <cellStyle name="Comma 2 2 25 4 2" xfId="7357"/>
    <cellStyle name="Comma 2 2 25 4 2 2" xfId="7358"/>
    <cellStyle name="Comma 2 2 25 4 3" xfId="7359"/>
    <cellStyle name="Comma 2 2 25 4 4" xfId="7360"/>
    <cellStyle name="Comma 2 2 25 4 5" xfId="7361"/>
    <cellStyle name="Comma 2 2 25 5" xfId="7362"/>
    <cellStyle name="Comma 2 2 25 5 2" xfId="7363"/>
    <cellStyle name="Comma 2 2 25 5 3" xfId="7364"/>
    <cellStyle name="Comma 2 2 25 5 4" xfId="7365"/>
    <cellStyle name="Comma 2 2 25 6" xfId="7366"/>
    <cellStyle name="Comma 2 2 25 6 2" xfId="7367"/>
    <cellStyle name="Comma 2 2 25 7" xfId="7368"/>
    <cellStyle name="Comma 2 2 25 8" xfId="7369"/>
    <cellStyle name="Comma 2 2 25 9" xfId="7370"/>
    <cellStyle name="Comma 2 2 26" xfId="7371"/>
    <cellStyle name="Comma 2 2 26 10" xfId="7372"/>
    <cellStyle name="Comma 2 2 26 2" xfId="7373"/>
    <cellStyle name="Comma 2 2 26 2 2" xfId="7374"/>
    <cellStyle name="Comma 2 2 26 2 2 2" xfId="7375"/>
    <cellStyle name="Comma 2 2 26 2 2 3" xfId="7376"/>
    <cellStyle name="Comma 2 2 26 2 3" xfId="7377"/>
    <cellStyle name="Comma 2 2 26 2 4" xfId="7378"/>
    <cellStyle name="Comma 2 2 26 2 5" xfId="7379"/>
    <cellStyle name="Comma 2 2 26 2 6" xfId="7380"/>
    <cellStyle name="Comma 2 2 26 3" xfId="7381"/>
    <cellStyle name="Comma 2 2 26 3 2" xfId="7382"/>
    <cellStyle name="Comma 2 2 26 3 2 2" xfId="7383"/>
    <cellStyle name="Comma 2 2 26 3 2 3" xfId="7384"/>
    <cellStyle name="Comma 2 2 26 3 3" xfId="7385"/>
    <cellStyle name="Comma 2 2 26 3 4" xfId="7386"/>
    <cellStyle name="Comma 2 2 26 3 5" xfId="7387"/>
    <cellStyle name="Comma 2 2 26 3 6" xfId="7388"/>
    <cellStyle name="Comma 2 2 26 4" xfId="7389"/>
    <cellStyle name="Comma 2 2 26 4 2" xfId="7390"/>
    <cellStyle name="Comma 2 2 26 4 2 2" xfId="7391"/>
    <cellStyle name="Comma 2 2 26 4 3" xfId="7392"/>
    <cellStyle name="Comma 2 2 26 4 4" xfId="7393"/>
    <cellStyle name="Comma 2 2 26 4 5" xfId="7394"/>
    <cellStyle name="Comma 2 2 26 5" xfId="7395"/>
    <cellStyle name="Comma 2 2 26 5 2" xfId="7396"/>
    <cellStyle name="Comma 2 2 26 5 3" xfId="7397"/>
    <cellStyle name="Comma 2 2 26 5 4" xfId="7398"/>
    <cellStyle name="Comma 2 2 26 6" xfId="7399"/>
    <cellStyle name="Comma 2 2 26 6 2" xfId="7400"/>
    <cellStyle name="Comma 2 2 26 7" xfId="7401"/>
    <cellStyle name="Comma 2 2 26 8" xfId="7402"/>
    <cellStyle name="Comma 2 2 26 9" xfId="7403"/>
    <cellStyle name="Comma 2 2 27" xfId="7404"/>
    <cellStyle name="Comma 2 2 27 10" xfId="7405"/>
    <cellStyle name="Comma 2 2 27 2" xfId="7406"/>
    <cellStyle name="Comma 2 2 27 2 2" xfId="7407"/>
    <cellStyle name="Comma 2 2 27 2 2 2" xfId="7408"/>
    <cellStyle name="Comma 2 2 27 2 2 3" xfId="7409"/>
    <cellStyle name="Comma 2 2 27 2 3" xfId="7410"/>
    <cellStyle name="Comma 2 2 27 2 4" xfId="7411"/>
    <cellStyle name="Comma 2 2 27 2 5" xfId="7412"/>
    <cellStyle name="Comma 2 2 27 2 6" xfId="7413"/>
    <cellStyle name="Comma 2 2 27 3" xfId="7414"/>
    <cellStyle name="Comma 2 2 27 3 2" xfId="7415"/>
    <cellStyle name="Comma 2 2 27 3 2 2" xfId="7416"/>
    <cellStyle name="Comma 2 2 27 3 2 3" xfId="7417"/>
    <cellStyle name="Comma 2 2 27 3 3" xfId="7418"/>
    <cellStyle name="Comma 2 2 27 3 4" xfId="7419"/>
    <cellStyle name="Comma 2 2 27 3 5" xfId="7420"/>
    <cellStyle name="Comma 2 2 27 3 6" xfId="7421"/>
    <cellStyle name="Comma 2 2 27 4" xfId="7422"/>
    <cellStyle name="Comma 2 2 27 4 2" xfId="7423"/>
    <cellStyle name="Comma 2 2 27 4 2 2" xfId="7424"/>
    <cellStyle name="Comma 2 2 27 4 3" xfId="7425"/>
    <cellStyle name="Comma 2 2 27 4 4" xfId="7426"/>
    <cellStyle name="Comma 2 2 27 4 5" xfId="7427"/>
    <cellStyle name="Comma 2 2 27 5" xfId="7428"/>
    <cellStyle name="Comma 2 2 27 5 2" xfId="7429"/>
    <cellStyle name="Comma 2 2 27 5 3" xfId="7430"/>
    <cellStyle name="Comma 2 2 27 5 4" xfId="7431"/>
    <cellStyle name="Comma 2 2 27 6" xfId="7432"/>
    <cellStyle name="Comma 2 2 27 6 2" xfId="7433"/>
    <cellStyle name="Comma 2 2 27 7" xfId="7434"/>
    <cellStyle name="Comma 2 2 27 8" xfId="7435"/>
    <cellStyle name="Comma 2 2 27 9" xfId="7436"/>
    <cellStyle name="Comma 2 2 28" xfId="7437"/>
    <cellStyle name="Comma 2 2 28 10" xfId="7438"/>
    <cellStyle name="Comma 2 2 28 2" xfId="7439"/>
    <cellStyle name="Comma 2 2 28 2 2" xfId="7440"/>
    <cellStyle name="Comma 2 2 28 2 2 2" xfId="7441"/>
    <cellStyle name="Comma 2 2 28 2 2 3" xfId="7442"/>
    <cellStyle name="Comma 2 2 28 2 3" xfId="7443"/>
    <cellStyle name="Comma 2 2 28 2 4" xfId="7444"/>
    <cellStyle name="Comma 2 2 28 2 5" xfId="7445"/>
    <cellStyle name="Comma 2 2 28 2 6" xfId="7446"/>
    <cellStyle name="Comma 2 2 28 3" xfId="7447"/>
    <cellStyle name="Comma 2 2 28 3 2" xfId="7448"/>
    <cellStyle name="Comma 2 2 28 3 2 2" xfId="7449"/>
    <cellStyle name="Comma 2 2 28 3 2 3" xfId="7450"/>
    <cellStyle name="Comma 2 2 28 3 3" xfId="7451"/>
    <cellStyle name="Comma 2 2 28 3 4" xfId="7452"/>
    <cellStyle name="Comma 2 2 28 3 5" xfId="7453"/>
    <cellStyle name="Comma 2 2 28 3 6" xfId="7454"/>
    <cellStyle name="Comma 2 2 28 4" xfId="7455"/>
    <cellStyle name="Comma 2 2 28 4 2" xfId="7456"/>
    <cellStyle name="Comma 2 2 28 4 2 2" xfId="7457"/>
    <cellStyle name="Comma 2 2 28 4 3" xfId="7458"/>
    <cellStyle name="Comma 2 2 28 4 4" xfId="7459"/>
    <cellStyle name="Comma 2 2 28 4 5" xfId="7460"/>
    <cellStyle name="Comma 2 2 28 5" xfId="7461"/>
    <cellStyle name="Comma 2 2 28 5 2" xfId="7462"/>
    <cellStyle name="Comma 2 2 28 5 3" xfId="7463"/>
    <cellStyle name="Comma 2 2 28 5 4" xfId="7464"/>
    <cellStyle name="Comma 2 2 28 6" xfId="7465"/>
    <cellStyle name="Comma 2 2 28 6 2" xfId="7466"/>
    <cellStyle name="Comma 2 2 28 7" xfId="7467"/>
    <cellStyle name="Comma 2 2 28 8" xfId="7468"/>
    <cellStyle name="Comma 2 2 28 9" xfId="7469"/>
    <cellStyle name="Comma 2 2 29" xfId="7470"/>
    <cellStyle name="Comma 2 2 29 2" xfId="7471"/>
    <cellStyle name="Comma 2 2 29 2 2" xfId="7472"/>
    <cellStyle name="Comma 2 2 29 2 2 2" xfId="7473"/>
    <cellStyle name="Comma 2 2 29 2 2 3" xfId="7474"/>
    <cellStyle name="Comma 2 2 29 2 3" xfId="7475"/>
    <cellStyle name="Comma 2 2 29 2 4" xfId="7476"/>
    <cellStyle name="Comma 2 2 29 2 5" xfId="7477"/>
    <cellStyle name="Comma 2 2 29 2 6" xfId="7478"/>
    <cellStyle name="Comma 2 2 29 3" xfId="7479"/>
    <cellStyle name="Comma 2 2 29 3 2" xfId="7480"/>
    <cellStyle name="Comma 2 2 29 3 2 2" xfId="7481"/>
    <cellStyle name="Comma 2 2 29 3 3" xfId="7482"/>
    <cellStyle name="Comma 2 2 29 3 4" xfId="7483"/>
    <cellStyle name="Comma 2 2 29 3 5" xfId="7484"/>
    <cellStyle name="Comma 2 2 29 4" xfId="7485"/>
    <cellStyle name="Comma 2 2 29 4 2" xfId="7486"/>
    <cellStyle name="Comma 2 2 29 4 3" xfId="7487"/>
    <cellStyle name="Comma 2 2 29 4 4" xfId="7488"/>
    <cellStyle name="Comma 2 2 29 5" xfId="7489"/>
    <cellStyle name="Comma 2 2 29 5 2" xfId="7490"/>
    <cellStyle name="Comma 2 2 29 6" xfId="7491"/>
    <cellStyle name="Comma 2 2 29 7" xfId="7492"/>
    <cellStyle name="Comma 2 2 29 8" xfId="7493"/>
    <cellStyle name="Comma 2 2 29 9" xfId="7494"/>
    <cellStyle name="Comma 2 2 3" xfId="7495"/>
    <cellStyle name="Comma 2 2 3 10" xfId="7496"/>
    <cellStyle name="Comma 2 2 3 10 10" xfId="7497"/>
    <cellStyle name="Comma 2 2 3 10 2" xfId="7498"/>
    <cellStyle name="Comma 2 2 3 10 2 2" xfId="7499"/>
    <cellStyle name="Comma 2 2 3 10 2 2 2" xfId="7500"/>
    <cellStyle name="Comma 2 2 3 10 2 2 3" xfId="7501"/>
    <cellStyle name="Comma 2 2 3 10 2 3" xfId="7502"/>
    <cellStyle name="Comma 2 2 3 10 2 4" xfId="7503"/>
    <cellStyle name="Comma 2 2 3 10 2 5" xfId="7504"/>
    <cellStyle name="Comma 2 2 3 10 2 6" xfId="7505"/>
    <cellStyle name="Comma 2 2 3 10 3" xfId="7506"/>
    <cellStyle name="Comma 2 2 3 10 3 2" xfId="7507"/>
    <cellStyle name="Comma 2 2 3 10 3 2 2" xfId="7508"/>
    <cellStyle name="Comma 2 2 3 10 3 2 3" xfId="7509"/>
    <cellStyle name="Comma 2 2 3 10 3 3" xfId="7510"/>
    <cellStyle name="Comma 2 2 3 10 3 4" xfId="7511"/>
    <cellStyle name="Comma 2 2 3 10 3 5" xfId="7512"/>
    <cellStyle name="Comma 2 2 3 10 3 6" xfId="7513"/>
    <cellStyle name="Comma 2 2 3 10 4" xfId="7514"/>
    <cellStyle name="Comma 2 2 3 10 4 2" xfId="7515"/>
    <cellStyle name="Comma 2 2 3 10 4 2 2" xfId="7516"/>
    <cellStyle name="Comma 2 2 3 10 4 3" xfId="7517"/>
    <cellStyle name="Comma 2 2 3 10 4 4" xfId="7518"/>
    <cellStyle name="Comma 2 2 3 10 4 5" xfId="7519"/>
    <cellStyle name="Comma 2 2 3 10 5" xfId="7520"/>
    <cellStyle name="Comma 2 2 3 10 5 2" xfId="7521"/>
    <cellStyle name="Comma 2 2 3 10 5 3" xfId="7522"/>
    <cellStyle name="Comma 2 2 3 10 5 4" xfId="7523"/>
    <cellStyle name="Comma 2 2 3 10 6" xfId="7524"/>
    <cellStyle name="Comma 2 2 3 10 6 2" xfId="7525"/>
    <cellStyle name="Comma 2 2 3 10 7" xfId="7526"/>
    <cellStyle name="Comma 2 2 3 10 8" xfId="7527"/>
    <cellStyle name="Comma 2 2 3 10 9" xfId="7528"/>
    <cellStyle name="Comma 2 2 3 11" xfId="7529"/>
    <cellStyle name="Comma 2 2 3 11 10" xfId="7530"/>
    <cellStyle name="Comma 2 2 3 11 2" xfId="7531"/>
    <cellStyle name="Comma 2 2 3 11 2 2" xfId="7532"/>
    <cellStyle name="Comma 2 2 3 11 2 2 2" xfId="7533"/>
    <cellStyle name="Comma 2 2 3 11 2 2 3" xfId="7534"/>
    <cellStyle name="Comma 2 2 3 11 2 3" xfId="7535"/>
    <cellStyle name="Comma 2 2 3 11 2 4" xfId="7536"/>
    <cellStyle name="Comma 2 2 3 11 2 5" xfId="7537"/>
    <cellStyle name="Comma 2 2 3 11 2 6" xfId="7538"/>
    <cellStyle name="Comma 2 2 3 11 3" xfId="7539"/>
    <cellStyle name="Comma 2 2 3 11 3 2" xfId="7540"/>
    <cellStyle name="Comma 2 2 3 11 3 2 2" xfId="7541"/>
    <cellStyle name="Comma 2 2 3 11 3 2 3" xfId="7542"/>
    <cellStyle name="Comma 2 2 3 11 3 3" xfId="7543"/>
    <cellStyle name="Comma 2 2 3 11 3 4" xfId="7544"/>
    <cellStyle name="Comma 2 2 3 11 3 5" xfId="7545"/>
    <cellStyle name="Comma 2 2 3 11 3 6" xfId="7546"/>
    <cellStyle name="Comma 2 2 3 11 4" xfId="7547"/>
    <cellStyle name="Comma 2 2 3 11 4 2" xfId="7548"/>
    <cellStyle name="Comma 2 2 3 11 4 2 2" xfId="7549"/>
    <cellStyle name="Comma 2 2 3 11 4 3" xfId="7550"/>
    <cellStyle name="Comma 2 2 3 11 4 4" xfId="7551"/>
    <cellStyle name="Comma 2 2 3 11 4 5" xfId="7552"/>
    <cellStyle name="Comma 2 2 3 11 5" xfId="7553"/>
    <cellStyle name="Comma 2 2 3 11 5 2" xfId="7554"/>
    <cellStyle name="Comma 2 2 3 11 5 3" xfId="7555"/>
    <cellStyle name="Comma 2 2 3 11 5 4" xfId="7556"/>
    <cellStyle name="Comma 2 2 3 11 6" xfId="7557"/>
    <cellStyle name="Comma 2 2 3 11 6 2" xfId="7558"/>
    <cellStyle name="Comma 2 2 3 11 7" xfId="7559"/>
    <cellStyle name="Comma 2 2 3 11 8" xfId="7560"/>
    <cellStyle name="Comma 2 2 3 11 9" xfId="7561"/>
    <cellStyle name="Comma 2 2 3 12" xfId="7562"/>
    <cellStyle name="Comma 2 2 3 12 10" xfId="7563"/>
    <cellStyle name="Comma 2 2 3 12 2" xfId="7564"/>
    <cellStyle name="Comma 2 2 3 12 2 2" xfId="7565"/>
    <cellStyle name="Comma 2 2 3 12 2 2 2" xfId="7566"/>
    <cellStyle name="Comma 2 2 3 12 2 2 3" xfId="7567"/>
    <cellStyle name="Comma 2 2 3 12 2 3" xfId="7568"/>
    <cellStyle name="Comma 2 2 3 12 2 4" xfId="7569"/>
    <cellStyle name="Comma 2 2 3 12 2 5" xfId="7570"/>
    <cellStyle name="Comma 2 2 3 12 2 6" xfId="7571"/>
    <cellStyle name="Comma 2 2 3 12 3" xfId="7572"/>
    <cellStyle name="Comma 2 2 3 12 3 2" xfId="7573"/>
    <cellStyle name="Comma 2 2 3 12 3 2 2" xfId="7574"/>
    <cellStyle name="Comma 2 2 3 12 3 2 3" xfId="7575"/>
    <cellStyle name="Comma 2 2 3 12 3 3" xfId="7576"/>
    <cellStyle name="Comma 2 2 3 12 3 4" xfId="7577"/>
    <cellStyle name="Comma 2 2 3 12 3 5" xfId="7578"/>
    <cellStyle name="Comma 2 2 3 12 3 6" xfId="7579"/>
    <cellStyle name="Comma 2 2 3 12 4" xfId="7580"/>
    <cellStyle name="Comma 2 2 3 12 4 2" xfId="7581"/>
    <cellStyle name="Comma 2 2 3 12 4 2 2" xfId="7582"/>
    <cellStyle name="Comma 2 2 3 12 4 3" xfId="7583"/>
    <cellStyle name="Comma 2 2 3 12 4 4" xfId="7584"/>
    <cellStyle name="Comma 2 2 3 12 4 5" xfId="7585"/>
    <cellStyle name="Comma 2 2 3 12 5" xfId="7586"/>
    <cellStyle name="Comma 2 2 3 12 5 2" xfId="7587"/>
    <cellStyle name="Comma 2 2 3 12 5 3" xfId="7588"/>
    <cellStyle name="Comma 2 2 3 12 5 4" xfId="7589"/>
    <cellStyle name="Comma 2 2 3 12 6" xfId="7590"/>
    <cellStyle name="Comma 2 2 3 12 6 2" xfId="7591"/>
    <cellStyle name="Comma 2 2 3 12 7" xfId="7592"/>
    <cellStyle name="Comma 2 2 3 12 8" xfId="7593"/>
    <cellStyle name="Comma 2 2 3 12 9" xfId="7594"/>
    <cellStyle name="Comma 2 2 3 13" xfId="7595"/>
    <cellStyle name="Comma 2 2 3 13 2" xfId="7596"/>
    <cellStyle name="Comma 2 2 3 13 2 2" xfId="7597"/>
    <cellStyle name="Comma 2 2 3 13 2 2 2" xfId="7598"/>
    <cellStyle name="Comma 2 2 3 13 2 2 3" xfId="7599"/>
    <cellStyle name="Comma 2 2 3 13 2 3" xfId="7600"/>
    <cellStyle name="Comma 2 2 3 13 2 4" xfId="7601"/>
    <cellStyle name="Comma 2 2 3 13 2 5" xfId="7602"/>
    <cellStyle name="Comma 2 2 3 13 2 6" xfId="7603"/>
    <cellStyle name="Comma 2 2 3 13 3" xfId="7604"/>
    <cellStyle name="Comma 2 2 3 13 3 2" xfId="7605"/>
    <cellStyle name="Comma 2 2 3 13 3 2 2" xfId="7606"/>
    <cellStyle name="Comma 2 2 3 13 3 3" xfId="7607"/>
    <cellStyle name="Comma 2 2 3 13 3 4" xfId="7608"/>
    <cellStyle name="Comma 2 2 3 13 3 5" xfId="7609"/>
    <cellStyle name="Comma 2 2 3 13 4" xfId="7610"/>
    <cellStyle name="Comma 2 2 3 13 4 2" xfId="7611"/>
    <cellStyle name="Comma 2 2 3 13 4 3" xfId="7612"/>
    <cellStyle name="Comma 2 2 3 13 4 4" xfId="7613"/>
    <cellStyle name="Comma 2 2 3 13 5" xfId="7614"/>
    <cellStyle name="Comma 2 2 3 13 5 2" xfId="7615"/>
    <cellStyle name="Comma 2 2 3 13 6" xfId="7616"/>
    <cellStyle name="Comma 2 2 3 13 7" xfId="7617"/>
    <cellStyle name="Comma 2 2 3 13 8" xfId="7618"/>
    <cellStyle name="Comma 2 2 3 13 9" xfId="7619"/>
    <cellStyle name="Comma 2 2 3 14" xfId="7620"/>
    <cellStyle name="Comma 2 2 3 14 2" xfId="7621"/>
    <cellStyle name="Comma 2 2 3 14 2 2" xfId="7622"/>
    <cellStyle name="Comma 2 2 3 14 2 2 2" xfId="7623"/>
    <cellStyle name="Comma 2 2 3 14 2 2 3" xfId="7624"/>
    <cellStyle name="Comma 2 2 3 14 2 3" xfId="7625"/>
    <cellStyle name="Comma 2 2 3 14 2 4" xfId="7626"/>
    <cellStyle name="Comma 2 2 3 14 2 5" xfId="7627"/>
    <cellStyle name="Comma 2 2 3 14 2 6" xfId="7628"/>
    <cellStyle name="Comma 2 2 3 14 3" xfId="7629"/>
    <cellStyle name="Comma 2 2 3 14 3 2" xfId="7630"/>
    <cellStyle name="Comma 2 2 3 14 3 2 2" xfId="7631"/>
    <cellStyle name="Comma 2 2 3 14 3 3" xfId="7632"/>
    <cellStyle name="Comma 2 2 3 14 3 4" xfId="7633"/>
    <cellStyle name="Comma 2 2 3 14 3 5" xfId="7634"/>
    <cellStyle name="Comma 2 2 3 14 4" xfId="7635"/>
    <cellStyle name="Comma 2 2 3 14 4 2" xfId="7636"/>
    <cellStyle name="Comma 2 2 3 14 4 3" xfId="7637"/>
    <cellStyle name="Comma 2 2 3 14 4 4" xfId="7638"/>
    <cellStyle name="Comma 2 2 3 14 5" xfId="7639"/>
    <cellStyle name="Comma 2 2 3 14 5 2" xfId="7640"/>
    <cellStyle name="Comma 2 2 3 14 6" xfId="7641"/>
    <cellStyle name="Comma 2 2 3 14 7" xfId="7642"/>
    <cellStyle name="Comma 2 2 3 14 8" xfId="7643"/>
    <cellStyle name="Comma 2 2 3 14 9" xfId="7644"/>
    <cellStyle name="Comma 2 2 3 15" xfId="7645"/>
    <cellStyle name="Comma 2 2 3 15 2" xfId="7646"/>
    <cellStyle name="Comma 2 2 3 15 2 2" xfId="7647"/>
    <cellStyle name="Comma 2 2 3 15 2 3" xfId="7648"/>
    <cellStyle name="Comma 2 2 3 15 3" xfId="7649"/>
    <cellStyle name="Comma 2 2 3 15 4" xfId="7650"/>
    <cellStyle name="Comma 2 2 3 15 5" xfId="7651"/>
    <cellStyle name="Comma 2 2 3 15 6" xfId="7652"/>
    <cellStyle name="Comma 2 2 3 16" xfId="7653"/>
    <cellStyle name="Comma 2 2 3 16 2" xfId="7654"/>
    <cellStyle name="Comma 2 2 3 16 2 2" xfId="7655"/>
    <cellStyle name="Comma 2 2 3 16 3" xfId="7656"/>
    <cellStyle name="Comma 2 2 3 16 4" xfId="7657"/>
    <cellStyle name="Comma 2 2 3 16 5" xfId="7658"/>
    <cellStyle name="Comma 2 2 3 17" xfId="7659"/>
    <cellStyle name="Comma 2 2 3 17 2" xfId="7660"/>
    <cellStyle name="Comma 2 2 3 17 2 2" xfId="7661"/>
    <cellStyle name="Comma 2 2 3 17 3" xfId="7662"/>
    <cellStyle name="Comma 2 2 3 17 4" xfId="7663"/>
    <cellStyle name="Comma 2 2 3 17 5" xfId="7664"/>
    <cellStyle name="Comma 2 2 3 18" xfId="7665"/>
    <cellStyle name="Comma 2 2 3 18 2" xfId="7666"/>
    <cellStyle name="Comma 2 2 3 19" xfId="7667"/>
    <cellStyle name="Comma 2 2 3 2" xfId="7668"/>
    <cellStyle name="Comma 2 2 3 2 10" xfId="7669"/>
    <cellStyle name="Comma 2 2 3 2 11" xfId="7670"/>
    <cellStyle name="Comma 2 2 3 2 2" xfId="7671"/>
    <cellStyle name="Comma 2 2 3 2 2 2" xfId="7672"/>
    <cellStyle name="Comma 2 2 3 2 2 2 2" xfId="7673"/>
    <cellStyle name="Comma 2 2 3 2 2 2 2 2" xfId="7674"/>
    <cellStyle name="Comma 2 2 3 2 2 2 2 3" xfId="7675"/>
    <cellStyle name="Comma 2 2 3 2 2 2 3" xfId="7676"/>
    <cellStyle name="Comma 2 2 3 2 2 2 4" xfId="7677"/>
    <cellStyle name="Comma 2 2 3 2 2 2 5" xfId="7678"/>
    <cellStyle name="Comma 2 2 3 2 2 2 6" xfId="7679"/>
    <cellStyle name="Comma 2 2 3 2 2 3" xfId="7680"/>
    <cellStyle name="Comma 2 2 3 2 2 3 2" xfId="7681"/>
    <cellStyle name="Comma 2 2 3 2 2 3 2 2" xfId="7682"/>
    <cellStyle name="Comma 2 2 3 2 2 3 3" xfId="7683"/>
    <cellStyle name="Comma 2 2 3 2 2 3 4" xfId="7684"/>
    <cellStyle name="Comma 2 2 3 2 2 3 5" xfId="7685"/>
    <cellStyle name="Comma 2 2 3 2 2 4" xfId="7686"/>
    <cellStyle name="Comma 2 2 3 2 2 4 2" xfId="7687"/>
    <cellStyle name="Comma 2 2 3 2 2 4 3" xfId="7688"/>
    <cellStyle name="Comma 2 2 3 2 2 4 4" xfId="7689"/>
    <cellStyle name="Comma 2 2 3 2 2 5" xfId="7690"/>
    <cellStyle name="Comma 2 2 3 2 2 5 2" xfId="7691"/>
    <cellStyle name="Comma 2 2 3 2 2 6" xfId="7692"/>
    <cellStyle name="Comma 2 2 3 2 2 7" xfId="7693"/>
    <cellStyle name="Comma 2 2 3 2 2 8" xfId="7694"/>
    <cellStyle name="Comma 2 2 3 2 2 9" xfId="7695"/>
    <cellStyle name="Comma 2 2 3 2 3" xfId="7696"/>
    <cellStyle name="Comma 2 2 3 2 3 2" xfId="7697"/>
    <cellStyle name="Comma 2 2 3 2 3 2 2" xfId="7698"/>
    <cellStyle name="Comma 2 2 3 2 3 2 2 2" xfId="7699"/>
    <cellStyle name="Comma 2 2 3 2 3 2 2 3" xfId="7700"/>
    <cellStyle name="Comma 2 2 3 2 3 2 3" xfId="7701"/>
    <cellStyle name="Comma 2 2 3 2 3 2 4" xfId="7702"/>
    <cellStyle name="Comma 2 2 3 2 3 2 5" xfId="7703"/>
    <cellStyle name="Comma 2 2 3 2 3 2 6" xfId="7704"/>
    <cellStyle name="Comma 2 2 3 2 3 3" xfId="7705"/>
    <cellStyle name="Comma 2 2 3 2 3 3 2" xfId="7706"/>
    <cellStyle name="Comma 2 2 3 2 3 3 2 2" xfId="7707"/>
    <cellStyle name="Comma 2 2 3 2 3 3 3" xfId="7708"/>
    <cellStyle name="Comma 2 2 3 2 3 3 4" xfId="7709"/>
    <cellStyle name="Comma 2 2 3 2 3 3 5" xfId="7710"/>
    <cellStyle name="Comma 2 2 3 2 3 4" xfId="7711"/>
    <cellStyle name="Comma 2 2 3 2 3 4 2" xfId="7712"/>
    <cellStyle name="Comma 2 2 3 2 3 4 3" xfId="7713"/>
    <cellStyle name="Comma 2 2 3 2 3 4 4" xfId="7714"/>
    <cellStyle name="Comma 2 2 3 2 3 5" xfId="7715"/>
    <cellStyle name="Comma 2 2 3 2 3 5 2" xfId="7716"/>
    <cellStyle name="Comma 2 2 3 2 3 6" xfId="7717"/>
    <cellStyle name="Comma 2 2 3 2 3 7" xfId="7718"/>
    <cellStyle name="Comma 2 2 3 2 3 8" xfId="7719"/>
    <cellStyle name="Comma 2 2 3 2 3 9" xfId="7720"/>
    <cellStyle name="Comma 2 2 3 2 4" xfId="7721"/>
    <cellStyle name="Comma 2 2 3 2 4 2" xfId="7722"/>
    <cellStyle name="Comma 2 2 3 2 4 2 2" xfId="7723"/>
    <cellStyle name="Comma 2 2 3 2 4 2 3" xfId="7724"/>
    <cellStyle name="Comma 2 2 3 2 4 3" xfId="7725"/>
    <cellStyle name="Comma 2 2 3 2 4 4" xfId="7726"/>
    <cellStyle name="Comma 2 2 3 2 4 5" xfId="7727"/>
    <cellStyle name="Comma 2 2 3 2 4 6" xfId="7728"/>
    <cellStyle name="Comma 2 2 3 2 5" xfId="7729"/>
    <cellStyle name="Comma 2 2 3 2 5 2" xfId="7730"/>
    <cellStyle name="Comma 2 2 3 2 5 2 2" xfId="7731"/>
    <cellStyle name="Comma 2 2 3 2 5 3" xfId="7732"/>
    <cellStyle name="Comma 2 2 3 2 5 4" xfId="7733"/>
    <cellStyle name="Comma 2 2 3 2 5 5" xfId="7734"/>
    <cellStyle name="Comma 2 2 3 2 6" xfId="7735"/>
    <cellStyle name="Comma 2 2 3 2 6 2" xfId="7736"/>
    <cellStyle name="Comma 2 2 3 2 6 3" xfId="7737"/>
    <cellStyle name="Comma 2 2 3 2 6 4" xfId="7738"/>
    <cellStyle name="Comma 2 2 3 2 7" xfId="7739"/>
    <cellStyle name="Comma 2 2 3 2 7 2" xfId="7740"/>
    <cellStyle name="Comma 2 2 3 2 8" xfId="7741"/>
    <cellStyle name="Comma 2 2 3 2 9" xfId="7742"/>
    <cellStyle name="Comma 2 2 3 20" xfId="7743"/>
    <cellStyle name="Comma 2 2 3 21" xfId="7744"/>
    <cellStyle name="Comma 2 2 3 22" xfId="7745"/>
    <cellStyle name="Comma 2 2 3 3" xfId="7746"/>
    <cellStyle name="Comma 2 2 3 3 10" xfId="7747"/>
    <cellStyle name="Comma 2 2 3 3 11" xfId="7748"/>
    <cellStyle name="Comma 2 2 3 3 2" xfId="7749"/>
    <cellStyle name="Comma 2 2 3 3 2 2" xfId="7750"/>
    <cellStyle name="Comma 2 2 3 3 2 2 2" xfId="7751"/>
    <cellStyle name="Comma 2 2 3 3 2 2 2 2" xfId="7752"/>
    <cellStyle name="Comma 2 2 3 3 2 2 2 3" xfId="7753"/>
    <cellStyle name="Comma 2 2 3 3 2 2 3" xfId="7754"/>
    <cellStyle name="Comma 2 2 3 3 2 2 4" xfId="7755"/>
    <cellStyle name="Comma 2 2 3 3 2 2 5" xfId="7756"/>
    <cellStyle name="Comma 2 2 3 3 2 2 6" xfId="7757"/>
    <cellStyle name="Comma 2 2 3 3 2 3" xfId="7758"/>
    <cellStyle name="Comma 2 2 3 3 2 3 2" xfId="7759"/>
    <cellStyle name="Comma 2 2 3 3 2 3 2 2" xfId="7760"/>
    <cellStyle name="Comma 2 2 3 3 2 3 3" xfId="7761"/>
    <cellStyle name="Comma 2 2 3 3 2 3 4" xfId="7762"/>
    <cellStyle name="Comma 2 2 3 3 2 3 5" xfId="7763"/>
    <cellStyle name="Comma 2 2 3 3 2 4" xfId="7764"/>
    <cellStyle name="Comma 2 2 3 3 2 4 2" xfId="7765"/>
    <cellStyle name="Comma 2 2 3 3 2 4 3" xfId="7766"/>
    <cellStyle name="Comma 2 2 3 3 2 4 4" xfId="7767"/>
    <cellStyle name="Comma 2 2 3 3 2 5" xfId="7768"/>
    <cellStyle name="Comma 2 2 3 3 2 5 2" xfId="7769"/>
    <cellStyle name="Comma 2 2 3 3 2 6" xfId="7770"/>
    <cellStyle name="Comma 2 2 3 3 2 7" xfId="7771"/>
    <cellStyle name="Comma 2 2 3 3 2 8" xfId="7772"/>
    <cellStyle name="Comma 2 2 3 3 2 9" xfId="7773"/>
    <cellStyle name="Comma 2 2 3 3 3" xfId="7774"/>
    <cellStyle name="Comma 2 2 3 3 3 2" xfId="7775"/>
    <cellStyle name="Comma 2 2 3 3 3 2 2" xfId="7776"/>
    <cellStyle name="Comma 2 2 3 3 3 2 2 2" xfId="7777"/>
    <cellStyle name="Comma 2 2 3 3 3 2 2 3" xfId="7778"/>
    <cellStyle name="Comma 2 2 3 3 3 2 3" xfId="7779"/>
    <cellStyle name="Comma 2 2 3 3 3 2 4" xfId="7780"/>
    <cellStyle name="Comma 2 2 3 3 3 2 5" xfId="7781"/>
    <cellStyle name="Comma 2 2 3 3 3 2 6" xfId="7782"/>
    <cellStyle name="Comma 2 2 3 3 3 3" xfId="7783"/>
    <cellStyle name="Comma 2 2 3 3 3 3 2" xfId="7784"/>
    <cellStyle name="Comma 2 2 3 3 3 3 2 2" xfId="7785"/>
    <cellStyle name="Comma 2 2 3 3 3 3 3" xfId="7786"/>
    <cellStyle name="Comma 2 2 3 3 3 3 4" xfId="7787"/>
    <cellStyle name="Comma 2 2 3 3 3 3 5" xfId="7788"/>
    <cellStyle name="Comma 2 2 3 3 3 4" xfId="7789"/>
    <cellStyle name="Comma 2 2 3 3 3 4 2" xfId="7790"/>
    <cellStyle name="Comma 2 2 3 3 3 4 3" xfId="7791"/>
    <cellStyle name="Comma 2 2 3 3 3 4 4" xfId="7792"/>
    <cellStyle name="Comma 2 2 3 3 3 5" xfId="7793"/>
    <cellStyle name="Comma 2 2 3 3 3 5 2" xfId="7794"/>
    <cellStyle name="Comma 2 2 3 3 3 6" xfId="7795"/>
    <cellStyle name="Comma 2 2 3 3 3 7" xfId="7796"/>
    <cellStyle name="Comma 2 2 3 3 3 8" xfId="7797"/>
    <cellStyle name="Comma 2 2 3 3 3 9" xfId="7798"/>
    <cellStyle name="Comma 2 2 3 3 4" xfId="7799"/>
    <cellStyle name="Comma 2 2 3 3 4 2" xfId="7800"/>
    <cellStyle name="Comma 2 2 3 3 4 2 2" xfId="7801"/>
    <cellStyle name="Comma 2 2 3 3 4 2 3" xfId="7802"/>
    <cellStyle name="Comma 2 2 3 3 4 3" xfId="7803"/>
    <cellStyle name="Comma 2 2 3 3 4 4" xfId="7804"/>
    <cellStyle name="Comma 2 2 3 3 4 5" xfId="7805"/>
    <cellStyle name="Comma 2 2 3 3 4 6" xfId="7806"/>
    <cellStyle name="Comma 2 2 3 3 5" xfId="7807"/>
    <cellStyle name="Comma 2 2 3 3 5 2" xfId="7808"/>
    <cellStyle name="Comma 2 2 3 3 5 2 2" xfId="7809"/>
    <cellStyle name="Comma 2 2 3 3 5 3" xfId="7810"/>
    <cellStyle name="Comma 2 2 3 3 5 4" xfId="7811"/>
    <cellStyle name="Comma 2 2 3 3 5 5" xfId="7812"/>
    <cellStyle name="Comma 2 2 3 3 6" xfId="7813"/>
    <cellStyle name="Comma 2 2 3 3 6 2" xfId="7814"/>
    <cellStyle name="Comma 2 2 3 3 6 3" xfId="7815"/>
    <cellStyle name="Comma 2 2 3 3 6 4" xfId="7816"/>
    <cellStyle name="Comma 2 2 3 3 7" xfId="7817"/>
    <cellStyle name="Comma 2 2 3 3 7 2" xfId="7818"/>
    <cellStyle name="Comma 2 2 3 3 8" xfId="7819"/>
    <cellStyle name="Comma 2 2 3 3 9" xfId="7820"/>
    <cellStyle name="Comma 2 2 3 4" xfId="7821"/>
    <cellStyle name="Comma 2 2 3 4 10" xfId="7822"/>
    <cellStyle name="Comma 2 2 3 4 11" xfId="7823"/>
    <cellStyle name="Comma 2 2 3 4 2" xfId="7824"/>
    <cellStyle name="Comma 2 2 3 4 2 2" xfId="7825"/>
    <cellStyle name="Comma 2 2 3 4 2 2 2" xfId="7826"/>
    <cellStyle name="Comma 2 2 3 4 2 2 2 2" xfId="7827"/>
    <cellStyle name="Comma 2 2 3 4 2 2 2 3" xfId="7828"/>
    <cellStyle name="Comma 2 2 3 4 2 2 3" xfId="7829"/>
    <cellStyle name="Comma 2 2 3 4 2 2 4" xfId="7830"/>
    <cellStyle name="Comma 2 2 3 4 2 2 5" xfId="7831"/>
    <cellStyle name="Comma 2 2 3 4 2 2 6" xfId="7832"/>
    <cellStyle name="Comma 2 2 3 4 2 3" xfId="7833"/>
    <cellStyle name="Comma 2 2 3 4 2 3 2" xfId="7834"/>
    <cellStyle name="Comma 2 2 3 4 2 3 2 2" xfId="7835"/>
    <cellStyle name="Comma 2 2 3 4 2 3 3" xfId="7836"/>
    <cellStyle name="Comma 2 2 3 4 2 3 4" xfId="7837"/>
    <cellStyle name="Comma 2 2 3 4 2 3 5" xfId="7838"/>
    <cellStyle name="Comma 2 2 3 4 2 4" xfId="7839"/>
    <cellStyle name="Comma 2 2 3 4 2 4 2" xfId="7840"/>
    <cellStyle name="Comma 2 2 3 4 2 4 3" xfId="7841"/>
    <cellStyle name="Comma 2 2 3 4 2 4 4" xfId="7842"/>
    <cellStyle name="Comma 2 2 3 4 2 5" xfId="7843"/>
    <cellStyle name="Comma 2 2 3 4 2 5 2" xfId="7844"/>
    <cellStyle name="Comma 2 2 3 4 2 6" xfId="7845"/>
    <cellStyle name="Comma 2 2 3 4 2 7" xfId="7846"/>
    <cellStyle name="Comma 2 2 3 4 2 8" xfId="7847"/>
    <cellStyle name="Comma 2 2 3 4 2 9" xfId="7848"/>
    <cellStyle name="Comma 2 2 3 4 3" xfId="7849"/>
    <cellStyle name="Comma 2 2 3 4 3 2" xfId="7850"/>
    <cellStyle name="Comma 2 2 3 4 3 2 2" xfId="7851"/>
    <cellStyle name="Comma 2 2 3 4 3 2 2 2" xfId="7852"/>
    <cellStyle name="Comma 2 2 3 4 3 2 2 3" xfId="7853"/>
    <cellStyle name="Comma 2 2 3 4 3 2 3" xfId="7854"/>
    <cellStyle name="Comma 2 2 3 4 3 2 4" xfId="7855"/>
    <cellStyle name="Comma 2 2 3 4 3 2 5" xfId="7856"/>
    <cellStyle name="Comma 2 2 3 4 3 2 6" xfId="7857"/>
    <cellStyle name="Comma 2 2 3 4 3 3" xfId="7858"/>
    <cellStyle name="Comma 2 2 3 4 3 3 2" xfId="7859"/>
    <cellStyle name="Comma 2 2 3 4 3 3 2 2" xfId="7860"/>
    <cellStyle name="Comma 2 2 3 4 3 3 3" xfId="7861"/>
    <cellStyle name="Comma 2 2 3 4 3 3 4" xfId="7862"/>
    <cellStyle name="Comma 2 2 3 4 3 3 5" xfId="7863"/>
    <cellStyle name="Comma 2 2 3 4 3 4" xfId="7864"/>
    <cellStyle name="Comma 2 2 3 4 3 4 2" xfId="7865"/>
    <cellStyle name="Comma 2 2 3 4 3 4 3" xfId="7866"/>
    <cellStyle name="Comma 2 2 3 4 3 4 4" xfId="7867"/>
    <cellStyle name="Comma 2 2 3 4 3 5" xfId="7868"/>
    <cellStyle name="Comma 2 2 3 4 3 5 2" xfId="7869"/>
    <cellStyle name="Comma 2 2 3 4 3 6" xfId="7870"/>
    <cellStyle name="Comma 2 2 3 4 3 7" xfId="7871"/>
    <cellStyle name="Comma 2 2 3 4 3 8" xfId="7872"/>
    <cellStyle name="Comma 2 2 3 4 3 9" xfId="7873"/>
    <cellStyle name="Comma 2 2 3 4 4" xfId="7874"/>
    <cellStyle name="Comma 2 2 3 4 4 2" xfId="7875"/>
    <cellStyle name="Comma 2 2 3 4 4 2 2" xfId="7876"/>
    <cellStyle name="Comma 2 2 3 4 4 2 3" xfId="7877"/>
    <cellStyle name="Comma 2 2 3 4 4 3" xfId="7878"/>
    <cellStyle name="Comma 2 2 3 4 4 4" xfId="7879"/>
    <cellStyle name="Comma 2 2 3 4 4 5" xfId="7880"/>
    <cellStyle name="Comma 2 2 3 4 4 6" xfId="7881"/>
    <cellStyle name="Comma 2 2 3 4 5" xfId="7882"/>
    <cellStyle name="Comma 2 2 3 4 5 2" xfId="7883"/>
    <cellStyle name="Comma 2 2 3 4 5 2 2" xfId="7884"/>
    <cellStyle name="Comma 2 2 3 4 5 3" xfId="7885"/>
    <cellStyle name="Comma 2 2 3 4 5 4" xfId="7886"/>
    <cellStyle name="Comma 2 2 3 4 5 5" xfId="7887"/>
    <cellStyle name="Comma 2 2 3 4 6" xfId="7888"/>
    <cellStyle name="Comma 2 2 3 4 6 2" xfId="7889"/>
    <cellStyle name="Comma 2 2 3 4 6 3" xfId="7890"/>
    <cellStyle name="Comma 2 2 3 4 6 4" xfId="7891"/>
    <cellStyle name="Comma 2 2 3 4 7" xfId="7892"/>
    <cellStyle name="Comma 2 2 3 4 7 2" xfId="7893"/>
    <cellStyle name="Comma 2 2 3 4 8" xfId="7894"/>
    <cellStyle name="Comma 2 2 3 4 9" xfId="7895"/>
    <cellStyle name="Comma 2 2 3 5" xfId="7896"/>
    <cellStyle name="Comma 2 2 3 5 10" xfId="7897"/>
    <cellStyle name="Comma 2 2 3 5 11" xfId="7898"/>
    <cellStyle name="Comma 2 2 3 5 2" xfId="7899"/>
    <cellStyle name="Comma 2 2 3 5 2 2" xfId="7900"/>
    <cellStyle name="Comma 2 2 3 5 2 2 2" xfId="7901"/>
    <cellStyle name="Comma 2 2 3 5 2 2 2 2" xfId="7902"/>
    <cellStyle name="Comma 2 2 3 5 2 2 2 3" xfId="7903"/>
    <cellStyle name="Comma 2 2 3 5 2 2 3" xfId="7904"/>
    <cellStyle name="Comma 2 2 3 5 2 2 4" xfId="7905"/>
    <cellStyle name="Comma 2 2 3 5 2 2 5" xfId="7906"/>
    <cellStyle name="Comma 2 2 3 5 2 2 6" xfId="7907"/>
    <cellStyle name="Comma 2 2 3 5 2 3" xfId="7908"/>
    <cellStyle name="Comma 2 2 3 5 2 3 2" xfId="7909"/>
    <cellStyle name="Comma 2 2 3 5 2 3 2 2" xfId="7910"/>
    <cellStyle name="Comma 2 2 3 5 2 3 3" xfId="7911"/>
    <cellStyle name="Comma 2 2 3 5 2 3 4" xfId="7912"/>
    <cellStyle name="Comma 2 2 3 5 2 3 5" xfId="7913"/>
    <cellStyle name="Comma 2 2 3 5 2 4" xfId="7914"/>
    <cellStyle name="Comma 2 2 3 5 2 4 2" xfId="7915"/>
    <cellStyle name="Comma 2 2 3 5 2 4 3" xfId="7916"/>
    <cellStyle name="Comma 2 2 3 5 2 4 4" xfId="7917"/>
    <cellStyle name="Comma 2 2 3 5 2 5" xfId="7918"/>
    <cellStyle name="Comma 2 2 3 5 2 5 2" xfId="7919"/>
    <cellStyle name="Comma 2 2 3 5 2 6" xfId="7920"/>
    <cellStyle name="Comma 2 2 3 5 2 7" xfId="7921"/>
    <cellStyle name="Comma 2 2 3 5 2 8" xfId="7922"/>
    <cellStyle name="Comma 2 2 3 5 2 9" xfId="7923"/>
    <cellStyle name="Comma 2 2 3 5 3" xfId="7924"/>
    <cellStyle name="Comma 2 2 3 5 3 2" xfId="7925"/>
    <cellStyle name="Comma 2 2 3 5 3 2 2" xfId="7926"/>
    <cellStyle name="Comma 2 2 3 5 3 2 2 2" xfId="7927"/>
    <cellStyle name="Comma 2 2 3 5 3 2 2 3" xfId="7928"/>
    <cellStyle name="Comma 2 2 3 5 3 2 3" xfId="7929"/>
    <cellStyle name="Comma 2 2 3 5 3 2 4" xfId="7930"/>
    <cellStyle name="Comma 2 2 3 5 3 2 5" xfId="7931"/>
    <cellStyle name="Comma 2 2 3 5 3 2 6" xfId="7932"/>
    <cellStyle name="Comma 2 2 3 5 3 3" xfId="7933"/>
    <cellStyle name="Comma 2 2 3 5 3 3 2" xfId="7934"/>
    <cellStyle name="Comma 2 2 3 5 3 3 2 2" xfId="7935"/>
    <cellStyle name="Comma 2 2 3 5 3 3 3" xfId="7936"/>
    <cellStyle name="Comma 2 2 3 5 3 3 4" xfId="7937"/>
    <cellStyle name="Comma 2 2 3 5 3 3 5" xfId="7938"/>
    <cellStyle name="Comma 2 2 3 5 3 4" xfId="7939"/>
    <cellStyle name="Comma 2 2 3 5 3 4 2" xfId="7940"/>
    <cellStyle name="Comma 2 2 3 5 3 4 3" xfId="7941"/>
    <cellStyle name="Comma 2 2 3 5 3 4 4" xfId="7942"/>
    <cellStyle name="Comma 2 2 3 5 3 5" xfId="7943"/>
    <cellStyle name="Comma 2 2 3 5 3 5 2" xfId="7944"/>
    <cellStyle name="Comma 2 2 3 5 3 6" xfId="7945"/>
    <cellStyle name="Comma 2 2 3 5 3 7" xfId="7946"/>
    <cellStyle name="Comma 2 2 3 5 3 8" xfId="7947"/>
    <cellStyle name="Comma 2 2 3 5 3 9" xfId="7948"/>
    <cellStyle name="Comma 2 2 3 5 4" xfId="7949"/>
    <cellStyle name="Comma 2 2 3 5 4 2" xfId="7950"/>
    <cellStyle name="Comma 2 2 3 5 4 2 2" xfId="7951"/>
    <cellStyle name="Comma 2 2 3 5 4 2 3" xfId="7952"/>
    <cellStyle name="Comma 2 2 3 5 4 3" xfId="7953"/>
    <cellStyle name="Comma 2 2 3 5 4 4" xfId="7954"/>
    <cellStyle name="Comma 2 2 3 5 4 5" xfId="7955"/>
    <cellStyle name="Comma 2 2 3 5 4 6" xfId="7956"/>
    <cellStyle name="Comma 2 2 3 5 5" xfId="7957"/>
    <cellStyle name="Comma 2 2 3 5 5 2" xfId="7958"/>
    <cellStyle name="Comma 2 2 3 5 5 2 2" xfId="7959"/>
    <cellStyle name="Comma 2 2 3 5 5 3" xfId="7960"/>
    <cellStyle name="Comma 2 2 3 5 5 4" xfId="7961"/>
    <cellStyle name="Comma 2 2 3 5 5 5" xfId="7962"/>
    <cellStyle name="Comma 2 2 3 5 6" xfId="7963"/>
    <cellStyle name="Comma 2 2 3 5 6 2" xfId="7964"/>
    <cellStyle name="Comma 2 2 3 5 6 3" xfId="7965"/>
    <cellStyle name="Comma 2 2 3 5 6 4" xfId="7966"/>
    <cellStyle name="Comma 2 2 3 5 7" xfId="7967"/>
    <cellStyle name="Comma 2 2 3 5 7 2" xfId="7968"/>
    <cellStyle name="Comma 2 2 3 5 8" xfId="7969"/>
    <cellStyle name="Comma 2 2 3 5 9" xfId="7970"/>
    <cellStyle name="Comma 2 2 3 6" xfId="7971"/>
    <cellStyle name="Comma 2 2 3 6 10" xfId="7972"/>
    <cellStyle name="Comma 2 2 3 6 11" xfId="7973"/>
    <cellStyle name="Comma 2 2 3 6 2" xfId="7974"/>
    <cellStyle name="Comma 2 2 3 6 2 2" xfId="7975"/>
    <cellStyle name="Comma 2 2 3 6 2 2 2" xfId="7976"/>
    <cellStyle name="Comma 2 2 3 6 2 2 2 2" xfId="7977"/>
    <cellStyle name="Comma 2 2 3 6 2 2 2 3" xfId="7978"/>
    <cellStyle name="Comma 2 2 3 6 2 2 3" xfId="7979"/>
    <cellStyle name="Comma 2 2 3 6 2 2 4" xfId="7980"/>
    <cellStyle name="Comma 2 2 3 6 2 2 5" xfId="7981"/>
    <cellStyle name="Comma 2 2 3 6 2 2 6" xfId="7982"/>
    <cellStyle name="Comma 2 2 3 6 2 3" xfId="7983"/>
    <cellStyle name="Comma 2 2 3 6 2 3 2" xfId="7984"/>
    <cellStyle name="Comma 2 2 3 6 2 3 2 2" xfId="7985"/>
    <cellStyle name="Comma 2 2 3 6 2 3 3" xfId="7986"/>
    <cellStyle name="Comma 2 2 3 6 2 3 4" xfId="7987"/>
    <cellStyle name="Comma 2 2 3 6 2 3 5" xfId="7988"/>
    <cellStyle name="Comma 2 2 3 6 2 4" xfId="7989"/>
    <cellStyle name="Comma 2 2 3 6 2 4 2" xfId="7990"/>
    <cellStyle name="Comma 2 2 3 6 2 4 3" xfId="7991"/>
    <cellStyle name="Comma 2 2 3 6 2 4 4" xfId="7992"/>
    <cellStyle name="Comma 2 2 3 6 2 5" xfId="7993"/>
    <cellStyle name="Comma 2 2 3 6 2 5 2" xfId="7994"/>
    <cellStyle name="Comma 2 2 3 6 2 6" xfId="7995"/>
    <cellStyle name="Comma 2 2 3 6 2 7" xfId="7996"/>
    <cellStyle name="Comma 2 2 3 6 2 8" xfId="7997"/>
    <cellStyle name="Comma 2 2 3 6 2 9" xfId="7998"/>
    <cellStyle name="Comma 2 2 3 6 3" xfId="7999"/>
    <cellStyle name="Comma 2 2 3 6 3 2" xfId="8000"/>
    <cellStyle name="Comma 2 2 3 6 3 2 2" xfId="8001"/>
    <cellStyle name="Comma 2 2 3 6 3 2 2 2" xfId="8002"/>
    <cellStyle name="Comma 2 2 3 6 3 2 2 3" xfId="8003"/>
    <cellStyle name="Comma 2 2 3 6 3 2 3" xfId="8004"/>
    <cellStyle name="Comma 2 2 3 6 3 2 4" xfId="8005"/>
    <cellStyle name="Comma 2 2 3 6 3 2 5" xfId="8006"/>
    <cellStyle name="Comma 2 2 3 6 3 2 6" xfId="8007"/>
    <cellStyle name="Comma 2 2 3 6 3 3" xfId="8008"/>
    <cellStyle name="Comma 2 2 3 6 3 3 2" xfId="8009"/>
    <cellStyle name="Comma 2 2 3 6 3 3 2 2" xfId="8010"/>
    <cellStyle name="Comma 2 2 3 6 3 3 3" xfId="8011"/>
    <cellStyle name="Comma 2 2 3 6 3 3 4" xfId="8012"/>
    <cellStyle name="Comma 2 2 3 6 3 3 5" xfId="8013"/>
    <cellStyle name="Comma 2 2 3 6 3 4" xfId="8014"/>
    <cellStyle name="Comma 2 2 3 6 3 4 2" xfId="8015"/>
    <cellStyle name="Comma 2 2 3 6 3 4 3" xfId="8016"/>
    <cellStyle name="Comma 2 2 3 6 3 4 4" xfId="8017"/>
    <cellStyle name="Comma 2 2 3 6 3 5" xfId="8018"/>
    <cellStyle name="Comma 2 2 3 6 3 5 2" xfId="8019"/>
    <cellStyle name="Comma 2 2 3 6 3 6" xfId="8020"/>
    <cellStyle name="Comma 2 2 3 6 3 7" xfId="8021"/>
    <cellStyle name="Comma 2 2 3 6 3 8" xfId="8022"/>
    <cellStyle name="Comma 2 2 3 6 3 9" xfId="8023"/>
    <cellStyle name="Comma 2 2 3 6 4" xfId="8024"/>
    <cellStyle name="Comma 2 2 3 6 4 2" xfId="8025"/>
    <cellStyle name="Comma 2 2 3 6 4 2 2" xfId="8026"/>
    <cellStyle name="Comma 2 2 3 6 4 2 3" xfId="8027"/>
    <cellStyle name="Comma 2 2 3 6 4 3" xfId="8028"/>
    <cellStyle name="Comma 2 2 3 6 4 4" xfId="8029"/>
    <cellStyle name="Comma 2 2 3 6 4 5" xfId="8030"/>
    <cellStyle name="Comma 2 2 3 6 4 6" xfId="8031"/>
    <cellStyle name="Comma 2 2 3 6 5" xfId="8032"/>
    <cellStyle name="Comma 2 2 3 6 5 2" xfId="8033"/>
    <cellStyle name="Comma 2 2 3 6 5 2 2" xfId="8034"/>
    <cellStyle name="Comma 2 2 3 6 5 3" xfId="8035"/>
    <cellStyle name="Comma 2 2 3 6 5 4" xfId="8036"/>
    <cellStyle name="Comma 2 2 3 6 5 5" xfId="8037"/>
    <cellStyle name="Comma 2 2 3 6 6" xfId="8038"/>
    <cellStyle name="Comma 2 2 3 6 6 2" xfId="8039"/>
    <cellStyle name="Comma 2 2 3 6 6 3" xfId="8040"/>
    <cellStyle name="Comma 2 2 3 6 6 4" xfId="8041"/>
    <cellStyle name="Comma 2 2 3 6 7" xfId="8042"/>
    <cellStyle name="Comma 2 2 3 6 7 2" xfId="8043"/>
    <cellStyle name="Comma 2 2 3 6 8" xfId="8044"/>
    <cellStyle name="Comma 2 2 3 6 9" xfId="8045"/>
    <cellStyle name="Comma 2 2 3 7" xfId="8046"/>
    <cellStyle name="Comma 2 2 3 7 10" xfId="8047"/>
    <cellStyle name="Comma 2 2 3 7 11" xfId="8048"/>
    <cellStyle name="Comma 2 2 3 7 2" xfId="8049"/>
    <cellStyle name="Comma 2 2 3 7 2 2" xfId="8050"/>
    <cellStyle name="Comma 2 2 3 7 2 2 2" xfId="8051"/>
    <cellStyle name="Comma 2 2 3 7 2 2 2 2" xfId="8052"/>
    <cellStyle name="Comma 2 2 3 7 2 2 2 3" xfId="8053"/>
    <cellStyle name="Comma 2 2 3 7 2 2 3" xfId="8054"/>
    <cellStyle name="Comma 2 2 3 7 2 2 4" xfId="8055"/>
    <cellStyle name="Comma 2 2 3 7 2 2 5" xfId="8056"/>
    <cellStyle name="Comma 2 2 3 7 2 2 6" xfId="8057"/>
    <cellStyle name="Comma 2 2 3 7 2 3" xfId="8058"/>
    <cellStyle name="Comma 2 2 3 7 2 3 2" xfId="8059"/>
    <cellStyle name="Comma 2 2 3 7 2 3 2 2" xfId="8060"/>
    <cellStyle name="Comma 2 2 3 7 2 3 3" xfId="8061"/>
    <cellStyle name="Comma 2 2 3 7 2 3 4" xfId="8062"/>
    <cellStyle name="Comma 2 2 3 7 2 3 5" xfId="8063"/>
    <cellStyle name="Comma 2 2 3 7 2 4" xfId="8064"/>
    <cellStyle name="Comma 2 2 3 7 2 4 2" xfId="8065"/>
    <cellStyle name="Comma 2 2 3 7 2 4 3" xfId="8066"/>
    <cellStyle name="Comma 2 2 3 7 2 4 4" xfId="8067"/>
    <cellStyle name="Comma 2 2 3 7 2 5" xfId="8068"/>
    <cellStyle name="Comma 2 2 3 7 2 5 2" xfId="8069"/>
    <cellStyle name="Comma 2 2 3 7 2 6" xfId="8070"/>
    <cellStyle name="Comma 2 2 3 7 2 7" xfId="8071"/>
    <cellStyle name="Comma 2 2 3 7 2 8" xfId="8072"/>
    <cellStyle name="Comma 2 2 3 7 2 9" xfId="8073"/>
    <cellStyle name="Comma 2 2 3 7 3" xfId="8074"/>
    <cellStyle name="Comma 2 2 3 7 3 2" xfId="8075"/>
    <cellStyle name="Comma 2 2 3 7 3 2 2" xfId="8076"/>
    <cellStyle name="Comma 2 2 3 7 3 2 2 2" xfId="8077"/>
    <cellStyle name="Comma 2 2 3 7 3 2 2 3" xfId="8078"/>
    <cellStyle name="Comma 2 2 3 7 3 2 3" xfId="8079"/>
    <cellStyle name="Comma 2 2 3 7 3 2 4" xfId="8080"/>
    <cellStyle name="Comma 2 2 3 7 3 2 5" xfId="8081"/>
    <cellStyle name="Comma 2 2 3 7 3 2 6" xfId="8082"/>
    <cellStyle name="Comma 2 2 3 7 3 3" xfId="8083"/>
    <cellStyle name="Comma 2 2 3 7 3 3 2" xfId="8084"/>
    <cellStyle name="Comma 2 2 3 7 3 3 2 2" xfId="8085"/>
    <cellStyle name="Comma 2 2 3 7 3 3 3" xfId="8086"/>
    <cellStyle name="Comma 2 2 3 7 3 3 4" xfId="8087"/>
    <cellStyle name="Comma 2 2 3 7 3 3 5" xfId="8088"/>
    <cellStyle name="Comma 2 2 3 7 3 4" xfId="8089"/>
    <cellStyle name="Comma 2 2 3 7 3 4 2" xfId="8090"/>
    <cellStyle name="Comma 2 2 3 7 3 4 3" xfId="8091"/>
    <cellStyle name="Comma 2 2 3 7 3 4 4" xfId="8092"/>
    <cellStyle name="Comma 2 2 3 7 3 5" xfId="8093"/>
    <cellStyle name="Comma 2 2 3 7 3 5 2" xfId="8094"/>
    <cellStyle name="Comma 2 2 3 7 3 6" xfId="8095"/>
    <cellStyle name="Comma 2 2 3 7 3 7" xfId="8096"/>
    <cellStyle name="Comma 2 2 3 7 3 8" xfId="8097"/>
    <cellStyle name="Comma 2 2 3 7 3 9" xfId="8098"/>
    <cellStyle name="Comma 2 2 3 7 4" xfId="8099"/>
    <cellStyle name="Comma 2 2 3 7 4 2" xfId="8100"/>
    <cellStyle name="Comma 2 2 3 7 4 2 2" xfId="8101"/>
    <cellStyle name="Comma 2 2 3 7 4 2 3" xfId="8102"/>
    <cellStyle name="Comma 2 2 3 7 4 3" xfId="8103"/>
    <cellStyle name="Comma 2 2 3 7 4 4" xfId="8104"/>
    <cellStyle name="Comma 2 2 3 7 4 5" xfId="8105"/>
    <cellStyle name="Comma 2 2 3 7 4 6" xfId="8106"/>
    <cellStyle name="Comma 2 2 3 7 5" xfId="8107"/>
    <cellStyle name="Comma 2 2 3 7 5 2" xfId="8108"/>
    <cellStyle name="Comma 2 2 3 7 5 2 2" xfId="8109"/>
    <cellStyle name="Comma 2 2 3 7 5 3" xfId="8110"/>
    <cellStyle name="Comma 2 2 3 7 5 4" xfId="8111"/>
    <cellStyle name="Comma 2 2 3 7 5 5" xfId="8112"/>
    <cellStyle name="Comma 2 2 3 7 6" xfId="8113"/>
    <cellStyle name="Comma 2 2 3 7 6 2" xfId="8114"/>
    <cellStyle name="Comma 2 2 3 7 6 3" xfId="8115"/>
    <cellStyle name="Comma 2 2 3 7 6 4" xfId="8116"/>
    <cellStyle name="Comma 2 2 3 7 7" xfId="8117"/>
    <cellStyle name="Comma 2 2 3 7 7 2" xfId="8118"/>
    <cellStyle name="Comma 2 2 3 7 8" xfId="8119"/>
    <cellStyle name="Comma 2 2 3 7 9" xfId="8120"/>
    <cellStyle name="Comma 2 2 3 8" xfId="8121"/>
    <cellStyle name="Comma 2 2 3 8 10" xfId="8122"/>
    <cellStyle name="Comma 2 2 3 8 2" xfId="8123"/>
    <cellStyle name="Comma 2 2 3 8 2 2" xfId="8124"/>
    <cellStyle name="Comma 2 2 3 8 2 2 2" xfId="8125"/>
    <cellStyle name="Comma 2 2 3 8 2 2 3" xfId="8126"/>
    <cellStyle name="Comma 2 2 3 8 2 3" xfId="8127"/>
    <cellStyle name="Comma 2 2 3 8 2 4" xfId="8128"/>
    <cellStyle name="Comma 2 2 3 8 2 5" xfId="8129"/>
    <cellStyle name="Comma 2 2 3 8 2 6" xfId="8130"/>
    <cellStyle name="Comma 2 2 3 8 3" xfId="8131"/>
    <cellStyle name="Comma 2 2 3 8 3 2" xfId="8132"/>
    <cellStyle name="Comma 2 2 3 8 3 2 2" xfId="8133"/>
    <cellStyle name="Comma 2 2 3 8 3 2 3" xfId="8134"/>
    <cellStyle name="Comma 2 2 3 8 3 3" xfId="8135"/>
    <cellStyle name="Comma 2 2 3 8 3 4" xfId="8136"/>
    <cellStyle name="Comma 2 2 3 8 3 5" xfId="8137"/>
    <cellStyle name="Comma 2 2 3 8 3 6" xfId="8138"/>
    <cellStyle name="Comma 2 2 3 8 4" xfId="8139"/>
    <cellStyle name="Comma 2 2 3 8 4 2" xfId="8140"/>
    <cellStyle name="Comma 2 2 3 8 4 2 2" xfId="8141"/>
    <cellStyle name="Comma 2 2 3 8 4 3" xfId="8142"/>
    <cellStyle name="Comma 2 2 3 8 4 4" xfId="8143"/>
    <cellStyle name="Comma 2 2 3 8 4 5" xfId="8144"/>
    <cellStyle name="Comma 2 2 3 8 5" xfId="8145"/>
    <cellStyle name="Comma 2 2 3 8 5 2" xfId="8146"/>
    <cellStyle name="Comma 2 2 3 8 5 3" xfId="8147"/>
    <cellStyle name="Comma 2 2 3 8 5 4" xfId="8148"/>
    <cellStyle name="Comma 2 2 3 8 6" xfId="8149"/>
    <cellStyle name="Comma 2 2 3 8 6 2" xfId="8150"/>
    <cellStyle name="Comma 2 2 3 8 7" xfId="8151"/>
    <cellStyle name="Comma 2 2 3 8 8" xfId="8152"/>
    <cellStyle name="Comma 2 2 3 8 9" xfId="8153"/>
    <cellStyle name="Comma 2 2 3 9" xfId="8154"/>
    <cellStyle name="Comma 2 2 3 9 10" xfId="8155"/>
    <cellStyle name="Comma 2 2 3 9 2" xfId="8156"/>
    <cellStyle name="Comma 2 2 3 9 2 2" xfId="8157"/>
    <cellStyle name="Comma 2 2 3 9 2 2 2" xfId="8158"/>
    <cellStyle name="Comma 2 2 3 9 2 2 3" xfId="8159"/>
    <cellStyle name="Comma 2 2 3 9 2 3" xfId="8160"/>
    <cellStyle name="Comma 2 2 3 9 2 4" xfId="8161"/>
    <cellStyle name="Comma 2 2 3 9 2 5" xfId="8162"/>
    <cellStyle name="Comma 2 2 3 9 2 6" xfId="8163"/>
    <cellStyle name="Comma 2 2 3 9 3" xfId="8164"/>
    <cellStyle name="Comma 2 2 3 9 3 2" xfId="8165"/>
    <cellStyle name="Comma 2 2 3 9 3 2 2" xfId="8166"/>
    <cellStyle name="Comma 2 2 3 9 3 2 3" xfId="8167"/>
    <cellStyle name="Comma 2 2 3 9 3 3" xfId="8168"/>
    <cellStyle name="Comma 2 2 3 9 3 4" xfId="8169"/>
    <cellStyle name="Comma 2 2 3 9 3 5" xfId="8170"/>
    <cellStyle name="Comma 2 2 3 9 3 6" xfId="8171"/>
    <cellStyle name="Comma 2 2 3 9 4" xfId="8172"/>
    <cellStyle name="Comma 2 2 3 9 4 2" xfId="8173"/>
    <cellStyle name="Comma 2 2 3 9 4 2 2" xfId="8174"/>
    <cellStyle name="Comma 2 2 3 9 4 3" xfId="8175"/>
    <cellStyle name="Comma 2 2 3 9 4 4" xfId="8176"/>
    <cellStyle name="Comma 2 2 3 9 4 5" xfId="8177"/>
    <cellStyle name="Comma 2 2 3 9 5" xfId="8178"/>
    <cellStyle name="Comma 2 2 3 9 5 2" xfId="8179"/>
    <cellStyle name="Comma 2 2 3 9 5 3" xfId="8180"/>
    <cellStyle name="Comma 2 2 3 9 5 4" xfId="8181"/>
    <cellStyle name="Comma 2 2 3 9 6" xfId="8182"/>
    <cellStyle name="Comma 2 2 3 9 6 2" xfId="8183"/>
    <cellStyle name="Comma 2 2 3 9 7" xfId="8184"/>
    <cellStyle name="Comma 2 2 3 9 8" xfId="8185"/>
    <cellStyle name="Comma 2 2 3 9 9" xfId="8186"/>
    <cellStyle name="Comma 2 2 30" xfId="8187"/>
    <cellStyle name="Comma 2 2 30 2" xfId="8188"/>
    <cellStyle name="Comma 2 2 30 2 2" xfId="8189"/>
    <cellStyle name="Comma 2 2 30 2 2 2" xfId="8190"/>
    <cellStyle name="Comma 2 2 30 2 2 3" xfId="8191"/>
    <cellStyle name="Comma 2 2 30 2 3" xfId="8192"/>
    <cellStyle name="Comma 2 2 30 2 4" xfId="8193"/>
    <cellStyle name="Comma 2 2 30 2 5" xfId="8194"/>
    <cellStyle name="Comma 2 2 30 2 6" xfId="8195"/>
    <cellStyle name="Comma 2 2 30 3" xfId="8196"/>
    <cellStyle name="Comma 2 2 30 3 2" xfId="8197"/>
    <cellStyle name="Comma 2 2 30 3 2 2" xfId="8198"/>
    <cellStyle name="Comma 2 2 30 3 3" xfId="8199"/>
    <cellStyle name="Comma 2 2 30 3 4" xfId="8200"/>
    <cellStyle name="Comma 2 2 30 3 5" xfId="8201"/>
    <cellStyle name="Comma 2 2 30 4" xfId="8202"/>
    <cellStyle name="Comma 2 2 30 4 2" xfId="8203"/>
    <cellStyle name="Comma 2 2 30 4 3" xfId="8204"/>
    <cellStyle name="Comma 2 2 30 4 4" xfId="8205"/>
    <cellStyle name="Comma 2 2 30 5" xfId="8206"/>
    <cellStyle name="Comma 2 2 30 5 2" xfId="8207"/>
    <cellStyle name="Comma 2 2 30 6" xfId="8208"/>
    <cellStyle name="Comma 2 2 30 7" xfId="8209"/>
    <cellStyle name="Comma 2 2 30 8" xfId="8210"/>
    <cellStyle name="Comma 2 2 30 9" xfId="8211"/>
    <cellStyle name="Comma 2 2 31" xfId="8212"/>
    <cellStyle name="Comma 2 2 31 2" xfId="8213"/>
    <cellStyle name="Comma 2 2 31 2 2" xfId="8214"/>
    <cellStyle name="Comma 2 2 31 2 3" xfId="8215"/>
    <cellStyle name="Comma 2 2 31 3" xfId="8216"/>
    <cellStyle name="Comma 2 2 31 4" xfId="8217"/>
    <cellStyle name="Comma 2 2 31 5" xfId="8218"/>
    <cellStyle name="Comma 2 2 31 6" xfId="8219"/>
    <cellStyle name="Comma 2 2 32" xfId="8220"/>
    <cellStyle name="Comma 2 2 32 2" xfId="8221"/>
    <cellStyle name="Comma 2 2 32 2 2" xfId="8222"/>
    <cellStyle name="Comma 2 2 32 3" xfId="8223"/>
    <cellStyle name="Comma 2 2 32 4" xfId="8224"/>
    <cellStyle name="Comma 2 2 32 5" xfId="8225"/>
    <cellStyle name="Comma 2 2 32 6" xfId="8226"/>
    <cellStyle name="Comma 2 2 33" xfId="8227"/>
    <cellStyle name="Comma 2 2 33 2" xfId="8228"/>
    <cellStyle name="Comma 2 2 33 2 2" xfId="8229"/>
    <cellStyle name="Comma 2 2 33 3" xfId="8230"/>
    <cellStyle name="Comma 2 2 33 4" xfId="8231"/>
    <cellStyle name="Comma 2 2 33 5" xfId="8232"/>
    <cellStyle name="Comma 2 2 33 6" xfId="8233"/>
    <cellStyle name="Comma 2 2 34" xfId="8234"/>
    <cellStyle name="Comma 2 2 34 2" xfId="8235"/>
    <cellStyle name="Comma 2 2 34 3" xfId="8236"/>
    <cellStyle name="Comma 2 2 34 4" xfId="8237"/>
    <cellStyle name="Comma 2 2 35" xfId="8238"/>
    <cellStyle name="Comma 2 2 35 2" xfId="8239"/>
    <cellStyle name="Comma 2 2 35 3" xfId="8240"/>
    <cellStyle name="Comma 2 2 36" xfId="8241"/>
    <cellStyle name="Comma 2 2 36 2" xfId="8242"/>
    <cellStyle name="Comma 2 2 36 3" xfId="8243"/>
    <cellStyle name="Comma 2 2 37" xfId="8244"/>
    <cellStyle name="Comma 2 2 38" xfId="8245"/>
    <cellStyle name="Comma 2 2 39" xfId="8246"/>
    <cellStyle name="Comma 2 2 4" xfId="8247"/>
    <cellStyle name="Comma 2 2 4 10" xfId="8248"/>
    <cellStyle name="Comma 2 2 4 11" xfId="8249"/>
    <cellStyle name="Comma 2 2 4 2" xfId="8250"/>
    <cellStyle name="Comma 2 2 4 2 2" xfId="8251"/>
    <cellStyle name="Comma 2 2 4 2 2 2" xfId="8252"/>
    <cellStyle name="Comma 2 2 4 2 2 2 2" xfId="8253"/>
    <cellStyle name="Comma 2 2 4 2 2 2 3" xfId="8254"/>
    <cellStyle name="Comma 2 2 4 2 2 3" xfId="8255"/>
    <cellStyle name="Comma 2 2 4 2 2 4" xfId="8256"/>
    <cellStyle name="Comma 2 2 4 2 2 5" xfId="8257"/>
    <cellStyle name="Comma 2 2 4 2 2 6" xfId="8258"/>
    <cellStyle name="Comma 2 2 4 2 3" xfId="8259"/>
    <cellStyle name="Comma 2 2 4 2 3 2" xfId="8260"/>
    <cellStyle name="Comma 2 2 4 2 3 2 2" xfId="8261"/>
    <cellStyle name="Comma 2 2 4 2 3 3" xfId="8262"/>
    <cellStyle name="Comma 2 2 4 2 3 4" xfId="8263"/>
    <cellStyle name="Comma 2 2 4 2 3 5" xfId="8264"/>
    <cellStyle name="Comma 2 2 4 2 4" xfId="8265"/>
    <cellStyle name="Comma 2 2 4 2 4 2" xfId="8266"/>
    <cellStyle name="Comma 2 2 4 2 4 3" xfId="8267"/>
    <cellStyle name="Comma 2 2 4 2 4 4" xfId="8268"/>
    <cellStyle name="Comma 2 2 4 2 5" xfId="8269"/>
    <cellStyle name="Comma 2 2 4 2 5 2" xfId="8270"/>
    <cellStyle name="Comma 2 2 4 2 6" xfId="8271"/>
    <cellStyle name="Comma 2 2 4 2 7" xfId="8272"/>
    <cellStyle name="Comma 2 2 4 2 8" xfId="8273"/>
    <cellStyle name="Comma 2 2 4 2 9" xfId="8274"/>
    <cellStyle name="Comma 2 2 4 3" xfId="8275"/>
    <cellStyle name="Comma 2 2 4 3 2" xfId="8276"/>
    <cellStyle name="Comma 2 2 4 3 2 2" xfId="8277"/>
    <cellStyle name="Comma 2 2 4 3 2 2 2" xfId="8278"/>
    <cellStyle name="Comma 2 2 4 3 2 2 3" xfId="8279"/>
    <cellStyle name="Comma 2 2 4 3 2 3" xfId="8280"/>
    <cellStyle name="Comma 2 2 4 3 2 4" xfId="8281"/>
    <cellStyle name="Comma 2 2 4 3 2 5" xfId="8282"/>
    <cellStyle name="Comma 2 2 4 3 2 6" xfId="8283"/>
    <cellStyle name="Comma 2 2 4 3 3" xfId="8284"/>
    <cellStyle name="Comma 2 2 4 3 3 2" xfId="8285"/>
    <cellStyle name="Comma 2 2 4 3 3 2 2" xfId="8286"/>
    <cellStyle name="Comma 2 2 4 3 3 3" xfId="8287"/>
    <cellStyle name="Comma 2 2 4 3 3 4" xfId="8288"/>
    <cellStyle name="Comma 2 2 4 3 3 5" xfId="8289"/>
    <cellStyle name="Comma 2 2 4 3 4" xfId="8290"/>
    <cellStyle name="Comma 2 2 4 3 4 2" xfId="8291"/>
    <cellStyle name="Comma 2 2 4 3 4 3" xfId="8292"/>
    <cellStyle name="Comma 2 2 4 3 4 4" xfId="8293"/>
    <cellStyle name="Comma 2 2 4 3 5" xfId="8294"/>
    <cellStyle name="Comma 2 2 4 3 5 2" xfId="8295"/>
    <cellStyle name="Comma 2 2 4 3 6" xfId="8296"/>
    <cellStyle name="Comma 2 2 4 3 7" xfId="8297"/>
    <cellStyle name="Comma 2 2 4 3 8" xfId="8298"/>
    <cellStyle name="Comma 2 2 4 3 9" xfId="8299"/>
    <cellStyle name="Comma 2 2 4 4" xfId="8300"/>
    <cellStyle name="Comma 2 2 4 4 2" xfId="8301"/>
    <cellStyle name="Comma 2 2 4 4 2 2" xfId="8302"/>
    <cellStyle name="Comma 2 2 4 4 2 3" xfId="8303"/>
    <cellStyle name="Comma 2 2 4 4 3" xfId="8304"/>
    <cellStyle name="Comma 2 2 4 4 4" xfId="8305"/>
    <cellStyle name="Comma 2 2 4 4 5" xfId="8306"/>
    <cellStyle name="Comma 2 2 4 4 6" xfId="8307"/>
    <cellStyle name="Comma 2 2 4 5" xfId="8308"/>
    <cellStyle name="Comma 2 2 4 5 2" xfId="8309"/>
    <cellStyle name="Comma 2 2 4 5 2 2" xfId="8310"/>
    <cellStyle name="Comma 2 2 4 5 3" xfId="8311"/>
    <cellStyle name="Comma 2 2 4 5 4" xfId="8312"/>
    <cellStyle name="Comma 2 2 4 5 5" xfId="8313"/>
    <cellStyle name="Comma 2 2 4 6" xfId="8314"/>
    <cellStyle name="Comma 2 2 4 6 2" xfId="8315"/>
    <cellStyle name="Comma 2 2 4 6 3" xfId="8316"/>
    <cellStyle name="Comma 2 2 4 6 4" xfId="8317"/>
    <cellStyle name="Comma 2 2 4 7" xfId="8318"/>
    <cellStyle name="Comma 2 2 4 7 2" xfId="8319"/>
    <cellStyle name="Comma 2 2 4 8" xfId="8320"/>
    <cellStyle name="Comma 2 2 4 9" xfId="8321"/>
    <cellStyle name="Comma 2 2 40" xfId="8322"/>
    <cellStyle name="Comma 2 2 41" xfId="8323"/>
    <cellStyle name="Comma 2 2 42" xfId="8324"/>
    <cellStyle name="Comma 2 2 43" xfId="8325"/>
    <cellStyle name="Comma 2 2 44" xfId="8326"/>
    <cellStyle name="Comma 2 2 45" xfId="8327"/>
    <cellStyle name="Comma 2 2 46" xfId="8328"/>
    <cellStyle name="Comma 2 2 47" xfId="8329"/>
    <cellStyle name="Comma 2 2 48" xfId="8330"/>
    <cellStyle name="Comma 2 2 49" xfId="8331"/>
    <cellStyle name="Comma 2 2 5" xfId="8332"/>
    <cellStyle name="Comma 2 2 5 10" xfId="8333"/>
    <cellStyle name="Comma 2 2 5 11" xfId="8334"/>
    <cellStyle name="Comma 2 2 5 2" xfId="8335"/>
    <cellStyle name="Comma 2 2 5 2 2" xfId="8336"/>
    <cellStyle name="Comma 2 2 5 2 2 2" xfId="8337"/>
    <cellStyle name="Comma 2 2 5 2 2 2 2" xfId="8338"/>
    <cellStyle name="Comma 2 2 5 2 2 2 3" xfId="8339"/>
    <cellStyle name="Comma 2 2 5 2 2 3" xfId="8340"/>
    <cellStyle name="Comma 2 2 5 2 2 4" xfId="8341"/>
    <cellStyle name="Comma 2 2 5 2 2 5" xfId="8342"/>
    <cellStyle name="Comma 2 2 5 2 2 6" xfId="8343"/>
    <cellStyle name="Comma 2 2 5 2 3" xfId="8344"/>
    <cellStyle name="Comma 2 2 5 2 3 2" xfId="8345"/>
    <cellStyle name="Comma 2 2 5 2 3 2 2" xfId="8346"/>
    <cellStyle name="Comma 2 2 5 2 3 3" xfId="8347"/>
    <cellStyle name="Comma 2 2 5 2 3 4" xfId="8348"/>
    <cellStyle name="Comma 2 2 5 2 3 5" xfId="8349"/>
    <cellStyle name="Comma 2 2 5 2 4" xfId="8350"/>
    <cellStyle name="Comma 2 2 5 2 4 2" xfId="8351"/>
    <cellStyle name="Comma 2 2 5 2 4 3" xfId="8352"/>
    <cellStyle name="Comma 2 2 5 2 4 4" xfId="8353"/>
    <cellStyle name="Comma 2 2 5 2 5" xfId="8354"/>
    <cellStyle name="Comma 2 2 5 2 5 2" xfId="8355"/>
    <cellStyle name="Comma 2 2 5 2 6" xfId="8356"/>
    <cellStyle name="Comma 2 2 5 2 7" xfId="8357"/>
    <cellStyle name="Comma 2 2 5 2 8" xfId="8358"/>
    <cellStyle name="Comma 2 2 5 2 9" xfId="8359"/>
    <cellStyle name="Comma 2 2 5 3" xfId="8360"/>
    <cellStyle name="Comma 2 2 5 3 2" xfId="8361"/>
    <cellStyle name="Comma 2 2 5 3 2 2" xfId="8362"/>
    <cellStyle name="Comma 2 2 5 3 2 2 2" xfId="8363"/>
    <cellStyle name="Comma 2 2 5 3 2 2 3" xfId="8364"/>
    <cellStyle name="Comma 2 2 5 3 2 3" xfId="8365"/>
    <cellStyle name="Comma 2 2 5 3 2 4" xfId="8366"/>
    <cellStyle name="Comma 2 2 5 3 2 5" xfId="8367"/>
    <cellStyle name="Comma 2 2 5 3 2 6" xfId="8368"/>
    <cellStyle name="Comma 2 2 5 3 3" xfId="8369"/>
    <cellStyle name="Comma 2 2 5 3 3 2" xfId="8370"/>
    <cellStyle name="Comma 2 2 5 3 3 2 2" xfId="8371"/>
    <cellStyle name="Comma 2 2 5 3 3 3" xfId="8372"/>
    <cellStyle name="Comma 2 2 5 3 3 4" xfId="8373"/>
    <cellStyle name="Comma 2 2 5 3 3 5" xfId="8374"/>
    <cellStyle name="Comma 2 2 5 3 4" xfId="8375"/>
    <cellStyle name="Comma 2 2 5 3 4 2" xfId="8376"/>
    <cellStyle name="Comma 2 2 5 3 4 3" xfId="8377"/>
    <cellStyle name="Comma 2 2 5 3 4 4" xfId="8378"/>
    <cellStyle name="Comma 2 2 5 3 5" xfId="8379"/>
    <cellStyle name="Comma 2 2 5 3 5 2" xfId="8380"/>
    <cellStyle name="Comma 2 2 5 3 6" xfId="8381"/>
    <cellStyle name="Comma 2 2 5 3 7" xfId="8382"/>
    <cellStyle name="Comma 2 2 5 3 8" xfId="8383"/>
    <cellStyle name="Comma 2 2 5 3 9" xfId="8384"/>
    <cellStyle name="Comma 2 2 5 4" xfId="8385"/>
    <cellStyle name="Comma 2 2 5 4 2" xfId="8386"/>
    <cellStyle name="Comma 2 2 5 4 2 2" xfId="8387"/>
    <cellStyle name="Comma 2 2 5 4 2 3" xfId="8388"/>
    <cellStyle name="Comma 2 2 5 4 3" xfId="8389"/>
    <cellStyle name="Comma 2 2 5 4 4" xfId="8390"/>
    <cellStyle name="Comma 2 2 5 4 5" xfId="8391"/>
    <cellStyle name="Comma 2 2 5 4 6" xfId="8392"/>
    <cellStyle name="Comma 2 2 5 5" xfId="8393"/>
    <cellStyle name="Comma 2 2 5 5 2" xfId="8394"/>
    <cellStyle name="Comma 2 2 5 5 2 2" xfId="8395"/>
    <cellStyle name="Comma 2 2 5 5 3" xfId="8396"/>
    <cellStyle name="Comma 2 2 5 5 4" xfId="8397"/>
    <cellStyle name="Comma 2 2 5 5 5" xfId="8398"/>
    <cellStyle name="Comma 2 2 5 6" xfId="8399"/>
    <cellStyle name="Comma 2 2 5 6 2" xfId="8400"/>
    <cellStyle name="Comma 2 2 5 6 3" xfId="8401"/>
    <cellStyle name="Comma 2 2 5 6 4" xfId="8402"/>
    <cellStyle name="Comma 2 2 5 7" xfId="8403"/>
    <cellStyle name="Comma 2 2 5 7 2" xfId="8404"/>
    <cellStyle name="Comma 2 2 5 8" xfId="8405"/>
    <cellStyle name="Comma 2 2 5 9" xfId="8406"/>
    <cellStyle name="Comma 2 2 50" xfId="8407"/>
    <cellStyle name="Comma 2 2 51" xfId="8408"/>
    <cellStyle name="Comma 2 2 52" xfId="8409"/>
    <cellStyle name="Comma 2 2 53" xfId="8410"/>
    <cellStyle name="Comma 2 2 54" xfId="8411"/>
    <cellStyle name="Comma 2 2 55" xfId="8412"/>
    <cellStyle name="Comma 2 2 6" xfId="8413"/>
    <cellStyle name="Comma 2 2 6 10" xfId="8414"/>
    <cellStyle name="Comma 2 2 6 11" xfId="8415"/>
    <cellStyle name="Comma 2 2 6 2" xfId="8416"/>
    <cellStyle name="Comma 2 2 6 2 2" xfId="8417"/>
    <cellStyle name="Comma 2 2 6 2 2 2" xfId="8418"/>
    <cellStyle name="Comma 2 2 6 2 2 2 2" xfId="8419"/>
    <cellStyle name="Comma 2 2 6 2 2 2 3" xfId="8420"/>
    <cellStyle name="Comma 2 2 6 2 2 3" xfId="8421"/>
    <cellStyle name="Comma 2 2 6 2 2 4" xfId="8422"/>
    <cellStyle name="Comma 2 2 6 2 2 5" xfId="8423"/>
    <cellStyle name="Comma 2 2 6 2 2 6" xfId="8424"/>
    <cellStyle name="Comma 2 2 6 2 3" xfId="8425"/>
    <cellStyle name="Comma 2 2 6 2 3 2" xfId="8426"/>
    <cellStyle name="Comma 2 2 6 2 3 2 2" xfId="8427"/>
    <cellStyle name="Comma 2 2 6 2 3 3" xfId="8428"/>
    <cellStyle name="Comma 2 2 6 2 3 4" xfId="8429"/>
    <cellStyle name="Comma 2 2 6 2 3 5" xfId="8430"/>
    <cellStyle name="Comma 2 2 6 2 4" xfId="8431"/>
    <cellStyle name="Comma 2 2 6 2 4 2" xfId="8432"/>
    <cellStyle name="Comma 2 2 6 2 4 3" xfId="8433"/>
    <cellStyle name="Comma 2 2 6 2 4 4" xfId="8434"/>
    <cellStyle name="Comma 2 2 6 2 5" xfId="8435"/>
    <cellStyle name="Comma 2 2 6 2 5 2" xfId="8436"/>
    <cellStyle name="Comma 2 2 6 2 6" xfId="8437"/>
    <cellStyle name="Comma 2 2 6 2 7" xfId="8438"/>
    <cellStyle name="Comma 2 2 6 2 8" xfId="8439"/>
    <cellStyle name="Comma 2 2 6 2 9" xfId="8440"/>
    <cellStyle name="Comma 2 2 6 3" xfId="8441"/>
    <cellStyle name="Comma 2 2 6 3 2" xfId="8442"/>
    <cellStyle name="Comma 2 2 6 3 2 2" xfId="8443"/>
    <cellStyle name="Comma 2 2 6 3 2 2 2" xfId="8444"/>
    <cellStyle name="Comma 2 2 6 3 2 2 3" xfId="8445"/>
    <cellStyle name="Comma 2 2 6 3 2 3" xfId="8446"/>
    <cellStyle name="Comma 2 2 6 3 2 4" xfId="8447"/>
    <cellStyle name="Comma 2 2 6 3 2 5" xfId="8448"/>
    <cellStyle name="Comma 2 2 6 3 2 6" xfId="8449"/>
    <cellStyle name="Comma 2 2 6 3 3" xfId="8450"/>
    <cellStyle name="Comma 2 2 6 3 3 2" xfId="8451"/>
    <cellStyle name="Comma 2 2 6 3 3 2 2" xfId="8452"/>
    <cellStyle name="Comma 2 2 6 3 3 3" xfId="8453"/>
    <cellStyle name="Comma 2 2 6 3 3 4" xfId="8454"/>
    <cellStyle name="Comma 2 2 6 3 3 5" xfId="8455"/>
    <cellStyle name="Comma 2 2 6 3 4" xfId="8456"/>
    <cellStyle name="Comma 2 2 6 3 4 2" xfId="8457"/>
    <cellStyle name="Comma 2 2 6 3 4 3" xfId="8458"/>
    <cellStyle name="Comma 2 2 6 3 4 4" xfId="8459"/>
    <cellStyle name="Comma 2 2 6 3 5" xfId="8460"/>
    <cellStyle name="Comma 2 2 6 3 5 2" xfId="8461"/>
    <cellStyle name="Comma 2 2 6 3 6" xfId="8462"/>
    <cellStyle name="Comma 2 2 6 3 7" xfId="8463"/>
    <cellStyle name="Comma 2 2 6 3 8" xfId="8464"/>
    <cellStyle name="Comma 2 2 6 3 9" xfId="8465"/>
    <cellStyle name="Comma 2 2 6 4" xfId="8466"/>
    <cellStyle name="Comma 2 2 6 4 2" xfId="8467"/>
    <cellStyle name="Comma 2 2 6 4 2 2" xfId="8468"/>
    <cellStyle name="Comma 2 2 6 4 2 3" xfId="8469"/>
    <cellStyle name="Comma 2 2 6 4 3" xfId="8470"/>
    <cellStyle name="Comma 2 2 6 4 4" xfId="8471"/>
    <cellStyle name="Comma 2 2 6 4 5" xfId="8472"/>
    <cellStyle name="Comma 2 2 6 4 6" xfId="8473"/>
    <cellStyle name="Comma 2 2 6 5" xfId="8474"/>
    <cellStyle name="Comma 2 2 6 5 2" xfId="8475"/>
    <cellStyle name="Comma 2 2 6 5 2 2" xfId="8476"/>
    <cellStyle name="Comma 2 2 6 5 3" xfId="8477"/>
    <cellStyle name="Comma 2 2 6 5 4" xfId="8478"/>
    <cellStyle name="Comma 2 2 6 5 5" xfId="8479"/>
    <cellStyle name="Comma 2 2 6 6" xfId="8480"/>
    <cellStyle name="Comma 2 2 6 6 2" xfId="8481"/>
    <cellStyle name="Comma 2 2 6 6 3" xfId="8482"/>
    <cellStyle name="Comma 2 2 6 6 4" xfId="8483"/>
    <cellStyle name="Comma 2 2 6 7" xfId="8484"/>
    <cellStyle name="Comma 2 2 6 7 2" xfId="8485"/>
    <cellStyle name="Comma 2 2 6 8" xfId="8486"/>
    <cellStyle name="Comma 2 2 6 9" xfId="8487"/>
    <cellStyle name="Comma 2 2 7" xfId="8488"/>
    <cellStyle name="Comma 2 2 7 10" xfId="8489"/>
    <cellStyle name="Comma 2 2 7 11" xfId="8490"/>
    <cellStyle name="Comma 2 2 7 2" xfId="8491"/>
    <cellStyle name="Comma 2 2 7 2 2" xfId="8492"/>
    <cellStyle name="Comma 2 2 7 2 2 2" xfId="8493"/>
    <cellStyle name="Comma 2 2 7 2 2 2 2" xfId="8494"/>
    <cellStyle name="Comma 2 2 7 2 2 2 3" xfId="8495"/>
    <cellStyle name="Comma 2 2 7 2 2 3" xfId="8496"/>
    <cellStyle name="Comma 2 2 7 2 2 4" xfId="8497"/>
    <cellStyle name="Comma 2 2 7 2 2 5" xfId="8498"/>
    <cellStyle name="Comma 2 2 7 2 2 6" xfId="8499"/>
    <cellStyle name="Comma 2 2 7 2 3" xfId="8500"/>
    <cellStyle name="Comma 2 2 7 2 3 2" xfId="8501"/>
    <cellStyle name="Comma 2 2 7 2 3 2 2" xfId="8502"/>
    <cellStyle name="Comma 2 2 7 2 3 3" xfId="8503"/>
    <cellStyle name="Comma 2 2 7 2 3 4" xfId="8504"/>
    <cellStyle name="Comma 2 2 7 2 3 5" xfId="8505"/>
    <cellStyle name="Comma 2 2 7 2 4" xfId="8506"/>
    <cellStyle name="Comma 2 2 7 2 4 2" xfId="8507"/>
    <cellStyle name="Comma 2 2 7 2 4 3" xfId="8508"/>
    <cellStyle name="Comma 2 2 7 2 4 4" xfId="8509"/>
    <cellStyle name="Comma 2 2 7 2 5" xfId="8510"/>
    <cellStyle name="Comma 2 2 7 2 5 2" xfId="8511"/>
    <cellStyle name="Comma 2 2 7 2 6" xfId="8512"/>
    <cellStyle name="Comma 2 2 7 2 7" xfId="8513"/>
    <cellStyle name="Comma 2 2 7 2 8" xfId="8514"/>
    <cellStyle name="Comma 2 2 7 2 9" xfId="8515"/>
    <cellStyle name="Comma 2 2 7 3" xfId="8516"/>
    <cellStyle name="Comma 2 2 7 3 2" xfId="8517"/>
    <cellStyle name="Comma 2 2 7 3 2 2" xfId="8518"/>
    <cellStyle name="Comma 2 2 7 3 2 2 2" xfId="8519"/>
    <cellStyle name="Comma 2 2 7 3 2 2 3" xfId="8520"/>
    <cellStyle name="Comma 2 2 7 3 2 3" xfId="8521"/>
    <cellStyle name="Comma 2 2 7 3 2 4" xfId="8522"/>
    <cellStyle name="Comma 2 2 7 3 2 5" xfId="8523"/>
    <cellStyle name="Comma 2 2 7 3 2 6" xfId="8524"/>
    <cellStyle name="Comma 2 2 7 3 3" xfId="8525"/>
    <cellStyle name="Comma 2 2 7 3 3 2" xfId="8526"/>
    <cellStyle name="Comma 2 2 7 3 3 2 2" xfId="8527"/>
    <cellStyle name="Comma 2 2 7 3 3 3" xfId="8528"/>
    <cellStyle name="Comma 2 2 7 3 3 4" xfId="8529"/>
    <cellStyle name="Comma 2 2 7 3 3 5" xfId="8530"/>
    <cellStyle name="Comma 2 2 7 3 4" xfId="8531"/>
    <cellStyle name="Comma 2 2 7 3 4 2" xfId="8532"/>
    <cellStyle name="Comma 2 2 7 3 4 3" xfId="8533"/>
    <cellStyle name="Comma 2 2 7 3 4 4" xfId="8534"/>
    <cellStyle name="Comma 2 2 7 3 5" xfId="8535"/>
    <cellStyle name="Comma 2 2 7 3 5 2" xfId="8536"/>
    <cellStyle name="Comma 2 2 7 3 6" xfId="8537"/>
    <cellStyle name="Comma 2 2 7 3 7" xfId="8538"/>
    <cellStyle name="Comma 2 2 7 3 8" xfId="8539"/>
    <cellStyle name="Comma 2 2 7 3 9" xfId="8540"/>
    <cellStyle name="Comma 2 2 7 4" xfId="8541"/>
    <cellStyle name="Comma 2 2 7 4 2" xfId="8542"/>
    <cellStyle name="Comma 2 2 7 4 2 2" xfId="8543"/>
    <cellStyle name="Comma 2 2 7 4 2 3" xfId="8544"/>
    <cellStyle name="Comma 2 2 7 4 3" xfId="8545"/>
    <cellStyle name="Comma 2 2 7 4 4" xfId="8546"/>
    <cellStyle name="Comma 2 2 7 4 5" xfId="8547"/>
    <cellStyle name="Comma 2 2 7 4 6" xfId="8548"/>
    <cellStyle name="Comma 2 2 7 5" xfId="8549"/>
    <cellStyle name="Comma 2 2 7 5 2" xfId="8550"/>
    <cellStyle name="Comma 2 2 7 5 2 2" xfId="8551"/>
    <cellStyle name="Comma 2 2 7 5 3" xfId="8552"/>
    <cellStyle name="Comma 2 2 7 5 4" xfId="8553"/>
    <cellStyle name="Comma 2 2 7 5 5" xfId="8554"/>
    <cellStyle name="Comma 2 2 7 6" xfId="8555"/>
    <cellStyle name="Comma 2 2 7 6 2" xfId="8556"/>
    <cellStyle name="Comma 2 2 7 6 3" xfId="8557"/>
    <cellStyle name="Comma 2 2 7 6 4" xfId="8558"/>
    <cellStyle name="Comma 2 2 7 7" xfId="8559"/>
    <cellStyle name="Comma 2 2 7 7 2" xfId="8560"/>
    <cellStyle name="Comma 2 2 7 8" xfId="8561"/>
    <cellStyle name="Comma 2 2 7 9" xfId="8562"/>
    <cellStyle name="Comma 2 2 8" xfId="8563"/>
    <cellStyle name="Comma 2 2 8 10" xfId="8564"/>
    <cellStyle name="Comma 2 2 8 11" xfId="8565"/>
    <cellStyle name="Comma 2 2 8 2" xfId="8566"/>
    <cellStyle name="Comma 2 2 8 2 2" xfId="8567"/>
    <cellStyle name="Comma 2 2 8 2 2 2" xfId="8568"/>
    <cellStyle name="Comma 2 2 8 2 2 2 2" xfId="8569"/>
    <cellStyle name="Comma 2 2 8 2 2 2 3" xfId="8570"/>
    <cellStyle name="Comma 2 2 8 2 2 3" xfId="8571"/>
    <cellStyle name="Comma 2 2 8 2 2 4" xfId="8572"/>
    <cellStyle name="Comma 2 2 8 2 2 5" xfId="8573"/>
    <cellStyle name="Comma 2 2 8 2 2 6" xfId="8574"/>
    <cellStyle name="Comma 2 2 8 2 3" xfId="8575"/>
    <cellStyle name="Comma 2 2 8 2 3 2" xfId="8576"/>
    <cellStyle name="Comma 2 2 8 2 3 2 2" xfId="8577"/>
    <cellStyle name="Comma 2 2 8 2 3 3" xfId="8578"/>
    <cellStyle name="Comma 2 2 8 2 3 4" xfId="8579"/>
    <cellStyle name="Comma 2 2 8 2 3 5" xfId="8580"/>
    <cellStyle name="Comma 2 2 8 2 4" xfId="8581"/>
    <cellStyle name="Comma 2 2 8 2 4 2" xfId="8582"/>
    <cellStyle name="Comma 2 2 8 2 4 3" xfId="8583"/>
    <cellStyle name="Comma 2 2 8 2 4 4" xfId="8584"/>
    <cellStyle name="Comma 2 2 8 2 5" xfId="8585"/>
    <cellStyle name="Comma 2 2 8 2 5 2" xfId="8586"/>
    <cellStyle name="Comma 2 2 8 2 6" xfId="8587"/>
    <cellStyle name="Comma 2 2 8 2 7" xfId="8588"/>
    <cellStyle name="Comma 2 2 8 2 8" xfId="8589"/>
    <cellStyle name="Comma 2 2 8 2 9" xfId="8590"/>
    <cellStyle name="Comma 2 2 8 3" xfId="8591"/>
    <cellStyle name="Comma 2 2 8 3 2" xfId="8592"/>
    <cellStyle name="Comma 2 2 8 3 2 2" xfId="8593"/>
    <cellStyle name="Comma 2 2 8 3 2 2 2" xfId="8594"/>
    <cellStyle name="Comma 2 2 8 3 2 2 3" xfId="8595"/>
    <cellStyle name="Comma 2 2 8 3 2 3" xfId="8596"/>
    <cellStyle name="Comma 2 2 8 3 2 4" xfId="8597"/>
    <cellStyle name="Comma 2 2 8 3 2 5" xfId="8598"/>
    <cellStyle name="Comma 2 2 8 3 2 6" xfId="8599"/>
    <cellStyle name="Comma 2 2 8 3 3" xfId="8600"/>
    <cellStyle name="Comma 2 2 8 3 3 2" xfId="8601"/>
    <cellStyle name="Comma 2 2 8 3 3 2 2" xfId="8602"/>
    <cellStyle name="Comma 2 2 8 3 3 3" xfId="8603"/>
    <cellStyle name="Comma 2 2 8 3 3 4" xfId="8604"/>
    <cellStyle name="Comma 2 2 8 3 3 5" xfId="8605"/>
    <cellStyle name="Comma 2 2 8 3 4" xfId="8606"/>
    <cellStyle name="Comma 2 2 8 3 4 2" xfId="8607"/>
    <cellStyle name="Comma 2 2 8 3 4 3" xfId="8608"/>
    <cellStyle name="Comma 2 2 8 3 4 4" xfId="8609"/>
    <cellStyle name="Comma 2 2 8 3 5" xfId="8610"/>
    <cellStyle name="Comma 2 2 8 3 5 2" xfId="8611"/>
    <cellStyle name="Comma 2 2 8 3 6" xfId="8612"/>
    <cellStyle name="Comma 2 2 8 3 7" xfId="8613"/>
    <cellStyle name="Comma 2 2 8 3 8" xfId="8614"/>
    <cellStyle name="Comma 2 2 8 3 9" xfId="8615"/>
    <cellStyle name="Comma 2 2 8 4" xfId="8616"/>
    <cellStyle name="Comma 2 2 8 4 2" xfId="8617"/>
    <cellStyle name="Comma 2 2 8 4 2 2" xfId="8618"/>
    <cellStyle name="Comma 2 2 8 4 2 3" xfId="8619"/>
    <cellStyle name="Comma 2 2 8 4 3" xfId="8620"/>
    <cellStyle name="Comma 2 2 8 4 4" xfId="8621"/>
    <cellStyle name="Comma 2 2 8 4 5" xfId="8622"/>
    <cellStyle name="Comma 2 2 8 4 6" xfId="8623"/>
    <cellStyle name="Comma 2 2 8 5" xfId="8624"/>
    <cellStyle name="Comma 2 2 8 5 2" xfId="8625"/>
    <cellStyle name="Comma 2 2 8 5 2 2" xfId="8626"/>
    <cellStyle name="Comma 2 2 8 5 3" xfId="8627"/>
    <cellStyle name="Comma 2 2 8 5 4" xfId="8628"/>
    <cellStyle name="Comma 2 2 8 5 5" xfId="8629"/>
    <cellStyle name="Comma 2 2 8 6" xfId="8630"/>
    <cellStyle name="Comma 2 2 8 6 2" xfId="8631"/>
    <cellStyle name="Comma 2 2 8 6 3" xfId="8632"/>
    <cellStyle name="Comma 2 2 8 6 4" xfId="8633"/>
    <cellStyle name="Comma 2 2 8 7" xfId="8634"/>
    <cellStyle name="Comma 2 2 8 7 2" xfId="8635"/>
    <cellStyle name="Comma 2 2 8 8" xfId="8636"/>
    <cellStyle name="Comma 2 2 8 9" xfId="8637"/>
    <cellStyle name="Comma 2 2 9" xfId="8638"/>
    <cellStyle name="Comma 2 2 9 10" xfId="8639"/>
    <cellStyle name="Comma 2 2 9 11" xfId="8640"/>
    <cellStyle name="Comma 2 2 9 2" xfId="8641"/>
    <cellStyle name="Comma 2 2 9 2 2" xfId="8642"/>
    <cellStyle name="Comma 2 2 9 2 2 2" xfId="8643"/>
    <cellStyle name="Comma 2 2 9 2 2 2 2" xfId="8644"/>
    <cellStyle name="Comma 2 2 9 2 2 2 3" xfId="8645"/>
    <cellStyle name="Comma 2 2 9 2 2 3" xfId="8646"/>
    <cellStyle name="Comma 2 2 9 2 2 4" xfId="8647"/>
    <cellStyle name="Comma 2 2 9 2 2 5" xfId="8648"/>
    <cellStyle name="Comma 2 2 9 2 2 6" xfId="8649"/>
    <cellStyle name="Comma 2 2 9 2 3" xfId="8650"/>
    <cellStyle name="Comma 2 2 9 2 3 2" xfId="8651"/>
    <cellStyle name="Comma 2 2 9 2 3 2 2" xfId="8652"/>
    <cellStyle name="Comma 2 2 9 2 3 3" xfId="8653"/>
    <cellStyle name="Comma 2 2 9 2 3 4" xfId="8654"/>
    <cellStyle name="Comma 2 2 9 2 3 5" xfId="8655"/>
    <cellStyle name="Comma 2 2 9 2 4" xfId="8656"/>
    <cellStyle name="Comma 2 2 9 2 4 2" xfId="8657"/>
    <cellStyle name="Comma 2 2 9 2 4 3" xfId="8658"/>
    <cellStyle name="Comma 2 2 9 2 4 4" xfId="8659"/>
    <cellStyle name="Comma 2 2 9 2 5" xfId="8660"/>
    <cellStyle name="Comma 2 2 9 2 5 2" xfId="8661"/>
    <cellStyle name="Comma 2 2 9 2 6" xfId="8662"/>
    <cellStyle name="Comma 2 2 9 2 7" xfId="8663"/>
    <cellStyle name="Comma 2 2 9 2 8" xfId="8664"/>
    <cellStyle name="Comma 2 2 9 2 9" xfId="8665"/>
    <cellStyle name="Comma 2 2 9 3" xfId="8666"/>
    <cellStyle name="Comma 2 2 9 3 2" xfId="8667"/>
    <cellStyle name="Comma 2 2 9 3 2 2" xfId="8668"/>
    <cellStyle name="Comma 2 2 9 3 2 2 2" xfId="8669"/>
    <cellStyle name="Comma 2 2 9 3 2 2 3" xfId="8670"/>
    <cellStyle name="Comma 2 2 9 3 2 3" xfId="8671"/>
    <cellStyle name="Comma 2 2 9 3 2 4" xfId="8672"/>
    <cellStyle name="Comma 2 2 9 3 2 5" xfId="8673"/>
    <cellStyle name="Comma 2 2 9 3 2 6" xfId="8674"/>
    <cellStyle name="Comma 2 2 9 3 3" xfId="8675"/>
    <cellStyle name="Comma 2 2 9 3 3 2" xfId="8676"/>
    <cellStyle name="Comma 2 2 9 3 3 2 2" xfId="8677"/>
    <cellStyle name="Comma 2 2 9 3 3 3" xfId="8678"/>
    <cellStyle name="Comma 2 2 9 3 3 4" xfId="8679"/>
    <cellStyle name="Comma 2 2 9 3 3 5" xfId="8680"/>
    <cellStyle name="Comma 2 2 9 3 4" xfId="8681"/>
    <cellStyle name="Comma 2 2 9 3 4 2" xfId="8682"/>
    <cellStyle name="Comma 2 2 9 3 4 3" xfId="8683"/>
    <cellStyle name="Comma 2 2 9 3 4 4" xfId="8684"/>
    <cellStyle name="Comma 2 2 9 3 5" xfId="8685"/>
    <cellStyle name="Comma 2 2 9 3 5 2" xfId="8686"/>
    <cellStyle name="Comma 2 2 9 3 6" xfId="8687"/>
    <cellStyle name="Comma 2 2 9 3 7" xfId="8688"/>
    <cellStyle name="Comma 2 2 9 3 8" xfId="8689"/>
    <cellStyle name="Comma 2 2 9 3 9" xfId="8690"/>
    <cellStyle name="Comma 2 2 9 4" xfId="8691"/>
    <cellStyle name="Comma 2 2 9 4 2" xfId="8692"/>
    <cellStyle name="Comma 2 2 9 4 2 2" xfId="8693"/>
    <cellStyle name="Comma 2 2 9 4 2 3" xfId="8694"/>
    <cellStyle name="Comma 2 2 9 4 3" xfId="8695"/>
    <cellStyle name="Comma 2 2 9 4 4" xfId="8696"/>
    <cellStyle name="Comma 2 2 9 4 5" xfId="8697"/>
    <cellStyle name="Comma 2 2 9 4 6" xfId="8698"/>
    <cellStyle name="Comma 2 2 9 5" xfId="8699"/>
    <cellStyle name="Comma 2 2 9 5 2" xfId="8700"/>
    <cellStyle name="Comma 2 2 9 5 2 2" xfId="8701"/>
    <cellStyle name="Comma 2 2 9 5 3" xfId="8702"/>
    <cellStyle name="Comma 2 2 9 5 4" xfId="8703"/>
    <cellStyle name="Comma 2 2 9 5 5" xfId="8704"/>
    <cellStyle name="Comma 2 2 9 6" xfId="8705"/>
    <cellStyle name="Comma 2 2 9 6 2" xfId="8706"/>
    <cellStyle name="Comma 2 2 9 6 3" xfId="8707"/>
    <cellStyle name="Comma 2 2 9 6 4" xfId="8708"/>
    <cellStyle name="Comma 2 2 9 7" xfId="8709"/>
    <cellStyle name="Comma 2 2 9 7 2" xfId="8710"/>
    <cellStyle name="Comma 2 2 9 8" xfId="8711"/>
    <cellStyle name="Comma 2 2 9 9" xfId="8712"/>
    <cellStyle name="Comma 2 20" xfId="8713"/>
    <cellStyle name="Comma 2 20 10" xfId="8714"/>
    <cellStyle name="Comma 2 20 2" xfId="8715"/>
    <cellStyle name="Comma 2 20 2 2" xfId="8716"/>
    <cellStyle name="Comma 2 20 2 2 2" xfId="8717"/>
    <cellStyle name="Comma 2 20 2 2 3" xfId="8718"/>
    <cellStyle name="Comma 2 20 2 3" xfId="8719"/>
    <cellStyle name="Comma 2 20 2 4" xfId="8720"/>
    <cellStyle name="Comma 2 20 2 5" xfId="8721"/>
    <cellStyle name="Comma 2 20 2 6" xfId="8722"/>
    <cellStyle name="Comma 2 20 3" xfId="8723"/>
    <cellStyle name="Comma 2 20 3 2" xfId="8724"/>
    <cellStyle name="Comma 2 20 3 2 2" xfId="8725"/>
    <cellStyle name="Comma 2 20 3 2 3" xfId="8726"/>
    <cellStyle name="Comma 2 20 3 3" xfId="8727"/>
    <cellStyle name="Comma 2 20 3 4" xfId="8728"/>
    <cellStyle name="Comma 2 20 3 5" xfId="8729"/>
    <cellStyle name="Comma 2 20 3 6" xfId="8730"/>
    <cellStyle name="Comma 2 20 4" xfId="8731"/>
    <cellStyle name="Comma 2 20 4 2" xfId="8732"/>
    <cellStyle name="Comma 2 20 4 2 2" xfId="8733"/>
    <cellStyle name="Comma 2 20 4 3" xfId="8734"/>
    <cellStyle name="Comma 2 20 4 4" xfId="8735"/>
    <cellStyle name="Comma 2 20 4 5" xfId="8736"/>
    <cellStyle name="Comma 2 20 4 6" xfId="8737"/>
    <cellStyle name="Comma 2 20 5" xfId="8738"/>
    <cellStyle name="Comma 2 20 5 2" xfId="8739"/>
    <cellStyle name="Comma 2 20 5 3" xfId="8740"/>
    <cellStyle name="Comma 2 20 5 4" xfId="8741"/>
    <cellStyle name="Comma 2 20 5 5" xfId="8742"/>
    <cellStyle name="Comma 2 20 6" xfId="8743"/>
    <cellStyle name="Comma 2 20 6 2" xfId="8744"/>
    <cellStyle name="Comma 2 20 6 3" xfId="8745"/>
    <cellStyle name="Comma 2 20 7" xfId="8746"/>
    <cellStyle name="Comma 2 20 7 2" xfId="8747"/>
    <cellStyle name="Comma 2 20 8" xfId="8748"/>
    <cellStyle name="Comma 2 20 9" xfId="8749"/>
    <cellStyle name="Comma 2 21" xfId="8750"/>
    <cellStyle name="Comma 2 21 10" xfId="8751"/>
    <cellStyle name="Comma 2 21 2" xfId="8752"/>
    <cellStyle name="Comma 2 21 2 2" xfId="8753"/>
    <cellStyle name="Comma 2 21 2 2 2" xfId="8754"/>
    <cellStyle name="Comma 2 21 2 2 3" xfId="8755"/>
    <cellStyle name="Comma 2 21 2 3" xfId="8756"/>
    <cellStyle name="Comma 2 21 2 4" xfId="8757"/>
    <cellStyle name="Comma 2 21 2 5" xfId="8758"/>
    <cellStyle name="Comma 2 21 2 6" xfId="8759"/>
    <cellStyle name="Comma 2 21 3" xfId="8760"/>
    <cellStyle name="Comma 2 21 3 2" xfId="8761"/>
    <cellStyle name="Comma 2 21 3 2 2" xfId="8762"/>
    <cellStyle name="Comma 2 21 3 2 3" xfId="8763"/>
    <cellStyle name="Comma 2 21 3 3" xfId="8764"/>
    <cellStyle name="Comma 2 21 3 4" xfId="8765"/>
    <cellStyle name="Comma 2 21 3 5" xfId="8766"/>
    <cellStyle name="Comma 2 21 3 6" xfId="8767"/>
    <cellStyle name="Comma 2 21 4" xfId="8768"/>
    <cellStyle name="Comma 2 21 4 2" xfId="8769"/>
    <cellStyle name="Comma 2 21 4 2 2" xfId="8770"/>
    <cellStyle name="Comma 2 21 4 3" xfId="8771"/>
    <cellStyle name="Comma 2 21 4 4" xfId="8772"/>
    <cellStyle name="Comma 2 21 4 5" xfId="8773"/>
    <cellStyle name="Comma 2 21 4 6" xfId="8774"/>
    <cellStyle name="Comma 2 21 5" xfId="8775"/>
    <cellStyle name="Comma 2 21 5 2" xfId="8776"/>
    <cellStyle name="Comma 2 21 5 3" xfId="8777"/>
    <cellStyle name="Comma 2 21 5 4" xfId="8778"/>
    <cellStyle name="Comma 2 21 5 5" xfId="8779"/>
    <cellStyle name="Comma 2 21 6" xfId="8780"/>
    <cellStyle name="Comma 2 21 6 2" xfId="8781"/>
    <cellStyle name="Comma 2 21 6 3" xfId="8782"/>
    <cellStyle name="Comma 2 21 7" xfId="8783"/>
    <cellStyle name="Comma 2 21 7 2" xfId="8784"/>
    <cellStyle name="Comma 2 21 8" xfId="8785"/>
    <cellStyle name="Comma 2 21 9" xfId="8786"/>
    <cellStyle name="Comma 2 22" xfId="8787"/>
    <cellStyle name="Comma 2 22 10" xfId="8788"/>
    <cellStyle name="Comma 2 22 2" xfId="8789"/>
    <cellStyle name="Comma 2 22 2 2" xfId="8790"/>
    <cellStyle name="Comma 2 22 2 2 2" xfId="8791"/>
    <cellStyle name="Comma 2 22 2 2 3" xfId="8792"/>
    <cellStyle name="Comma 2 22 2 3" xfId="8793"/>
    <cellStyle name="Comma 2 22 2 4" xfId="8794"/>
    <cellStyle name="Comma 2 22 2 5" xfId="8795"/>
    <cellStyle name="Comma 2 22 2 6" xfId="8796"/>
    <cellStyle name="Comma 2 22 3" xfId="8797"/>
    <cellStyle name="Comma 2 22 3 2" xfId="8798"/>
    <cellStyle name="Comma 2 22 3 2 2" xfId="8799"/>
    <cellStyle name="Comma 2 22 3 2 3" xfId="8800"/>
    <cellStyle name="Comma 2 22 3 3" xfId="8801"/>
    <cellStyle name="Comma 2 22 3 4" xfId="8802"/>
    <cellStyle name="Comma 2 22 3 5" xfId="8803"/>
    <cellStyle name="Comma 2 22 3 6" xfId="8804"/>
    <cellStyle name="Comma 2 22 4" xfId="8805"/>
    <cellStyle name="Comma 2 22 4 2" xfId="8806"/>
    <cellStyle name="Comma 2 22 4 2 2" xfId="8807"/>
    <cellStyle name="Comma 2 22 4 3" xfId="8808"/>
    <cellStyle name="Comma 2 22 4 4" xfId="8809"/>
    <cellStyle name="Comma 2 22 4 5" xfId="8810"/>
    <cellStyle name="Comma 2 22 4 6" xfId="8811"/>
    <cellStyle name="Comma 2 22 5" xfId="8812"/>
    <cellStyle name="Comma 2 22 5 2" xfId="8813"/>
    <cellStyle name="Comma 2 22 5 3" xfId="8814"/>
    <cellStyle name="Comma 2 22 5 4" xfId="8815"/>
    <cellStyle name="Comma 2 22 5 5" xfId="8816"/>
    <cellStyle name="Comma 2 22 6" xfId="8817"/>
    <cellStyle name="Comma 2 22 6 2" xfId="8818"/>
    <cellStyle name="Comma 2 22 6 3" xfId="8819"/>
    <cellStyle name="Comma 2 22 7" xfId="8820"/>
    <cellStyle name="Comma 2 22 7 2" xfId="8821"/>
    <cellStyle name="Comma 2 22 8" xfId="8822"/>
    <cellStyle name="Comma 2 22 9" xfId="8823"/>
    <cellStyle name="Comma 2 23" xfId="8824"/>
    <cellStyle name="Comma 2 23 10" xfId="8825"/>
    <cellStyle name="Comma 2 23 2" xfId="8826"/>
    <cellStyle name="Comma 2 23 2 2" xfId="8827"/>
    <cellStyle name="Comma 2 23 2 2 2" xfId="8828"/>
    <cellStyle name="Comma 2 23 2 2 3" xfId="8829"/>
    <cellStyle name="Comma 2 23 2 3" xfId="8830"/>
    <cellStyle name="Comma 2 23 2 4" xfId="8831"/>
    <cellStyle name="Comma 2 23 2 5" xfId="8832"/>
    <cellStyle name="Comma 2 23 2 6" xfId="8833"/>
    <cellStyle name="Comma 2 23 3" xfId="8834"/>
    <cellStyle name="Comma 2 23 3 2" xfId="8835"/>
    <cellStyle name="Comma 2 23 3 2 2" xfId="8836"/>
    <cellStyle name="Comma 2 23 3 2 3" xfId="8837"/>
    <cellStyle name="Comma 2 23 3 3" xfId="8838"/>
    <cellStyle name="Comma 2 23 3 4" xfId="8839"/>
    <cellStyle name="Comma 2 23 3 5" xfId="8840"/>
    <cellStyle name="Comma 2 23 3 6" xfId="8841"/>
    <cellStyle name="Comma 2 23 4" xfId="8842"/>
    <cellStyle name="Comma 2 23 4 2" xfId="8843"/>
    <cellStyle name="Comma 2 23 4 2 2" xfId="8844"/>
    <cellStyle name="Comma 2 23 4 3" xfId="8845"/>
    <cellStyle name="Comma 2 23 4 4" xfId="8846"/>
    <cellStyle name="Comma 2 23 4 5" xfId="8847"/>
    <cellStyle name="Comma 2 23 4 6" xfId="8848"/>
    <cellStyle name="Comma 2 23 5" xfId="8849"/>
    <cellStyle name="Comma 2 23 5 2" xfId="8850"/>
    <cellStyle name="Comma 2 23 5 3" xfId="8851"/>
    <cellStyle name="Comma 2 23 5 4" xfId="8852"/>
    <cellStyle name="Comma 2 23 5 5" xfId="8853"/>
    <cellStyle name="Comma 2 23 6" xfId="8854"/>
    <cellStyle name="Comma 2 23 6 2" xfId="8855"/>
    <cellStyle name="Comma 2 23 6 3" xfId="8856"/>
    <cellStyle name="Comma 2 23 7" xfId="8857"/>
    <cellStyle name="Comma 2 23 7 2" xfId="8858"/>
    <cellStyle name="Comma 2 23 8" xfId="8859"/>
    <cellStyle name="Comma 2 23 9" xfId="8860"/>
    <cellStyle name="Comma 2 24" xfId="8861"/>
    <cellStyle name="Comma 2 24 10" xfId="8862"/>
    <cellStyle name="Comma 2 24 2" xfId="8863"/>
    <cellStyle name="Comma 2 24 2 2" xfId="8864"/>
    <cellStyle name="Comma 2 24 2 2 2" xfId="8865"/>
    <cellStyle name="Comma 2 24 2 2 3" xfId="8866"/>
    <cellStyle name="Comma 2 24 2 3" xfId="8867"/>
    <cellStyle name="Comma 2 24 2 4" xfId="8868"/>
    <cellStyle name="Comma 2 24 2 5" xfId="8869"/>
    <cellStyle name="Comma 2 24 2 6" xfId="8870"/>
    <cellStyle name="Comma 2 24 3" xfId="8871"/>
    <cellStyle name="Comma 2 24 3 2" xfId="8872"/>
    <cellStyle name="Comma 2 24 3 2 2" xfId="8873"/>
    <cellStyle name="Comma 2 24 3 2 3" xfId="8874"/>
    <cellStyle name="Comma 2 24 3 3" xfId="8875"/>
    <cellStyle name="Comma 2 24 3 4" xfId="8876"/>
    <cellStyle name="Comma 2 24 3 5" xfId="8877"/>
    <cellStyle name="Comma 2 24 3 6" xfId="8878"/>
    <cellStyle name="Comma 2 24 4" xfId="8879"/>
    <cellStyle name="Comma 2 24 4 2" xfId="8880"/>
    <cellStyle name="Comma 2 24 4 2 2" xfId="8881"/>
    <cellStyle name="Comma 2 24 4 3" xfId="8882"/>
    <cellStyle name="Comma 2 24 4 4" xfId="8883"/>
    <cellStyle name="Comma 2 24 4 5" xfId="8884"/>
    <cellStyle name="Comma 2 24 4 6" xfId="8885"/>
    <cellStyle name="Comma 2 24 5" xfId="8886"/>
    <cellStyle name="Comma 2 24 5 2" xfId="8887"/>
    <cellStyle name="Comma 2 24 5 3" xfId="8888"/>
    <cellStyle name="Comma 2 24 5 4" xfId="8889"/>
    <cellStyle name="Comma 2 24 5 5" xfId="8890"/>
    <cellStyle name="Comma 2 24 6" xfId="8891"/>
    <cellStyle name="Comma 2 24 6 2" xfId="8892"/>
    <cellStyle name="Comma 2 24 6 3" xfId="8893"/>
    <cellStyle name="Comma 2 24 7" xfId="8894"/>
    <cellStyle name="Comma 2 24 7 2" xfId="8895"/>
    <cellStyle name="Comma 2 24 8" xfId="8896"/>
    <cellStyle name="Comma 2 24 9" xfId="8897"/>
    <cellStyle name="Comma 2 25" xfId="8898"/>
    <cellStyle name="Comma 2 25 10" xfId="8899"/>
    <cellStyle name="Comma 2 25 2" xfId="8900"/>
    <cellStyle name="Comma 2 25 2 2" xfId="8901"/>
    <cellStyle name="Comma 2 25 2 2 2" xfId="8902"/>
    <cellStyle name="Comma 2 25 2 2 3" xfId="8903"/>
    <cellStyle name="Comma 2 25 2 3" xfId="8904"/>
    <cellStyle name="Comma 2 25 2 4" xfId="8905"/>
    <cellStyle name="Comma 2 25 2 5" xfId="8906"/>
    <cellStyle name="Comma 2 25 2 6" xfId="8907"/>
    <cellStyle name="Comma 2 25 3" xfId="8908"/>
    <cellStyle name="Comma 2 25 3 2" xfId="8909"/>
    <cellStyle name="Comma 2 25 3 2 2" xfId="8910"/>
    <cellStyle name="Comma 2 25 3 2 3" xfId="8911"/>
    <cellStyle name="Comma 2 25 3 3" xfId="8912"/>
    <cellStyle name="Comma 2 25 3 4" xfId="8913"/>
    <cellStyle name="Comma 2 25 3 5" xfId="8914"/>
    <cellStyle name="Comma 2 25 3 6" xfId="8915"/>
    <cellStyle name="Comma 2 25 4" xfId="8916"/>
    <cellStyle name="Comma 2 25 4 2" xfId="8917"/>
    <cellStyle name="Comma 2 25 4 2 2" xfId="8918"/>
    <cellStyle name="Comma 2 25 4 3" xfId="8919"/>
    <cellStyle name="Comma 2 25 4 4" xfId="8920"/>
    <cellStyle name="Comma 2 25 4 5" xfId="8921"/>
    <cellStyle name="Comma 2 25 4 6" xfId="8922"/>
    <cellStyle name="Comma 2 25 5" xfId="8923"/>
    <cellStyle name="Comma 2 25 5 2" xfId="8924"/>
    <cellStyle name="Comma 2 25 5 3" xfId="8925"/>
    <cellStyle name="Comma 2 25 5 4" xfId="8926"/>
    <cellStyle name="Comma 2 25 5 5" xfId="8927"/>
    <cellStyle name="Comma 2 25 6" xfId="8928"/>
    <cellStyle name="Comma 2 25 6 2" xfId="8929"/>
    <cellStyle name="Comma 2 25 6 3" xfId="8930"/>
    <cellStyle name="Comma 2 25 7" xfId="8931"/>
    <cellStyle name="Comma 2 25 7 2" xfId="8932"/>
    <cellStyle name="Comma 2 25 8" xfId="8933"/>
    <cellStyle name="Comma 2 25 9" xfId="8934"/>
    <cellStyle name="Comma 2 26" xfId="8935"/>
    <cellStyle name="Comma 2 26 10" xfId="8936"/>
    <cellStyle name="Comma 2 26 2" xfId="8937"/>
    <cellStyle name="Comma 2 26 2 2" xfId="8938"/>
    <cellStyle name="Comma 2 26 2 2 2" xfId="8939"/>
    <cellStyle name="Comma 2 26 2 2 3" xfId="8940"/>
    <cellStyle name="Comma 2 26 2 3" xfId="8941"/>
    <cellStyle name="Comma 2 26 2 4" xfId="8942"/>
    <cellStyle name="Comma 2 26 2 5" xfId="8943"/>
    <cellStyle name="Comma 2 26 2 6" xfId="8944"/>
    <cellStyle name="Comma 2 26 3" xfId="8945"/>
    <cellStyle name="Comma 2 26 3 2" xfId="8946"/>
    <cellStyle name="Comma 2 26 3 2 2" xfId="8947"/>
    <cellStyle name="Comma 2 26 3 2 3" xfId="8948"/>
    <cellStyle name="Comma 2 26 3 3" xfId="8949"/>
    <cellStyle name="Comma 2 26 3 4" xfId="8950"/>
    <cellStyle name="Comma 2 26 3 5" xfId="8951"/>
    <cellStyle name="Comma 2 26 3 6" xfId="8952"/>
    <cellStyle name="Comma 2 26 4" xfId="8953"/>
    <cellStyle name="Comma 2 26 4 2" xfId="8954"/>
    <cellStyle name="Comma 2 26 4 2 2" xfId="8955"/>
    <cellStyle name="Comma 2 26 4 3" xfId="8956"/>
    <cellStyle name="Comma 2 26 4 4" xfId="8957"/>
    <cellStyle name="Comma 2 26 4 5" xfId="8958"/>
    <cellStyle name="Comma 2 26 4 6" xfId="8959"/>
    <cellStyle name="Comma 2 26 5" xfId="8960"/>
    <cellStyle name="Comma 2 26 5 2" xfId="8961"/>
    <cellStyle name="Comma 2 26 5 3" xfId="8962"/>
    <cellStyle name="Comma 2 26 5 4" xfId="8963"/>
    <cellStyle name="Comma 2 26 5 5" xfId="8964"/>
    <cellStyle name="Comma 2 26 6" xfId="8965"/>
    <cellStyle name="Comma 2 26 6 2" xfId="8966"/>
    <cellStyle name="Comma 2 26 6 3" xfId="8967"/>
    <cellStyle name="Comma 2 26 7" xfId="8968"/>
    <cellStyle name="Comma 2 26 7 2" xfId="8969"/>
    <cellStyle name="Comma 2 26 8" xfId="8970"/>
    <cellStyle name="Comma 2 26 9" xfId="8971"/>
    <cellStyle name="Comma 2 27" xfId="8972"/>
    <cellStyle name="Comma 2 27 10" xfId="8973"/>
    <cellStyle name="Comma 2 27 2" xfId="8974"/>
    <cellStyle name="Comma 2 27 2 2" xfId="8975"/>
    <cellStyle name="Comma 2 27 2 2 2" xfId="8976"/>
    <cellStyle name="Comma 2 27 2 2 3" xfId="8977"/>
    <cellStyle name="Comma 2 27 2 3" xfId="8978"/>
    <cellStyle name="Comma 2 27 2 4" xfId="8979"/>
    <cellStyle name="Comma 2 27 2 5" xfId="8980"/>
    <cellStyle name="Comma 2 27 2 6" xfId="8981"/>
    <cellStyle name="Comma 2 27 3" xfId="8982"/>
    <cellStyle name="Comma 2 27 3 2" xfId="8983"/>
    <cellStyle name="Comma 2 27 3 2 2" xfId="8984"/>
    <cellStyle name="Comma 2 27 3 2 3" xfId="8985"/>
    <cellStyle name="Comma 2 27 3 3" xfId="8986"/>
    <cellStyle name="Comma 2 27 3 4" xfId="8987"/>
    <cellStyle name="Comma 2 27 3 5" xfId="8988"/>
    <cellStyle name="Comma 2 27 3 6" xfId="8989"/>
    <cellStyle name="Comma 2 27 4" xfId="8990"/>
    <cellStyle name="Comma 2 27 4 2" xfId="8991"/>
    <cellStyle name="Comma 2 27 4 2 2" xfId="8992"/>
    <cellStyle name="Comma 2 27 4 3" xfId="8993"/>
    <cellStyle name="Comma 2 27 4 4" xfId="8994"/>
    <cellStyle name="Comma 2 27 4 5" xfId="8995"/>
    <cellStyle name="Comma 2 27 4 6" xfId="8996"/>
    <cellStyle name="Comma 2 27 5" xfId="8997"/>
    <cellStyle name="Comma 2 27 5 2" xfId="8998"/>
    <cellStyle name="Comma 2 27 5 3" xfId="8999"/>
    <cellStyle name="Comma 2 27 5 4" xfId="9000"/>
    <cellStyle name="Comma 2 27 5 5" xfId="9001"/>
    <cellStyle name="Comma 2 27 6" xfId="9002"/>
    <cellStyle name="Comma 2 27 6 2" xfId="9003"/>
    <cellStyle name="Comma 2 27 6 3" xfId="9004"/>
    <cellStyle name="Comma 2 27 7" xfId="9005"/>
    <cellStyle name="Comma 2 27 7 2" xfId="9006"/>
    <cellStyle name="Comma 2 27 8" xfId="9007"/>
    <cellStyle name="Comma 2 27 9" xfId="9008"/>
    <cellStyle name="Comma 2 28" xfId="9009"/>
    <cellStyle name="Comma 2 28 10" xfId="9010"/>
    <cellStyle name="Comma 2 28 2" xfId="9011"/>
    <cellStyle name="Comma 2 28 2 2" xfId="9012"/>
    <cellStyle name="Comma 2 28 2 2 2" xfId="9013"/>
    <cellStyle name="Comma 2 28 2 2 3" xfId="9014"/>
    <cellStyle name="Comma 2 28 2 3" xfId="9015"/>
    <cellStyle name="Comma 2 28 2 4" xfId="9016"/>
    <cellStyle name="Comma 2 28 2 5" xfId="9017"/>
    <cellStyle name="Comma 2 28 2 6" xfId="9018"/>
    <cellStyle name="Comma 2 28 3" xfId="9019"/>
    <cellStyle name="Comma 2 28 3 2" xfId="9020"/>
    <cellStyle name="Comma 2 28 3 2 2" xfId="9021"/>
    <cellStyle name="Comma 2 28 3 2 3" xfId="9022"/>
    <cellStyle name="Comma 2 28 3 3" xfId="9023"/>
    <cellStyle name="Comma 2 28 3 4" xfId="9024"/>
    <cellStyle name="Comma 2 28 3 5" xfId="9025"/>
    <cellStyle name="Comma 2 28 3 6" xfId="9026"/>
    <cellStyle name="Comma 2 28 4" xfId="9027"/>
    <cellStyle name="Comma 2 28 4 2" xfId="9028"/>
    <cellStyle name="Comma 2 28 4 2 2" xfId="9029"/>
    <cellStyle name="Comma 2 28 4 3" xfId="9030"/>
    <cellStyle name="Comma 2 28 4 4" xfId="9031"/>
    <cellStyle name="Comma 2 28 4 5" xfId="9032"/>
    <cellStyle name="Comma 2 28 4 6" xfId="9033"/>
    <cellStyle name="Comma 2 28 5" xfId="9034"/>
    <cellStyle name="Comma 2 28 5 2" xfId="9035"/>
    <cellStyle name="Comma 2 28 5 3" xfId="9036"/>
    <cellStyle name="Comma 2 28 5 4" xfId="9037"/>
    <cellStyle name="Comma 2 28 5 5" xfId="9038"/>
    <cellStyle name="Comma 2 28 6" xfId="9039"/>
    <cellStyle name="Comma 2 28 6 2" xfId="9040"/>
    <cellStyle name="Comma 2 28 6 3" xfId="9041"/>
    <cellStyle name="Comma 2 28 7" xfId="9042"/>
    <cellStyle name="Comma 2 28 7 2" xfId="9043"/>
    <cellStyle name="Comma 2 28 8" xfId="9044"/>
    <cellStyle name="Comma 2 28 9" xfId="9045"/>
    <cellStyle name="Comma 2 29" xfId="9046"/>
    <cellStyle name="Comma 2 29 10" xfId="9047"/>
    <cellStyle name="Comma 2 29 2" xfId="9048"/>
    <cellStyle name="Comma 2 29 2 2" xfId="9049"/>
    <cellStyle name="Comma 2 29 2 2 2" xfId="9050"/>
    <cellStyle name="Comma 2 29 2 2 3" xfId="9051"/>
    <cellStyle name="Comma 2 29 2 3" xfId="9052"/>
    <cellStyle name="Comma 2 29 2 4" xfId="9053"/>
    <cellStyle name="Comma 2 29 2 5" xfId="9054"/>
    <cellStyle name="Comma 2 29 2 6" xfId="9055"/>
    <cellStyle name="Comma 2 29 3" xfId="9056"/>
    <cellStyle name="Comma 2 29 3 2" xfId="9057"/>
    <cellStyle name="Comma 2 29 3 2 2" xfId="9058"/>
    <cellStyle name="Comma 2 29 3 2 3" xfId="9059"/>
    <cellStyle name="Comma 2 29 3 3" xfId="9060"/>
    <cellStyle name="Comma 2 29 3 4" xfId="9061"/>
    <cellStyle name="Comma 2 29 3 5" xfId="9062"/>
    <cellStyle name="Comma 2 29 3 6" xfId="9063"/>
    <cellStyle name="Comma 2 29 4" xfId="9064"/>
    <cellStyle name="Comma 2 29 4 2" xfId="9065"/>
    <cellStyle name="Comma 2 29 4 2 2" xfId="9066"/>
    <cellStyle name="Comma 2 29 4 3" xfId="9067"/>
    <cellStyle name="Comma 2 29 4 4" xfId="9068"/>
    <cellStyle name="Comma 2 29 4 5" xfId="9069"/>
    <cellStyle name="Comma 2 29 4 6" xfId="9070"/>
    <cellStyle name="Comma 2 29 5" xfId="9071"/>
    <cellStyle name="Comma 2 29 5 2" xfId="9072"/>
    <cellStyle name="Comma 2 29 5 3" xfId="9073"/>
    <cellStyle name="Comma 2 29 5 4" xfId="9074"/>
    <cellStyle name="Comma 2 29 5 5" xfId="9075"/>
    <cellStyle name="Comma 2 29 6" xfId="9076"/>
    <cellStyle name="Comma 2 29 6 2" xfId="9077"/>
    <cellStyle name="Comma 2 29 6 3" xfId="9078"/>
    <cellStyle name="Comma 2 29 7" xfId="9079"/>
    <cellStyle name="Comma 2 29 7 2" xfId="9080"/>
    <cellStyle name="Comma 2 29 8" xfId="9081"/>
    <cellStyle name="Comma 2 29 9" xfId="9082"/>
    <cellStyle name="Comma 2 3" xfId="9083"/>
    <cellStyle name="Comma 2 3 10" xfId="9084"/>
    <cellStyle name="Comma 2 3 10 10" xfId="9085"/>
    <cellStyle name="Comma 2 3 10 2" xfId="9086"/>
    <cellStyle name="Comma 2 3 10 2 2" xfId="9087"/>
    <cellStyle name="Comma 2 3 10 2 2 2" xfId="9088"/>
    <cellStyle name="Comma 2 3 10 2 2 3" xfId="9089"/>
    <cellStyle name="Comma 2 3 10 2 3" xfId="9090"/>
    <cellStyle name="Comma 2 3 10 2 4" xfId="9091"/>
    <cellStyle name="Comma 2 3 10 2 5" xfId="9092"/>
    <cellStyle name="Comma 2 3 10 2 6" xfId="9093"/>
    <cellStyle name="Comma 2 3 10 3" xfId="9094"/>
    <cellStyle name="Comma 2 3 10 3 2" xfId="9095"/>
    <cellStyle name="Comma 2 3 10 3 2 2" xfId="9096"/>
    <cellStyle name="Comma 2 3 10 3 2 3" xfId="9097"/>
    <cellStyle name="Comma 2 3 10 3 3" xfId="9098"/>
    <cellStyle name="Comma 2 3 10 3 4" xfId="9099"/>
    <cellStyle name="Comma 2 3 10 3 5" xfId="9100"/>
    <cellStyle name="Comma 2 3 10 3 6" xfId="9101"/>
    <cellStyle name="Comma 2 3 10 4" xfId="9102"/>
    <cellStyle name="Comma 2 3 10 4 2" xfId="9103"/>
    <cellStyle name="Comma 2 3 10 4 2 2" xfId="9104"/>
    <cellStyle name="Comma 2 3 10 4 3" xfId="9105"/>
    <cellStyle name="Comma 2 3 10 4 4" xfId="9106"/>
    <cellStyle name="Comma 2 3 10 4 5" xfId="9107"/>
    <cellStyle name="Comma 2 3 10 5" xfId="9108"/>
    <cellStyle name="Comma 2 3 10 5 2" xfId="9109"/>
    <cellStyle name="Comma 2 3 10 5 3" xfId="9110"/>
    <cellStyle name="Comma 2 3 10 5 4" xfId="9111"/>
    <cellStyle name="Comma 2 3 10 6" xfId="9112"/>
    <cellStyle name="Comma 2 3 10 6 2" xfId="9113"/>
    <cellStyle name="Comma 2 3 10 7" xfId="9114"/>
    <cellStyle name="Comma 2 3 10 8" xfId="9115"/>
    <cellStyle name="Comma 2 3 10 9" xfId="9116"/>
    <cellStyle name="Comma 2 3 11" xfId="9117"/>
    <cellStyle name="Comma 2 3 11 10" xfId="9118"/>
    <cellStyle name="Comma 2 3 11 2" xfId="9119"/>
    <cellStyle name="Comma 2 3 11 2 2" xfId="9120"/>
    <cellStyle name="Comma 2 3 11 2 2 2" xfId="9121"/>
    <cellStyle name="Comma 2 3 11 2 2 3" xfId="9122"/>
    <cellStyle name="Comma 2 3 11 2 3" xfId="9123"/>
    <cellStyle name="Comma 2 3 11 2 4" xfId="9124"/>
    <cellStyle name="Comma 2 3 11 2 5" xfId="9125"/>
    <cellStyle name="Comma 2 3 11 2 6" xfId="9126"/>
    <cellStyle name="Comma 2 3 11 3" xfId="9127"/>
    <cellStyle name="Comma 2 3 11 3 2" xfId="9128"/>
    <cellStyle name="Comma 2 3 11 3 2 2" xfId="9129"/>
    <cellStyle name="Comma 2 3 11 3 2 3" xfId="9130"/>
    <cellStyle name="Comma 2 3 11 3 3" xfId="9131"/>
    <cellStyle name="Comma 2 3 11 3 4" xfId="9132"/>
    <cellStyle name="Comma 2 3 11 3 5" xfId="9133"/>
    <cellStyle name="Comma 2 3 11 3 6" xfId="9134"/>
    <cellStyle name="Comma 2 3 11 4" xfId="9135"/>
    <cellStyle name="Comma 2 3 11 4 2" xfId="9136"/>
    <cellStyle name="Comma 2 3 11 4 2 2" xfId="9137"/>
    <cellStyle name="Comma 2 3 11 4 3" xfId="9138"/>
    <cellStyle name="Comma 2 3 11 4 4" xfId="9139"/>
    <cellStyle name="Comma 2 3 11 4 5" xfId="9140"/>
    <cellStyle name="Comma 2 3 11 5" xfId="9141"/>
    <cellStyle name="Comma 2 3 11 5 2" xfId="9142"/>
    <cellStyle name="Comma 2 3 11 5 3" xfId="9143"/>
    <cellStyle name="Comma 2 3 11 5 4" xfId="9144"/>
    <cellStyle name="Comma 2 3 11 6" xfId="9145"/>
    <cellStyle name="Comma 2 3 11 6 2" xfId="9146"/>
    <cellStyle name="Comma 2 3 11 7" xfId="9147"/>
    <cellStyle name="Comma 2 3 11 8" xfId="9148"/>
    <cellStyle name="Comma 2 3 11 9" xfId="9149"/>
    <cellStyle name="Comma 2 3 12" xfId="9150"/>
    <cellStyle name="Comma 2 3 12 10" xfId="9151"/>
    <cellStyle name="Comma 2 3 12 2" xfId="9152"/>
    <cellStyle name="Comma 2 3 12 2 2" xfId="9153"/>
    <cellStyle name="Comma 2 3 12 2 2 2" xfId="9154"/>
    <cellStyle name="Comma 2 3 12 2 2 3" xfId="9155"/>
    <cellStyle name="Comma 2 3 12 2 3" xfId="9156"/>
    <cellStyle name="Comma 2 3 12 2 4" xfId="9157"/>
    <cellStyle name="Comma 2 3 12 2 5" xfId="9158"/>
    <cellStyle name="Comma 2 3 12 2 6" xfId="9159"/>
    <cellStyle name="Comma 2 3 12 3" xfId="9160"/>
    <cellStyle name="Comma 2 3 12 3 2" xfId="9161"/>
    <cellStyle name="Comma 2 3 12 3 2 2" xfId="9162"/>
    <cellStyle name="Comma 2 3 12 3 2 3" xfId="9163"/>
    <cellStyle name="Comma 2 3 12 3 3" xfId="9164"/>
    <cellStyle name="Comma 2 3 12 3 4" xfId="9165"/>
    <cellStyle name="Comma 2 3 12 3 5" xfId="9166"/>
    <cellStyle name="Comma 2 3 12 3 6" xfId="9167"/>
    <cellStyle name="Comma 2 3 12 4" xfId="9168"/>
    <cellStyle name="Comma 2 3 12 4 2" xfId="9169"/>
    <cellStyle name="Comma 2 3 12 4 2 2" xfId="9170"/>
    <cellStyle name="Comma 2 3 12 4 3" xfId="9171"/>
    <cellStyle name="Comma 2 3 12 4 4" xfId="9172"/>
    <cellStyle name="Comma 2 3 12 4 5" xfId="9173"/>
    <cellStyle name="Comma 2 3 12 5" xfId="9174"/>
    <cellStyle name="Comma 2 3 12 5 2" xfId="9175"/>
    <cellStyle name="Comma 2 3 12 5 3" xfId="9176"/>
    <cellStyle name="Comma 2 3 12 5 4" xfId="9177"/>
    <cellStyle name="Comma 2 3 12 6" xfId="9178"/>
    <cellStyle name="Comma 2 3 12 6 2" xfId="9179"/>
    <cellStyle name="Comma 2 3 12 7" xfId="9180"/>
    <cellStyle name="Comma 2 3 12 8" xfId="9181"/>
    <cellStyle name="Comma 2 3 12 9" xfId="9182"/>
    <cellStyle name="Comma 2 3 13" xfId="9183"/>
    <cellStyle name="Comma 2 3 13 10" xfId="9184"/>
    <cellStyle name="Comma 2 3 13 2" xfId="9185"/>
    <cellStyle name="Comma 2 3 13 2 2" xfId="9186"/>
    <cellStyle name="Comma 2 3 13 2 2 2" xfId="9187"/>
    <cellStyle name="Comma 2 3 13 2 2 3" xfId="9188"/>
    <cellStyle name="Comma 2 3 13 2 3" xfId="9189"/>
    <cellStyle name="Comma 2 3 13 2 4" xfId="9190"/>
    <cellStyle name="Comma 2 3 13 2 5" xfId="9191"/>
    <cellStyle name="Comma 2 3 13 2 6" xfId="9192"/>
    <cellStyle name="Comma 2 3 13 3" xfId="9193"/>
    <cellStyle name="Comma 2 3 13 3 2" xfId="9194"/>
    <cellStyle name="Comma 2 3 13 3 2 2" xfId="9195"/>
    <cellStyle name="Comma 2 3 13 3 2 3" xfId="9196"/>
    <cellStyle name="Comma 2 3 13 3 3" xfId="9197"/>
    <cellStyle name="Comma 2 3 13 3 4" xfId="9198"/>
    <cellStyle name="Comma 2 3 13 3 5" xfId="9199"/>
    <cellStyle name="Comma 2 3 13 3 6" xfId="9200"/>
    <cellStyle name="Comma 2 3 13 4" xfId="9201"/>
    <cellStyle name="Comma 2 3 13 4 2" xfId="9202"/>
    <cellStyle name="Comma 2 3 13 4 2 2" xfId="9203"/>
    <cellStyle name="Comma 2 3 13 4 3" xfId="9204"/>
    <cellStyle name="Comma 2 3 13 4 4" xfId="9205"/>
    <cellStyle name="Comma 2 3 13 4 5" xfId="9206"/>
    <cellStyle name="Comma 2 3 13 5" xfId="9207"/>
    <cellStyle name="Comma 2 3 13 5 2" xfId="9208"/>
    <cellStyle name="Comma 2 3 13 5 3" xfId="9209"/>
    <cellStyle name="Comma 2 3 13 5 4" xfId="9210"/>
    <cellStyle name="Comma 2 3 13 6" xfId="9211"/>
    <cellStyle name="Comma 2 3 13 6 2" xfId="9212"/>
    <cellStyle name="Comma 2 3 13 7" xfId="9213"/>
    <cellStyle name="Comma 2 3 13 8" xfId="9214"/>
    <cellStyle name="Comma 2 3 13 9" xfId="9215"/>
    <cellStyle name="Comma 2 3 14" xfId="9216"/>
    <cellStyle name="Comma 2 3 14 10" xfId="9217"/>
    <cellStyle name="Comma 2 3 14 2" xfId="9218"/>
    <cellStyle name="Comma 2 3 14 2 2" xfId="9219"/>
    <cellStyle name="Comma 2 3 14 2 2 2" xfId="9220"/>
    <cellStyle name="Comma 2 3 14 2 2 3" xfId="9221"/>
    <cellStyle name="Comma 2 3 14 2 3" xfId="9222"/>
    <cellStyle name="Comma 2 3 14 2 4" xfId="9223"/>
    <cellStyle name="Comma 2 3 14 2 5" xfId="9224"/>
    <cellStyle name="Comma 2 3 14 2 6" xfId="9225"/>
    <cellStyle name="Comma 2 3 14 3" xfId="9226"/>
    <cellStyle name="Comma 2 3 14 3 2" xfId="9227"/>
    <cellStyle name="Comma 2 3 14 3 2 2" xfId="9228"/>
    <cellStyle name="Comma 2 3 14 3 2 3" xfId="9229"/>
    <cellStyle name="Comma 2 3 14 3 3" xfId="9230"/>
    <cellStyle name="Comma 2 3 14 3 4" xfId="9231"/>
    <cellStyle name="Comma 2 3 14 3 5" xfId="9232"/>
    <cellStyle name="Comma 2 3 14 3 6" xfId="9233"/>
    <cellStyle name="Comma 2 3 14 4" xfId="9234"/>
    <cellStyle name="Comma 2 3 14 4 2" xfId="9235"/>
    <cellStyle name="Comma 2 3 14 4 2 2" xfId="9236"/>
    <cellStyle name="Comma 2 3 14 4 3" xfId="9237"/>
    <cellStyle name="Comma 2 3 14 4 4" xfId="9238"/>
    <cellStyle name="Comma 2 3 14 4 5" xfId="9239"/>
    <cellStyle name="Comma 2 3 14 5" xfId="9240"/>
    <cellStyle name="Comma 2 3 14 5 2" xfId="9241"/>
    <cellStyle name="Comma 2 3 14 5 3" xfId="9242"/>
    <cellStyle name="Comma 2 3 14 5 4" xfId="9243"/>
    <cellStyle name="Comma 2 3 14 6" xfId="9244"/>
    <cellStyle name="Comma 2 3 14 6 2" xfId="9245"/>
    <cellStyle name="Comma 2 3 14 7" xfId="9246"/>
    <cellStyle name="Comma 2 3 14 8" xfId="9247"/>
    <cellStyle name="Comma 2 3 14 9" xfId="9248"/>
    <cellStyle name="Comma 2 3 15" xfId="9249"/>
    <cellStyle name="Comma 2 3 15 10" xfId="9250"/>
    <cellStyle name="Comma 2 3 15 2" xfId="9251"/>
    <cellStyle name="Comma 2 3 15 2 2" xfId="9252"/>
    <cellStyle name="Comma 2 3 15 2 2 2" xfId="9253"/>
    <cellStyle name="Comma 2 3 15 2 2 3" xfId="9254"/>
    <cellStyle name="Comma 2 3 15 2 3" xfId="9255"/>
    <cellStyle name="Comma 2 3 15 2 4" xfId="9256"/>
    <cellStyle name="Comma 2 3 15 2 5" xfId="9257"/>
    <cellStyle name="Comma 2 3 15 2 6" xfId="9258"/>
    <cellStyle name="Comma 2 3 15 3" xfId="9259"/>
    <cellStyle name="Comma 2 3 15 3 2" xfId="9260"/>
    <cellStyle name="Comma 2 3 15 3 2 2" xfId="9261"/>
    <cellStyle name="Comma 2 3 15 3 2 3" xfId="9262"/>
    <cellStyle name="Comma 2 3 15 3 3" xfId="9263"/>
    <cellStyle name="Comma 2 3 15 3 4" xfId="9264"/>
    <cellStyle name="Comma 2 3 15 3 5" xfId="9265"/>
    <cellStyle name="Comma 2 3 15 3 6" xfId="9266"/>
    <cellStyle name="Comma 2 3 15 4" xfId="9267"/>
    <cellStyle name="Comma 2 3 15 4 2" xfId="9268"/>
    <cellStyle name="Comma 2 3 15 4 2 2" xfId="9269"/>
    <cellStyle name="Comma 2 3 15 4 3" xfId="9270"/>
    <cellStyle name="Comma 2 3 15 4 4" xfId="9271"/>
    <cellStyle name="Comma 2 3 15 4 5" xfId="9272"/>
    <cellStyle name="Comma 2 3 15 5" xfId="9273"/>
    <cellStyle name="Comma 2 3 15 5 2" xfId="9274"/>
    <cellStyle name="Comma 2 3 15 5 3" xfId="9275"/>
    <cellStyle name="Comma 2 3 15 5 4" xfId="9276"/>
    <cellStyle name="Comma 2 3 15 6" xfId="9277"/>
    <cellStyle name="Comma 2 3 15 6 2" xfId="9278"/>
    <cellStyle name="Comma 2 3 15 7" xfId="9279"/>
    <cellStyle name="Comma 2 3 15 8" xfId="9280"/>
    <cellStyle name="Comma 2 3 15 9" xfId="9281"/>
    <cellStyle name="Comma 2 3 16" xfId="9282"/>
    <cellStyle name="Comma 2 3 16 10" xfId="9283"/>
    <cellStyle name="Comma 2 3 16 2" xfId="9284"/>
    <cellStyle name="Comma 2 3 16 2 2" xfId="9285"/>
    <cellStyle name="Comma 2 3 16 2 2 2" xfId="9286"/>
    <cellStyle name="Comma 2 3 16 2 2 3" xfId="9287"/>
    <cellStyle name="Comma 2 3 16 2 3" xfId="9288"/>
    <cellStyle name="Comma 2 3 16 2 4" xfId="9289"/>
    <cellStyle name="Comma 2 3 16 2 5" xfId="9290"/>
    <cellStyle name="Comma 2 3 16 2 6" xfId="9291"/>
    <cellStyle name="Comma 2 3 16 3" xfId="9292"/>
    <cellStyle name="Comma 2 3 16 3 2" xfId="9293"/>
    <cellStyle name="Comma 2 3 16 3 2 2" xfId="9294"/>
    <cellStyle name="Comma 2 3 16 3 2 3" xfId="9295"/>
    <cellStyle name="Comma 2 3 16 3 3" xfId="9296"/>
    <cellStyle name="Comma 2 3 16 3 4" xfId="9297"/>
    <cellStyle name="Comma 2 3 16 3 5" xfId="9298"/>
    <cellStyle name="Comma 2 3 16 3 6" xfId="9299"/>
    <cellStyle name="Comma 2 3 16 4" xfId="9300"/>
    <cellStyle name="Comma 2 3 16 4 2" xfId="9301"/>
    <cellStyle name="Comma 2 3 16 4 2 2" xfId="9302"/>
    <cellStyle name="Comma 2 3 16 4 3" xfId="9303"/>
    <cellStyle name="Comma 2 3 16 4 4" xfId="9304"/>
    <cellStyle name="Comma 2 3 16 4 5" xfId="9305"/>
    <cellStyle name="Comma 2 3 16 5" xfId="9306"/>
    <cellStyle name="Comma 2 3 16 5 2" xfId="9307"/>
    <cellStyle name="Comma 2 3 16 5 3" xfId="9308"/>
    <cellStyle name="Comma 2 3 16 5 4" xfId="9309"/>
    <cellStyle name="Comma 2 3 16 6" xfId="9310"/>
    <cellStyle name="Comma 2 3 16 6 2" xfId="9311"/>
    <cellStyle name="Comma 2 3 16 7" xfId="9312"/>
    <cellStyle name="Comma 2 3 16 8" xfId="9313"/>
    <cellStyle name="Comma 2 3 16 9" xfId="9314"/>
    <cellStyle name="Comma 2 3 17" xfId="9315"/>
    <cellStyle name="Comma 2 3 17 10" xfId="9316"/>
    <cellStyle name="Comma 2 3 17 2" xfId="9317"/>
    <cellStyle name="Comma 2 3 17 2 2" xfId="9318"/>
    <cellStyle name="Comma 2 3 17 2 2 2" xfId="9319"/>
    <cellStyle name="Comma 2 3 17 2 2 3" xfId="9320"/>
    <cellStyle name="Comma 2 3 17 2 3" xfId="9321"/>
    <cellStyle name="Comma 2 3 17 2 4" xfId="9322"/>
    <cellStyle name="Comma 2 3 17 2 5" xfId="9323"/>
    <cellStyle name="Comma 2 3 17 2 6" xfId="9324"/>
    <cellStyle name="Comma 2 3 17 3" xfId="9325"/>
    <cellStyle name="Comma 2 3 17 3 2" xfId="9326"/>
    <cellStyle name="Comma 2 3 17 3 2 2" xfId="9327"/>
    <cellStyle name="Comma 2 3 17 3 2 3" xfId="9328"/>
    <cellStyle name="Comma 2 3 17 3 3" xfId="9329"/>
    <cellStyle name="Comma 2 3 17 3 4" xfId="9330"/>
    <cellStyle name="Comma 2 3 17 3 5" xfId="9331"/>
    <cellStyle name="Comma 2 3 17 3 6" xfId="9332"/>
    <cellStyle name="Comma 2 3 17 4" xfId="9333"/>
    <cellStyle name="Comma 2 3 17 4 2" xfId="9334"/>
    <cellStyle name="Comma 2 3 17 4 2 2" xfId="9335"/>
    <cellStyle name="Comma 2 3 17 4 3" xfId="9336"/>
    <cellStyle name="Comma 2 3 17 4 4" xfId="9337"/>
    <cellStyle name="Comma 2 3 17 4 5" xfId="9338"/>
    <cellStyle name="Comma 2 3 17 5" xfId="9339"/>
    <cellStyle name="Comma 2 3 17 5 2" xfId="9340"/>
    <cellStyle name="Comma 2 3 17 5 3" xfId="9341"/>
    <cellStyle name="Comma 2 3 17 5 4" xfId="9342"/>
    <cellStyle name="Comma 2 3 17 6" xfId="9343"/>
    <cellStyle name="Comma 2 3 17 6 2" xfId="9344"/>
    <cellStyle name="Comma 2 3 17 7" xfId="9345"/>
    <cellStyle name="Comma 2 3 17 8" xfId="9346"/>
    <cellStyle name="Comma 2 3 17 9" xfId="9347"/>
    <cellStyle name="Comma 2 3 18" xfId="9348"/>
    <cellStyle name="Comma 2 3 18 10" xfId="9349"/>
    <cellStyle name="Comma 2 3 18 2" xfId="9350"/>
    <cellStyle name="Comma 2 3 18 2 2" xfId="9351"/>
    <cellStyle name="Comma 2 3 18 2 2 2" xfId="9352"/>
    <cellStyle name="Comma 2 3 18 2 2 3" xfId="9353"/>
    <cellStyle name="Comma 2 3 18 2 3" xfId="9354"/>
    <cellStyle name="Comma 2 3 18 2 4" xfId="9355"/>
    <cellStyle name="Comma 2 3 18 2 5" xfId="9356"/>
    <cellStyle name="Comma 2 3 18 2 6" xfId="9357"/>
    <cellStyle name="Comma 2 3 18 3" xfId="9358"/>
    <cellStyle name="Comma 2 3 18 3 2" xfId="9359"/>
    <cellStyle name="Comma 2 3 18 3 2 2" xfId="9360"/>
    <cellStyle name="Comma 2 3 18 3 2 3" xfId="9361"/>
    <cellStyle name="Comma 2 3 18 3 3" xfId="9362"/>
    <cellStyle name="Comma 2 3 18 3 4" xfId="9363"/>
    <cellStyle name="Comma 2 3 18 3 5" xfId="9364"/>
    <cellStyle name="Comma 2 3 18 3 6" xfId="9365"/>
    <cellStyle name="Comma 2 3 18 4" xfId="9366"/>
    <cellStyle name="Comma 2 3 18 4 2" xfId="9367"/>
    <cellStyle name="Comma 2 3 18 4 2 2" xfId="9368"/>
    <cellStyle name="Comma 2 3 18 4 3" xfId="9369"/>
    <cellStyle name="Comma 2 3 18 4 4" xfId="9370"/>
    <cellStyle name="Comma 2 3 18 4 5" xfId="9371"/>
    <cellStyle name="Comma 2 3 18 5" xfId="9372"/>
    <cellStyle name="Comma 2 3 18 5 2" xfId="9373"/>
    <cellStyle name="Comma 2 3 18 5 3" xfId="9374"/>
    <cellStyle name="Comma 2 3 18 5 4" xfId="9375"/>
    <cellStyle name="Comma 2 3 18 6" xfId="9376"/>
    <cellStyle name="Comma 2 3 18 6 2" xfId="9377"/>
    <cellStyle name="Comma 2 3 18 7" xfId="9378"/>
    <cellStyle name="Comma 2 3 18 8" xfId="9379"/>
    <cellStyle name="Comma 2 3 18 9" xfId="9380"/>
    <cellStyle name="Comma 2 3 19" xfId="9381"/>
    <cellStyle name="Comma 2 3 19 10" xfId="9382"/>
    <cellStyle name="Comma 2 3 19 2" xfId="9383"/>
    <cellStyle name="Comma 2 3 19 2 2" xfId="9384"/>
    <cellStyle name="Comma 2 3 19 2 2 2" xfId="9385"/>
    <cellStyle name="Comma 2 3 19 2 2 3" xfId="9386"/>
    <cellStyle name="Comma 2 3 19 2 3" xfId="9387"/>
    <cellStyle name="Comma 2 3 19 2 4" xfId="9388"/>
    <cellStyle name="Comma 2 3 19 2 5" xfId="9389"/>
    <cellStyle name="Comma 2 3 19 2 6" xfId="9390"/>
    <cellStyle name="Comma 2 3 19 3" xfId="9391"/>
    <cellStyle name="Comma 2 3 19 3 2" xfId="9392"/>
    <cellStyle name="Comma 2 3 19 3 2 2" xfId="9393"/>
    <cellStyle name="Comma 2 3 19 3 2 3" xfId="9394"/>
    <cellStyle name="Comma 2 3 19 3 3" xfId="9395"/>
    <cellStyle name="Comma 2 3 19 3 4" xfId="9396"/>
    <cellStyle name="Comma 2 3 19 3 5" xfId="9397"/>
    <cellStyle name="Comma 2 3 19 3 6" xfId="9398"/>
    <cellStyle name="Comma 2 3 19 4" xfId="9399"/>
    <cellStyle name="Comma 2 3 19 4 2" xfId="9400"/>
    <cellStyle name="Comma 2 3 19 4 2 2" xfId="9401"/>
    <cellStyle name="Comma 2 3 19 4 3" xfId="9402"/>
    <cellStyle name="Comma 2 3 19 4 4" xfId="9403"/>
    <cellStyle name="Comma 2 3 19 4 5" xfId="9404"/>
    <cellStyle name="Comma 2 3 19 5" xfId="9405"/>
    <cellStyle name="Comma 2 3 19 5 2" xfId="9406"/>
    <cellStyle name="Comma 2 3 19 5 3" xfId="9407"/>
    <cellStyle name="Comma 2 3 19 5 4" xfId="9408"/>
    <cellStyle name="Comma 2 3 19 6" xfId="9409"/>
    <cellStyle name="Comma 2 3 19 6 2" xfId="9410"/>
    <cellStyle name="Comma 2 3 19 7" xfId="9411"/>
    <cellStyle name="Comma 2 3 19 8" xfId="9412"/>
    <cellStyle name="Comma 2 3 19 9" xfId="9413"/>
    <cellStyle name="Comma 2 3 2" xfId="9414"/>
    <cellStyle name="Comma 2 3 2 10" xfId="9415"/>
    <cellStyle name="Comma 2 3 2 10 10" xfId="9416"/>
    <cellStyle name="Comma 2 3 2 10 2" xfId="9417"/>
    <cellStyle name="Comma 2 3 2 10 2 2" xfId="9418"/>
    <cellStyle name="Comma 2 3 2 10 2 2 2" xfId="9419"/>
    <cellStyle name="Comma 2 3 2 10 2 2 3" xfId="9420"/>
    <cellStyle name="Comma 2 3 2 10 2 3" xfId="9421"/>
    <cellStyle name="Comma 2 3 2 10 2 4" xfId="9422"/>
    <cellStyle name="Comma 2 3 2 10 2 5" xfId="9423"/>
    <cellStyle name="Comma 2 3 2 10 2 6" xfId="9424"/>
    <cellStyle name="Comma 2 3 2 10 3" xfId="9425"/>
    <cellStyle name="Comma 2 3 2 10 3 2" xfId="9426"/>
    <cellStyle name="Comma 2 3 2 10 3 2 2" xfId="9427"/>
    <cellStyle name="Comma 2 3 2 10 3 2 3" xfId="9428"/>
    <cellStyle name="Comma 2 3 2 10 3 3" xfId="9429"/>
    <cellStyle name="Comma 2 3 2 10 3 4" xfId="9430"/>
    <cellStyle name="Comma 2 3 2 10 3 5" xfId="9431"/>
    <cellStyle name="Comma 2 3 2 10 3 6" xfId="9432"/>
    <cellStyle name="Comma 2 3 2 10 4" xfId="9433"/>
    <cellStyle name="Comma 2 3 2 10 4 2" xfId="9434"/>
    <cellStyle name="Comma 2 3 2 10 4 2 2" xfId="9435"/>
    <cellStyle name="Comma 2 3 2 10 4 3" xfId="9436"/>
    <cellStyle name="Comma 2 3 2 10 4 4" xfId="9437"/>
    <cellStyle name="Comma 2 3 2 10 4 5" xfId="9438"/>
    <cellStyle name="Comma 2 3 2 10 5" xfId="9439"/>
    <cellStyle name="Comma 2 3 2 10 5 2" xfId="9440"/>
    <cellStyle name="Comma 2 3 2 10 5 3" xfId="9441"/>
    <cellStyle name="Comma 2 3 2 10 5 4" xfId="9442"/>
    <cellStyle name="Comma 2 3 2 10 6" xfId="9443"/>
    <cellStyle name="Comma 2 3 2 10 6 2" xfId="9444"/>
    <cellStyle name="Comma 2 3 2 10 7" xfId="9445"/>
    <cellStyle name="Comma 2 3 2 10 8" xfId="9446"/>
    <cellStyle name="Comma 2 3 2 10 9" xfId="9447"/>
    <cellStyle name="Comma 2 3 2 11" xfId="9448"/>
    <cellStyle name="Comma 2 3 2 11 10" xfId="9449"/>
    <cellStyle name="Comma 2 3 2 11 2" xfId="9450"/>
    <cellStyle name="Comma 2 3 2 11 2 2" xfId="9451"/>
    <cellStyle name="Comma 2 3 2 11 2 2 2" xfId="9452"/>
    <cellStyle name="Comma 2 3 2 11 2 2 3" xfId="9453"/>
    <cellStyle name="Comma 2 3 2 11 2 3" xfId="9454"/>
    <cellStyle name="Comma 2 3 2 11 2 4" xfId="9455"/>
    <cellStyle name="Comma 2 3 2 11 2 5" xfId="9456"/>
    <cellStyle name="Comma 2 3 2 11 2 6" xfId="9457"/>
    <cellStyle name="Comma 2 3 2 11 3" xfId="9458"/>
    <cellStyle name="Comma 2 3 2 11 3 2" xfId="9459"/>
    <cellStyle name="Comma 2 3 2 11 3 2 2" xfId="9460"/>
    <cellStyle name="Comma 2 3 2 11 3 2 3" xfId="9461"/>
    <cellStyle name="Comma 2 3 2 11 3 3" xfId="9462"/>
    <cellStyle name="Comma 2 3 2 11 3 4" xfId="9463"/>
    <cellStyle name="Comma 2 3 2 11 3 5" xfId="9464"/>
    <cellStyle name="Comma 2 3 2 11 3 6" xfId="9465"/>
    <cellStyle name="Comma 2 3 2 11 4" xfId="9466"/>
    <cellStyle name="Comma 2 3 2 11 4 2" xfId="9467"/>
    <cellStyle name="Comma 2 3 2 11 4 2 2" xfId="9468"/>
    <cellStyle name="Comma 2 3 2 11 4 3" xfId="9469"/>
    <cellStyle name="Comma 2 3 2 11 4 4" xfId="9470"/>
    <cellStyle name="Comma 2 3 2 11 4 5" xfId="9471"/>
    <cellStyle name="Comma 2 3 2 11 5" xfId="9472"/>
    <cellStyle name="Comma 2 3 2 11 5 2" xfId="9473"/>
    <cellStyle name="Comma 2 3 2 11 5 3" xfId="9474"/>
    <cellStyle name="Comma 2 3 2 11 5 4" xfId="9475"/>
    <cellStyle name="Comma 2 3 2 11 6" xfId="9476"/>
    <cellStyle name="Comma 2 3 2 11 6 2" xfId="9477"/>
    <cellStyle name="Comma 2 3 2 11 7" xfId="9478"/>
    <cellStyle name="Comma 2 3 2 11 8" xfId="9479"/>
    <cellStyle name="Comma 2 3 2 11 9" xfId="9480"/>
    <cellStyle name="Comma 2 3 2 12" xfId="9481"/>
    <cellStyle name="Comma 2 3 2 12 10" xfId="9482"/>
    <cellStyle name="Comma 2 3 2 12 2" xfId="9483"/>
    <cellStyle name="Comma 2 3 2 12 2 2" xfId="9484"/>
    <cellStyle name="Comma 2 3 2 12 2 2 2" xfId="9485"/>
    <cellStyle name="Comma 2 3 2 12 2 2 3" xfId="9486"/>
    <cellStyle name="Comma 2 3 2 12 2 3" xfId="9487"/>
    <cellStyle name="Comma 2 3 2 12 2 4" xfId="9488"/>
    <cellStyle name="Comma 2 3 2 12 2 5" xfId="9489"/>
    <cellStyle name="Comma 2 3 2 12 2 6" xfId="9490"/>
    <cellStyle name="Comma 2 3 2 12 3" xfId="9491"/>
    <cellStyle name="Comma 2 3 2 12 3 2" xfId="9492"/>
    <cellStyle name="Comma 2 3 2 12 3 2 2" xfId="9493"/>
    <cellStyle name="Comma 2 3 2 12 3 2 3" xfId="9494"/>
    <cellStyle name="Comma 2 3 2 12 3 3" xfId="9495"/>
    <cellStyle name="Comma 2 3 2 12 3 4" xfId="9496"/>
    <cellStyle name="Comma 2 3 2 12 3 5" xfId="9497"/>
    <cellStyle name="Comma 2 3 2 12 3 6" xfId="9498"/>
    <cellStyle name="Comma 2 3 2 12 4" xfId="9499"/>
    <cellStyle name="Comma 2 3 2 12 4 2" xfId="9500"/>
    <cellStyle name="Comma 2 3 2 12 4 2 2" xfId="9501"/>
    <cellStyle name="Comma 2 3 2 12 4 3" xfId="9502"/>
    <cellStyle name="Comma 2 3 2 12 4 4" xfId="9503"/>
    <cellStyle name="Comma 2 3 2 12 4 5" xfId="9504"/>
    <cellStyle name="Comma 2 3 2 12 5" xfId="9505"/>
    <cellStyle name="Comma 2 3 2 12 5 2" xfId="9506"/>
    <cellStyle name="Comma 2 3 2 12 5 3" xfId="9507"/>
    <cellStyle name="Comma 2 3 2 12 5 4" xfId="9508"/>
    <cellStyle name="Comma 2 3 2 12 6" xfId="9509"/>
    <cellStyle name="Comma 2 3 2 12 6 2" xfId="9510"/>
    <cellStyle name="Comma 2 3 2 12 7" xfId="9511"/>
    <cellStyle name="Comma 2 3 2 12 8" xfId="9512"/>
    <cellStyle name="Comma 2 3 2 12 9" xfId="9513"/>
    <cellStyle name="Comma 2 3 2 13" xfId="9514"/>
    <cellStyle name="Comma 2 3 2 13 2" xfId="9515"/>
    <cellStyle name="Comma 2 3 2 13 2 2" xfId="9516"/>
    <cellStyle name="Comma 2 3 2 13 2 2 2" xfId="9517"/>
    <cellStyle name="Comma 2 3 2 13 2 2 3" xfId="9518"/>
    <cellStyle name="Comma 2 3 2 13 2 3" xfId="9519"/>
    <cellStyle name="Comma 2 3 2 13 2 4" xfId="9520"/>
    <cellStyle name="Comma 2 3 2 13 2 5" xfId="9521"/>
    <cellStyle name="Comma 2 3 2 13 2 6" xfId="9522"/>
    <cellStyle name="Comma 2 3 2 13 3" xfId="9523"/>
    <cellStyle name="Comma 2 3 2 13 3 2" xfId="9524"/>
    <cellStyle name="Comma 2 3 2 13 3 2 2" xfId="9525"/>
    <cellStyle name="Comma 2 3 2 13 3 3" xfId="9526"/>
    <cellStyle name="Comma 2 3 2 13 3 4" xfId="9527"/>
    <cellStyle name="Comma 2 3 2 13 3 5" xfId="9528"/>
    <cellStyle name="Comma 2 3 2 13 4" xfId="9529"/>
    <cellStyle name="Comma 2 3 2 13 4 2" xfId="9530"/>
    <cellStyle name="Comma 2 3 2 13 4 3" xfId="9531"/>
    <cellStyle name="Comma 2 3 2 13 4 4" xfId="9532"/>
    <cellStyle name="Comma 2 3 2 13 5" xfId="9533"/>
    <cellStyle name="Comma 2 3 2 13 5 2" xfId="9534"/>
    <cellStyle name="Comma 2 3 2 13 6" xfId="9535"/>
    <cellStyle name="Comma 2 3 2 13 7" xfId="9536"/>
    <cellStyle name="Comma 2 3 2 13 8" xfId="9537"/>
    <cellStyle name="Comma 2 3 2 13 9" xfId="9538"/>
    <cellStyle name="Comma 2 3 2 14" xfId="9539"/>
    <cellStyle name="Comma 2 3 2 14 2" xfId="9540"/>
    <cellStyle name="Comma 2 3 2 14 2 2" xfId="9541"/>
    <cellStyle name="Comma 2 3 2 14 2 2 2" xfId="9542"/>
    <cellStyle name="Comma 2 3 2 14 2 2 3" xfId="9543"/>
    <cellStyle name="Comma 2 3 2 14 2 3" xfId="9544"/>
    <cellStyle name="Comma 2 3 2 14 2 4" xfId="9545"/>
    <cellStyle name="Comma 2 3 2 14 2 5" xfId="9546"/>
    <cellStyle name="Comma 2 3 2 14 2 6" xfId="9547"/>
    <cellStyle name="Comma 2 3 2 14 3" xfId="9548"/>
    <cellStyle name="Comma 2 3 2 14 3 2" xfId="9549"/>
    <cellStyle name="Comma 2 3 2 14 3 2 2" xfId="9550"/>
    <cellStyle name="Comma 2 3 2 14 3 3" xfId="9551"/>
    <cellStyle name="Comma 2 3 2 14 3 4" xfId="9552"/>
    <cellStyle name="Comma 2 3 2 14 3 5" xfId="9553"/>
    <cellStyle name="Comma 2 3 2 14 4" xfId="9554"/>
    <cellStyle name="Comma 2 3 2 14 4 2" xfId="9555"/>
    <cellStyle name="Comma 2 3 2 14 4 3" xfId="9556"/>
    <cellStyle name="Comma 2 3 2 14 4 4" xfId="9557"/>
    <cellStyle name="Comma 2 3 2 14 5" xfId="9558"/>
    <cellStyle name="Comma 2 3 2 14 5 2" xfId="9559"/>
    <cellStyle name="Comma 2 3 2 14 6" xfId="9560"/>
    <cellStyle name="Comma 2 3 2 14 7" xfId="9561"/>
    <cellStyle name="Comma 2 3 2 14 8" xfId="9562"/>
    <cellStyle name="Comma 2 3 2 14 9" xfId="9563"/>
    <cellStyle name="Comma 2 3 2 15" xfId="9564"/>
    <cellStyle name="Comma 2 3 2 15 2" xfId="9565"/>
    <cellStyle name="Comma 2 3 2 15 2 2" xfId="9566"/>
    <cellStyle name="Comma 2 3 2 15 2 3" xfId="9567"/>
    <cellStyle name="Comma 2 3 2 15 3" xfId="9568"/>
    <cellStyle name="Comma 2 3 2 15 4" xfId="9569"/>
    <cellStyle name="Comma 2 3 2 15 5" xfId="9570"/>
    <cellStyle name="Comma 2 3 2 15 6" xfId="9571"/>
    <cellStyle name="Comma 2 3 2 16" xfId="9572"/>
    <cellStyle name="Comma 2 3 2 16 2" xfId="9573"/>
    <cellStyle name="Comma 2 3 2 16 2 2" xfId="9574"/>
    <cellStyle name="Comma 2 3 2 16 3" xfId="9575"/>
    <cellStyle name="Comma 2 3 2 16 4" xfId="9576"/>
    <cellStyle name="Comma 2 3 2 16 5" xfId="9577"/>
    <cellStyle name="Comma 2 3 2 17" xfId="9578"/>
    <cellStyle name="Comma 2 3 2 17 2" xfId="9579"/>
    <cellStyle name="Comma 2 3 2 17 2 2" xfId="9580"/>
    <cellStyle name="Comma 2 3 2 17 3" xfId="9581"/>
    <cellStyle name="Comma 2 3 2 17 4" xfId="9582"/>
    <cellStyle name="Comma 2 3 2 17 5" xfId="9583"/>
    <cellStyle name="Comma 2 3 2 18" xfId="9584"/>
    <cellStyle name="Comma 2 3 2 18 2" xfId="9585"/>
    <cellStyle name="Comma 2 3 2 19" xfId="9586"/>
    <cellStyle name="Comma 2 3 2 2" xfId="9587"/>
    <cellStyle name="Comma 2 3 2 2 10" xfId="9588"/>
    <cellStyle name="Comma 2 3 2 2 11" xfId="9589"/>
    <cellStyle name="Comma 2 3 2 2 2" xfId="9590"/>
    <cellStyle name="Comma 2 3 2 2 2 2" xfId="9591"/>
    <cellStyle name="Comma 2 3 2 2 2 2 2" xfId="9592"/>
    <cellStyle name="Comma 2 3 2 2 2 2 2 2" xfId="9593"/>
    <cellStyle name="Comma 2 3 2 2 2 2 2 3" xfId="9594"/>
    <cellStyle name="Comma 2 3 2 2 2 2 3" xfId="9595"/>
    <cellStyle name="Comma 2 3 2 2 2 2 4" xfId="9596"/>
    <cellStyle name="Comma 2 3 2 2 2 2 5" xfId="9597"/>
    <cellStyle name="Comma 2 3 2 2 2 2 6" xfId="9598"/>
    <cellStyle name="Comma 2 3 2 2 2 3" xfId="9599"/>
    <cellStyle name="Comma 2 3 2 2 2 3 2" xfId="9600"/>
    <cellStyle name="Comma 2 3 2 2 2 3 2 2" xfId="9601"/>
    <cellStyle name="Comma 2 3 2 2 2 3 3" xfId="9602"/>
    <cellStyle name="Comma 2 3 2 2 2 3 4" xfId="9603"/>
    <cellStyle name="Comma 2 3 2 2 2 3 5" xfId="9604"/>
    <cellStyle name="Comma 2 3 2 2 2 4" xfId="9605"/>
    <cellStyle name="Comma 2 3 2 2 2 4 2" xfId="9606"/>
    <cellStyle name="Comma 2 3 2 2 2 4 3" xfId="9607"/>
    <cellStyle name="Comma 2 3 2 2 2 4 4" xfId="9608"/>
    <cellStyle name="Comma 2 3 2 2 2 5" xfId="9609"/>
    <cellStyle name="Comma 2 3 2 2 2 5 2" xfId="9610"/>
    <cellStyle name="Comma 2 3 2 2 2 6" xfId="9611"/>
    <cellStyle name="Comma 2 3 2 2 2 7" xfId="9612"/>
    <cellStyle name="Comma 2 3 2 2 2 8" xfId="9613"/>
    <cellStyle name="Comma 2 3 2 2 2 9" xfId="9614"/>
    <cellStyle name="Comma 2 3 2 2 3" xfId="9615"/>
    <cellStyle name="Comma 2 3 2 2 3 2" xfId="9616"/>
    <cellStyle name="Comma 2 3 2 2 3 2 2" xfId="9617"/>
    <cellStyle name="Comma 2 3 2 2 3 2 2 2" xfId="9618"/>
    <cellStyle name="Comma 2 3 2 2 3 2 2 3" xfId="9619"/>
    <cellStyle name="Comma 2 3 2 2 3 2 3" xfId="9620"/>
    <cellStyle name="Comma 2 3 2 2 3 2 4" xfId="9621"/>
    <cellStyle name="Comma 2 3 2 2 3 2 5" xfId="9622"/>
    <cellStyle name="Comma 2 3 2 2 3 2 6" xfId="9623"/>
    <cellStyle name="Comma 2 3 2 2 3 3" xfId="9624"/>
    <cellStyle name="Comma 2 3 2 2 3 3 2" xfId="9625"/>
    <cellStyle name="Comma 2 3 2 2 3 3 2 2" xfId="9626"/>
    <cellStyle name="Comma 2 3 2 2 3 3 3" xfId="9627"/>
    <cellStyle name="Comma 2 3 2 2 3 3 4" xfId="9628"/>
    <cellStyle name="Comma 2 3 2 2 3 3 5" xfId="9629"/>
    <cellStyle name="Comma 2 3 2 2 3 4" xfId="9630"/>
    <cellStyle name="Comma 2 3 2 2 3 4 2" xfId="9631"/>
    <cellStyle name="Comma 2 3 2 2 3 4 3" xfId="9632"/>
    <cellStyle name="Comma 2 3 2 2 3 4 4" xfId="9633"/>
    <cellStyle name="Comma 2 3 2 2 3 5" xfId="9634"/>
    <cellStyle name="Comma 2 3 2 2 3 5 2" xfId="9635"/>
    <cellStyle name="Comma 2 3 2 2 3 6" xfId="9636"/>
    <cellStyle name="Comma 2 3 2 2 3 7" xfId="9637"/>
    <cellStyle name="Comma 2 3 2 2 3 8" xfId="9638"/>
    <cellStyle name="Comma 2 3 2 2 3 9" xfId="9639"/>
    <cellStyle name="Comma 2 3 2 2 4" xfId="9640"/>
    <cellStyle name="Comma 2 3 2 2 4 2" xfId="9641"/>
    <cellStyle name="Comma 2 3 2 2 4 2 2" xfId="9642"/>
    <cellStyle name="Comma 2 3 2 2 4 2 3" xfId="9643"/>
    <cellStyle name="Comma 2 3 2 2 4 3" xfId="9644"/>
    <cellStyle name="Comma 2 3 2 2 4 4" xfId="9645"/>
    <cellStyle name="Comma 2 3 2 2 4 5" xfId="9646"/>
    <cellStyle name="Comma 2 3 2 2 4 6" xfId="9647"/>
    <cellStyle name="Comma 2 3 2 2 5" xfId="9648"/>
    <cellStyle name="Comma 2 3 2 2 5 2" xfId="9649"/>
    <cellStyle name="Comma 2 3 2 2 5 2 2" xfId="9650"/>
    <cellStyle name="Comma 2 3 2 2 5 3" xfId="9651"/>
    <cellStyle name="Comma 2 3 2 2 5 4" xfId="9652"/>
    <cellStyle name="Comma 2 3 2 2 5 5" xfId="9653"/>
    <cellStyle name="Comma 2 3 2 2 6" xfId="9654"/>
    <cellStyle name="Comma 2 3 2 2 6 2" xfId="9655"/>
    <cellStyle name="Comma 2 3 2 2 6 3" xfId="9656"/>
    <cellStyle name="Comma 2 3 2 2 6 4" xfId="9657"/>
    <cellStyle name="Comma 2 3 2 2 7" xfId="9658"/>
    <cellStyle name="Comma 2 3 2 2 7 2" xfId="9659"/>
    <cellStyle name="Comma 2 3 2 2 8" xfId="9660"/>
    <cellStyle name="Comma 2 3 2 2 9" xfId="9661"/>
    <cellStyle name="Comma 2 3 2 20" xfId="9662"/>
    <cellStyle name="Comma 2 3 2 21" xfId="9663"/>
    <cellStyle name="Comma 2 3 2 22" xfId="9664"/>
    <cellStyle name="Comma 2 3 2 3" xfId="9665"/>
    <cellStyle name="Comma 2 3 2 3 10" xfId="9666"/>
    <cellStyle name="Comma 2 3 2 3 11" xfId="9667"/>
    <cellStyle name="Comma 2 3 2 3 2" xfId="9668"/>
    <cellStyle name="Comma 2 3 2 3 2 2" xfId="9669"/>
    <cellStyle name="Comma 2 3 2 3 2 2 2" xfId="9670"/>
    <cellStyle name="Comma 2 3 2 3 2 2 2 2" xfId="9671"/>
    <cellStyle name="Comma 2 3 2 3 2 2 2 3" xfId="9672"/>
    <cellStyle name="Comma 2 3 2 3 2 2 3" xfId="9673"/>
    <cellStyle name="Comma 2 3 2 3 2 2 4" xfId="9674"/>
    <cellStyle name="Comma 2 3 2 3 2 2 5" xfId="9675"/>
    <cellStyle name="Comma 2 3 2 3 2 2 6" xfId="9676"/>
    <cellStyle name="Comma 2 3 2 3 2 3" xfId="9677"/>
    <cellStyle name="Comma 2 3 2 3 2 3 2" xfId="9678"/>
    <cellStyle name="Comma 2 3 2 3 2 3 2 2" xfId="9679"/>
    <cellStyle name="Comma 2 3 2 3 2 3 3" xfId="9680"/>
    <cellStyle name="Comma 2 3 2 3 2 3 4" xfId="9681"/>
    <cellStyle name="Comma 2 3 2 3 2 3 5" xfId="9682"/>
    <cellStyle name="Comma 2 3 2 3 2 4" xfId="9683"/>
    <cellStyle name="Comma 2 3 2 3 2 4 2" xfId="9684"/>
    <cellStyle name="Comma 2 3 2 3 2 4 3" xfId="9685"/>
    <cellStyle name="Comma 2 3 2 3 2 4 4" xfId="9686"/>
    <cellStyle name="Comma 2 3 2 3 2 5" xfId="9687"/>
    <cellStyle name="Comma 2 3 2 3 2 5 2" xfId="9688"/>
    <cellStyle name="Comma 2 3 2 3 2 6" xfId="9689"/>
    <cellStyle name="Comma 2 3 2 3 2 7" xfId="9690"/>
    <cellStyle name="Comma 2 3 2 3 2 8" xfId="9691"/>
    <cellStyle name="Comma 2 3 2 3 2 9" xfId="9692"/>
    <cellStyle name="Comma 2 3 2 3 3" xfId="9693"/>
    <cellStyle name="Comma 2 3 2 3 3 2" xfId="9694"/>
    <cellStyle name="Comma 2 3 2 3 3 2 2" xfId="9695"/>
    <cellStyle name="Comma 2 3 2 3 3 2 2 2" xfId="9696"/>
    <cellStyle name="Comma 2 3 2 3 3 2 2 3" xfId="9697"/>
    <cellStyle name="Comma 2 3 2 3 3 2 3" xfId="9698"/>
    <cellStyle name="Comma 2 3 2 3 3 2 4" xfId="9699"/>
    <cellStyle name="Comma 2 3 2 3 3 2 5" xfId="9700"/>
    <cellStyle name="Comma 2 3 2 3 3 2 6" xfId="9701"/>
    <cellStyle name="Comma 2 3 2 3 3 3" xfId="9702"/>
    <cellStyle name="Comma 2 3 2 3 3 3 2" xfId="9703"/>
    <cellStyle name="Comma 2 3 2 3 3 3 2 2" xfId="9704"/>
    <cellStyle name="Comma 2 3 2 3 3 3 3" xfId="9705"/>
    <cellStyle name="Comma 2 3 2 3 3 3 4" xfId="9706"/>
    <cellStyle name="Comma 2 3 2 3 3 3 5" xfId="9707"/>
    <cellStyle name="Comma 2 3 2 3 3 4" xfId="9708"/>
    <cellStyle name="Comma 2 3 2 3 3 4 2" xfId="9709"/>
    <cellStyle name="Comma 2 3 2 3 3 4 3" xfId="9710"/>
    <cellStyle name="Comma 2 3 2 3 3 4 4" xfId="9711"/>
    <cellStyle name="Comma 2 3 2 3 3 5" xfId="9712"/>
    <cellStyle name="Comma 2 3 2 3 3 5 2" xfId="9713"/>
    <cellStyle name="Comma 2 3 2 3 3 6" xfId="9714"/>
    <cellStyle name="Comma 2 3 2 3 3 7" xfId="9715"/>
    <cellStyle name="Comma 2 3 2 3 3 8" xfId="9716"/>
    <cellStyle name="Comma 2 3 2 3 3 9" xfId="9717"/>
    <cellStyle name="Comma 2 3 2 3 4" xfId="9718"/>
    <cellStyle name="Comma 2 3 2 3 4 2" xfId="9719"/>
    <cellStyle name="Comma 2 3 2 3 4 2 2" xfId="9720"/>
    <cellStyle name="Comma 2 3 2 3 4 2 3" xfId="9721"/>
    <cellStyle name="Comma 2 3 2 3 4 3" xfId="9722"/>
    <cellStyle name="Comma 2 3 2 3 4 4" xfId="9723"/>
    <cellStyle name="Comma 2 3 2 3 4 5" xfId="9724"/>
    <cellStyle name="Comma 2 3 2 3 4 6" xfId="9725"/>
    <cellStyle name="Comma 2 3 2 3 5" xfId="9726"/>
    <cellStyle name="Comma 2 3 2 3 5 2" xfId="9727"/>
    <cellStyle name="Comma 2 3 2 3 5 2 2" xfId="9728"/>
    <cellStyle name="Comma 2 3 2 3 5 3" xfId="9729"/>
    <cellStyle name="Comma 2 3 2 3 5 4" xfId="9730"/>
    <cellStyle name="Comma 2 3 2 3 5 5" xfId="9731"/>
    <cellStyle name="Comma 2 3 2 3 6" xfId="9732"/>
    <cellStyle name="Comma 2 3 2 3 6 2" xfId="9733"/>
    <cellStyle name="Comma 2 3 2 3 6 3" xfId="9734"/>
    <cellStyle name="Comma 2 3 2 3 6 4" xfId="9735"/>
    <cellStyle name="Comma 2 3 2 3 7" xfId="9736"/>
    <cellStyle name="Comma 2 3 2 3 7 2" xfId="9737"/>
    <cellStyle name="Comma 2 3 2 3 8" xfId="9738"/>
    <cellStyle name="Comma 2 3 2 3 9" xfId="9739"/>
    <cellStyle name="Comma 2 3 2 4" xfId="9740"/>
    <cellStyle name="Comma 2 3 2 4 10" xfId="9741"/>
    <cellStyle name="Comma 2 3 2 4 11" xfId="9742"/>
    <cellStyle name="Comma 2 3 2 4 2" xfId="9743"/>
    <cellStyle name="Comma 2 3 2 4 2 2" xfId="9744"/>
    <cellStyle name="Comma 2 3 2 4 2 2 2" xfId="9745"/>
    <cellStyle name="Comma 2 3 2 4 2 2 2 2" xfId="9746"/>
    <cellStyle name="Comma 2 3 2 4 2 2 2 3" xfId="9747"/>
    <cellStyle name="Comma 2 3 2 4 2 2 3" xfId="9748"/>
    <cellStyle name="Comma 2 3 2 4 2 2 4" xfId="9749"/>
    <cellStyle name="Comma 2 3 2 4 2 2 5" xfId="9750"/>
    <cellStyle name="Comma 2 3 2 4 2 2 6" xfId="9751"/>
    <cellStyle name="Comma 2 3 2 4 2 3" xfId="9752"/>
    <cellStyle name="Comma 2 3 2 4 2 3 2" xfId="9753"/>
    <cellStyle name="Comma 2 3 2 4 2 3 2 2" xfId="9754"/>
    <cellStyle name="Comma 2 3 2 4 2 3 3" xfId="9755"/>
    <cellStyle name="Comma 2 3 2 4 2 3 4" xfId="9756"/>
    <cellStyle name="Comma 2 3 2 4 2 3 5" xfId="9757"/>
    <cellStyle name="Comma 2 3 2 4 2 4" xfId="9758"/>
    <cellStyle name="Comma 2 3 2 4 2 4 2" xfId="9759"/>
    <cellStyle name="Comma 2 3 2 4 2 4 3" xfId="9760"/>
    <cellStyle name="Comma 2 3 2 4 2 4 4" xfId="9761"/>
    <cellStyle name="Comma 2 3 2 4 2 5" xfId="9762"/>
    <cellStyle name="Comma 2 3 2 4 2 5 2" xfId="9763"/>
    <cellStyle name="Comma 2 3 2 4 2 6" xfId="9764"/>
    <cellStyle name="Comma 2 3 2 4 2 7" xfId="9765"/>
    <cellStyle name="Comma 2 3 2 4 2 8" xfId="9766"/>
    <cellStyle name="Comma 2 3 2 4 2 9" xfId="9767"/>
    <cellStyle name="Comma 2 3 2 4 3" xfId="9768"/>
    <cellStyle name="Comma 2 3 2 4 3 2" xfId="9769"/>
    <cellStyle name="Comma 2 3 2 4 3 2 2" xfId="9770"/>
    <cellStyle name="Comma 2 3 2 4 3 2 2 2" xfId="9771"/>
    <cellStyle name="Comma 2 3 2 4 3 2 2 3" xfId="9772"/>
    <cellStyle name="Comma 2 3 2 4 3 2 3" xfId="9773"/>
    <cellStyle name="Comma 2 3 2 4 3 2 4" xfId="9774"/>
    <cellStyle name="Comma 2 3 2 4 3 2 5" xfId="9775"/>
    <cellStyle name="Comma 2 3 2 4 3 2 6" xfId="9776"/>
    <cellStyle name="Comma 2 3 2 4 3 3" xfId="9777"/>
    <cellStyle name="Comma 2 3 2 4 3 3 2" xfId="9778"/>
    <cellStyle name="Comma 2 3 2 4 3 3 2 2" xfId="9779"/>
    <cellStyle name="Comma 2 3 2 4 3 3 3" xfId="9780"/>
    <cellStyle name="Comma 2 3 2 4 3 3 4" xfId="9781"/>
    <cellStyle name="Comma 2 3 2 4 3 3 5" xfId="9782"/>
    <cellStyle name="Comma 2 3 2 4 3 4" xfId="9783"/>
    <cellStyle name="Comma 2 3 2 4 3 4 2" xfId="9784"/>
    <cellStyle name="Comma 2 3 2 4 3 4 3" xfId="9785"/>
    <cellStyle name="Comma 2 3 2 4 3 4 4" xfId="9786"/>
    <cellStyle name="Comma 2 3 2 4 3 5" xfId="9787"/>
    <cellStyle name="Comma 2 3 2 4 3 5 2" xfId="9788"/>
    <cellStyle name="Comma 2 3 2 4 3 6" xfId="9789"/>
    <cellStyle name="Comma 2 3 2 4 3 7" xfId="9790"/>
    <cellStyle name="Comma 2 3 2 4 3 8" xfId="9791"/>
    <cellStyle name="Comma 2 3 2 4 3 9" xfId="9792"/>
    <cellStyle name="Comma 2 3 2 4 4" xfId="9793"/>
    <cellStyle name="Comma 2 3 2 4 4 2" xfId="9794"/>
    <cellStyle name="Comma 2 3 2 4 4 2 2" xfId="9795"/>
    <cellStyle name="Comma 2 3 2 4 4 2 3" xfId="9796"/>
    <cellStyle name="Comma 2 3 2 4 4 3" xfId="9797"/>
    <cellStyle name="Comma 2 3 2 4 4 4" xfId="9798"/>
    <cellStyle name="Comma 2 3 2 4 4 5" xfId="9799"/>
    <cellStyle name="Comma 2 3 2 4 4 6" xfId="9800"/>
    <cellStyle name="Comma 2 3 2 4 5" xfId="9801"/>
    <cellStyle name="Comma 2 3 2 4 5 2" xfId="9802"/>
    <cellStyle name="Comma 2 3 2 4 5 2 2" xfId="9803"/>
    <cellStyle name="Comma 2 3 2 4 5 3" xfId="9804"/>
    <cellStyle name="Comma 2 3 2 4 5 4" xfId="9805"/>
    <cellStyle name="Comma 2 3 2 4 5 5" xfId="9806"/>
    <cellStyle name="Comma 2 3 2 4 6" xfId="9807"/>
    <cellStyle name="Comma 2 3 2 4 6 2" xfId="9808"/>
    <cellStyle name="Comma 2 3 2 4 6 3" xfId="9809"/>
    <cellStyle name="Comma 2 3 2 4 6 4" xfId="9810"/>
    <cellStyle name="Comma 2 3 2 4 7" xfId="9811"/>
    <cellStyle name="Comma 2 3 2 4 7 2" xfId="9812"/>
    <cellStyle name="Comma 2 3 2 4 8" xfId="9813"/>
    <cellStyle name="Comma 2 3 2 4 9" xfId="9814"/>
    <cellStyle name="Comma 2 3 2 5" xfId="9815"/>
    <cellStyle name="Comma 2 3 2 5 10" xfId="9816"/>
    <cellStyle name="Comma 2 3 2 5 11" xfId="9817"/>
    <cellStyle name="Comma 2 3 2 5 2" xfId="9818"/>
    <cellStyle name="Comma 2 3 2 5 2 2" xfId="9819"/>
    <cellStyle name="Comma 2 3 2 5 2 2 2" xfId="9820"/>
    <cellStyle name="Comma 2 3 2 5 2 2 2 2" xfId="9821"/>
    <cellStyle name="Comma 2 3 2 5 2 2 2 3" xfId="9822"/>
    <cellStyle name="Comma 2 3 2 5 2 2 3" xfId="9823"/>
    <cellStyle name="Comma 2 3 2 5 2 2 4" xfId="9824"/>
    <cellStyle name="Comma 2 3 2 5 2 2 5" xfId="9825"/>
    <cellStyle name="Comma 2 3 2 5 2 2 6" xfId="9826"/>
    <cellStyle name="Comma 2 3 2 5 2 3" xfId="9827"/>
    <cellStyle name="Comma 2 3 2 5 2 3 2" xfId="9828"/>
    <cellStyle name="Comma 2 3 2 5 2 3 2 2" xfId="9829"/>
    <cellStyle name="Comma 2 3 2 5 2 3 3" xfId="9830"/>
    <cellStyle name="Comma 2 3 2 5 2 3 4" xfId="9831"/>
    <cellStyle name="Comma 2 3 2 5 2 3 5" xfId="9832"/>
    <cellStyle name="Comma 2 3 2 5 2 4" xfId="9833"/>
    <cellStyle name="Comma 2 3 2 5 2 4 2" xfId="9834"/>
    <cellStyle name="Comma 2 3 2 5 2 4 3" xfId="9835"/>
    <cellStyle name="Comma 2 3 2 5 2 4 4" xfId="9836"/>
    <cellStyle name="Comma 2 3 2 5 2 5" xfId="9837"/>
    <cellStyle name="Comma 2 3 2 5 2 5 2" xfId="9838"/>
    <cellStyle name="Comma 2 3 2 5 2 6" xfId="9839"/>
    <cellStyle name="Comma 2 3 2 5 2 7" xfId="9840"/>
    <cellStyle name="Comma 2 3 2 5 2 8" xfId="9841"/>
    <cellStyle name="Comma 2 3 2 5 2 9" xfId="9842"/>
    <cellStyle name="Comma 2 3 2 5 3" xfId="9843"/>
    <cellStyle name="Comma 2 3 2 5 3 2" xfId="9844"/>
    <cellStyle name="Comma 2 3 2 5 3 2 2" xfId="9845"/>
    <cellStyle name="Comma 2 3 2 5 3 2 2 2" xfId="9846"/>
    <cellStyle name="Comma 2 3 2 5 3 2 2 3" xfId="9847"/>
    <cellStyle name="Comma 2 3 2 5 3 2 3" xfId="9848"/>
    <cellStyle name="Comma 2 3 2 5 3 2 4" xfId="9849"/>
    <cellStyle name="Comma 2 3 2 5 3 2 5" xfId="9850"/>
    <cellStyle name="Comma 2 3 2 5 3 2 6" xfId="9851"/>
    <cellStyle name="Comma 2 3 2 5 3 3" xfId="9852"/>
    <cellStyle name="Comma 2 3 2 5 3 3 2" xfId="9853"/>
    <cellStyle name="Comma 2 3 2 5 3 3 2 2" xfId="9854"/>
    <cellStyle name="Comma 2 3 2 5 3 3 3" xfId="9855"/>
    <cellStyle name="Comma 2 3 2 5 3 3 4" xfId="9856"/>
    <cellStyle name="Comma 2 3 2 5 3 3 5" xfId="9857"/>
    <cellStyle name="Comma 2 3 2 5 3 4" xfId="9858"/>
    <cellStyle name="Comma 2 3 2 5 3 4 2" xfId="9859"/>
    <cellStyle name="Comma 2 3 2 5 3 4 3" xfId="9860"/>
    <cellStyle name="Comma 2 3 2 5 3 4 4" xfId="9861"/>
    <cellStyle name="Comma 2 3 2 5 3 5" xfId="9862"/>
    <cellStyle name="Comma 2 3 2 5 3 5 2" xfId="9863"/>
    <cellStyle name="Comma 2 3 2 5 3 6" xfId="9864"/>
    <cellStyle name="Comma 2 3 2 5 3 7" xfId="9865"/>
    <cellStyle name="Comma 2 3 2 5 3 8" xfId="9866"/>
    <cellStyle name="Comma 2 3 2 5 3 9" xfId="9867"/>
    <cellStyle name="Comma 2 3 2 5 4" xfId="9868"/>
    <cellStyle name="Comma 2 3 2 5 4 2" xfId="9869"/>
    <cellStyle name="Comma 2 3 2 5 4 2 2" xfId="9870"/>
    <cellStyle name="Comma 2 3 2 5 4 2 3" xfId="9871"/>
    <cellStyle name="Comma 2 3 2 5 4 3" xfId="9872"/>
    <cellStyle name="Comma 2 3 2 5 4 4" xfId="9873"/>
    <cellStyle name="Comma 2 3 2 5 4 5" xfId="9874"/>
    <cellStyle name="Comma 2 3 2 5 4 6" xfId="9875"/>
    <cellStyle name="Comma 2 3 2 5 5" xfId="9876"/>
    <cellStyle name="Comma 2 3 2 5 5 2" xfId="9877"/>
    <cellStyle name="Comma 2 3 2 5 5 2 2" xfId="9878"/>
    <cellStyle name="Comma 2 3 2 5 5 3" xfId="9879"/>
    <cellStyle name="Comma 2 3 2 5 5 4" xfId="9880"/>
    <cellStyle name="Comma 2 3 2 5 5 5" xfId="9881"/>
    <cellStyle name="Comma 2 3 2 5 6" xfId="9882"/>
    <cellStyle name="Comma 2 3 2 5 6 2" xfId="9883"/>
    <cellStyle name="Comma 2 3 2 5 6 3" xfId="9884"/>
    <cellStyle name="Comma 2 3 2 5 6 4" xfId="9885"/>
    <cellStyle name="Comma 2 3 2 5 7" xfId="9886"/>
    <cellStyle name="Comma 2 3 2 5 7 2" xfId="9887"/>
    <cellStyle name="Comma 2 3 2 5 8" xfId="9888"/>
    <cellStyle name="Comma 2 3 2 5 9" xfId="9889"/>
    <cellStyle name="Comma 2 3 2 6" xfId="9890"/>
    <cellStyle name="Comma 2 3 2 6 10" xfId="9891"/>
    <cellStyle name="Comma 2 3 2 6 11" xfId="9892"/>
    <cellStyle name="Comma 2 3 2 6 2" xfId="9893"/>
    <cellStyle name="Comma 2 3 2 6 2 2" xfId="9894"/>
    <cellStyle name="Comma 2 3 2 6 2 2 2" xfId="9895"/>
    <cellStyle name="Comma 2 3 2 6 2 2 2 2" xfId="9896"/>
    <cellStyle name="Comma 2 3 2 6 2 2 2 3" xfId="9897"/>
    <cellStyle name="Comma 2 3 2 6 2 2 3" xfId="9898"/>
    <cellStyle name="Comma 2 3 2 6 2 2 4" xfId="9899"/>
    <cellStyle name="Comma 2 3 2 6 2 2 5" xfId="9900"/>
    <cellStyle name="Comma 2 3 2 6 2 2 6" xfId="9901"/>
    <cellStyle name="Comma 2 3 2 6 2 3" xfId="9902"/>
    <cellStyle name="Comma 2 3 2 6 2 3 2" xfId="9903"/>
    <cellStyle name="Comma 2 3 2 6 2 3 2 2" xfId="9904"/>
    <cellStyle name="Comma 2 3 2 6 2 3 3" xfId="9905"/>
    <cellStyle name="Comma 2 3 2 6 2 3 4" xfId="9906"/>
    <cellStyle name="Comma 2 3 2 6 2 3 5" xfId="9907"/>
    <cellStyle name="Comma 2 3 2 6 2 4" xfId="9908"/>
    <cellStyle name="Comma 2 3 2 6 2 4 2" xfId="9909"/>
    <cellStyle name="Comma 2 3 2 6 2 4 3" xfId="9910"/>
    <cellStyle name="Comma 2 3 2 6 2 4 4" xfId="9911"/>
    <cellStyle name="Comma 2 3 2 6 2 5" xfId="9912"/>
    <cellStyle name="Comma 2 3 2 6 2 5 2" xfId="9913"/>
    <cellStyle name="Comma 2 3 2 6 2 6" xfId="9914"/>
    <cellStyle name="Comma 2 3 2 6 2 7" xfId="9915"/>
    <cellStyle name="Comma 2 3 2 6 2 8" xfId="9916"/>
    <cellStyle name="Comma 2 3 2 6 2 9" xfId="9917"/>
    <cellStyle name="Comma 2 3 2 6 3" xfId="9918"/>
    <cellStyle name="Comma 2 3 2 6 3 2" xfId="9919"/>
    <cellStyle name="Comma 2 3 2 6 3 2 2" xfId="9920"/>
    <cellStyle name="Comma 2 3 2 6 3 2 2 2" xfId="9921"/>
    <cellStyle name="Comma 2 3 2 6 3 2 2 3" xfId="9922"/>
    <cellStyle name="Comma 2 3 2 6 3 2 3" xfId="9923"/>
    <cellStyle name="Comma 2 3 2 6 3 2 4" xfId="9924"/>
    <cellStyle name="Comma 2 3 2 6 3 2 5" xfId="9925"/>
    <cellStyle name="Comma 2 3 2 6 3 2 6" xfId="9926"/>
    <cellStyle name="Comma 2 3 2 6 3 3" xfId="9927"/>
    <cellStyle name="Comma 2 3 2 6 3 3 2" xfId="9928"/>
    <cellStyle name="Comma 2 3 2 6 3 3 2 2" xfId="9929"/>
    <cellStyle name="Comma 2 3 2 6 3 3 3" xfId="9930"/>
    <cellStyle name="Comma 2 3 2 6 3 3 4" xfId="9931"/>
    <cellStyle name="Comma 2 3 2 6 3 3 5" xfId="9932"/>
    <cellStyle name="Comma 2 3 2 6 3 4" xfId="9933"/>
    <cellStyle name="Comma 2 3 2 6 3 4 2" xfId="9934"/>
    <cellStyle name="Comma 2 3 2 6 3 4 3" xfId="9935"/>
    <cellStyle name="Comma 2 3 2 6 3 4 4" xfId="9936"/>
    <cellStyle name="Comma 2 3 2 6 3 5" xfId="9937"/>
    <cellStyle name="Comma 2 3 2 6 3 5 2" xfId="9938"/>
    <cellStyle name="Comma 2 3 2 6 3 6" xfId="9939"/>
    <cellStyle name="Comma 2 3 2 6 3 7" xfId="9940"/>
    <cellStyle name="Comma 2 3 2 6 3 8" xfId="9941"/>
    <cellStyle name="Comma 2 3 2 6 3 9" xfId="9942"/>
    <cellStyle name="Comma 2 3 2 6 4" xfId="9943"/>
    <cellStyle name="Comma 2 3 2 6 4 2" xfId="9944"/>
    <cellStyle name="Comma 2 3 2 6 4 2 2" xfId="9945"/>
    <cellStyle name="Comma 2 3 2 6 4 2 3" xfId="9946"/>
    <cellStyle name="Comma 2 3 2 6 4 3" xfId="9947"/>
    <cellStyle name="Comma 2 3 2 6 4 4" xfId="9948"/>
    <cellStyle name="Comma 2 3 2 6 4 5" xfId="9949"/>
    <cellStyle name="Comma 2 3 2 6 4 6" xfId="9950"/>
    <cellStyle name="Comma 2 3 2 6 5" xfId="9951"/>
    <cellStyle name="Comma 2 3 2 6 5 2" xfId="9952"/>
    <cellStyle name="Comma 2 3 2 6 5 2 2" xfId="9953"/>
    <cellStyle name="Comma 2 3 2 6 5 3" xfId="9954"/>
    <cellStyle name="Comma 2 3 2 6 5 4" xfId="9955"/>
    <cellStyle name="Comma 2 3 2 6 5 5" xfId="9956"/>
    <cellStyle name="Comma 2 3 2 6 6" xfId="9957"/>
    <cellStyle name="Comma 2 3 2 6 6 2" xfId="9958"/>
    <cellStyle name="Comma 2 3 2 6 6 3" xfId="9959"/>
    <cellStyle name="Comma 2 3 2 6 6 4" xfId="9960"/>
    <cellStyle name="Comma 2 3 2 6 7" xfId="9961"/>
    <cellStyle name="Comma 2 3 2 6 7 2" xfId="9962"/>
    <cellStyle name="Comma 2 3 2 6 8" xfId="9963"/>
    <cellStyle name="Comma 2 3 2 6 9" xfId="9964"/>
    <cellStyle name="Comma 2 3 2 7" xfId="9965"/>
    <cellStyle name="Comma 2 3 2 7 10" xfId="9966"/>
    <cellStyle name="Comma 2 3 2 7 11" xfId="9967"/>
    <cellStyle name="Comma 2 3 2 7 2" xfId="9968"/>
    <cellStyle name="Comma 2 3 2 7 2 2" xfId="9969"/>
    <cellStyle name="Comma 2 3 2 7 2 2 2" xfId="9970"/>
    <cellStyle name="Comma 2 3 2 7 2 2 2 2" xfId="9971"/>
    <cellStyle name="Comma 2 3 2 7 2 2 2 3" xfId="9972"/>
    <cellStyle name="Comma 2 3 2 7 2 2 3" xfId="9973"/>
    <cellStyle name="Comma 2 3 2 7 2 2 4" xfId="9974"/>
    <cellStyle name="Comma 2 3 2 7 2 2 5" xfId="9975"/>
    <cellStyle name="Comma 2 3 2 7 2 2 6" xfId="9976"/>
    <cellStyle name="Comma 2 3 2 7 2 3" xfId="9977"/>
    <cellStyle name="Comma 2 3 2 7 2 3 2" xfId="9978"/>
    <cellStyle name="Comma 2 3 2 7 2 3 2 2" xfId="9979"/>
    <cellStyle name="Comma 2 3 2 7 2 3 3" xfId="9980"/>
    <cellStyle name="Comma 2 3 2 7 2 3 4" xfId="9981"/>
    <cellStyle name="Comma 2 3 2 7 2 3 5" xfId="9982"/>
    <cellStyle name="Comma 2 3 2 7 2 4" xfId="9983"/>
    <cellStyle name="Comma 2 3 2 7 2 4 2" xfId="9984"/>
    <cellStyle name="Comma 2 3 2 7 2 4 3" xfId="9985"/>
    <cellStyle name="Comma 2 3 2 7 2 4 4" xfId="9986"/>
    <cellStyle name="Comma 2 3 2 7 2 5" xfId="9987"/>
    <cellStyle name="Comma 2 3 2 7 2 5 2" xfId="9988"/>
    <cellStyle name="Comma 2 3 2 7 2 6" xfId="9989"/>
    <cellStyle name="Comma 2 3 2 7 2 7" xfId="9990"/>
    <cellStyle name="Comma 2 3 2 7 2 8" xfId="9991"/>
    <cellStyle name="Comma 2 3 2 7 2 9" xfId="9992"/>
    <cellStyle name="Comma 2 3 2 7 3" xfId="9993"/>
    <cellStyle name="Comma 2 3 2 7 3 2" xfId="9994"/>
    <cellStyle name="Comma 2 3 2 7 3 2 2" xfId="9995"/>
    <cellStyle name="Comma 2 3 2 7 3 2 2 2" xfId="9996"/>
    <cellStyle name="Comma 2 3 2 7 3 2 2 3" xfId="9997"/>
    <cellStyle name="Comma 2 3 2 7 3 2 3" xfId="9998"/>
    <cellStyle name="Comma 2 3 2 7 3 2 4" xfId="9999"/>
    <cellStyle name="Comma 2 3 2 7 3 2 5" xfId="10000"/>
    <cellStyle name="Comma 2 3 2 7 3 2 6" xfId="10001"/>
    <cellStyle name="Comma 2 3 2 7 3 3" xfId="10002"/>
    <cellStyle name="Comma 2 3 2 7 3 3 2" xfId="10003"/>
    <cellStyle name="Comma 2 3 2 7 3 3 2 2" xfId="10004"/>
    <cellStyle name="Comma 2 3 2 7 3 3 3" xfId="10005"/>
    <cellStyle name="Comma 2 3 2 7 3 3 4" xfId="10006"/>
    <cellStyle name="Comma 2 3 2 7 3 3 5" xfId="10007"/>
    <cellStyle name="Comma 2 3 2 7 3 4" xfId="10008"/>
    <cellStyle name="Comma 2 3 2 7 3 4 2" xfId="10009"/>
    <cellStyle name="Comma 2 3 2 7 3 4 3" xfId="10010"/>
    <cellStyle name="Comma 2 3 2 7 3 4 4" xfId="10011"/>
    <cellStyle name="Comma 2 3 2 7 3 5" xfId="10012"/>
    <cellStyle name="Comma 2 3 2 7 3 5 2" xfId="10013"/>
    <cellStyle name="Comma 2 3 2 7 3 6" xfId="10014"/>
    <cellStyle name="Comma 2 3 2 7 3 7" xfId="10015"/>
    <cellStyle name="Comma 2 3 2 7 3 8" xfId="10016"/>
    <cellStyle name="Comma 2 3 2 7 3 9" xfId="10017"/>
    <cellStyle name="Comma 2 3 2 7 4" xfId="10018"/>
    <cellStyle name="Comma 2 3 2 7 4 2" xfId="10019"/>
    <cellStyle name="Comma 2 3 2 7 4 2 2" xfId="10020"/>
    <cellStyle name="Comma 2 3 2 7 4 2 3" xfId="10021"/>
    <cellStyle name="Comma 2 3 2 7 4 3" xfId="10022"/>
    <cellStyle name="Comma 2 3 2 7 4 4" xfId="10023"/>
    <cellStyle name="Comma 2 3 2 7 4 5" xfId="10024"/>
    <cellStyle name="Comma 2 3 2 7 4 6" xfId="10025"/>
    <cellStyle name="Comma 2 3 2 7 5" xfId="10026"/>
    <cellStyle name="Comma 2 3 2 7 5 2" xfId="10027"/>
    <cellStyle name="Comma 2 3 2 7 5 2 2" xfId="10028"/>
    <cellStyle name="Comma 2 3 2 7 5 3" xfId="10029"/>
    <cellStyle name="Comma 2 3 2 7 5 4" xfId="10030"/>
    <cellStyle name="Comma 2 3 2 7 5 5" xfId="10031"/>
    <cellStyle name="Comma 2 3 2 7 6" xfId="10032"/>
    <cellStyle name="Comma 2 3 2 7 6 2" xfId="10033"/>
    <cellStyle name="Comma 2 3 2 7 6 3" xfId="10034"/>
    <cellStyle name="Comma 2 3 2 7 6 4" xfId="10035"/>
    <cellStyle name="Comma 2 3 2 7 7" xfId="10036"/>
    <cellStyle name="Comma 2 3 2 7 7 2" xfId="10037"/>
    <cellStyle name="Comma 2 3 2 7 8" xfId="10038"/>
    <cellStyle name="Comma 2 3 2 7 9" xfId="10039"/>
    <cellStyle name="Comma 2 3 2 8" xfId="10040"/>
    <cellStyle name="Comma 2 3 2 8 10" xfId="10041"/>
    <cellStyle name="Comma 2 3 2 8 2" xfId="10042"/>
    <cellStyle name="Comma 2 3 2 8 2 2" xfId="10043"/>
    <cellStyle name="Comma 2 3 2 8 2 2 2" xfId="10044"/>
    <cellStyle name="Comma 2 3 2 8 2 2 3" xfId="10045"/>
    <cellStyle name="Comma 2 3 2 8 2 3" xfId="10046"/>
    <cellStyle name="Comma 2 3 2 8 2 4" xfId="10047"/>
    <cellStyle name="Comma 2 3 2 8 2 5" xfId="10048"/>
    <cellStyle name="Comma 2 3 2 8 2 6" xfId="10049"/>
    <cellStyle name="Comma 2 3 2 8 3" xfId="10050"/>
    <cellStyle name="Comma 2 3 2 8 3 2" xfId="10051"/>
    <cellStyle name="Comma 2 3 2 8 3 2 2" xfId="10052"/>
    <cellStyle name="Comma 2 3 2 8 3 2 3" xfId="10053"/>
    <cellStyle name="Comma 2 3 2 8 3 3" xfId="10054"/>
    <cellStyle name="Comma 2 3 2 8 3 4" xfId="10055"/>
    <cellStyle name="Comma 2 3 2 8 3 5" xfId="10056"/>
    <cellStyle name="Comma 2 3 2 8 3 6" xfId="10057"/>
    <cellStyle name="Comma 2 3 2 8 4" xfId="10058"/>
    <cellStyle name="Comma 2 3 2 8 4 2" xfId="10059"/>
    <cellStyle name="Comma 2 3 2 8 4 2 2" xfId="10060"/>
    <cellStyle name="Comma 2 3 2 8 4 3" xfId="10061"/>
    <cellStyle name="Comma 2 3 2 8 4 4" xfId="10062"/>
    <cellStyle name="Comma 2 3 2 8 4 5" xfId="10063"/>
    <cellStyle name="Comma 2 3 2 8 5" xfId="10064"/>
    <cellStyle name="Comma 2 3 2 8 5 2" xfId="10065"/>
    <cellStyle name="Comma 2 3 2 8 5 3" xfId="10066"/>
    <cellStyle name="Comma 2 3 2 8 5 4" xfId="10067"/>
    <cellStyle name="Comma 2 3 2 8 6" xfId="10068"/>
    <cellStyle name="Comma 2 3 2 8 6 2" xfId="10069"/>
    <cellStyle name="Comma 2 3 2 8 7" xfId="10070"/>
    <cellStyle name="Comma 2 3 2 8 8" xfId="10071"/>
    <cellStyle name="Comma 2 3 2 8 9" xfId="10072"/>
    <cellStyle name="Comma 2 3 2 9" xfId="10073"/>
    <cellStyle name="Comma 2 3 2 9 10" xfId="10074"/>
    <cellStyle name="Comma 2 3 2 9 2" xfId="10075"/>
    <cellStyle name="Comma 2 3 2 9 2 2" xfId="10076"/>
    <cellStyle name="Comma 2 3 2 9 2 2 2" xfId="10077"/>
    <cellStyle name="Comma 2 3 2 9 2 2 3" xfId="10078"/>
    <cellStyle name="Comma 2 3 2 9 2 3" xfId="10079"/>
    <cellStyle name="Comma 2 3 2 9 2 4" xfId="10080"/>
    <cellStyle name="Comma 2 3 2 9 2 5" xfId="10081"/>
    <cellStyle name="Comma 2 3 2 9 2 6" xfId="10082"/>
    <cellStyle name="Comma 2 3 2 9 3" xfId="10083"/>
    <cellStyle name="Comma 2 3 2 9 3 2" xfId="10084"/>
    <cellStyle name="Comma 2 3 2 9 3 2 2" xfId="10085"/>
    <cellStyle name="Comma 2 3 2 9 3 2 3" xfId="10086"/>
    <cellStyle name="Comma 2 3 2 9 3 3" xfId="10087"/>
    <cellStyle name="Comma 2 3 2 9 3 4" xfId="10088"/>
    <cellStyle name="Comma 2 3 2 9 3 5" xfId="10089"/>
    <cellStyle name="Comma 2 3 2 9 3 6" xfId="10090"/>
    <cellStyle name="Comma 2 3 2 9 4" xfId="10091"/>
    <cellStyle name="Comma 2 3 2 9 4 2" xfId="10092"/>
    <cellStyle name="Comma 2 3 2 9 4 2 2" xfId="10093"/>
    <cellStyle name="Comma 2 3 2 9 4 3" xfId="10094"/>
    <cellStyle name="Comma 2 3 2 9 4 4" xfId="10095"/>
    <cellStyle name="Comma 2 3 2 9 4 5" xfId="10096"/>
    <cellStyle name="Comma 2 3 2 9 5" xfId="10097"/>
    <cellStyle name="Comma 2 3 2 9 5 2" xfId="10098"/>
    <cellStyle name="Comma 2 3 2 9 5 3" xfId="10099"/>
    <cellStyle name="Comma 2 3 2 9 5 4" xfId="10100"/>
    <cellStyle name="Comma 2 3 2 9 6" xfId="10101"/>
    <cellStyle name="Comma 2 3 2 9 6 2" xfId="10102"/>
    <cellStyle name="Comma 2 3 2 9 7" xfId="10103"/>
    <cellStyle name="Comma 2 3 2 9 8" xfId="10104"/>
    <cellStyle name="Comma 2 3 2 9 9" xfId="10105"/>
    <cellStyle name="Comma 2 3 20" xfId="10106"/>
    <cellStyle name="Comma 2 3 20 10" xfId="10107"/>
    <cellStyle name="Comma 2 3 20 2" xfId="10108"/>
    <cellStyle name="Comma 2 3 20 2 2" xfId="10109"/>
    <cellStyle name="Comma 2 3 20 2 2 2" xfId="10110"/>
    <cellStyle name="Comma 2 3 20 2 2 3" xfId="10111"/>
    <cellStyle name="Comma 2 3 20 2 3" xfId="10112"/>
    <cellStyle name="Comma 2 3 20 2 4" xfId="10113"/>
    <cellStyle name="Comma 2 3 20 2 5" xfId="10114"/>
    <cellStyle name="Comma 2 3 20 2 6" xfId="10115"/>
    <cellStyle name="Comma 2 3 20 3" xfId="10116"/>
    <cellStyle name="Comma 2 3 20 3 2" xfId="10117"/>
    <cellStyle name="Comma 2 3 20 3 2 2" xfId="10118"/>
    <cellStyle name="Comma 2 3 20 3 2 3" xfId="10119"/>
    <cellStyle name="Comma 2 3 20 3 3" xfId="10120"/>
    <cellStyle name="Comma 2 3 20 3 4" xfId="10121"/>
    <cellStyle name="Comma 2 3 20 3 5" xfId="10122"/>
    <cellStyle name="Comma 2 3 20 3 6" xfId="10123"/>
    <cellStyle name="Comma 2 3 20 4" xfId="10124"/>
    <cellStyle name="Comma 2 3 20 4 2" xfId="10125"/>
    <cellStyle name="Comma 2 3 20 4 2 2" xfId="10126"/>
    <cellStyle name="Comma 2 3 20 4 3" xfId="10127"/>
    <cellStyle name="Comma 2 3 20 4 4" xfId="10128"/>
    <cellStyle name="Comma 2 3 20 4 5" xfId="10129"/>
    <cellStyle name="Comma 2 3 20 5" xfId="10130"/>
    <cellStyle name="Comma 2 3 20 5 2" xfId="10131"/>
    <cellStyle name="Comma 2 3 20 5 3" xfId="10132"/>
    <cellStyle name="Comma 2 3 20 5 4" xfId="10133"/>
    <cellStyle name="Comma 2 3 20 6" xfId="10134"/>
    <cellStyle name="Comma 2 3 20 6 2" xfId="10135"/>
    <cellStyle name="Comma 2 3 20 7" xfId="10136"/>
    <cellStyle name="Comma 2 3 20 8" xfId="10137"/>
    <cellStyle name="Comma 2 3 20 9" xfId="10138"/>
    <cellStyle name="Comma 2 3 21" xfId="10139"/>
    <cellStyle name="Comma 2 3 21 10" xfId="10140"/>
    <cellStyle name="Comma 2 3 21 2" xfId="10141"/>
    <cellStyle name="Comma 2 3 21 2 2" xfId="10142"/>
    <cellStyle name="Comma 2 3 21 2 2 2" xfId="10143"/>
    <cellStyle name="Comma 2 3 21 2 2 3" xfId="10144"/>
    <cellStyle name="Comma 2 3 21 2 3" xfId="10145"/>
    <cellStyle name="Comma 2 3 21 2 4" xfId="10146"/>
    <cellStyle name="Comma 2 3 21 2 5" xfId="10147"/>
    <cellStyle name="Comma 2 3 21 2 6" xfId="10148"/>
    <cellStyle name="Comma 2 3 21 3" xfId="10149"/>
    <cellStyle name="Comma 2 3 21 3 2" xfId="10150"/>
    <cellStyle name="Comma 2 3 21 3 2 2" xfId="10151"/>
    <cellStyle name="Comma 2 3 21 3 2 3" xfId="10152"/>
    <cellStyle name="Comma 2 3 21 3 3" xfId="10153"/>
    <cellStyle name="Comma 2 3 21 3 4" xfId="10154"/>
    <cellStyle name="Comma 2 3 21 3 5" xfId="10155"/>
    <cellStyle name="Comma 2 3 21 3 6" xfId="10156"/>
    <cellStyle name="Comma 2 3 21 4" xfId="10157"/>
    <cellStyle name="Comma 2 3 21 4 2" xfId="10158"/>
    <cellStyle name="Comma 2 3 21 4 2 2" xfId="10159"/>
    <cellStyle name="Comma 2 3 21 4 3" xfId="10160"/>
    <cellStyle name="Comma 2 3 21 4 4" xfId="10161"/>
    <cellStyle name="Comma 2 3 21 4 5" xfId="10162"/>
    <cellStyle name="Comma 2 3 21 5" xfId="10163"/>
    <cellStyle name="Comma 2 3 21 5 2" xfId="10164"/>
    <cellStyle name="Comma 2 3 21 5 3" xfId="10165"/>
    <cellStyle name="Comma 2 3 21 5 4" xfId="10166"/>
    <cellStyle name="Comma 2 3 21 6" xfId="10167"/>
    <cellStyle name="Comma 2 3 21 6 2" xfId="10168"/>
    <cellStyle name="Comma 2 3 21 7" xfId="10169"/>
    <cellStyle name="Comma 2 3 21 8" xfId="10170"/>
    <cellStyle name="Comma 2 3 21 9" xfId="10171"/>
    <cellStyle name="Comma 2 3 22" xfId="10172"/>
    <cellStyle name="Comma 2 3 22 10" xfId="10173"/>
    <cellStyle name="Comma 2 3 22 2" xfId="10174"/>
    <cellStyle name="Comma 2 3 22 2 2" xfId="10175"/>
    <cellStyle name="Comma 2 3 22 2 2 2" xfId="10176"/>
    <cellStyle name="Comma 2 3 22 2 2 3" xfId="10177"/>
    <cellStyle name="Comma 2 3 22 2 3" xfId="10178"/>
    <cellStyle name="Comma 2 3 22 2 4" xfId="10179"/>
    <cellStyle name="Comma 2 3 22 2 5" xfId="10180"/>
    <cellStyle name="Comma 2 3 22 2 6" xfId="10181"/>
    <cellStyle name="Comma 2 3 22 3" xfId="10182"/>
    <cellStyle name="Comma 2 3 22 3 2" xfId="10183"/>
    <cellStyle name="Comma 2 3 22 3 2 2" xfId="10184"/>
    <cellStyle name="Comma 2 3 22 3 2 3" xfId="10185"/>
    <cellStyle name="Comma 2 3 22 3 3" xfId="10186"/>
    <cellStyle name="Comma 2 3 22 3 4" xfId="10187"/>
    <cellStyle name="Comma 2 3 22 3 5" xfId="10188"/>
    <cellStyle name="Comma 2 3 22 3 6" xfId="10189"/>
    <cellStyle name="Comma 2 3 22 4" xfId="10190"/>
    <cellStyle name="Comma 2 3 22 4 2" xfId="10191"/>
    <cellStyle name="Comma 2 3 22 4 2 2" xfId="10192"/>
    <cellStyle name="Comma 2 3 22 4 3" xfId="10193"/>
    <cellStyle name="Comma 2 3 22 4 4" xfId="10194"/>
    <cellStyle name="Comma 2 3 22 4 5" xfId="10195"/>
    <cellStyle name="Comma 2 3 22 5" xfId="10196"/>
    <cellStyle name="Comma 2 3 22 5 2" xfId="10197"/>
    <cellStyle name="Comma 2 3 22 5 3" xfId="10198"/>
    <cellStyle name="Comma 2 3 22 5 4" xfId="10199"/>
    <cellStyle name="Comma 2 3 22 6" xfId="10200"/>
    <cellStyle name="Comma 2 3 22 6 2" xfId="10201"/>
    <cellStyle name="Comma 2 3 22 7" xfId="10202"/>
    <cellStyle name="Comma 2 3 22 8" xfId="10203"/>
    <cellStyle name="Comma 2 3 22 9" xfId="10204"/>
    <cellStyle name="Comma 2 3 23" xfId="10205"/>
    <cellStyle name="Comma 2 3 23 10" xfId="10206"/>
    <cellStyle name="Comma 2 3 23 2" xfId="10207"/>
    <cellStyle name="Comma 2 3 23 2 2" xfId="10208"/>
    <cellStyle name="Comma 2 3 23 2 2 2" xfId="10209"/>
    <cellStyle name="Comma 2 3 23 2 2 3" xfId="10210"/>
    <cellStyle name="Comma 2 3 23 2 3" xfId="10211"/>
    <cellStyle name="Comma 2 3 23 2 4" xfId="10212"/>
    <cellStyle name="Comma 2 3 23 2 5" xfId="10213"/>
    <cellStyle name="Comma 2 3 23 2 6" xfId="10214"/>
    <cellStyle name="Comma 2 3 23 3" xfId="10215"/>
    <cellStyle name="Comma 2 3 23 3 2" xfId="10216"/>
    <cellStyle name="Comma 2 3 23 3 2 2" xfId="10217"/>
    <cellStyle name="Comma 2 3 23 3 2 3" xfId="10218"/>
    <cellStyle name="Comma 2 3 23 3 3" xfId="10219"/>
    <cellStyle name="Comma 2 3 23 3 4" xfId="10220"/>
    <cellStyle name="Comma 2 3 23 3 5" xfId="10221"/>
    <cellStyle name="Comma 2 3 23 3 6" xfId="10222"/>
    <cellStyle name="Comma 2 3 23 4" xfId="10223"/>
    <cellStyle name="Comma 2 3 23 4 2" xfId="10224"/>
    <cellStyle name="Comma 2 3 23 4 2 2" xfId="10225"/>
    <cellStyle name="Comma 2 3 23 4 3" xfId="10226"/>
    <cellStyle name="Comma 2 3 23 4 4" xfId="10227"/>
    <cellStyle name="Comma 2 3 23 4 5" xfId="10228"/>
    <cellStyle name="Comma 2 3 23 5" xfId="10229"/>
    <cellStyle name="Comma 2 3 23 5 2" xfId="10230"/>
    <cellStyle name="Comma 2 3 23 5 3" xfId="10231"/>
    <cellStyle name="Comma 2 3 23 5 4" xfId="10232"/>
    <cellStyle name="Comma 2 3 23 6" xfId="10233"/>
    <cellStyle name="Comma 2 3 23 6 2" xfId="10234"/>
    <cellStyle name="Comma 2 3 23 7" xfId="10235"/>
    <cellStyle name="Comma 2 3 23 8" xfId="10236"/>
    <cellStyle name="Comma 2 3 23 9" xfId="10237"/>
    <cellStyle name="Comma 2 3 24" xfId="10238"/>
    <cellStyle name="Comma 2 3 24 10" xfId="10239"/>
    <cellStyle name="Comma 2 3 24 2" xfId="10240"/>
    <cellStyle name="Comma 2 3 24 2 2" xfId="10241"/>
    <cellStyle name="Comma 2 3 24 2 2 2" xfId="10242"/>
    <cellStyle name="Comma 2 3 24 2 2 3" xfId="10243"/>
    <cellStyle name="Comma 2 3 24 2 3" xfId="10244"/>
    <cellStyle name="Comma 2 3 24 2 4" xfId="10245"/>
    <cellStyle name="Comma 2 3 24 2 5" xfId="10246"/>
    <cellStyle name="Comma 2 3 24 2 6" xfId="10247"/>
    <cellStyle name="Comma 2 3 24 3" xfId="10248"/>
    <cellStyle name="Comma 2 3 24 3 2" xfId="10249"/>
    <cellStyle name="Comma 2 3 24 3 2 2" xfId="10250"/>
    <cellStyle name="Comma 2 3 24 3 2 3" xfId="10251"/>
    <cellStyle name="Comma 2 3 24 3 3" xfId="10252"/>
    <cellStyle name="Comma 2 3 24 3 4" xfId="10253"/>
    <cellStyle name="Comma 2 3 24 3 5" xfId="10254"/>
    <cellStyle name="Comma 2 3 24 3 6" xfId="10255"/>
    <cellStyle name="Comma 2 3 24 4" xfId="10256"/>
    <cellStyle name="Comma 2 3 24 4 2" xfId="10257"/>
    <cellStyle name="Comma 2 3 24 4 2 2" xfId="10258"/>
    <cellStyle name="Comma 2 3 24 4 3" xfId="10259"/>
    <cellStyle name="Comma 2 3 24 4 4" xfId="10260"/>
    <cellStyle name="Comma 2 3 24 4 5" xfId="10261"/>
    <cellStyle name="Comma 2 3 24 5" xfId="10262"/>
    <cellStyle name="Comma 2 3 24 5 2" xfId="10263"/>
    <cellStyle name="Comma 2 3 24 5 3" xfId="10264"/>
    <cellStyle name="Comma 2 3 24 5 4" xfId="10265"/>
    <cellStyle name="Comma 2 3 24 6" xfId="10266"/>
    <cellStyle name="Comma 2 3 24 6 2" xfId="10267"/>
    <cellStyle name="Comma 2 3 24 7" xfId="10268"/>
    <cellStyle name="Comma 2 3 24 8" xfId="10269"/>
    <cellStyle name="Comma 2 3 24 9" xfId="10270"/>
    <cellStyle name="Comma 2 3 25" xfId="10271"/>
    <cellStyle name="Comma 2 3 25 10" xfId="10272"/>
    <cellStyle name="Comma 2 3 25 2" xfId="10273"/>
    <cellStyle name="Comma 2 3 25 2 2" xfId="10274"/>
    <cellStyle name="Comma 2 3 25 2 2 2" xfId="10275"/>
    <cellStyle name="Comma 2 3 25 2 2 3" xfId="10276"/>
    <cellStyle name="Comma 2 3 25 2 3" xfId="10277"/>
    <cellStyle name="Comma 2 3 25 2 4" xfId="10278"/>
    <cellStyle name="Comma 2 3 25 2 5" xfId="10279"/>
    <cellStyle name="Comma 2 3 25 2 6" xfId="10280"/>
    <cellStyle name="Comma 2 3 25 3" xfId="10281"/>
    <cellStyle name="Comma 2 3 25 3 2" xfId="10282"/>
    <cellStyle name="Comma 2 3 25 3 2 2" xfId="10283"/>
    <cellStyle name="Comma 2 3 25 3 2 3" xfId="10284"/>
    <cellStyle name="Comma 2 3 25 3 3" xfId="10285"/>
    <cellStyle name="Comma 2 3 25 3 4" xfId="10286"/>
    <cellStyle name="Comma 2 3 25 3 5" xfId="10287"/>
    <cellStyle name="Comma 2 3 25 3 6" xfId="10288"/>
    <cellStyle name="Comma 2 3 25 4" xfId="10289"/>
    <cellStyle name="Comma 2 3 25 4 2" xfId="10290"/>
    <cellStyle name="Comma 2 3 25 4 2 2" xfId="10291"/>
    <cellStyle name="Comma 2 3 25 4 3" xfId="10292"/>
    <cellStyle name="Comma 2 3 25 4 4" xfId="10293"/>
    <cellStyle name="Comma 2 3 25 4 5" xfId="10294"/>
    <cellStyle name="Comma 2 3 25 5" xfId="10295"/>
    <cellStyle name="Comma 2 3 25 5 2" xfId="10296"/>
    <cellStyle name="Comma 2 3 25 5 3" xfId="10297"/>
    <cellStyle name="Comma 2 3 25 5 4" xfId="10298"/>
    <cellStyle name="Comma 2 3 25 6" xfId="10299"/>
    <cellStyle name="Comma 2 3 25 6 2" xfId="10300"/>
    <cellStyle name="Comma 2 3 25 7" xfId="10301"/>
    <cellStyle name="Comma 2 3 25 8" xfId="10302"/>
    <cellStyle name="Comma 2 3 25 9" xfId="10303"/>
    <cellStyle name="Comma 2 3 26" xfId="10304"/>
    <cellStyle name="Comma 2 3 26 10" xfId="10305"/>
    <cellStyle name="Comma 2 3 26 2" xfId="10306"/>
    <cellStyle name="Comma 2 3 26 2 2" xfId="10307"/>
    <cellStyle name="Comma 2 3 26 2 2 2" xfId="10308"/>
    <cellStyle name="Comma 2 3 26 2 2 3" xfId="10309"/>
    <cellStyle name="Comma 2 3 26 2 3" xfId="10310"/>
    <cellStyle name="Comma 2 3 26 2 4" xfId="10311"/>
    <cellStyle name="Comma 2 3 26 2 5" xfId="10312"/>
    <cellStyle name="Comma 2 3 26 2 6" xfId="10313"/>
    <cellStyle name="Comma 2 3 26 3" xfId="10314"/>
    <cellStyle name="Comma 2 3 26 3 2" xfId="10315"/>
    <cellStyle name="Comma 2 3 26 3 2 2" xfId="10316"/>
    <cellStyle name="Comma 2 3 26 3 2 3" xfId="10317"/>
    <cellStyle name="Comma 2 3 26 3 3" xfId="10318"/>
    <cellStyle name="Comma 2 3 26 3 4" xfId="10319"/>
    <cellStyle name="Comma 2 3 26 3 5" xfId="10320"/>
    <cellStyle name="Comma 2 3 26 3 6" xfId="10321"/>
    <cellStyle name="Comma 2 3 26 4" xfId="10322"/>
    <cellStyle name="Comma 2 3 26 4 2" xfId="10323"/>
    <cellStyle name="Comma 2 3 26 4 2 2" xfId="10324"/>
    <cellStyle name="Comma 2 3 26 4 3" xfId="10325"/>
    <cellStyle name="Comma 2 3 26 4 4" xfId="10326"/>
    <cellStyle name="Comma 2 3 26 4 5" xfId="10327"/>
    <cellStyle name="Comma 2 3 26 5" xfId="10328"/>
    <cellStyle name="Comma 2 3 26 5 2" xfId="10329"/>
    <cellStyle name="Comma 2 3 26 5 3" xfId="10330"/>
    <cellStyle name="Comma 2 3 26 5 4" xfId="10331"/>
    <cellStyle name="Comma 2 3 26 6" xfId="10332"/>
    <cellStyle name="Comma 2 3 26 6 2" xfId="10333"/>
    <cellStyle name="Comma 2 3 26 7" xfId="10334"/>
    <cellStyle name="Comma 2 3 26 8" xfId="10335"/>
    <cellStyle name="Comma 2 3 26 9" xfId="10336"/>
    <cellStyle name="Comma 2 3 27" xfId="10337"/>
    <cellStyle name="Comma 2 3 27 10" xfId="10338"/>
    <cellStyle name="Comma 2 3 27 2" xfId="10339"/>
    <cellStyle name="Comma 2 3 27 2 2" xfId="10340"/>
    <cellStyle name="Comma 2 3 27 2 2 2" xfId="10341"/>
    <cellStyle name="Comma 2 3 27 2 2 3" xfId="10342"/>
    <cellStyle name="Comma 2 3 27 2 3" xfId="10343"/>
    <cellStyle name="Comma 2 3 27 2 4" xfId="10344"/>
    <cellStyle name="Comma 2 3 27 2 5" xfId="10345"/>
    <cellStyle name="Comma 2 3 27 2 6" xfId="10346"/>
    <cellStyle name="Comma 2 3 27 3" xfId="10347"/>
    <cellStyle name="Comma 2 3 27 3 2" xfId="10348"/>
    <cellStyle name="Comma 2 3 27 3 2 2" xfId="10349"/>
    <cellStyle name="Comma 2 3 27 3 2 3" xfId="10350"/>
    <cellStyle name="Comma 2 3 27 3 3" xfId="10351"/>
    <cellStyle name="Comma 2 3 27 3 4" xfId="10352"/>
    <cellStyle name="Comma 2 3 27 3 5" xfId="10353"/>
    <cellStyle name="Comma 2 3 27 3 6" xfId="10354"/>
    <cellStyle name="Comma 2 3 27 4" xfId="10355"/>
    <cellStyle name="Comma 2 3 27 4 2" xfId="10356"/>
    <cellStyle name="Comma 2 3 27 4 2 2" xfId="10357"/>
    <cellStyle name="Comma 2 3 27 4 3" xfId="10358"/>
    <cellStyle name="Comma 2 3 27 4 4" xfId="10359"/>
    <cellStyle name="Comma 2 3 27 4 5" xfId="10360"/>
    <cellStyle name="Comma 2 3 27 5" xfId="10361"/>
    <cellStyle name="Comma 2 3 27 5 2" xfId="10362"/>
    <cellStyle name="Comma 2 3 27 5 3" xfId="10363"/>
    <cellStyle name="Comma 2 3 27 5 4" xfId="10364"/>
    <cellStyle name="Comma 2 3 27 6" xfId="10365"/>
    <cellStyle name="Comma 2 3 27 6 2" xfId="10366"/>
    <cellStyle name="Comma 2 3 27 7" xfId="10367"/>
    <cellStyle name="Comma 2 3 27 8" xfId="10368"/>
    <cellStyle name="Comma 2 3 27 9" xfId="10369"/>
    <cellStyle name="Comma 2 3 28" xfId="10370"/>
    <cellStyle name="Comma 2 3 28 10" xfId="10371"/>
    <cellStyle name="Comma 2 3 28 2" xfId="10372"/>
    <cellStyle name="Comma 2 3 28 2 2" xfId="10373"/>
    <cellStyle name="Comma 2 3 28 2 2 2" xfId="10374"/>
    <cellStyle name="Comma 2 3 28 2 2 3" xfId="10375"/>
    <cellStyle name="Comma 2 3 28 2 3" xfId="10376"/>
    <cellStyle name="Comma 2 3 28 2 4" xfId="10377"/>
    <cellStyle name="Comma 2 3 28 2 5" xfId="10378"/>
    <cellStyle name="Comma 2 3 28 2 6" xfId="10379"/>
    <cellStyle name="Comma 2 3 28 3" xfId="10380"/>
    <cellStyle name="Comma 2 3 28 3 2" xfId="10381"/>
    <cellStyle name="Comma 2 3 28 3 2 2" xfId="10382"/>
    <cellStyle name="Comma 2 3 28 3 2 3" xfId="10383"/>
    <cellStyle name="Comma 2 3 28 3 3" xfId="10384"/>
    <cellStyle name="Comma 2 3 28 3 4" xfId="10385"/>
    <cellStyle name="Comma 2 3 28 3 5" xfId="10386"/>
    <cellStyle name="Comma 2 3 28 3 6" xfId="10387"/>
    <cellStyle name="Comma 2 3 28 4" xfId="10388"/>
    <cellStyle name="Comma 2 3 28 4 2" xfId="10389"/>
    <cellStyle name="Comma 2 3 28 4 2 2" xfId="10390"/>
    <cellStyle name="Comma 2 3 28 4 3" xfId="10391"/>
    <cellStyle name="Comma 2 3 28 4 4" xfId="10392"/>
    <cellStyle name="Comma 2 3 28 4 5" xfId="10393"/>
    <cellStyle name="Comma 2 3 28 5" xfId="10394"/>
    <cellStyle name="Comma 2 3 28 5 2" xfId="10395"/>
    <cellStyle name="Comma 2 3 28 5 3" xfId="10396"/>
    <cellStyle name="Comma 2 3 28 5 4" xfId="10397"/>
    <cellStyle name="Comma 2 3 28 6" xfId="10398"/>
    <cellStyle name="Comma 2 3 28 6 2" xfId="10399"/>
    <cellStyle name="Comma 2 3 28 7" xfId="10400"/>
    <cellStyle name="Comma 2 3 28 8" xfId="10401"/>
    <cellStyle name="Comma 2 3 28 9" xfId="10402"/>
    <cellStyle name="Comma 2 3 29" xfId="10403"/>
    <cellStyle name="Comma 2 3 29 2" xfId="10404"/>
    <cellStyle name="Comma 2 3 29 2 2" xfId="10405"/>
    <cellStyle name="Comma 2 3 29 2 2 2" xfId="10406"/>
    <cellStyle name="Comma 2 3 29 2 2 3" xfId="10407"/>
    <cellStyle name="Comma 2 3 29 2 3" xfId="10408"/>
    <cellStyle name="Comma 2 3 29 2 4" xfId="10409"/>
    <cellStyle name="Comma 2 3 29 2 5" xfId="10410"/>
    <cellStyle name="Comma 2 3 29 2 6" xfId="10411"/>
    <cellStyle name="Comma 2 3 29 3" xfId="10412"/>
    <cellStyle name="Comma 2 3 29 3 2" xfId="10413"/>
    <cellStyle name="Comma 2 3 29 3 2 2" xfId="10414"/>
    <cellStyle name="Comma 2 3 29 3 3" xfId="10415"/>
    <cellStyle name="Comma 2 3 29 3 4" xfId="10416"/>
    <cellStyle name="Comma 2 3 29 3 5" xfId="10417"/>
    <cellStyle name="Comma 2 3 29 4" xfId="10418"/>
    <cellStyle name="Comma 2 3 29 4 2" xfId="10419"/>
    <cellStyle name="Comma 2 3 29 4 3" xfId="10420"/>
    <cellStyle name="Comma 2 3 29 4 4" xfId="10421"/>
    <cellStyle name="Comma 2 3 29 5" xfId="10422"/>
    <cellStyle name="Comma 2 3 29 5 2" xfId="10423"/>
    <cellStyle name="Comma 2 3 29 6" xfId="10424"/>
    <cellStyle name="Comma 2 3 29 7" xfId="10425"/>
    <cellStyle name="Comma 2 3 29 8" xfId="10426"/>
    <cellStyle name="Comma 2 3 29 9" xfId="10427"/>
    <cellStyle name="Comma 2 3 3" xfId="10428"/>
    <cellStyle name="Comma 2 3 3 10" xfId="10429"/>
    <cellStyle name="Comma 2 3 3 10 10" xfId="10430"/>
    <cellStyle name="Comma 2 3 3 10 2" xfId="10431"/>
    <cellStyle name="Comma 2 3 3 10 2 2" xfId="10432"/>
    <cellStyle name="Comma 2 3 3 10 2 2 2" xfId="10433"/>
    <cellStyle name="Comma 2 3 3 10 2 2 3" xfId="10434"/>
    <cellStyle name="Comma 2 3 3 10 2 3" xfId="10435"/>
    <cellStyle name="Comma 2 3 3 10 2 4" xfId="10436"/>
    <cellStyle name="Comma 2 3 3 10 2 5" xfId="10437"/>
    <cellStyle name="Comma 2 3 3 10 2 6" xfId="10438"/>
    <cellStyle name="Comma 2 3 3 10 3" xfId="10439"/>
    <cellStyle name="Comma 2 3 3 10 3 2" xfId="10440"/>
    <cellStyle name="Comma 2 3 3 10 3 2 2" xfId="10441"/>
    <cellStyle name="Comma 2 3 3 10 3 2 3" xfId="10442"/>
    <cellStyle name="Comma 2 3 3 10 3 3" xfId="10443"/>
    <cellStyle name="Comma 2 3 3 10 3 4" xfId="10444"/>
    <cellStyle name="Comma 2 3 3 10 3 5" xfId="10445"/>
    <cellStyle name="Comma 2 3 3 10 3 6" xfId="10446"/>
    <cellStyle name="Comma 2 3 3 10 4" xfId="10447"/>
    <cellStyle name="Comma 2 3 3 10 4 2" xfId="10448"/>
    <cellStyle name="Comma 2 3 3 10 4 2 2" xfId="10449"/>
    <cellStyle name="Comma 2 3 3 10 4 3" xfId="10450"/>
    <cellStyle name="Comma 2 3 3 10 4 4" xfId="10451"/>
    <cellStyle name="Comma 2 3 3 10 4 5" xfId="10452"/>
    <cellStyle name="Comma 2 3 3 10 5" xfId="10453"/>
    <cellStyle name="Comma 2 3 3 10 5 2" xfId="10454"/>
    <cellStyle name="Comma 2 3 3 10 5 3" xfId="10455"/>
    <cellStyle name="Comma 2 3 3 10 5 4" xfId="10456"/>
    <cellStyle name="Comma 2 3 3 10 6" xfId="10457"/>
    <cellStyle name="Comma 2 3 3 10 6 2" xfId="10458"/>
    <cellStyle name="Comma 2 3 3 10 7" xfId="10459"/>
    <cellStyle name="Comma 2 3 3 10 8" xfId="10460"/>
    <cellStyle name="Comma 2 3 3 10 9" xfId="10461"/>
    <cellStyle name="Comma 2 3 3 11" xfId="10462"/>
    <cellStyle name="Comma 2 3 3 11 10" xfId="10463"/>
    <cellStyle name="Comma 2 3 3 11 2" xfId="10464"/>
    <cellStyle name="Comma 2 3 3 11 2 2" xfId="10465"/>
    <cellStyle name="Comma 2 3 3 11 2 2 2" xfId="10466"/>
    <cellStyle name="Comma 2 3 3 11 2 2 3" xfId="10467"/>
    <cellStyle name="Comma 2 3 3 11 2 3" xfId="10468"/>
    <cellStyle name="Comma 2 3 3 11 2 4" xfId="10469"/>
    <cellStyle name="Comma 2 3 3 11 2 5" xfId="10470"/>
    <cellStyle name="Comma 2 3 3 11 2 6" xfId="10471"/>
    <cellStyle name="Comma 2 3 3 11 3" xfId="10472"/>
    <cellStyle name="Comma 2 3 3 11 3 2" xfId="10473"/>
    <cellStyle name="Comma 2 3 3 11 3 2 2" xfId="10474"/>
    <cellStyle name="Comma 2 3 3 11 3 2 3" xfId="10475"/>
    <cellStyle name="Comma 2 3 3 11 3 3" xfId="10476"/>
    <cellStyle name="Comma 2 3 3 11 3 4" xfId="10477"/>
    <cellStyle name="Comma 2 3 3 11 3 5" xfId="10478"/>
    <cellStyle name="Comma 2 3 3 11 3 6" xfId="10479"/>
    <cellStyle name="Comma 2 3 3 11 4" xfId="10480"/>
    <cellStyle name="Comma 2 3 3 11 4 2" xfId="10481"/>
    <cellStyle name="Comma 2 3 3 11 4 2 2" xfId="10482"/>
    <cellStyle name="Comma 2 3 3 11 4 3" xfId="10483"/>
    <cellStyle name="Comma 2 3 3 11 4 4" xfId="10484"/>
    <cellStyle name="Comma 2 3 3 11 4 5" xfId="10485"/>
    <cellStyle name="Comma 2 3 3 11 5" xfId="10486"/>
    <cellStyle name="Comma 2 3 3 11 5 2" xfId="10487"/>
    <cellStyle name="Comma 2 3 3 11 5 3" xfId="10488"/>
    <cellStyle name="Comma 2 3 3 11 5 4" xfId="10489"/>
    <cellStyle name="Comma 2 3 3 11 6" xfId="10490"/>
    <cellStyle name="Comma 2 3 3 11 6 2" xfId="10491"/>
    <cellStyle name="Comma 2 3 3 11 7" xfId="10492"/>
    <cellStyle name="Comma 2 3 3 11 8" xfId="10493"/>
    <cellStyle name="Comma 2 3 3 11 9" xfId="10494"/>
    <cellStyle name="Comma 2 3 3 12" xfId="10495"/>
    <cellStyle name="Comma 2 3 3 12 10" xfId="10496"/>
    <cellStyle name="Comma 2 3 3 12 2" xfId="10497"/>
    <cellStyle name="Comma 2 3 3 12 2 2" xfId="10498"/>
    <cellStyle name="Comma 2 3 3 12 2 2 2" xfId="10499"/>
    <cellStyle name="Comma 2 3 3 12 2 2 3" xfId="10500"/>
    <cellStyle name="Comma 2 3 3 12 2 3" xfId="10501"/>
    <cellStyle name="Comma 2 3 3 12 2 4" xfId="10502"/>
    <cellStyle name="Comma 2 3 3 12 2 5" xfId="10503"/>
    <cellStyle name="Comma 2 3 3 12 2 6" xfId="10504"/>
    <cellStyle name="Comma 2 3 3 12 3" xfId="10505"/>
    <cellStyle name="Comma 2 3 3 12 3 2" xfId="10506"/>
    <cellStyle name="Comma 2 3 3 12 3 2 2" xfId="10507"/>
    <cellStyle name="Comma 2 3 3 12 3 2 3" xfId="10508"/>
    <cellStyle name="Comma 2 3 3 12 3 3" xfId="10509"/>
    <cellStyle name="Comma 2 3 3 12 3 4" xfId="10510"/>
    <cellStyle name="Comma 2 3 3 12 3 5" xfId="10511"/>
    <cellStyle name="Comma 2 3 3 12 3 6" xfId="10512"/>
    <cellStyle name="Comma 2 3 3 12 4" xfId="10513"/>
    <cellStyle name="Comma 2 3 3 12 4 2" xfId="10514"/>
    <cellStyle name="Comma 2 3 3 12 4 2 2" xfId="10515"/>
    <cellStyle name="Comma 2 3 3 12 4 3" xfId="10516"/>
    <cellStyle name="Comma 2 3 3 12 4 4" xfId="10517"/>
    <cellStyle name="Comma 2 3 3 12 4 5" xfId="10518"/>
    <cellStyle name="Comma 2 3 3 12 5" xfId="10519"/>
    <cellStyle name="Comma 2 3 3 12 5 2" xfId="10520"/>
    <cellStyle name="Comma 2 3 3 12 5 3" xfId="10521"/>
    <cellStyle name="Comma 2 3 3 12 5 4" xfId="10522"/>
    <cellStyle name="Comma 2 3 3 12 6" xfId="10523"/>
    <cellStyle name="Comma 2 3 3 12 6 2" xfId="10524"/>
    <cellStyle name="Comma 2 3 3 12 7" xfId="10525"/>
    <cellStyle name="Comma 2 3 3 12 8" xfId="10526"/>
    <cellStyle name="Comma 2 3 3 12 9" xfId="10527"/>
    <cellStyle name="Comma 2 3 3 13" xfId="10528"/>
    <cellStyle name="Comma 2 3 3 13 2" xfId="10529"/>
    <cellStyle name="Comma 2 3 3 13 2 2" xfId="10530"/>
    <cellStyle name="Comma 2 3 3 13 2 2 2" xfId="10531"/>
    <cellStyle name="Comma 2 3 3 13 2 2 3" xfId="10532"/>
    <cellStyle name="Comma 2 3 3 13 2 3" xfId="10533"/>
    <cellStyle name="Comma 2 3 3 13 2 4" xfId="10534"/>
    <cellStyle name="Comma 2 3 3 13 2 5" xfId="10535"/>
    <cellStyle name="Comma 2 3 3 13 2 6" xfId="10536"/>
    <cellStyle name="Comma 2 3 3 13 3" xfId="10537"/>
    <cellStyle name="Comma 2 3 3 13 3 2" xfId="10538"/>
    <cellStyle name="Comma 2 3 3 13 3 2 2" xfId="10539"/>
    <cellStyle name="Comma 2 3 3 13 3 3" xfId="10540"/>
    <cellStyle name="Comma 2 3 3 13 3 4" xfId="10541"/>
    <cellStyle name="Comma 2 3 3 13 3 5" xfId="10542"/>
    <cellStyle name="Comma 2 3 3 13 4" xfId="10543"/>
    <cellStyle name="Comma 2 3 3 13 4 2" xfId="10544"/>
    <cellStyle name="Comma 2 3 3 13 4 3" xfId="10545"/>
    <cellStyle name="Comma 2 3 3 13 4 4" xfId="10546"/>
    <cellStyle name="Comma 2 3 3 13 5" xfId="10547"/>
    <cellStyle name="Comma 2 3 3 13 5 2" xfId="10548"/>
    <cellStyle name="Comma 2 3 3 13 6" xfId="10549"/>
    <cellStyle name="Comma 2 3 3 13 7" xfId="10550"/>
    <cellStyle name="Comma 2 3 3 13 8" xfId="10551"/>
    <cellStyle name="Comma 2 3 3 13 9" xfId="10552"/>
    <cellStyle name="Comma 2 3 3 14" xfId="10553"/>
    <cellStyle name="Comma 2 3 3 14 2" xfId="10554"/>
    <cellStyle name="Comma 2 3 3 14 2 2" xfId="10555"/>
    <cellStyle name="Comma 2 3 3 14 2 2 2" xfId="10556"/>
    <cellStyle name="Comma 2 3 3 14 2 2 3" xfId="10557"/>
    <cellStyle name="Comma 2 3 3 14 2 3" xfId="10558"/>
    <cellStyle name="Comma 2 3 3 14 2 4" xfId="10559"/>
    <cellStyle name="Comma 2 3 3 14 2 5" xfId="10560"/>
    <cellStyle name="Comma 2 3 3 14 2 6" xfId="10561"/>
    <cellStyle name="Comma 2 3 3 14 3" xfId="10562"/>
    <cellStyle name="Comma 2 3 3 14 3 2" xfId="10563"/>
    <cellStyle name="Comma 2 3 3 14 3 2 2" xfId="10564"/>
    <cellStyle name="Comma 2 3 3 14 3 3" xfId="10565"/>
    <cellStyle name="Comma 2 3 3 14 3 4" xfId="10566"/>
    <cellStyle name="Comma 2 3 3 14 3 5" xfId="10567"/>
    <cellStyle name="Comma 2 3 3 14 4" xfId="10568"/>
    <cellStyle name="Comma 2 3 3 14 4 2" xfId="10569"/>
    <cellStyle name="Comma 2 3 3 14 4 3" xfId="10570"/>
    <cellStyle name="Comma 2 3 3 14 4 4" xfId="10571"/>
    <cellStyle name="Comma 2 3 3 14 5" xfId="10572"/>
    <cellStyle name="Comma 2 3 3 14 5 2" xfId="10573"/>
    <cellStyle name="Comma 2 3 3 14 6" xfId="10574"/>
    <cellStyle name="Comma 2 3 3 14 7" xfId="10575"/>
    <cellStyle name="Comma 2 3 3 14 8" xfId="10576"/>
    <cellStyle name="Comma 2 3 3 14 9" xfId="10577"/>
    <cellStyle name="Comma 2 3 3 15" xfId="10578"/>
    <cellStyle name="Comma 2 3 3 15 2" xfId="10579"/>
    <cellStyle name="Comma 2 3 3 15 2 2" xfId="10580"/>
    <cellStyle name="Comma 2 3 3 15 2 3" xfId="10581"/>
    <cellStyle name="Comma 2 3 3 15 3" xfId="10582"/>
    <cellStyle name="Comma 2 3 3 15 4" xfId="10583"/>
    <cellStyle name="Comma 2 3 3 15 5" xfId="10584"/>
    <cellStyle name="Comma 2 3 3 15 6" xfId="10585"/>
    <cellStyle name="Comma 2 3 3 16" xfId="10586"/>
    <cellStyle name="Comma 2 3 3 16 2" xfId="10587"/>
    <cellStyle name="Comma 2 3 3 16 2 2" xfId="10588"/>
    <cellStyle name="Comma 2 3 3 16 3" xfId="10589"/>
    <cellStyle name="Comma 2 3 3 16 4" xfId="10590"/>
    <cellStyle name="Comma 2 3 3 16 5" xfId="10591"/>
    <cellStyle name="Comma 2 3 3 17" xfId="10592"/>
    <cellStyle name="Comma 2 3 3 17 2" xfId="10593"/>
    <cellStyle name="Comma 2 3 3 17 2 2" xfId="10594"/>
    <cellStyle name="Comma 2 3 3 17 3" xfId="10595"/>
    <cellStyle name="Comma 2 3 3 17 4" xfId="10596"/>
    <cellStyle name="Comma 2 3 3 17 5" xfId="10597"/>
    <cellStyle name="Comma 2 3 3 18" xfId="10598"/>
    <cellStyle name="Comma 2 3 3 18 2" xfId="10599"/>
    <cellStyle name="Comma 2 3 3 19" xfId="10600"/>
    <cellStyle name="Comma 2 3 3 2" xfId="10601"/>
    <cellStyle name="Comma 2 3 3 2 10" xfId="10602"/>
    <cellStyle name="Comma 2 3 3 2 11" xfId="10603"/>
    <cellStyle name="Comma 2 3 3 2 2" xfId="10604"/>
    <cellStyle name="Comma 2 3 3 2 2 2" xfId="10605"/>
    <cellStyle name="Comma 2 3 3 2 2 2 2" xfId="10606"/>
    <cellStyle name="Comma 2 3 3 2 2 2 2 2" xfId="10607"/>
    <cellStyle name="Comma 2 3 3 2 2 2 2 3" xfId="10608"/>
    <cellStyle name="Comma 2 3 3 2 2 2 3" xfId="10609"/>
    <cellStyle name="Comma 2 3 3 2 2 2 4" xfId="10610"/>
    <cellStyle name="Comma 2 3 3 2 2 2 5" xfId="10611"/>
    <cellStyle name="Comma 2 3 3 2 2 2 6" xfId="10612"/>
    <cellStyle name="Comma 2 3 3 2 2 3" xfId="10613"/>
    <cellStyle name="Comma 2 3 3 2 2 3 2" xfId="10614"/>
    <cellStyle name="Comma 2 3 3 2 2 3 2 2" xfId="10615"/>
    <cellStyle name="Comma 2 3 3 2 2 3 3" xfId="10616"/>
    <cellStyle name="Comma 2 3 3 2 2 3 4" xfId="10617"/>
    <cellStyle name="Comma 2 3 3 2 2 3 5" xfId="10618"/>
    <cellStyle name="Comma 2 3 3 2 2 4" xfId="10619"/>
    <cellStyle name="Comma 2 3 3 2 2 4 2" xfId="10620"/>
    <cellStyle name="Comma 2 3 3 2 2 4 3" xfId="10621"/>
    <cellStyle name="Comma 2 3 3 2 2 4 4" xfId="10622"/>
    <cellStyle name="Comma 2 3 3 2 2 5" xfId="10623"/>
    <cellStyle name="Comma 2 3 3 2 2 5 2" xfId="10624"/>
    <cellStyle name="Comma 2 3 3 2 2 6" xfId="10625"/>
    <cellStyle name="Comma 2 3 3 2 2 7" xfId="10626"/>
    <cellStyle name="Comma 2 3 3 2 2 8" xfId="10627"/>
    <cellStyle name="Comma 2 3 3 2 2 9" xfId="10628"/>
    <cellStyle name="Comma 2 3 3 2 3" xfId="10629"/>
    <cellStyle name="Comma 2 3 3 2 3 2" xfId="10630"/>
    <cellStyle name="Comma 2 3 3 2 3 2 2" xfId="10631"/>
    <cellStyle name="Comma 2 3 3 2 3 2 2 2" xfId="10632"/>
    <cellStyle name="Comma 2 3 3 2 3 2 2 3" xfId="10633"/>
    <cellStyle name="Comma 2 3 3 2 3 2 3" xfId="10634"/>
    <cellStyle name="Comma 2 3 3 2 3 2 4" xfId="10635"/>
    <cellStyle name="Comma 2 3 3 2 3 2 5" xfId="10636"/>
    <cellStyle name="Comma 2 3 3 2 3 2 6" xfId="10637"/>
    <cellStyle name="Comma 2 3 3 2 3 3" xfId="10638"/>
    <cellStyle name="Comma 2 3 3 2 3 3 2" xfId="10639"/>
    <cellStyle name="Comma 2 3 3 2 3 3 2 2" xfId="10640"/>
    <cellStyle name="Comma 2 3 3 2 3 3 3" xfId="10641"/>
    <cellStyle name="Comma 2 3 3 2 3 3 4" xfId="10642"/>
    <cellStyle name="Comma 2 3 3 2 3 3 5" xfId="10643"/>
    <cellStyle name="Comma 2 3 3 2 3 4" xfId="10644"/>
    <cellStyle name="Comma 2 3 3 2 3 4 2" xfId="10645"/>
    <cellStyle name="Comma 2 3 3 2 3 4 3" xfId="10646"/>
    <cellStyle name="Comma 2 3 3 2 3 4 4" xfId="10647"/>
    <cellStyle name="Comma 2 3 3 2 3 5" xfId="10648"/>
    <cellStyle name="Comma 2 3 3 2 3 5 2" xfId="10649"/>
    <cellStyle name="Comma 2 3 3 2 3 6" xfId="10650"/>
    <cellStyle name="Comma 2 3 3 2 3 7" xfId="10651"/>
    <cellStyle name="Comma 2 3 3 2 3 8" xfId="10652"/>
    <cellStyle name="Comma 2 3 3 2 3 9" xfId="10653"/>
    <cellStyle name="Comma 2 3 3 2 4" xfId="10654"/>
    <cellStyle name="Comma 2 3 3 2 4 2" xfId="10655"/>
    <cellStyle name="Comma 2 3 3 2 4 2 2" xfId="10656"/>
    <cellStyle name="Comma 2 3 3 2 4 2 3" xfId="10657"/>
    <cellStyle name="Comma 2 3 3 2 4 3" xfId="10658"/>
    <cellStyle name="Comma 2 3 3 2 4 4" xfId="10659"/>
    <cellStyle name="Comma 2 3 3 2 4 5" xfId="10660"/>
    <cellStyle name="Comma 2 3 3 2 4 6" xfId="10661"/>
    <cellStyle name="Comma 2 3 3 2 5" xfId="10662"/>
    <cellStyle name="Comma 2 3 3 2 5 2" xfId="10663"/>
    <cellStyle name="Comma 2 3 3 2 5 2 2" xfId="10664"/>
    <cellStyle name="Comma 2 3 3 2 5 3" xfId="10665"/>
    <cellStyle name="Comma 2 3 3 2 5 4" xfId="10666"/>
    <cellStyle name="Comma 2 3 3 2 5 5" xfId="10667"/>
    <cellStyle name="Comma 2 3 3 2 6" xfId="10668"/>
    <cellStyle name="Comma 2 3 3 2 6 2" xfId="10669"/>
    <cellStyle name="Comma 2 3 3 2 6 3" xfId="10670"/>
    <cellStyle name="Comma 2 3 3 2 6 4" xfId="10671"/>
    <cellStyle name="Comma 2 3 3 2 7" xfId="10672"/>
    <cellStyle name="Comma 2 3 3 2 7 2" xfId="10673"/>
    <cellStyle name="Comma 2 3 3 2 8" xfId="10674"/>
    <cellStyle name="Comma 2 3 3 2 9" xfId="10675"/>
    <cellStyle name="Comma 2 3 3 20" xfId="10676"/>
    <cellStyle name="Comma 2 3 3 21" xfId="10677"/>
    <cellStyle name="Comma 2 3 3 22" xfId="10678"/>
    <cellStyle name="Comma 2 3 3 3" xfId="10679"/>
    <cellStyle name="Comma 2 3 3 3 10" xfId="10680"/>
    <cellStyle name="Comma 2 3 3 3 11" xfId="10681"/>
    <cellStyle name="Comma 2 3 3 3 2" xfId="10682"/>
    <cellStyle name="Comma 2 3 3 3 2 2" xfId="10683"/>
    <cellStyle name="Comma 2 3 3 3 2 2 2" xfId="10684"/>
    <cellStyle name="Comma 2 3 3 3 2 2 2 2" xfId="10685"/>
    <cellStyle name="Comma 2 3 3 3 2 2 2 3" xfId="10686"/>
    <cellStyle name="Comma 2 3 3 3 2 2 3" xfId="10687"/>
    <cellStyle name="Comma 2 3 3 3 2 2 4" xfId="10688"/>
    <cellStyle name="Comma 2 3 3 3 2 2 5" xfId="10689"/>
    <cellStyle name="Comma 2 3 3 3 2 2 6" xfId="10690"/>
    <cellStyle name="Comma 2 3 3 3 2 3" xfId="10691"/>
    <cellStyle name="Comma 2 3 3 3 2 3 2" xfId="10692"/>
    <cellStyle name="Comma 2 3 3 3 2 3 2 2" xfId="10693"/>
    <cellStyle name="Comma 2 3 3 3 2 3 3" xfId="10694"/>
    <cellStyle name="Comma 2 3 3 3 2 3 4" xfId="10695"/>
    <cellStyle name="Comma 2 3 3 3 2 3 5" xfId="10696"/>
    <cellStyle name="Comma 2 3 3 3 2 4" xfId="10697"/>
    <cellStyle name="Comma 2 3 3 3 2 4 2" xfId="10698"/>
    <cellStyle name="Comma 2 3 3 3 2 4 3" xfId="10699"/>
    <cellStyle name="Comma 2 3 3 3 2 4 4" xfId="10700"/>
    <cellStyle name="Comma 2 3 3 3 2 5" xfId="10701"/>
    <cellStyle name="Comma 2 3 3 3 2 5 2" xfId="10702"/>
    <cellStyle name="Comma 2 3 3 3 2 6" xfId="10703"/>
    <cellStyle name="Comma 2 3 3 3 2 7" xfId="10704"/>
    <cellStyle name="Comma 2 3 3 3 2 8" xfId="10705"/>
    <cellStyle name="Comma 2 3 3 3 2 9" xfId="10706"/>
    <cellStyle name="Comma 2 3 3 3 3" xfId="10707"/>
    <cellStyle name="Comma 2 3 3 3 3 2" xfId="10708"/>
    <cellStyle name="Comma 2 3 3 3 3 2 2" xfId="10709"/>
    <cellStyle name="Comma 2 3 3 3 3 2 2 2" xfId="10710"/>
    <cellStyle name="Comma 2 3 3 3 3 2 2 3" xfId="10711"/>
    <cellStyle name="Comma 2 3 3 3 3 2 3" xfId="10712"/>
    <cellStyle name="Comma 2 3 3 3 3 2 4" xfId="10713"/>
    <cellStyle name="Comma 2 3 3 3 3 2 5" xfId="10714"/>
    <cellStyle name="Comma 2 3 3 3 3 2 6" xfId="10715"/>
    <cellStyle name="Comma 2 3 3 3 3 3" xfId="10716"/>
    <cellStyle name="Comma 2 3 3 3 3 3 2" xfId="10717"/>
    <cellStyle name="Comma 2 3 3 3 3 3 2 2" xfId="10718"/>
    <cellStyle name="Comma 2 3 3 3 3 3 3" xfId="10719"/>
    <cellStyle name="Comma 2 3 3 3 3 3 4" xfId="10720"/>
    <cellStyle name="Comma 2 3 3 3 3 3 5" xfId="10721"/>
    <cellStyle name="Comma 2 3 3 3 3 4" xfId="10722"/>
    <cellStyle name="Comma 2 3 3 3 3 4 2" xfId="10723"/>
    <cellStyle name="Comma 2 3 3 3 3 4 3" xfId="10724"/>
    <cellStyle name="Comma 2 3 3 3 3 4 4" xfId="10725"/>
    <cellStyle name="Comma 2 3 3 3 3 5" xfId="10726"/>
    <cellStyle name="Comma 2 3 3 3 3 5 2" xfId="10727"/>
    <cellStyle name="Comma 2 3 3 3 3 6" xfId="10728"/>
    <cellStyle name="Comma 2 3 3 3 3 7" xfId="10729"/>
    <cellStyle name="Comma 2 3 3 3 3 8" xfId="10730"/>
    <cellStyle name="Comma 2 3 3 3 3 9" xfId="10731"/>
    <cellStyle name="Comma 2 3 3 3 4" xfId="10732"/>
    <cellStyle name="Comma 2 3 3 3 4 2" xfId="10733"/>
    <cellStyle name="Comma 2 3 3 3 4 2 2" xfId="10734"/>
    <cellStyle name="Comma 2 3 3 3 4 2 3" xfId="10735"/>
    <cellStyle name="Comma 2 3 3 3 4 3" xfId="10736"/>
    <cellStyle name="Comma 2 3 3 3 4 4" xfId="10737"/>
    <cellStyle name="Comma 2 3 3 3 4 5" xfId="10738"/>
    <cellStyle name="Comma 2 3 3 3 4 6" xfId="10739"/>
    <cellStyle name="Comma 2 3 3 3 5" xfId="10740"/>
    <cellStyle name="Comma 2 3 3 3 5 2" xfId="10741"/>
    <cellStyle name="Comma 2 3 3 3 5 2 2" xfId="10742"/>
    <cellStyle name="Comma 2 3 3 3 5 3" xfId="10743"/>
    <cellStyle name="Comma 2 3 3 3 5 4" xfId="10744"/>
    <cellStyle name="Comma 2 3 3 3 5 5" xfId="10745"/>
    <cellStyle name="Comma 2 3 3 3 6" xfId="10746"/>
    <cellStyle name="Comma 2 3 3 3 6 2" xfId="10747"/>
    <cellStyle name="Comma 2 3 3 3 6 3" xfId="10748"/>
    <cellStyle name="Comma 2 3 3 3 6 4" xfId="10749"/>
    <cellStyle name="Comma 2 3 3 3 7" xfId="10750"/>
    <cellStyle name="Comma 2 3 3 3 7 2" xfId="10751"/>
    <cellStyle name="Comma 2 3 3 3 8" xfId="10752"/>
    <cellStyle name="Comma 2 3 3 3 9" xfId="10753"/>
    <cellStyle name="Comma 2 3 3 4" xfId="10754"/>
    <cellStyle name="Comma 2 3 3 4 10" xfId="10755"/>
    <cellStyle name="Comma 2 3 3 4 11" xfId="10756"/>
    <cellStyle name="Comma 2 3 3 4 2" xfId="10757"/>
    <cellStyle name="Comma 2 3 3 4 2 2" xfId="10758"/>
    <cellStyle name="Comma 2 3 3 4 2 2 2" xfId="10759"/>
    <cellStyle name="Comma 2 3 3 4 2 2 2 2" xfId="10760"/>
    <cellStyle name="Comma 2 3 3 4 2 2 2 3" xfId="10761"/>
    <cellStyle name="Comma 2 3 3 4 2 2 3" xfId="10762"/>
    <cellStyle name="Comma 2 3 3 4 2 2 4" xfId="10763"/>
    <cellStyle name="Comma 2 3 3 4 2 2 5" xfId="10764"/>
    <cellStyle name="Comma 2 3 3 4 2 2 6" xfId="10765"/>
    <cellStyle name="Comma 2 3 3 4 2 3" xfId="10766"/>
    <cellStyle name="Comma 2 3 3 4 2 3 2" xfId="10767"/>
    <cellStyle name="Comma 2 3 3 4 2 3 2 2" xfId="10768"/>
    <cellStyle name="Comma 2 3 3 4 2 3 3" xfId="10769"/>
    <cellStyle name="Comma 2 3 3 4 2 3 4" xfId="10770"/>
    <cellStyle name="Comma 2 3 3 4 2 3 5" xfId="10771"/>
    <cellStyle name="Comma 2 3 3 4 2 4" xfId="10772"/>
    <cellStyle name="Comma 2 3 3 4 2 4 2" xfId="10773"/>
    <cellStyle name="Comma 2 3 3 4 2 4 3" xfId="10774"/>
    <cellStyle name="Comma 2 3 3 4 2 4 4" xfId="10775"/>
    <cellStyle name="Comma 2 3 3 4 2 5" xfId="10776"/>
    <cellStyle name="Comma 2 3 3 4 2 5 2" xfId="10777"/>
    <cellStyle name="Comma 2 3 3 4 2 6" xfId="10778"/>
    <cellStyle name="Comma 2 3 3 4 2 7" xfId="10779"/>
    <cellStyle name="Comma 2 3 3 4 2 8" xfId="10780"/>
    <cellStyle name="Comma 2 3 3 4 2 9" xfId="10781"/>
    <cellStyle name="Comma 2 3 3 4 3" xfId="10782"/>
    <cellStyle name="Comma 2 3 3 4 3 2" xfId="10783"/>
    <cellStyle name="Comma 2 3 3 4 3 2 2" xfId="10784"/>
    <cellStyle name="Comma 2 3 3 4 3 2 2 2" xfId="10785"/>
    <cellStyle name="Comma 2 3 3 4 3 2 2 3" xfId="10786"/>
    <cellStyle name="Comma 2 3 3 4 3 2 3" xfId="10787"/>
    <cellStyle name="Comma 2 3 3 4 3 2 4" xfId="10788"/>
    <cellStyle name="Comma 2 3 3 4 3 2 5" xfId="10789"/>
    <cellStyle name="Comma 2 3 3 4 3 2 6" xfId="10790"/>
    <cellStyle name="Comma 2 3 3 4 3 3" xfId="10791"/>
    <cellStyle name="Comma 2 3 3 4 3 3 2" xfId="10792"/>
    <cellStyle name="Comma 2 3 3 4 3 3 2 2" xfId="10793"/>
    <cellStyle name="Comma 2 3 3 4 3 3 3" xfId="10794"/>
    <cellStyle name="Comma 2 3 3 4 3 3 4" xfId="10795"/>
    <cellStyle name="Comma 2 3 3 4 3 3 5" xfId="10796"/>
    <cellStyle name="Comma 2 3 3 4 3 4" xfId="10797"/>
    <cellStyle name="Comma 2 3 3 4 3 4 2" xfId="10798"/>
    <cellStyle name="Comma 2 3 3 4 3 4 3" xfId="10799"/>
    <cellStyle name="Comma 2 3 3 4 3 4 4" xfId="10800"/>
    <cellStyle name="Comma 2 3 3 4 3 5" xfId="10801"/>
    <cellStyle name="Comma 2 3 3 4 3 5 2" xfId="10802"/>
    <cellStyle name="Comma 2 3 3 4 3 6" xfId="10803"/>
    <cellStyle name="Comma 2 3 3 4 3 7" xfId="10804"/>
    <cellStyle name="Comma 2 3 3 4 3 8" xfId="10805"/>
    <cellStyle name="Comma 2 3 3 4 3 9" xfId="10806"/>
    <cellStyle name="Comma 2 3 3 4 4" xfId="10807"/>
    <cellStyle name="Comma 2 3 3 4 4 2" xfId="10808"/>
    <cellStyle name="Comma 2 3 3 4 4 2 2" xfId="10809"/>
    <cellStyle name="Comma 2 3 3 4 4 2 3" xfId="10810"/>
    <cellStyle name="Comma 2 3 3 4 4 3" xfId="10811"/>
    <cellStyle name="Comma 2 3 3 4 4 4" xfId="10812"/>
    <cellStyle name="Comma 2 3 3 4 4 5" xfId="10813"/>
    <cellStyle name="Comma 2 3 3 4 4 6" xfId="10814"/>
    <cellStyle name="Comma 2 3 3 4 5" xfId="10815"/>
    <cellStyle name="Comma 2 3 3 4 5 2" xfId="10816"/>
    <cellStyle name="Comma 2 3 3 4 5 2 2" xfId="10817"/>
    <cellStyle name="Comma 2 3 3 4 5 3" xfId="10818"/>
    <cellStyle name="Comma 2 3 3 4 5 4" xfId="10819"/>
    <cellStyle name="Comma 2 3 3 4 5 5" xfId="10820"/>
    <cellStyle name="Comma 2 3 3 4 6" xfId="10821"/>
    <cellStyle name="Comma 2 3 3 4 6 2" xfId="10822"/>
    <cellStyle name="Comma 2 3 3 4 6 3" xfId="10823"/>
    <cellStyle name="Comma 2 3 3 4 6 4" xfId="10824"/>
    <cellStyle name="Comma 2 3 3 4 7" xfId="10825"/>
    <cellStyle name="Comma 2 3 3 4 7 2" xfId="10826"/>
    <cellStyle name="Comma 2 3 3 4 8" xfId="10827"/>
    <cellStyle name="Comma 2 3 3 4 9" xfId="10828"/>
    <cellStyle name="Comma 2 3 3 5" xfId="10829"/>
    <cellStyle name="Comma 2 3 3 5 10" xfId="10830"/>
    <cellStyle name="Comma 2 3 3 5 11" xfId="10831"/>
    <cellStyle name="Comma 2 3 3 5 2" xfId="10832"/>
    <cellStyle name="Comma 2 3 3 5 2 2" xfId="10833"/>
    <cellStyle name="Comma 2 3 3 5 2 2 2" xfId="10834"/>
    <cellStyle name="Comma 2 3 3 5 2 2 2 2" xfId="10835"/>
    <cellStyle name="Comma 2 3 3 5 2 2 2 3" xfId="10836"/>
    <cellStyle name="Comma 2 3 3 5 2 2 3" xfId="10837"/>
    <cellStyle name="Comma 2 3 3 5 2 2 4" xfId="10838"/>
    <cellStyle name="Comma 2 3 3 5 2 2 5" xfId="10839"/>
    <cellStyle name="Comma 2 3 3 5 2 2 6" xfId="10840"/>
    <cellStyle name="Comma 2 3 3 5 2 3" xfId="10841"/>
    <cellStyle name="Comma 2 3 3 5 2 3 2" xfId="10842"/>
    <cellStyle name="Comma 2 3 3 5 2 3 2 2" xfId="10843"/>
    <cellStyle name="Comma 2 3 3 5 2 3 3" xfId="10844"/>
    <cellStyle name="Comma 2 3 3 5 2 3 4" xfId="10845"/>
    <cellStyle name="Comma 2 3 3 5 2 3 5" xfId="10846"/>
    <cellStyle name="Comma 2 3 3 5 2 4" xfId="10847"/>
    <cellStyle name="Comma 2 3 3 5 2 4 2" xfId="10848"/>
    <cellStyle name="Comma 2 3 3 5 2 4 3" xfId="10849"/>
    <cellStyle name="Comma 2 3 3 5 2 4 4" xfId="10850"/>
    <cellStyle name="Comma 2 3 3 5 2 5" xfId="10851"/>
    <cellStyle name="Comma 2 3 3 5 2 5 2" xfId="10852"/>
    <cellStyle name="Comma 2 3 3 5 2 6" xfId="10853"/>
    <cellStyle name="Comma 2 3 3 5 2 7" xfId="10854"/>
    <cellStyle name="Comma 2 3 3 5 2 8" xfId="10855"/>
    <cellStyle name="Comma 2 3 3 5 2 9" xfId="10856"/>
    <cellStyle name="Comma 2 3 3 5 3" xfId="10857"/>
    <cellStyle name="Comma 2 3 3 5 3 2" xfId="10858"/>
    <cellStyle name="Comma 2 3 3 5 3 2 2" xfId="10859"/>
    <cellStyle name="Comma 2 3 3 5 3 2 2 2" xfId="10860"/>
    <cellStyle name="Comma 2 3 3 5 3 2 2 3" xfId="10861"/>
    <cellStyle name="Comma 2 3 3 5 3 2 3" xfId="10862"/>
    <cellStyle name="Comma 2 3 3 5 3 2 4" xfId="10863"/>
    <cellStyle name="Comma 2 3 3 5 3 2 5" xfId="10864"/>
    <cellStyle name="Comma 2 3 3 5 3 2 6" xfId="10865"/>
    <cellStyle name="Comma 2 3 3 5 3 3" xfId="10866"/>
    <cellStyle name="Comma 2 3 3 5 3 3 2" xfId="10867"/>
    <cellStyle name="Comma 2 3 3 5 3 3 2 2" xfId="10868"/>
    <cellStyle name="Comma 2 3 3 5 3 3 3" xfId="10869"/>
    <cellStyle name="Comma 2 3 3 5 3 3 4" xfId="10870"/>
    <cellStyle name="Comma 2 3 3 5 3 3 5" xfId="10871"/>
    <cellStyle name="Comma 2 3 3 5 3 4" xfId="10872"/>
    <cellStyle name="Comma 2 3 3 5 3 4 2" xfId="10873"/>
    <cellStyle name="Comma 2 3 3 5 3 4 3" xfId="10874"/>
    <cellStyle name="Comma 2 3 3 5 3 4 4" xfId="10875"/>
    <cellStyle name="Comma 2 3 3 5 3 5" xfId="10876"/>
    <cellStyle name="Comma 2 3 3 5 3 5 2" xfId="10877"/>
    <cellStyle name="Comma 2 3 3 5 3 6" xfId="10878"/>
    <cellStyle name="Comma 2 3 3 5 3 7" xfId="10879"/>
    <cellStyle name="Comma 2 3 3 5 3 8" xfId="10880"/>
    <cellStyle name="Comma 2 3 3 5 3 9" xfId="10881"/>
    <cellStyle name="Comma 2 3 3 5 4" xfId="10882"/>
    <cellStyle name="Comma 2 3 3 5 4 2" xfId="10883"/>
    <cellStyle name="Comma 2 3 3 5 4 2 2" xfId="10884"/>
    <cellStyle name="Comma 2 3 3 5 4 2 3" xfId="10885"/>
    <cellStyle name="Comma 2 3 3 5 4 3" xfId="10886"/>
    <cellStyle name="Comma 2 3 3 5 4 4" xfId="10887"/>
    <cellStyle name="Comma 2 3 3 5 4 5" xfId="10888"/>
    <cellStyle name="Comma 2 3 3 5 4 6" xfId="10889"/>
    <cellStyle name="Comma 2 3 3 5 5" xfId="10890"/>
    <cellStyle name="Comma 2 3 3 5 5 2" xfId="10891"/>
    <cellStyle name="Comma 2 3 3 5 5 2 2" xfId="10892"/>
    <cellStyle name="Comma 2 3 3 5 5 3" xfId="10893"/>
    <cellStyle name="Comma 2 3 3 5 5 4" xfId="10894"/>
    <cellStyle name="Comma 2 3 3 5 5 5" xfId="10895"/>
    <cellStyle name="Comma 2 3 3 5 6" xfId="10896"/>
    <cellStyle name="Comma 2 3 3 5 6 2" xfId="10897"/>
    <cellStyle name="Comma 2 3 3 5 6 3" xfId="10898"/>
    <cellStyle name="Comma 2 3 3 5 6 4" xfId="10899"/>
    <cellStyle name="Comma 2 3 3 5 7" xfId="10900"/>
    <cellStyle name="Comma 2 3 3 5 7 2" xfId="10901"/>
    <cellStyle name="Comma 2 3 3 5 8" xfId="10902"/>
    <cellStyle name="Comma 2 3 3 5 9" xfId="10903"/>
    <cellStyle name="Comma 2 3 3 6" xfId="10904"/>
    <cellStyle name="Comma 2 3 3 6 10" xfId="10905"/>
    <cellStyle name="Comma 2 3 3 6 11" xfId="10906"/>
    <cellStyle name="Comma 2 3 3 6 2" xfId="10907"/>
    <cellStyle name="Comma 2 3 3 6 2 2" xfId="10908"/>
    <cellStyle name="Comma 2 3 3 6 2 2 2" xfId="10909"/>
    <cellStyle name="Comma 2 3 3 6 2 2 2 2" xfId="10910"/>
    <cellStyle name="Comma 2 3 3 6 2 2 2 3" xfId="10911"/>
    <cellStyle name="Comma 2 3 3 6 2 2 3" xfId="10912"/>
    <cellStyle name="Comma 2 3 3 6 2 2 4" xfId="10913"/>
    <cellStyle name="Comma 2 3 3 6 2 2 5" xfId="10914"/>
    <cellStyle name="Comma 2 3 3 6 2 2 6" xfId="10915"/>
    <cellStyle name="Comma 2 3 3 6 2 3" xfId="10916"/>
    <cellStyle name="Comma 2 3 3 6 2 3 2" xfId="10917"/>
    <cellStyle name="Comma 2 3 3 6 2 3 2 2" xfId="10918"/>
    <cellStyle name="Comma 2 3 3 6 2 3 3" xfId="10919"/>
    <cellStyle name="Comma 2 3 3 6 2 3 4" xfId="10920"/>
    <cellStyle name="Comma 2 3 3 6 2 3 5" xfId="10921"/>
    <cellStyle name="Comma 2 3 3 6 2 4" xfId="10922"/>
    <cellStyle name="Comma 2 3 3 6 2 4 2" xfId="10923"/>
    <cellStyle name="Comma 2 3 3 6 2 4 3" xfId="10924"/>
    <cellStyle name="Comma 2 3 3 6 2 4 4" xfId="10925"/>
    <cellStyle name="Comma 2 3 3 6 2 5" xfId="10926"/>
    <cellStyle name="Comma 2 3 3 6 2 5 2" xfId="10927"/>
    <cellStyle name="Comma 2 3 3 6 2 6" xfId="10928"/>
    <cellStyle name="Comma 2 3 3 6 2 7" xfId="10929"/>
    <cellStyle name="Comma 2 3 3 6 2 8" xfId="10930"/>
    <cellStyle name="Comma 2 3 3 6 2 9" xfId="10931"/>
    <cellStyle name="Comma 2 3 3 6 3" xfId="10932"/>
    <cellStyle name="Comma 2 3 3 6 3 2" xfId="10933"/>
    <cellStyle name="Comma 2 3 3 6 3 2 2" xfId="10934"/>
    <cellStyle name="Comma 2 3 3 6 3 2 2 2" xfId="10935"/>
    <cellStyle name="Comma 2 3 3 6 3 2 2 3" xfId="10936"/>
    <cellStyle name="Comma 2 3 3 6 3 2 3" xfId="10937"/>
    <cellStyle name="Comma 2 3 3 6 3 2 4" xfId="10938"/>
    <cellStyle name="Comma 2 3 3 6 3 2 5" xfId="10939"/>
    <cellStyle name="Comma 2 3 3 6 3 2 6" xfId="10940"/>
    <cellStyle name="Comma 2 3 3 6 3 3" xfId="10941"/>
    <cellStyle name="Comma 2 3 3 6 3 3 2" xfId="10942"/>
    <cellStyle name="Comma 2 3 3 6 3 3 2 2" xfId="10943"/>
    <cellStyle name="Comma 2 3 3 6 3 3 3" xfId="10944"/>
    <cellStyle name="Comma 2 3 3 6 3 3 4" xfId="10945"/>
    <cellStyle name="Comma 2 3 3 6 3 3 5" xfId="10946"/>
    <cellStyle name="Comma 2 3 3 6 3 4" xfId="10947"/>
    <cellStyle name="Comma 2 3 3 6 3 4 2" xfId="10948"/>
    <cellStyle name="Comma 2 3 3 6 3 4 3" xfId="10949"/>
    <cellStyle name="Comma 2 3 3 6 3 4 4" xfId="10950"/>
    <cellStyle name="Comma 2 3 3 6 3 5" xfId="10951"/>
    <cellStyle name="Comma 2 3 3 6 3 5 2" xfId="10952"/>
    <cellStyle name="Comma 2 3 3 6 3 6" xfId="10953"/>
    <cellStyle name="Comma 2 3 3 6 3 7" xfId="10954"/>
    <cellStyle name="Comma 2 3 3 6 3 8" xfId="10955"/>
    <cellStyle name="Comma 2 3 3 6 3 9" xfId="10956"/>
    <cellStyle name="Comma 2 3 3 6 4" xfId="10957"/>
    <cellStyle name="Comma 2 3 3 6 4 2" xfId="10958"/>
    <cellStyle name="Comma 2 3 3 6 4 2 2" xfId="10959"/>
    <cellStyle name="Comma 2 3 3 6 4 2 3" xfId="10960"/>
    <cellStyle name="Comma 2 3 3 6 4 3" xfId="10961"/>
    <cellStyle name="Comma 2 3 3 6 4 4" xfId="10962"/>
    <cellStyle name="Comma 2 3 3 6 4 5" xfId="10963"/>
    <cellStyle name="Comma 2 3 3 6 4 6" xfId="10964"/>
    <cellStyle name="Comma 2 3 3 6 5" xfId="10965"/>
    <cellStyle name="Comma 2 3 3 6 5 2" xfId="10966"/>
    <cellStyle name="Comma 2 3 3 6 5 2 2" xfId="10967"/>
    <cellStyle name="Comma 2 3 3 6 5 3" xfId="10968"/>
    <cellStyle name="Comma 2 3 3 6 5 4" xfId="10969"/>
    <cellStyle name="Comma 2 3 3 6 5 5" xfId="10970"/>
    <cellStyle name="Comma 2 3 3 6 6" xfId="10971"/>
    <cellStyle name="Comma 2 3 3 6 6 2" xfId="10972"/>
    <cellStyle name="Comma 2 3 3 6 6 3" xfId="10973"/>
    <cellStyle name="Comma 2 3 3 6 6 4" xfId="10974"/>
    <cellStyle name="Comma 2 3 3 6 7" xfId="10975"/>
    <cellStyle name="Comma 2 3 3 6 7 2" xfId="10976"/>
    <cellStyle name="Comma 2 3 3 6 8" xfId="10977"/>
    <cellStyle name="Comma 2 3 3 6 9" xfId="10978"/>
    <cellStyle name="Comma 2 3 3 7" xfId="10979"/>
    <cellStyle name="Comma 2 3 3 7 10" xfId="10980"/>
    <cellStyle name="Comma 2 3 3 7 11" xfId="10981"/>
    <cellStyle name="Comma 2 3 3 7 2" xfId="10982"/>
    <cellStyle name="Comma 2 3 3 7 2 2" xfId="10983"/>
    <cellStyle name="Comma 2 3 3 7 2 2 2" xfId="10984"/>
    <cellStyle name="Comma 2 3 3 7 2 2 2 2" xfId="10985"/>
    <cellStyle name="Comma 2 3 3 7 2 2 2 3" xfId="10986"/>
    <cellStyle name="Comma 2 3 3 7 2 2 3" xfId="10987"/>
    <cellStyle name="Comma 2 3 3 7 2 2 4" xfId="10988"/>
    <cellStyle name="Comma 2 3 3 7 2 2 5" xfId="10989"/>
    <cellStyle name="Comma 2 3 3 7 2 2 6" xfId="10990"/>
    <cellStyle name="Comma 2 3 3 7 2 3" xfId="10991"/>
    <cellStyle name="Comma 2 3 3 7 2 3 2" xfId="10992"/>
    <cellStyle name="Comma 2 3 3 7 2 3 2 2" xfId="10993"/>
    <cellStyle name="Comma 2 3 3 7 2 3 3" xfId="10994"/>
    <cellStyle name="Comma 2 3 3 7 2 3 4" xfId="10995"/>
    <cellStyle name="Comma 2 3 3 7 2 3 5" xfId="10996"/>
    <cellStyle name="Comma 2 3 3 7 2 4" xfId="10997"/>
    <cellStyle name="Comma 2 3 3 7 2 4 2" xfId="10998"/>
    <cellStyle name="Comma 2 3 3 7 2 4 3" xfId="10999"/>
    <cellStyle name="Comma 2 3 3 7 2 4 4" xfId="11000"/>
    <cellStyle name="Comma 2 3 3 7 2 5" xfId="11001"/>
    <cellStyle name="Comma 2 3 3 7 2 5 2" xfId="11002"/>
    <cellStyle name="Comma 2 3 3 7 2 6" xfId="11003"/>
    <cellStyle name="Comma 2 3 3 7 2 7" xfId="11004"/>
    <cellStyle name="Comma 2 3 3 7 2 8" xfId="11005"/>
    <cellStyle name="Comma 2 3 3 7 2 9" xfId="11006"/>
    <cellStyle name="Comma 2 3 3 7 3" xfId="11007"/>
    <cellStyle name="Comma 2 3 3 7 3 2" xfId="11008"/>
    <cellStyle name="Comma 2 3 3 7 3 2 2" xfId="11009"/>
    <cellStyle name="Comma 2 3 3 7 3 2 2 2" xfId="11010"/>
    <cellStyle name="Comma 2 3 3 7 3 2 2 3" xfId="11011"/>
    <cellStyle name="Comma 2 3 3 7 3 2 3" xfId="11012"/>
    <cellStyle name="Comma 2 3 3 7 3 2 4" xfId="11013"/>
    <cellStyle name="Comma 2 3 3 7 3 2 5" xfId="11014"/>
    <cellStyle name="Comma 2 3 3 7 3 2 6" xfId="11015"/>
    <cellStyle name="Comma 2 3 3 7 3 3" xfId="11016"/>
    <cellStyle name="Comma 2 3 3 7 3 3 2" xfId="11017"/>
    <cellStyle name="Comma 2 3 3 7 3 3 2 2" xfId="11018"/>
    <cellStyle name="Comma 2 3 3 7 3 3 3" xfId="11019"/>
    <cellStyle name="Comma 2 3 3 7 3 3 4" xfId="11020"/>
    <cellStyle name="Comma 2 3 3 7 3 3 5" xfId="11021"/>
    <cellStyle name="Comma 2 3 3 7 3 4" xfId="11022"/>
    <cellStyle name="Comma 2 3 3 7 3 4 2" xfId="11023"/>
    <cellStyle name="Comma 2 3 3 7 3 4 3" xfId="11024"/>
    <cellStyle name="Comma 2 3 3 7 3 4 4" xfId="11025"/>
    <cellStyle name="Comma 2 3 3 7 3 5" xfId="11026"/>
    <cellStyle name="Comma 2 3 3 7 3 5 2" xfId="11027"/>
    <cellStyle name="Comma 2 3 3 7 3 6" xfId="11028"/>
    <cellStyle name="Comma 2 3 3 7 3 7" xfId="11029"/>
    <cellStyle name="Comma 2 3 3 7 3 8" xfId="11030"/>
    <cellStyle name="Comma 2 3 3 7 3 9" xfId="11031"/>
    <cellStyle name="Comma 2 3 3 7 4" xfId="11032"/>
    <cellStyle name="Comma 2 3 3 7 4 2" xfId="11033"/>
    <cellStyle name="Comma 2 3 3 7 4 2 2" xfId="11034"/>
    <cellStyle name="Comma 2 3 3 7 4 2 3" xfId="11035"/>
    <cellStyle name="Comma 2 3 3 7 4 3" xfId="11036"/>
    <cellStyle name="Comma 2 3 3 7 4 4" xfId="11037"/>
    <cellStyle name="Comma 2 3 3 7 4 5" xfId="11038"/>
    <cellStyle name="Comma 2 3 3 7 4 6" xfId="11039"/>
    <cellStyle name="Comma 2 3 3 7 5" xfId="11040"/>
    <cellStyle name="Comma 2 3 3 7 5 2" xfId="11041"/>
    <cellStyle name="Comma 2 3 3 7 5 2 2" xfId="11042"/>
    <cellStyle name="Comma 2 3 3 7 5 3" xfId="11043"/>
    <cellStyle name="Comma 2 3 3 7 5 4" xfId="11044"/>
    <cellStyle name="Comma 2 3 3 7 5 5" xfId="11045"/>
    <cellStyle name="Comma 2 3 3 7 6" xfId="11046"/>
    <cellStyle name="Comma 2 3 3 7 6 2" xfId="11047"/>
    <cellStyle name="Comma 2 3 3 7 6 3" xfId="11048"/>
    <cellStyle name="Comma 2 3 3 7 6 4" xfId="11049"/>
    <cellStyle name="Comma 2 3 3 7 7" xfId="11050"/>
    <cellStyle name="Comma 2 3 3 7 7 2" xfId="11051"/>
    <cellStyle name="Comma 2 3 3 7 8" xfId="11052"/>
    <cellStyle name="Comma 2 3 3 7 9" xfId="11053"/>
    <cellStyle name="Comma 2 3 3 8" xfId="11054"/>
    <cellStyle name="Comma 2 3 3 8 10" xfId="11055"/>
    <cellStyle name="Comma 2 3 3 8 2" xfId="11056"/>
    <cellStyle name="Comma 2 3 3 8 2 2" xfId="11057"/>
    <cellStyle name="Comma 2 3 3 8 2 2 2" xfId="11058"/>
    <cellStyle name="Comma 2 3 3 8 2 2 3" xfId="11059"/>
    <cellStyle name="Comma 2 3 3 8 2 3" xfId="11060"/>
    <cellStyle name="Comma 2 3 3 8 2 4" xfId="11061"/>
    <cellStyle name="Comma 2 3 3 8 2 5" xfId="11062"/>
    <cellStyle name="Comma 2 3 3 8 2 6" xfId="11063"/>
    <cellStyle name="Comma 2 3 3 8 3" xfId="11064"/>
    <cellStyle name="Comma 2 3 3 8 3 2" xfId="11065"/>
    <cellStyle name="Comma 2 3 3 8 3 2 2" xfId="11066"/>
    <cellStyle name="Comma 2 3 3 8 3 2 3" xfId="11067"/>
    <cellStyle name="Comma 2 3 3 8 3 3" xfId="11068"/>
    <cellStyle name="Comma 2 3 3 8 3 4" xfId="11069"/>
    <cellStyle name="Comma 2 3 3 8 3 5" xfId="11070"/>
    <cellStyle name="Comma 2 3 3 8 3 6" xfId="11071"/>
    <cellStyle name="Comma 2 3 3 8 4" xfId="11072"/>
    <cellStyle name="Comma 2 3 3 8 4 2" xfId="11073"/>
    <cellStyle name="Comma 2 3 3 8 4 2 2" xfId="11074"/>
    <cellStyle name="Comma 2 3 3 8 4 3" xfId="11075"/>
    <cellStyle name="Comma 2 3 3 8 4 4" xfId="11076"/>
    <cellStyle name="Comma 2 3 3 8 4 5" xfId="11077"/>
    <cellStyle name="Comma 2 3 3 8 5" xfId="11078"/>
    <cellStyle name="Comma 2 3 3 8 5 2" xfId="11079"/>
    <cellStyle name="Comma 2 3 3 8 5 3" xfId="11080"/>
    <cellStyle name="Comma 2 3 3 8 5 4" xfId="11081"/>
    <cellStyle name="Comma 2 3 3 8 6" xfId="11082"/>
    <cellStyle name="Comma 2 3 3 8 6 2" xfId="11083"/>
    <cellStyle name="Comma 2 3 3 8 7" xfId="11084"/>
    <cellStyle name="Comma 2 3 3 8 8" xfId="11085"/>
    <cellStyle name="Comma 2 3 3 8 9" xfId="11086"/>
    <cellStyle name="Comma 2 3 3 9" xfId="11087"/>
    <cellStyle name="Comma 2 3 3 9 10" xfId="11088"/>
    <cellStyle name="Comma 2 3 3 9 2" xfId="11089"/>
    <cellStyle name="Comma 2 3 3 9 2 2" xfId="11090"/>
    <cellStyle name="Comma 2 3 3 9 2 2 2" xfId="11091"/>
    <cellStyle name="Comma 2 3 3 9 2 2 3" xfId="11092"/>
    <cellStyle name="Comma 2 3 3 9 2 3" xfId="11093"/>
    <cellStyle name="Comma 2 3 3 9 2 4" xfId="11094"/>
    <cellStyle name="Comma 2 3 3 9 2 5" xfId="11095"/>
    <cellStyle name="Comma 2 3 3 9 2 6" xfId="11096"/>
    <cellStyle name="Comma 2 3 3 9 3" xfId="11097"/>
    <cellStyle name="Comma 2 3 3 9 3 2" xfId="11098"/>
    <cellStyle name="Comma 2 3 3 9 3 2 2" xfId="11099"/>
    <cellStyle name="Comma 2 3 3 9 3 2 3" xfId="11100"/>
    <cellStyle name="Comma 2 3 3 9 3 3" xfId="11101"/>
    <cellStyle name="Comma 2 3 3 9 3 4" xfId="11102"/>
    <cellStyle name="Comma 2 3 3 9 3 5" xfId="11103"/>
    <cellStyle name="Comma 2 3 3 9 3 6" xfId="11104"/>
    <cellStyle name="Comma 2 3 3 9 4" xfId="11105"/>
    <cellStyle name="Comma 2 3 3 9 4 2" xfId="11106"/>
    <cellStyle name="Comma 2 3 3 9 4 2 2" xfId="11107"/>
    <cellStyle name="Comma 2 3 3 9 4 3" xfId="11108"/>
    <cellStyle name="Comma 2 3 3 9 4 4" xfId="11109"/>
    <cellStyle name="Comma 2 3 3 9 4 5" xfId="11110"/>
    <cellStyle name="Comma 2 3 3 9 5" xfId="11111"/>
    <cellStyle name="Comma 2 3 3 9 5 2" xfId="11112"/>
    <cellStyle name="Comma 2 3 3 9 5 3" xfId="11113"/>
    <cellStyle name="Comma 2 3 3 9 5 4" xfId="11114"/>
    <cellStyle name="Comma 2 3 3 9 6" xfId="11115"/>
    <cellStyle name="Comma 2 3 3 9 6 2" xfId="11116"/>
    <cellStyle name="Comma 2 3 3 9 7" xfId="11117"/>
    <cellStyle name="Comma 2 3 3 9 8" xfId="11118"/>
    <cellStyle name="Comma 2 3 3 9 9" xfId="11119"/>
    <cellStyle name="Comma 2 3 30" xfId="11120"/>
    <cellStyle name="Comma 2 3 30 2" xfId="11121"/>
    <cellStyle name="Comma 2 3 30 2 2" xfId="11122"/>
    <cellStyle name="Comma 2 3 30 2 2 2" xfId="11123"/>
    <cellStyle name="Comma 2 3 30 2 2 3" xfId="11124"/>
    <cellStyle name="Comma 2 3 30 2 3" xfId="11125"/>
    <cellStyle name="Comma 2 3 30 2 4" xfId="11126"/>
    <cellStyle name="Comma 2 3 30 2 5" xfId="11127"/>
    <cellStyle name="Comma 2 3 30 2 6" xfId="11128"/>
    <cellStyle name="Comma 2 3 30 3" xfId="11129"/>
    <cellStyle name="Comma 2 3 30 3 2" xfId="11130"/>
    <cellStyle name="Comma 2 3 30 3 2 2" xfId="11131"/>
    <cellStyle name="Comma 2 3 30 3 3" xfId="11132"/>
    <cellStyle name="Comma 2 3 30 3 4" xfId="11133"/>
    <cellStyle name="Comma 2 3 30 3 5" xfId="11134"/>
    <cellStyle name="Comma 2 3 30 4" xfId="11135"/>
    <cellStyle name="Comma 2 3 30 4 2" xfId="11136"/>
    <cellStyle name="Comma 2 3 30 4 3" xfId="11137"/>
    <cellStyle name="Comma 2 3 30 4 4" xfId="11138"/>
    <cellStyle name="Comma 2 3 30 5" xfId="11139"/>
    <cellStyle name="Comma 2 3 30 5 2" xfId="11140"/>
    <cellStyle name="Comma 2 3 30 6" xfId="11141"/>
    <cellStyle name="Comma 2 3 30 7" xfId="11142"/>
    <cellStyle name="Comma 2 3 30 8" xfId="11143"/>
    <cellStyle name="Comma 2 3 30 9" xfId="11144"/>
    <cellStyle name="Comma 2 3 31" xfId="11145"/>
    <cellStyle name="Comma 2 3 31 2" xfId="11146"/>
    <cellStyle name="Comma 2 3 31 2 2" xfId="11147"/>
    <cellStyle name="Comma 2 3 31 2 3" xfId="11148"/>
    <cellStyle name="Comma 2 3 31 3" xfId="11149"/>
    <cellStyle name="Comma 2 3 31 4" xfId="11150"/>
    <cellStyle name="Comma 2 3 31 5" xfId="11151"/>
    <cellStyle name="Comma 2 3 31 6" xfId="11152"/>
    <cellStyle name="Comma 2 3 32" xfId="11153"/>
    <cellStyle name="Comma 2 3 32 2" xfId="11154"/>
    <cellStyle name="Comma 2 3 32 2 2" xfId="11155"/>
    <cellStyle name="Comma 2 3 32 3" xfId="11156"/>
    <cellStyle name="Comma 2 3 32 4" xfId="11157"/>
    <cellStyle name="Comma 2 3 32 5" xfId="11158"/>
    <cellStyle name="Comma 2 3 33" xfId="11159"/>
    <cellStyle name="Comma 2 3 33 2" xfId="11160"/>
    <cellStyle name="Comma 2 3 33 2 2" xfId="11161"/>
    <cellStyle name="Comma 2 3 33 3" xfId="11162"/>
    <cellStyle name="Comma 2 3 33 4" xfId="11163"/>
    <cellStyle name="Comma 2 3 33 5" xfId="11164"/>
    <cellStyle name="Comma 2 3 34" xfId="11165"/>
    <cellStyle name="Comma 2 3 34 2" xfId="11166"/>
    <cellStyle name="Comma 2 3 35" xfId="11167"/>
    <cellStyle name="Comma 2 3 36" xfId="11168"/>
    <cellStyle name="Comma 2 3 37" xfId="11169"/>
    <cellStyle name="Comma 2 3 38" xfId="11170"/>
    <cellStyle name="Comma 2 3 4" xfId="11171"/>
    <cellStyle name="Comma 2 3 4 10" xfId="11172"/>
    <cellStyle name="Comma 2 3 4 11" xfId="11173"/>
    <cellStyle name="Comma 2 3 4 2" xfId="11174"/>
    <cellStyle name="Comma 2 3 4 2 2" xfId="11175"/>
    <cellStyle name="Comma 2 3 4 2 2 2" xfId="11176"/>
    <cellStyle name="Comma 2 3 4 2 2 2 2" xfId="11177"/>
    <cellStyle name="Comma 2 3 4 2 2 2 3" xfId="11178"/>
    <cellStyle name="Comma 2 3 4 2 2 3" xfId="11179"/>
    <cellStyle name="Comma 2 3 4 2 2 4" xfId="11180"/>
    <cellStyle name="Comma 2 3 4 2 2 5" xfId="11181"/>
    <cellStyle name="Comma 2 3 4 2 2 6" xfId="11182"/>
    <cellStyle name="Comma 2 3 4 2 3" xfId="11183"/>
    <cellStyle name="Comma 2 3 4 2 3 2" xfId="11184"/>
    <cellStyle name="Comma 2 3 4 2 3 2 2" xfId="11185"/>
    <cellStyle name="Comma 2 3 4 2 3 3" xfId="11186"/>
    <cellStyle name="Comma 2 3 4 2 3 4" xfId="11187"/>
    <cellStyle name="Comma 2 3 4 2 3 5" xfId="11188"/>
    <cellStyle name="Comma 2 3 4 2 4" xfId="11189"/>
    <cellStyle name="Comma 2 3 4 2 4 2" xfId="11190"/>
    <cellStyle name="Comma 2 3 4 2 4 3" xfId="11191"/>
    <cellStyle name="Comma 2 3 4 2 4 4" xfId="11192"/>
    <cellStyle name="Comma 2 3 4 2 5" xfId="11193"/>
    <cellStyle name="Comma 2 3 4 2 5 2" xfId="11194"/>
    <cellStyle name="Comma 2 3 4 2 6" xfId="11195"/>
    <cellStyle name="Comma 2 3 4 2 7" xfId="11196"/>
    <cellStyle name="Comma 2 3 4 2 8" xfId="11197"/>
    <cellStyle name="Comma 2 3 4 2 9" xfId="11198"/>
    <cellStyle name="Comma 2 3 4 3" xfId="11199"/>
    <cellStyle name="Comma 2 3 4 3 2" xfId="11200"/>
    <cellStyle name="Comma 2 3 4 3 2 2" xfId="11201"/>
    <cellStyle name="Comma 2 3 4 3 2 2 2" xfId="11202"/>
    <cellStyle name="Comma 2 3 4 3 2 2 3" xfId="11203"/>
    <cellStyle name="Comma 2 3 4 3 2 3" xfId="11204"/>
    <cellStyle name="Comma 2 3 4 3 2 4" xfId="11205"/>
    <cellStyle name="Comma 2 3 4 3 2 5" xfId="11206"/>
    <cellStyle name="Comma 2 3 4 3 2 6" xfId="11207"/>
    <cellStyle name="Comma 2 3 4 3 3" xfId="11208"/>
    <cellStyle name="Comma 2 3 4 3 3 2" xfId="11209"/>
    <cellStyle name="Comma 2 3 4 3 3 2 2" xfId="11210"/>
    <cellStyle name="Comma 2 3 4 3 3 3" xfId="11211"/>
    <cellStyle name="Comma 2 3 4 3 3 4" xfId="11212"/>
    <cellStyle name="Comma 2 3 4 3 3 5" xfId="11213"/>
    <cellStyle name="Comma 2 3 4 3 4" xfId="11214"/>
    <cellStyle name="Comma 2 3 4 3 4 2" xfId="11215"/>
    <cellStyle name="Comma 2 3 4 3 4 3" xfId="11216"/>
    <cellStyle name="Comma 2 3 4 3 4 4" xfId="11217"/>
    <cellStyle name="Comma 2 3 4 3 5" xfId="11218"/>
    <cellStyle name="Comma 2 3 4 3 5 2" xfId="11219"/>
    <cellStyle name="Comma 2 3 4 3 6" xfId="11220"/>
    <cellStyle name="Comma 2 3 4 3 7" xfId="11221"/>
    <cellStyle name="Comma 2 3 4 3 8" xfId="11222"/>
    <cellStyle name="Comma 2 3 4 3 9" xfId="11223"/>
    <cellStyle name="Comma 2 3 4 4" xfId="11224"/>
    <cellStyle name="Comma 2 3 4 4 2" xfId="11225"/>
    <cellStyle name="Comma 2 3 4 4 2 2" xfId="11226"/>
    <cellStyle name="Comma 2 3 4 4 2 3" xfId="11227"/>
    <cellStyle name="Comma 2 3 4 4 3" xfId="11228"/>
    <cellStyle name="Comma 2 3 4 4 4" xfId="11229"/>
    <cellStyle name="Comma 2 3 4 4 5" xfId="11230"/>
    <cellStyle name="Comma 2 3 4 4 6" xfId="11231"/>
    <cellStyle name="Comma 2 3 4 5" xfId="11232"/>
    <cellStyle name="Comma 2 3 4 5 2" xfId="11233"/>
    <cellStyle name="Comma 2 3 4 5 2 2" xfId="11234"/>
    <cellStyle name="Comma 2 3 4 5 3" xfId="11235"/>
    <cellStyle name="Comma 2 3 4 5 4" xfId="11236"/>
    <cellStyle name="Comma 2 3 4 5 5" xfId="11237"/>
    <cellStyle name="Comma 2 3 4 6" xfId="11238"/>
    <cellStyle name="Comma 2 3 4 6 2" xfId="11239"/>
    <cellStyle name="Comma 2 3 4 6 3" xfId="11240"/>
    <cellStyle name="Comma 2 3 4 6 4" xfId="11241"/>
    <cellStyle name="Comma 2 3 4 7" xfId="11242"/>
    <cellStyle name="Comma 2 3 4 7 2" xfId="11243"/>
    <cellStyle name="Comma 2 3 4 8" xfId="11244"/>
    <cellStyle name="Comma 2 3 4 9" xfId="11245"/>
    <cellStyle name="Comma 2 3 5" xfId="11246"/>
    <cellStyle name="Comma 2 3 5 10" xfId="11247"/>
    <cellStyle name="Comma 2 3 5 11" xfId="11248"/>
    <cellStyle name="Comma 2 3 5 2" xfId="11249"/>
    <cellStyle name="Comma 2 3 5 2 2" xfId="11250"/>
    <cellStyle name="Comma 2 3 5 2 2 2" xfId="11251"/>
    <cellStyle name="Comma 2 3 5 2 2 2 2" xfId="11252"/>
    <cellStyle name="Comma 2 3 5 2 2 2 3" xfId="11253"/>
    <cellStyle name="Comma 2 3 5 2 2 3" xfId="11254"/>
    <cellStyle name="Comma 2 3 5 2 2 4" xfId="11255"/>
    <cellStyle name="Comma 2 3 5 2 2 5" xfId="11256"/>
    <cellStyle name="Comma 2 3 5 2 2 6" xfId="11257"/>
    <cellStyle name="Comma 2 3 5 2 3" xfId="11258"/>
    <cellStyle name="Comma 2 3 5 2 3 2" xfId="11259"/>
    <cellStyle name="Comma 2 3 5 2 3 2 2" xfId="11260"/>
    <cellStyle name="Comma 2 3 5 2 3 3" xfId="11261"/>
    <cellStyle name="Comma 2 3 5 2 3 4" xfId="11262"/>
    <cellStyle name="Comma 2 3 5 2 3 5" xfId="11263"/>
    <cellStyle name="Comma 2 3 5 2 4" xfId="11264"/>
    <cellStyle name="Comma 2 3 5 2 4 2" xfId="11265"/>
    <cellStyle name="Comma 2 3 5 2 4 3" xfId="11266"/>
    <cellStyle name="Comma 2 3 5 2 4 4" xfId="11267"/>
    <cellStyle name="Comma 2 3 5 2 5" xfId="11268"/>
    <cellStyle name="Comma 2 3 5 2 5 2" xfId="11269"/>
    <cellStyle name="Comma 2 3 5 2 6" xfId="11270"/>
    <cellStyle name="Comma 2 3 5 2 7" xfId="11271"/>
    <cellStyle name="Comma 2 3 5 2 8" xfId="11272"/>
    <cellStyle name="Comma 2 3 5 2 9" xfId="11273"/>
    <cellStyle name="Comma 2 3 5 3" xfId="11274"/>
    <cellStyle name="Comma 2 3 5 3 2" xfId="11275"/>
    <cellStyle name="Comma 2 3 5 3 2 2" xfId="11276"/>
    <cellStyle name="Comma 2 3 5 3 2 2 2" xfId="11277"/>
    <cellStyle name="Comma 2 3 5 3 2 2 3" xfId="11278"/>
    <cellStyle name="Comma 2 3 5 3 2 3" xfId="11279"/>
    <cellStyle name="Comma 2 3 5 3 2 4" xfId="11280"/>
    <cellStyle name="Comma 2 3 5 3 2 5" xfId="11281"/>
    <cellStyle name="Comma 2 3 5 3 2 6" xfId="11282"/>
    <cellStyle name="Comma 2 3 5 3 3" xfId="11283"/>
    <cellStyle name="Comma 2 3 5 3 3 2" xfId="11284"/>
    <cellStyle name="Comma 2 3 5 3 3 2 2" xfId="11285"/>
    <cellStyle name="Comma 2 3 5 3 3 3" xfId="11286"/>
    <cellStyle name="Comma 2 3 5 3 3 4" xfId="11287"/>
    <cellStyle name="Comma 2 3 5 3 3 5" xfId="11288"/>
    <cellStyle name="Comma 2 3 5 3 4" xfId="11289"/>
    <cellStyle name="Comma 2 3 5 3 4 2" xfId="11290"/>
    <cellStyle name="Comma 2 3 5 3 4 3" xfId="11291"/>
    <cellStyle name="Comma 2 3 5 3 4 4" xfId="11292"/>
    <cellStyle name="Comma 2 3 5 3 5" xfId="11293"/>
    <cellStyle name="Comma 2 3 5 3 5 2" xfId="11294"/>
    <cellStyle name="Comma 2 3 5 3 6" xfId="11295"/>
    <cellStyle name="Comma 2 3 5 3 7" xfId="11296"/>
    <cellStyle name="Comma 2 3 5 3 8" xfId="11297"/>
    <cellStyle name="Comma 2 3 5 3 9" xfId="11298"/>
    <cellStyle name="Comma 2 3 5 4" xfId="11299"/>
    <cellStyle name="Comma 2 3 5 4 2" xfId="11300"/>
    <cellStyle name="Comma 2 3 5 4 2 2" xfId="11301"/>
    <cellStyle name="Comma 2 3 5 4 2 3" xfId="11302"/>
    <cellStyle name="Comma 2 3 5 4 3" xfId="11303"/>
    <cellStyle name="Comma 2 3 5 4 4" xfId="11304"/>
    <cellStyle name="Comma 2 3 5 4 5" xfId="11305"/>
    <cellStyle name="Comma 2 3 5 4 6" xfId="11306"/>
    <cellStyle name="Comma 2 3 5 5" xfId="11307"/>
    <cellStyle name="Comma 2 3 5 5 2" xfId="11308"/>
    <cellStyle name="Comma 2 3 5 5 2 2" xfId="11309"/>
    <cellStyle name="Comma 2 3 5 5 3" xfId="11310"/>
    <cellStyle name="Comma 2 3 5 5 4" xfId="11311"/>
    <cellStyle name="Comma 2 3 5 5 5" xfId="11312"/>
    <cellStyle name="Comma 2 3 5 6" xfId="11313"/>
    <cellStyle name="Comma 2 3 5 6 2" xfId="11314"/>
    <cellStyle name="Comma 2 3 5 6 3" xfId="11315"/>
    <cellStyle name="Comma 2 3 5 6 4" xfId="11316"/>
    <cellStyle name="Comma 2 3 5 7" xfId="11317"/>
    <cellStyle name="Comma 2 3 5 7 2" xfId="11318"/>
    <cellStyle name="Comma 2 3 5 8" xfId="11319"/>
    <cellStyle name="Comma 2 3 5 9" xfId="11320"/>
    <cellStyle name="Comma 2 3 6" xfId="11321"/>
    <cellStyle name="Comma 2 3 6 10" xfId="11322"/>
    <cellStyle name="Comma 2 3 6 11" xfId="11323"/>
    <cellStyle name="Comma 2 3 6 2" xfId="11324"/>
    <cellStyle name="Comma 2 3 6 2 2" xfId="11325"/>
    <cellStyle name="Comma 2 3 6 2 2 2" xfId="11326"/>
    <cellStyle name="Comma 2 3 6 2 2 2 2" xfId="11327"/>
    <cellStyle name="Comma 2 3 6 2 2 2 3" xfId="11328"/>
    <cellStyle name="Comma 2 3 6 2 2 3" xfId="11329"/>
    <cellStyle name="Comma 2 3 6 2 2 4" xfId="11330"/>
    <cellStyle name="Comma 2 3 6 2 2 5" xfId="11331"/>
    <cellStyle name="Comma 2 3 6 2 2 6" xfId="11332"/>
    <cellStyle name="Comma 2 3 6 2 3" xfId="11333"/>
    <cellStyle name="Comma 2 3 6 2 3 2" xfId="11334"/>
    <cellStyle name="Comma 2 3 6 2 3 2 2" xfId="11335"/>
    <cellStyle name="Comma 2 3 6 2 3 3" xfId="11336"/>
    <cellStyle name="Comma 2 3 6 2 3 4" xfId="11337"/>
    <cellStyle name="Comma 2 3 6 2 3 5" xfId="11338"/>
    <cellStyle name="Comma 2 3 6 2 4" xfId="11339"/>
    <cellStyle name="Comma 2 3 6 2 4 2" xfId="11340"/>
    <cellStyle name="Comma 2 3 6 2 4 3" xfId="11341"/>
    <cellStyle name="Comma 2 3 6 2 4 4" xfId="11342"/>
    <cellStyle name="Comma 2 3 6 2 5" xfId="11343"/>
    <cellStyle name="Comma 2 3 6 2 5 2" xfId="11344"/>
    <cellStyle name="Comma 2 3 6 2 6" xfId="11345"/>
    <cellStyle name="Comma 2 3 6 2 7" xfId="11346"/>
    <cellStyle name="Comma 2 3 6 2 8" xfId="11347"/>
    <cellStyle name="Comma 2 3 6 2 9" xfId="11348"/>
    <cellStyle name="Comma 2 3 6 3" xfId="11349"/>
    <cellStyle name="Comma 2 3 6 3 2" xfId="11350"/>
    <cellStyle name="Comma 2 3 6 3 2 2" xfId="11351"/>
    <cellStyle name="Comma 2 3 6 3 2 2 2" xfId="11352"/>
    <cellStyle name="Comma 2 3 6 3 2 2 3" xfId="11353"/>
    <cellStyle name="Comma 2 3 6 3 2 3" xfId="11354"/>
    <cellStyle name="Comma 2 3 6 3 2 4" xfId="11355"/>
    <cellStyle name="Comma 2 3 6 3 2 5" xfId="11356"/>
    <cellStyle name="Comma 2 3 6 3 2 6" xfId="11357"/>
    <cellStyle name="Comma 2 3 6 3 3" xfId="11358"/>
    <cellStyle name="Comma 2 3 6 3 3 2" xfId="11359"/>
    <cellStyle name="Comma 2 3 6 3 3 2 2" xfId="11360"/>
    <cellStyle name="Comma 2 3 6 3 3 3" xfId="11361"/>
    <cellStyle name="Comma 2 3 6 3 3 4" xfId="11362"/>
    <cellStyle name="Comma 2 3 6 3 3 5" xfId="11363"/>
    <cellStyle name="Comma 2 3 6 3 4" xfId="11364"/>
    <cellStyle name="Comma 2 3 6 3 4 2" xfId="11365"/>
    <cellStyle name="Comma 2 3 6 3 4 3" xfId="11366"/>
    <cellStyle name="Comma 2 3 6 3 4 4" xfId="11367"/>
    <cellStyle name="Comma 2 3 6 3 5" xfId="11368"/>
    <cellStyle name="Comma 2 3 6 3 5 2" xfId="11369"/>
    <cellStyle name="Comma 2 3 6 3 6" xfId="11370"/>
    <cellStyle name="Comma 2 3 6 3 7" xfId="11371"/>
    <cellStyle name="Comma 2 3 6 3 8" xfId="11372"/>
    <cellStyle name="Comma 2 3 6 3 9" xfId="11373"/>
    <cellStyle name="Comma 2 3 6 4" xfId="11374"/>
    <cellStyle name="Comma 2 3 6 4 2" xfId="11375"/>
    <cellStyle name="Comma 2 3 6 4 2 2" xfId="11376"/>
    <cellStyle name="Comma 2 3 6 4 2 3" xfId="11377"/>
    <cellStyle name="Comma 2 3 6 4 3" xfId="11378"/>
    <cellStyle name="Comma 2 3 6 4 4" xfId="11379"/>
    <cellStyle name="Comma 2 3 6 4 5" xfId="11380"/>
    <cellStyle name="Comma 2 3 6 4 6" xfId="11381"/>
    <cellStyle name="Comma 2 3 6 5" xfId="11382"/>
    <cellStyle name="Comma 2 3 6 5 2" xfId="11383"/>
    <cellStyle name="Comma 2 3 6 5 2 2" xfId="11384"/>
    <cellStyle name="Comma 2 3 6 5 3" xfId="11385"/>
    <cellStyle name="Comma 2 3 6 5 4" xfId="11386"/>
    <cellStyle name="Comma 2 3 6 5 5" xfId="11387"/>
    <cellStyle name="Comma 2 3 6 6" xfId="11388"/>
    <cellStyle name="Comma 2 3 6 6 2" xfId="11389"/>
    <cellStyle name="Comma 2 3 6 6 3" xfId="11390"/>
    <cellStyle name="Comma 2 3 6 6 4" xfId="11391"/>
    <cellStyle name="Comma 2 3 6 7" xfId="11392"/>
    <cellStyle name="Comma 2 3 6 7 2" xfId="11393"/>
    <cellStyle name="Comma 2 3 6 8" xfId="11394"/>
    <cellStyle name="Comma 2 3 6 9" xfId="11395"/>
    <cellStyle name="Comma 2 3 7" xfId="11396"/>
    <cellStyle name="Comma 2 3 7 10" xfId="11397"/>
    <cellStyle name="Comma 2 3 7 11" xfId="11398"/>
    <cellStyle name="Comma 2 3 7 2" xfId="11399"/>
    <cellStyle name="Comma 2 3 7 2 2" xfId="11400"/>
    <cellStyle name="Comma 2 3 7 2 2 2" xfId="11401"/>
    <cellStyle name="Comma 2 3 7 2 2 2 2" xfId="11402"/>
    <cellStyle name="Comma 2 3 7 2 2 2 3" xfId="11403"/>
    <cellStyle name="Comma 2 3 7 2 2 3" xfId="11404"/>
    <cellStyle name="Comma 2 3 7 2 2 4" xfId="11405"/>
    <cellStyle name="Comma 2 3 7 2 2 5" xfId="11406"/>
    <cellStyle name="Comma 2 3 7 2 2 6" xfId="11407"/>
    <cellStyle name="Comma 2 3 7 2 3" xfId="11408"/>
    <cellStyle name="Comma 2 3 7 2 3 2" xfId="11409"/>
    <cellStyle name="Comma 2 3 7 2 3 2 2" xfId="11410"/>
    <cellStyle name="Comma 2 3 7 2 3 3" xfId="11411"/>
    <cellStyle name="Comma 2 3 7 2 3 4" xfId="11412"/>
    <cellStyle name="Comma 2 3 7 2 3 5" xfId="11413"/>
    <cellStyle name="Comma 2 3 7 2 4" xfId="11414"/>
    <cellStyle name="Comma 2 3 7 2 4 2" xfId="11415"/>
    <cellStyle name="Comma 2 3 7 2 4 3" xfId="11416"/>
    <cellStyle name="Comma 2 3 7 2 4 4" xfId="11417"/>
    <cellStyle name="Comma 2 3 7 2 5" xfId="11418"/>
    <cellStyle name="Comma 2 3 7 2 5 2" xfId="11419"/>
    <cellStyle name="Comma 2 3 7 2 6" xfId="11420"/>
    <cellStyle name="Comma 2 3 7 2 7" xfId="11421"/>
    <cellStyle name="Comma 2 3 7 2 8" xfId="11422"/>
    <cellStyle name="Comma 2 3 7 2 9" xfId="11423"/>
    <cellStyle name="Comma 2 3 7 3" xfId="11424"/>
    <cellStyle name="Comma 2 3 7 3 2" xfId="11425"/>
    <cellStyle name="Comma 2 3 7 3 2 2" xfId="11426"/>
    <cellStyle name="Comma 2 3 7 3 2 2 2" xfId="11427"/>
    <cellStyle name="Comma 2 3 7 3 2 2 3" xfId="11428"/>
    <cellStyle name="Comma 2 3 7 3 2 3" xfId="11429"/>
    <cellStyle name="Comma 2 3 7 3 2 4" xfId="11430"/>
    <cellStyle name="Comma 2 3 7 3 2 5" xfId="11431"/>
    <cellStyle name="Comma 2 3 7 3 2 6" xfId="11432"/>
    <cellStyle name="Comma 2 3 7 3 3" xfId="11433"/>
    <cellStyle name="Comma 2 3 7 3 3 2" xfId="11434"/>
    <cellStyle name="Comma 2 3 7 3 3 2 2" xfId="11435"/>
    <cellStyle name="Comma 2 3 7 3 3 3" xfId="11436"/>
    <cellStyle name="Comma 2 3 7 3 3 4" xfId="11437"/>
    <cellStyle name="Comma 2 3 7 3 3 5" xfId="11438"/>
    <cellStyle name="Comma 2 3 7 3 4" xfId="11439"/>
    <cellStyle name="Comma 2 3 7 3 4 2" xfId="11440"/>
    <cellStyle name="Comma 2 3 7 3 4 3" xfId="11441"/>
    <cellStyle name="Comma 2 3 7 3 4 4" xfId="11442"/>
    <cellStyle name="Comma 2 3 7 3 5" xfId="11443"/>
    <cellStyle name="Comma 2 3 7 3 5 2" xfId="11444"/>
    <cellStyle name="Comma 2 3 7 3 6" xfId="11445"/>
    <cellStyle name="Comma 2 3 7 3 7" xfId="11446"/>
    <cellStyle name="Comma 2 3 7 3 8" xfId="11447"/>
    <cellStyle name="Comma 2 3 7 3 9" xfId="11448"/>
    <cellStyle name="Comma 2 3 7 4" xfId="11449"/>
    <cellStyle name="Comma 2 3 7 4 2" xfId="11450"/>
    <cellStyle name="Comma 2 3 7 4 2 2" xfId="11451"/>
    <cellStyle name="Comma 2 3 7 4 2 3" xfId="11452"/>
    <cellStyle name="Comma 2 3 7 4 3" xfId="11453"/>
    <cellStyle name="Comma 2 3 7 4 4" xfId="11454"/>
    <cellStyle name="Comma 2 3 7 4 5" xfId="11455"/>
    <cellStyle name="Comma 2 3 7 4 6" xfId="11456"/>
    <cellStyle name="Comma 2 3 7 5" xfId="11457"/>
    <cellStyle name="Comma 2 3 7 5 2" xfId="11458"/>
    <cellStyle name="Comma 2 3 7 5 2 2" xfId="11459"/>
    <cellStyle name="Comma 2 3 7 5 3" xfId="11460"/>
    <cellStyle name="Comma 2 3 7 5 4" xfId="11461"/>
    <cellStyle name="Comma 2 3 7 5 5" xfId="11462"/>
    <cellStyle name="Comma 2 3 7 6" xfId="11463"/>
    <cellStyle name="Comma 2 3 7 6 2" xfId="11464"/>
    <cellStyle name="Comma 2 3 7 6 3" xfId="11465"/>
    <cellStyle name="Comma 2 3 7 6 4" xfId="11466"/>
    <cellStyle name="Comma 2 3 7 7" xfId="11467"/>
    <cellStyle name="Comma 2 3 7 7 2" xfId="11468"/>
    <cellStyle name="Comma 2 3 7 8" xfId="11469"/>
    <cellStyle name="Comma 2 3 7 9" xfId="11470"/>
    <cellStyle name="Comma 2 3 8" xfId="11471"/>
    <cellStyle name="Comma 2 3 8 10" xfId="11472"/>
    <cellStyle name="Comma 2 3 8 11" xfId="11473"/>
    <cellStyle name="Comma 2 3 8 2" xfId="11474"/>
    <cellStyle name="Comma 2 3 8 2 2" xfId="11475"/>
    <cellStyle name="Comma 2 3 8 2 2 2" xfId="11476"/>
    <cellStyle name="Comma 2 3 8 2 2 2 2" xfId="11477"/>
    <cellStyle name="Comma 2 3 8 2 2 2 3" xfId="11478"/>
    <cellStyle name="Comma 2 3 8 2 2 3" xfId="11479"/>
    <cellStyle name="Comma 2 3 8 2 2 4" xfId="11480"/>
    <cellStyle name="Comma 2 3 8 2 2 5" xfId="11481"/>
    <cellStyle name="Comma 2 3 8 2 2 6" xfId="11482"/>
    <cellStyle name="Comma 2 3 8 2 3" xfId="11483"/>
    <cellStyle name="Comma 2 3 8 2 3 2" xfId="11484"/>
    <cellStyle name="Comma 2 3 8 2 3 2 2" xfId="11485"/>
    <cellStyle name="Comma 2 3 8 2 3 3" xfId="11486"/>
    <cellStyle name="Comma 2 3 8 2 3 4" xfId="11487"/>
    <cellStyle name="Comma 2 3 8 2 3 5" xfId="11488"/>
    <cellStyle name="Comma 2 3 8 2 4" xfId="11489"/>
    <cellStyle name="Comma 2 3 8 2 4 2" xfId="11490"/>
    <cellStyle name="Comma 2 3 8 2 4 3" xfId="11491"/>
    <cellStyle name="Comma 2 3 8 2 4 4" xfId="11492"/>
    <cellStyle name="Comma 2 3 8 2 5" xfId="11493"/>
    <cellStyle name="Comma 2 3 8 2 5 2" xfId="11494"/>
    <cellStyle name="Comma 2 3 8 2 6" xfId="11495"/>
    <cellStyle name="Comma 2 3 8 2 7" xfId="11496"/>
    <cellStyle name="Comma 2 3 8 2 8" xfId="11497"/>
    <cellStyle name="Comma 2 3 8 2 9" xfId="11498"/>
    <cellStyle name="Comma 2 3 8 3" xfId="11499"/>
    <cellStyle name="Comma 2 3 8 3 2" xfId="11500"/>
    <cellStyle name="Comma 2 3 8 3 2 2" xfId="11501"/>
    <cellStyle name="Comma 2 3 8 3 2 2 2" xfId="11502"/>
    <cellStyle name="Comma 2 3 8 3 2 2 3" xfId="11503"/>
    <cellStyle name="Comma 2 3 8 3 2 3" xfId="11504"/>
    <cellStyle name="Comma 2 3 8 3 2 4" xfId="11505"/>
    <cellStyle name="Comma 2 3 8 3 2 5" xfId="11506"/>
    <cellStyle name="Comma 2 3 8 3 2 6" xfId="11507"/>
    <cellStyle name="Comma 2 3 8 3 3" xfId="11508"/>
    <cellStyle name="Comma 2 3 8 3 3 2" xfId="11509"/>
    <cellStyle name="Comma 2 3 8 3 3 2 2" xfId="11510"/>
    <cellStyle name="Comma 2 3 8 3 3 3" xfId="11511"/>
    <cellStyle name="Comma 2 3 8 3 3 4" xfId="11512"/>
    <cellStyle name="Comma 2 3 8 3 3 5" xfId="11513"/>
    <cellStyle name="Comma 2 3 8 3 4" xfId="11514"/>
    <cellStyle name="Comma 2 3 8 3 4 2" xfId="11515"/>
    <cellStyle name="Comma 2 3 8 3 4 3" xfId="11516"/>
    <cellStyle name="Comma 2 3 8 3 4 4" xfId="11517"/>
    <cellStyle name="Comma 2 3 8 3 5" xfId="11518"/>
    <cellStyle name="Comma 2 3 8 3 5 2" xfId="11519"/>
    <cellStyle name="Comma 2 3 8 3 6" xfId="11520"/>
    <cellStyle name="Comma 2 3 8 3 7" xfId="11521"/>
    <cellStyle name="Comma 2 3 8 3 8" xfId="11522"/>
    <cellStyle name="Comma 2 3 8 3 9" xfId="11523"/>
    <cellStyle name="Comma 2 3 8 4" xfId="11524"/>
    <cellStyle name="Comma 2 3 8 4 2" xfId="11525"/>
    <cellStyle name="Comma 2 3 8 4 2 2" xfId="11526"/>
    <cellStyle name="Comma 2 3 8 4 2 3" xfId="11527"/>
    <cellStyle name="Comma 2 3 8 4 3" xfId="11528"/>
    <cellStyle name="Comma 2 3 8 4 4" xfId="11529"/>
    <cellStyle name="Comma 2 3 8 4 5" xfId="11530"/>
    <cellStyle name="Comma 2 3 8 4 6" xfId="11531"/>
    <cellStyle name="Comma 2 3 8 5" xfId="11532"/>
    <cellStyle name="Comma 2 3 8 5 2" xfId="11533"/>
    <cellStyle name="Comma 2 3 8 5 2 2" xfId="11534"/>
    <cellStyle name="Comma 2 3 8 5 3" xfId="11535"/>
    <cellStyle name="Comma 2 3 8 5 4" xfId="11536"/>
    <cellStyle name="Comma 2 3 8 5 5" xfId="11537"/>
    <cellStyle name="Comma 2 3 8 6" xfId="11538"/>
    <cellStyle name="Comma 2 3 8 6 2" xfId="11539"/>
    <cellStyle name="Comma 2 3 8 6 3" xfId="11540"/>
    <cellStyle name="Comma 2 3 8 6 4" xfId="11541"/>
    <cellStyle name="Comma 2 3 8 7" xfId="11542"/>
    <cellStyle name="Comma 2 3 8 7 2" xfId="11543"/>
    <cellStyle name="Comma 2 3 8 8" xfId="11544"/>
    <cellStyle name="Comma 2 3 8 9" xfId="11545"/>
    <cellStyle name="Comma 2 3 9" xfId="11546"/>
    <cellStyle name="Comma 2 3 9 10" xfId="11547"/>
    <cellStyle name="Comma 2 3 9 11" xfId="11548"/>
    <cellStyle name="Comma 2 3 9 2" xfId="11549"/>
    <cellStyle name="Comma 2 3 9 2 2" xfId="11550"/>
    <cellStyle name="Comma 2 3 9 2 2 2" xfId="11551"/>
    <cellStyle name="Comma 2 3 9 2 2 2 2" xfId="11552"/>
    <cellStyle name="Comma 2 3 9 2 2 2 3" xfId="11553"/>
    <cellStyle name="Comma 2 3 9 2 2 3" xfId="11554"/>
    <cellStyle name="Comma 2 3 9 2 2 4" xfId="11555"/>
    <cellStyle name="Comma 2 3 9 2 2 5" xfId="11556"/>
    <cellStyle name="Comma 2 3 9 2 2 6" xfId="11557"/>
    <cellStyle name="Comma 2 3 9 2 3" xfId="11558"/>
    <cellStyle name="Comma 2 3 9 2 3 2" xfId="11559"/>
    <cellStyle name="Comma 2 3 9 2 3 2 2" xfId="11560"/>
    <cellStyle name="Comma 2 3 9 2 3 3" xfId="11561"/>
    <cellStyle name="Comma 2 3 9 2 3 4" xfId="11562"/>
    <cellStyle name="Comma 2 3 9 2 3 5" xfId="11563"/>
    <cellStyle name="Comma 2 3 9 2 4" xfId="11564"/>
    <cellStyle name="Comma 2 3 9 2 4 2" xfId="11565"/>
    <cellStyle name="Comma 2 3 9 2 4 3" xfId="11566"/>
    <cellStyle name="Comma 2 3 9 2 4 4" xfId="11567"/>
    <cellStyle name="Comma 2 3 9 2 5" xfId="11568"/>
    <cellStyle name="Comma 2 3 9 2 5 2" xfId="11569"/>
    <cellStyle name="Comma 2 3 9 2 6" xfId="11570"/>
    <cellStyle name="Comma 2 3 9 2 7" xfId="11571"/>
    <cellStyle name="Comma 2 3 9 2 8" xfId="11572"/>
    <cellStyle name="Comma 2 3 9 2 9" xfId="11573"/>
    <cellStyle name="Comma 2 3 9 3" xfId="11574"/>
    <cellStyle name="Comma 2 3 9 3 2" xfId="11575"/>
    <cellStyle name="Comma 2 3 9 3 2 2" xfId="11576"/>
    <cellStyle name="Comma 2 3 9 3 2 2 2" xfId="11577"/>
    <cellStyle name="Comma 2 3 9 3 2 2 3" xfId="11578"/>
    <cellStyle name="Comma 2 3 9 3 2 3" xfId="11579"/>
    <cellStyle name="Comma 2 3 9 3 2 4" xfId="11580"/>
    <cellStyle name="Comma 2 3 9 3 2 5" xfId="11581"/>
    <cellStyle name="Comma 2 3 9 3 2 6" xfId="11582"/>
    <cellStyle name="Comma 2 3 9 3 3" xfId="11583"/>
    <cellStyle name="Comma 2 3 9 3 3 2" xfId="11584"/>
    <cellStyle name="Comma 2 3 9 3 3 2 2" xfId="11585"/>
    <cellStyle name="Comma 2 3 9 3 3 3" xfId="11586"/>
    <cellStyle name="Comma 2 3 9 3 3 4" xfId="11587"/>
    <cellStyle name="Comma 2 3 9 3 3 5" xfId="11588"/>
    <cellStyle name="Comma 2 3 9 3 4" xfId="11589"/>
    <cellStyle name="Comma 2 3 9 3 4 2" xfId="11590"/>
    <cellStyle name="Comma 2 3 9 3 4 3" xfId="11591"/>
    <cellStyle name="Comma 2 3 9 3 4 4" xfId="11592"/>
    <cellStyle name="Comma 2 3 9 3 5" xfId="11593"/>
    <cellStyle name="Comma 2 3 9 3 5 2" xfId="11594"/>
    <cellStyle name="Comma 2 3 9 3 6" xfId="11595"/>
    <cellStyle name="Comma 2 3 9 3 7" xfId="11596"/>
    <cellStyle name="Comma 2 3 9 3 8" xfId="11597"/>
    <cellStyle name="Comma 2 3 9 3 9" xfId="11598"/>
    <cellStyle name="Comma 2 3 9 4" xfId="11599"/>
    <cellStyle name="Comma 2 3 9 4 2" xfId="11600"/>
    <cellStyle name="Comma 2 3 9 4 2 2" xfId="11601"/>
    <cellStyle name="Comma 2 3 9 4 2 3" xfId="11602"/>
    <cellStyle name="Comma 2 3 9 4 3" xfId="11603"/>
    <cellStyle name="Comma 2 3 9 4 4" xfId="11604"/>
    <cellStyle name="Comma 2 3 9 4 5" xfId="11605"/>
    <cellStyle name="Comma 2 3 9 4 6" xfId="11606"/>
    <cellStyle name="Comma 2 3 9 5" xfId="11607"/>
    <cellStyle name="Comma 2 3 9 5 2" xfId="11608"/>
    <cellStyle name="Comma 2 3 9 5 2 2" xfId="11609"/>
    <cellStyle name="Comma 2 3 9 5 3" xfId="11610"/>
    <cellStyle name="Comma 2 3 9 5 4" xfId="11611"/>
    <cellStyle name="Comma 2 3 9 5 5" xfId="11612"/>
    <cellStyle name="Comma 2 3 9 6" xfId="11613"/>
    <cellStyle name="Comma 2 3 9 6 2" xfId="11614"/>
    <cellStyle name="Comma 2 3 9 6 3" xfId="11615"/>
    <cellStyle name="Comma 2 3 9 6 4" xfId="11616"/>
    <cellStyle name="Comma 2 3 9 7" xfId="11617"/>
    <cellStyle name="Comma 2 3 9 7 2" xfId="11618"/>
    <cellStyle name="Comma 2 3 9 8" xfId="11619"/>
    <cellStyle name="Comma 2 3 9 9" xfId="11620"/>
    <cellStyle name="Comma 2 30" xfId="11621"/>
    <cellStyle name="Comma 2 30 10" xfId="11622"/>
    <cellStyle name="Comma 2 30 2" xfId="11623"/>
    <cellStyle name="Comma 2 30 2 2" xfId="11624"/>
    <cellStyle name="Comma 2 30 2 2 2" xfId="11625"/>
    <cellStyle name="Comma 2 30 2 2 3" xfId="11626"/>
    <cellStyle name="Comma 2 30 2 3" xfId="11627"/>
    <cellStyle name="Comma 2 30 2 4" xfId="11628"/>
    <cellStyle name="Comma 2 30 2 5" xfId="11629"/>
    <cellStyle name="Comma 2 30 2 6" xfId="11630"/>
    <cellStyle name="Comma 2 30 3" xfId="11631"/>
    <cellStyle name="Comma 2 30 3 2" xfId="11632"/>
    <cellStyle name="Comma 2 30 3 2 2" xfId="11633"/>
    <cellStyle name="Comma 2 30 3 2 3" xfId="11634"/>
    <cellStyle name="Comma 2 30 3 3" xfId="11635"/>
    <cellStyle name="Comma 2 30 3 4" xfId="11636"/>
    <cellStyle name="Comma 2 30 3 5" xfId="11637"/>
    <cellStyle name="Comma 2 30 3 6" xfId="11638"/>
    <cellStyle name="Comma 2 30 4" xfId="11639"/>
    <cellStyle name="Comma 2 30 4 2" xfId="11640"/>
    <cellStyle name="Comma 2 30 4 2 2" xfId="11641"/>
    <cellStyle name="Comma 2 30 4 3" xfId="11642"/>
    <cellStyle name="Comma 2 30 4 4" xfId="11643"/>
    <cellStyle name="Comma 2 30 4 5" xfId="11644"/>
    <cellStyle name="Comma 2 30 4 6" xfId="11645"/>
    <cellStyle name="Comma 2 30 5" xfId="11646"/>
    <cellStyle name="Comma 2 30 5 2" xfId="11647"/>
    <cellStyle name="Comma 2 30 5 3" xfId="11648"/>
    <cellStyle name="Comma 2 30 5 4" xfId="11649"/>
    <cellStyle name="Comma 2 30 5 5" xfId="11650"/>
    <cellStyle name="Comma 2 30 6" xfId="11651"/>
    <cellStyle name="Comma 2 30 6 2" xfId="11652"/>
    <cellStyle name="Comma 2 30 6 3" xfId="11653"/>
    <cellStyle name="Comma 2 30 7" xfId="11654"/>
    <cellStyle name="Comma 2 30 7 2" xfId="11655"/>
    <cellStyle name="Comma 2 30 8" xfId="11656"/>
    <cellStyle name="Comma 2 30 9" xfId="11657"/>
    <cellStyle name="Comma 2 31" xfId="11658"/>
    <cellStyle name="Comma 2 31 10" xfId="11659"/>
    <cellStyle name="Comma 2 31 2" xfId="11660"/>
    <cellStyle name="Comma 2 31 2 2" xfId="11661"/>
    <cellStyle name="Comma 2 31 2 2 2" xfId="11662"/>
    <cellStyle name="Comma 2 31 2 2 3" xfId="11663"/>
    <cellStyle name="Comma 2 31 2 3" xfId="11664"/>
    <cellStyle name="Comma 2 31 2 4" xfId="11665"/>
    <cellStyle name="Comma 2 31 2 5" xfId="11666"/>
    <cellStyle name="Comma 2 31 2 6" xfId="11667"/>
    <cellStyle name="Comma 2 31 3" xfId="11668"/>
    <cellStyle name="Comma 2 31 3 2" xfId="11669"/>
    <cellStyle name="Comma 2 31 3 2 2" xfId="11670"/>
    <cellStyle name="Comma 2 31 3 2 3" xfId="11671"/>
    <cellStyle name="Comma 2 31 3 3" xfId="11672"/>
    <cellStyle name="Comma 2 31 3 4" xfId="11673"/>
    <cellStyle name="Comma 2 31 3 5" xfId="11674"/>
    <cellStyle name="Comma 2 31 3 6" xfId="11675"/>
    <cellStyle name="Comma 2 31 4" xfId="11676"/>
    <cellStyle name="Comma 2 31 4 2" xfId="11677"/>
    <cellStyle name="Comma 2 31 4 2 2" xfId="11678"/>
    <cellStyle name="Comma 2 31 4 3" xfId="11679"/>
    <cellStyle name="Comma 2 31 4 4" xfId="11680"/>
    <cellStyle name="Comma 2 31 4 5" xfId="11681"/>
    <cellStyle name="Comma 2 31 4 6" xfId="11682"/>
    <cellStyle name="Comma 2 31 5" xfId="11683"/>
    <cellStyle name="Comma 2 31 5 2" xfId="11684"/>
    <cellStyle name="Comma 2 31 5 3" xfId="11685"/>
    <cellStyle name="Comma 2 31 5 4" xfId="11686"/>
    <cellStyle name="Comma 2 31 5 5" xfId="11687"/>
    <cellStyle name="Comma 2 31 6" xfId="11688"/>
    <cellStyle name="Comma 2 31 6 2" xfId="11689"/>
    <cellStyle name="Comma 2 31 6 3" xfId="11690"/>
    <cellStyle name="Comma 2 31 7" xfId="11691"/>
    <cellStyle name="Comma 2 31 7 2" xfId="11692"/>
    <cellStyle name="Comma 2 31 8" xfId="11693"/>
    <cellStyle name="Comma 2 31 9" xfId="11694"/>
    <cellStyle name="Comma 2 32" xfId="11695"/>
    <cellStyle name="Comma 2 32 10" xfId="11696"/>
    <cellStyle name="Comma 2 32 2" xfId="11697"/>
    <cellStyle name="Comma 2 32 2 2" xfId="11698"/>
    <cellStyle name="Comma 2 32 2 2 2" xfId="11699"/>
    <cellStyle name="Comma 2 32 2 2 3" xfId="11700"/>
    <cellStyle name="Comma 2 32 2 3" xfId="11701"/>
    <cellStyle name="Comma 2 32 2 4" xfId="11702"/>
    <cellStyle name="Comma 2 32 2 5" xfId="11703"/>
    <cellStyle name="Comma 2 32 2 6" xfId="11704"/>
    <cellStyle name="Comma 2 32 3" xfId="11705"/>
    <cellStyle name="Comma 2 32 3 2" xfId="11706"/>
    <cellStyle name="Comma 2 32 3 2 2" xfId="11707"/>
    <cellStyle name="Comma 2 32 3 2 3" xfId="11708"/>
    <cellStyle name="Comma 2 32 3 3" xfId="11709"/>
    <cellStyle name="Comma 2 32 3 4" xfId="11710"/>
    <cellStyle name="Comma 2 32 3 5" xfId="11711"/>
    <cellStyle name="Comma 2 32 3 6" xfId="11712"/>
    <cellStyle name="Comma 2 32 4" xfId="11713"/>
    <cellStyle name="Comma 2 32 4 2" xfId="11714"/>
    <cellStyle name="Comma 2 32 4 2 2" xfId="11715"/>
    <cellStyle name="Comma 2 32 4 3" xfId="11716"/>
    <cellStyle name="Comma 2 32 4 4" xfId="11717"/>
    <cellStyle name="Comma 2 32 4 5" xfId="11718"/>
    <cellStyle name="Comma 2 32 4 6" xfId="11719"/>
    <cellStyle name="Comma 2 32 5" xfId="11720"/>
    <cellStyle name="Comma 2 32 5 2" xfId="11721"/>
    <cellStyle name="Comma 2 32 5 3" xfId="11722"/>
    <cellStyle name="Comma 2 32 5 4" xfId="11723"/>
    <cellStyle name="Comma 2 32 5 5" xfId="11724"/>
    <cellStyle name="Comma 2 32 6" xfId="11725"/>
    <cellStyle name="Comma 2 32 6 2" xfId="11726"/>
    <cellStyle name="Comma 2 32 6 3" xfId="11727"/>
    <cellStyle name="Comma 2 32 7" xfId="11728"/>
    <cellStyle name="Comma 2 32 7 2" xfId="11729"/>
    <cellStyle name="Comma 2 32 8" xfId="11730"/>
    <cellStyle name="Comma 2 32 9" xfId="11731"/>
    <cellStyle name="Comma 2 33" xfId="11732"/>
    <cellStyle name="Comma 2 33 10" xfId="11733"/>
    <cellStyle name="Comma 2 33 2" xfId="11734"/>
    <cellStyle name="Comma 2 33 2 2" xfId="11735"/>
    <cellStyle name="Comma 2 33 2 2 2" xfId="11736"/>
    <cellStyle name="Comma 2 33 2 2 3" xfId="11737"/>
    <cellStyle name="Comma 2 33 2 3" xfId="11738"/>
    <cellStyle name="Comma 2 33 2 4" xfId="11739"/>
    <cellStyle name="Comma 2 33 2 5" xfId="11740"/>
    <cellStyle name="Comma 2 33 2 6" xfId="11741"/>
    <cellStyle name="Comma 2 33 3" xfId="11742"/>
    <cellStyle name="Comma 2 33 3 2" xfId="11743"/>
    <cellStyle name="Comma 2 33 3 2 2" xfId="11744"/>
    <cellStyle name="Comma 2 33 3 2 3" xfId="11745"/>
    <cellStyle name="Comma 2 33 3 3" xfId="11746"/>
    <cellStyle name="Comma 2 33 3 4" xfId="11747"/>
    <cellStyle name="Comma 2 33 3 5" xfId="11748"/>
    <cellStyle name="Comma 2 33 3 6" xfId="11749"/>
    <cellStyle name="Comma 2 33 4" xfId="11750"/>
    <cellStyle name="Comma 2 33 4 2" xfId="11751"/>
    <cellStyle name="Comma 2 33 4 2 2" xfId="11752"/>
    <cellStyle name="Comma 2 33 4 3" xfId="11753"/>
    <cellStyle name="Comma 2 33 4 4" xfId="11754"/>
    <cellStyle name="Comma 2 33 4 5" xfId="11755"/>
    <cellStyle name="Comma 2 33 4 6" xfId="11756"/>
    <cellStyle name="Comma 2 33 5" xfId="11757"/>
    <cellStyle name="Comma 2 33 5 2" xfId="11758"/>
    <cellStyle name="Comma 2 33 5 3" xfId="11759"/>
    <cellStyle name="Comma 2 33 5 4" xfId="11760"/>
    <cellStyle name="Comma 2 33 5 5" xfId="11761"/>
    <cellStyle name="Comma 2 33 6" xfId="11762"/>
    <cellStyle name="Comma 2 33 6 2" xfId="11763"/>
    <cellStyle name="Comma 2 33 6 3" xfId="11764"/>
    <cellStyle name="Comma 2 33 7" xfId="11765"/>
    <cellStyle name="Comma 2 33 7 2" xfId="11766"/>
    <cellStyle name="Comma 2 33 8" xfId="11767"/>
    <cellStyle name="Comma 2 33 9" xfId="11768"/>
    <cellStyle name="Comma 2 34" xfId="11769"/>
    <cellStyle name="Comma 2 34 10" xfId="11770"/>
    <cellStyle name="Comma 2 34 2" xfId="11771"/>
    <cellStyle name="Comma 2 34 2 2" xfId="11772"/>
    <cellStyle name="Comma 2 34 2 2 2" xfId="11773"/>
    <cellStyle name="Comma 2 34 2 2 3" xfId="11774"/>
    <cellStyle name="Comma 2 34 2 3" xfId="11775"/>
    <cellStyle name="Comma 2 34 2 4" xfId="11776"/>
    <cellStyle name="Comma 2 34 2 5" xfId="11777"/>
    <cellStyle name="Comma 2 34 2 6" xfId="11778"/>
    <cellStyle name="Comma 2 34 3" xfId="11779"/>
    <cellStyle name="Comma 2 34 3 2" xfId="11780"/>
    <cellStyle name="Comma 2 34 3 2 2" xfId="11781"/>
    <cellStyle name="Comma 2 34 3 2 3" xfId="11782"/>
    <cellStyle name="Comma 2 34 3 3" xfId="11783"/>
    <cellStyle name="Comma 2 34 3 4" xfId="11784"/>
    <cellStyle name="Comma 2 34 3 5" xfId="11785"/>
    <cellStyle name="Comma 2 34 3 6" xfId="11786"/>
    <cellStyle name="Comma 2 34 4" xfId="11787"/>
    <cellStyle name="Comma 2 34 4 2" xfId="11788"/>
    <cellStyle name="Comma 2 34 4 2 2" xfId="11789"/>
    <cellStyle name="Comma 2 34 4 3" xfId="11790"/>
    <cellStyle name="Comma 2 34 4 4" xfId="11791"/>
    <cellStyle name="Comma 2 34 4 5" xfId="11792"/>
    <cellStyle name="Comma 2 34 4 6" xfId="11793"/>
    <cellStyle name="Comma 2 34 5" xfId="11794"/>
    <cellStyle name="Comma 2 34 5 2" xfId="11795"/>
    <cellStyle name="Comma 2 34 5 3" xfId="11796"/>
    <cellStyle name="Comma 2 34 5 4" xfId="11797"/>
    <cellStyle name="Comma 2 34 5 5" xfId="11798"/>
    <cellStyle name="Comma 2 34 6" xfId="11799"/>
    <cellStyle name="Comma 2 34 6 2" xfId="11800"/>
    <cellStyle name="Comma 2 34 6 3" xfId="11801"/>
    <cellStyle name="Comma 2 34 7" xfId="11802"/>
    <cellStyle name="Comma 2 34 7 2" xfId="11803"/>
    <cellStyle name="Comma 2 34 8" xfId="11804"/>
    <cellStyle name="Comma 2 34 9" xfId="11805"/>
    <cellStyle name="Comma 2 35" xfId="11806"/>
    <cellStyle name="Comma 2 35 10" xfId="11807"/>
    <cellStyle name="Comma 2 35 2" xfId="11808"/>
    <cellStyle name="Comma 2 35 2 2" xfId="11809"/>
    <cellStyle name="Comma 2 35 2 2 2" xfId="11810"/>
    <cellStyle name="Comma 2 35 2 2 3" xfId="11811"/>
    <cellStyle name="Comma 2 35 2 3" xfId="11812"/>
    <cellStyle name="Comma 2 35 2 4" xfId="11813"/>
    <cellStyle name="Comma 2 35 2 5" xfId="11814"/>
    <cellStyle name="Comma 2 35 2 6" xfId="11815"/>
    <cellStyle name="Comma 2 35 3" xfId="11816"/>
    <cellStyle name="Comma 2 35 3 2" xfId="11817"/>
    <cellStyle name="Comma 2 35 3 2 2" xfId="11818"/>
    <cellStyle name="Comma 2 35 3 3" xfId="11819"/>
    <cellStyle name="Comma 2 35 3 4" xfId="11820"/>
    <cellStyle name="Comma 2 35 3 5" xfId="11821"/>
    <cellStyle name="Comma 2 35 3 6" xfId="11822"/>
    <cellStyle name="Comma 2 35 4" xfId="11823"/>
    <cellStyle name="Comma 2 35 4 2" xfId="11824"/>
    <cellStyle name="Comma 2 35 4 3" xfId="11825"/>
    <cellStyle name="Comma 2 35 4 4" xfId="11826"/>
    <cellStyle name="Comma 2 35 4 5" xfId="11827"/>
    <cellStyle name="Comma 2 35 5" xfId="11828"/>
    <cellStyle name="Comma 2 35 5 2" xfId="11829"/>
    <cellStyle name="Comma 2 35 5 3" xfId="11830"/>
    <cellStyle name="Comma 2 35 6" xfId="11831"/>
    <cellStyle name="Comma 2 35 6 2" xfId="11832"/>
    <cellStyle name="Comma 2 35 7" xfId="11833"/>
    <cellStyle name="Comma 2 35 7 2" xfId="11834"/>
    <cellStyle name="Comma 2 35 8" xfId="11835"/>
    <cellStyle name="Comma 2 35 9" xfId="11836"/>
    <cellStyle name="Comma 2 36" xfId="11837"/>
    <cellStyle name="Comma 2 36 10" xfId="11838"/>
    <cellStyle name="Comma 2 36 2" xfId="11839"/>
    <cellStyle name="Comma 2 36 2 2" xfId="11840"/>
    <cellStyle name="Comma 2 36 2 2 2" xfId="11841"/>
    <cellStyle name="Comma 2 36 2 2 3" xfId="11842"/>
    <cellStyle name="Comma 2 36 2 3" xfId="11843"/>
    <cellStyle name="Comma 2 36 2 4" xfId="11844"/>
    <cellStyle name="Comma 2 36 2 5" xfId="11845"/>
    <cellStyle name="Comma 2 36 2 6" xfId="11846"/>
    <cellStyle name="Comma 2 36 3" xfId="11847"/>
    <cellStyle name="Comma 2 36 3 2" xfId="11848"/>
    <cellStyle name="Comma 2 36 3 2 2" xfId="11849"/>
    <cellStyle name="Comma 2 36 3 3" xfId="11850"/>
    <cellStyle name="Comma 2 36 3 4" xfId="11851"/>
    <cellStyle name="Comma 2 36 3 5" xfId="11852"/>
    <cellStyle name="Comma 2 36 3 6" xfId="11853"/>
    <cellStyle name="Comma 2 36 4" xfId="11854"/>
    <cellStyle name="Comma 2 36 4 2" xfId="11855"/>
    <cellStyle name="Comma 2 36 4 3" xfId="11856"/>
    <cellStyle name="Comma 2 36 4 4" xfId="11857"/>
    <cellStyle name="Comma 2 36 4 5" xfId="11858"/>
    <cellStyle name="Comma 2 36 5" xfId="11859"/>
    <cellStyle name="Comma 2 36 5 2" xfId="11860"/>
    <cellStyle name="Comma 2 36 5 3" xfId="11861"/>
    <cellStyle name="Comma 2 36 6" xfId="11862"/>
    <cellStyle name="Comma 2 36 6 2" xfId="11863"/>
    <cellStyle name="Comma 2 36 7" xfId="11864"/>
    <cellStyle name="Comma 2 36 7 2" xfId="11865"/>
    <cellStyle name="Comma 2 36 8" xfId="11866"/>
    <cellStyle name="Comma 2 36 9" xfId="11867"/>
    <cellStyle name="Comma 2 37" xfId="11868"/>
    <cellStyle name="Comma 2 37 10" xfId="11869"/>
    <cellStyle name="Comma 2 37 2" xfId="11870"/>
    <cellStyle name="Comma 2 37 2 2" xfId="11871"/>
    <cellStyle name="Comma 2 37 2 2 2" xfId="11872"/>
    <cellStyle name="Comma 2 37 2 2 3" xfId="11873"/>
    <cellStyle name="Comma 2 37 2 3" xfId="11874"/>
    <cellStyle name="Comma 2 37 2 4" xfId="11875"/>
    <cellStyle name="Comma 2 37 2 5" xfId="11876"/>
    <cellStyle name="Comma 2 37 2 6" xfId="11877"/>
    <cellStyle name="Comma 2 37 3" xfId="11878"/>
    <cellStyle name="Comma 2 37 3 2" xfId="11879"/>
    <cellStyle name="Comma 2 37 3 3" xfId="11880"/>
    <cellStyle name="Comma 2 37 3 4" xfId="11881"/>
    <cellStyle name="Comma 2 37 3 5" xfId="11882"/>
    <cellStyle name="Comma 2 37 4" xfId="11883"/>
    <cellStyle name="Comma 2 37 4 2" xfId="11884"/>
    <cellStyle name="Comma 2 37 4 3" xfId="11885"/>
    <cellStyle name="Comma 2 37 5" xfId="11886"/>
    <cellStyle name="Comma 2 37 5 2" xfId="11887"/>
    <cellStyle name="Comma 2 37 6" xfId="11888"/>
    <cellStyle name="Comma 2 37 6 2" xfId="11889"/>
    <cellStyle name="Comma 2 37 7" xfId="11890"/>
    <cellStyle name="Comma 2 37 7 2" xfId="11891"/>
    <cellStyle name="Comma 2 37 8" xfId="11892"/>
    <cellStyle name="Comma 2 37 9" xfId="11893"/>
    <cellStyle name="Comma 2 38" xfId="11894"/>
    <cellStyle name="Comma 2 38 10" xfId="11895"/>
    <cellStyle name="Comma 2 38 2" xfId="11896"/>
    <cellStyle name="Comma 2 38 2 2" xfId="11897"/>
    <cellStyle name="Comma 2 38 2 2 2" xfId="11898"/>
    <cellStyle name="Comma 2 38 2 3" xfId="11899"/>
    <cellStyle name="Comma 2 38 2 4" xfId="11900"/>
    <cellStyle name="Comma 2 38 2 5" xfId="11901"/>
    <cellStyle name="Comma 2 38 3" xfId="11902"/>
    <cellStyle name="Comma 2 38 3 2" xfId="11903"/>
    <cellStyle name="Comma 2 38 3 3" xfId="11904"/>
    <cellStyle name="Comma 2 38 4" xfId="11905"/>
    <cellStyle name="Comma 2 38 4 2" xfId="11906"/>
    <cellStyle name="Comma 2 38 5" xfId="11907"/>
    <cellStyle name="Comma 2 38 5 2" xfId="11908"/>
    <cellStyle name="Comma 2 38 6" xfId="11909"/>
    <cellStyle name="Comma 2 38 6 2" xfId="11910"/>
    <cellStyle name="Comma 2 38 7" xfId="11911"/>
    <cellStyle name="Comma 2 38 8" xfId="11912"/>
    <cellStyle name="Comma 2 38 9" xfId="11913"/>
    <cellStyle name="Comma 2 39" xfId="11914"/>
    <cellStyle name="Comma 2 39 10" xfId="11915"/>
    <cellStyle name="Comma 2 39 2" xfId="11916"/>
    <cellStyle name="Comma 2 39 2 2" xfId="11917"/>
    <cellStyle name="Comma 2 39 2 2 2" xfId="11918"/>
    <cellStyle name="Comma 2 39 2 3" xfId="11919"/>
    <cellStyle name="Comma 2 39 2 4" xfId="11920"/>
    <cellStyle name="Comma 2 39 3" xfId="11921"/>
    <cellStyle name="Comma 2 39 3 2" xfId="11922"/>
    <cellStyle name="Comma 2 39 4" xfId="11923"/>
    <cellStyle name="Comma 2 39 4 2" xfId="11924"/>
    <cellStyle name="Comma 2 39 5" xfId="11925"/>
    <cellStyle name="Comma 2 39 6" xfId="11926"/>
    <cellStyle name="Comma 2 39 7" xfId="11927"/>
    <cellStyle name="Comma 2 39 8" xfId="11928"/>
    <cellStyle name="Comma 2 39 9" xfId="11929"/>
    <cellStyle name="Comma 2 4" xfId="11930"/>
    <cellStyle name="Comma 2 4 10" xfId="11931"/>
    <cellStyle name="Comma 2 4 10 10" xfId="11932"/>
    <cellStyle name="Comma 2 4 10 2" xfId="11933"/>
    <cellStyle name="Comma 2 4 10 2 2" xfId="11934"/>
    <cellStyle name="Comma 2 4 10 2 2 2" xfId="11935"/>
    <cellStyle name="Comma 2 4 10 2 2 3" xfId="11936"/>
    <cellStyle name="Comma 2 4 10 2 3" xfId="11937"/>
    <cellStyle name="Comma 2 4 10 2 4" xfId="11938"/>
    <cellStyle name="Comma 2 4 10 2 5" xfId="11939"/>
    <cellStyle name="Comma 2 4 10 2 6" xfId="11940"/>
    <cellStyle name="Comma 2 4 10 3" xfId="11941"/>
    <cellStyle name="Comma 2 4 10 3 2" xfId="11942"/>
    <cellStyle name="Comma 2 4 10 3 2 2" xfId="11943"/>
    <cellStyle name="Comma 2 4 10 3 2 3" xfId="11944"/>
    <cellStyle name="Comma 2 4 10 3 3" xfId="11945"/>
    <cellStyle name="Comma 2 4 10 3 4" xfId="11946"/>
    <cellStyle name="Comma 2 4 10 3 5" xfId="11947"/>
    <cellStyle name="Comma 2 4 10 3 6" xfId="11948"/>
    <cellStyle name="Comma 2 4 10 4" xfId="11949"/>
    <cellStyle name="Comma 2 4 10 4 2" xfId="11950"/>
    <cellStyle name="Comma 2 4 10 4 2 2" xfId="11951"/>
    <cellStyle name="Comma 2 4 10 4 3" xfId="11952"/>
    <cellStyle name="Comma 2 4 10 4 4" xfId="11953"/>
    <cellStyle name="Comma 2 4 10 4 5" xfId="11954"/>
    <cellStyle name="Comma 2 4 10 5" xfId="11955"/>
    <cellStyle name="Comma 2 4 10 5 2" xfId="11956"/>
    <cellStyle name="Comma 2 4 10 5 3" xfId="11957"/>
    <cellStyle name="Comma 2 4 10 5 4" xfId="11958"/>
    <cellStyle name="Comma 2 4 10 6" xfId="11959"/>
    <cellStyle name="Comma 2 4 10 6 2" xfId="11960"/>
    <cellStyle name="Comma 2 4 10 7" xfId="11961"/>
    <cellStyle name="Comma 2 4 10 8" xfId="11962"/>
    <cellStyle name="Comma 2 4 10 9" xfId="11963"/>
    <cellStyle name="Comma 2 4 11" xfId="11964"/>
    <cellStyle name="Comma 2 4 11 10" xfId="11965"/>
    <cellStyle name="Comma 2 4 11 2" xfId="11966"/>
    <cellStyle name="Comma 2 4 11 2 2" xfId="11967"/>
    <cellStyle name="Comma 2 4 11 2 2 2" xfId="11968"/>
    <cellStyle name="Comma 2 4 11 2 2 3" xfId="11969"/>
    <cellStyle name="Comma 2 4 11 2 3" xfId="11970"/>
    <cellStyle name="Comma 2 4 11 2 4" xfId="11971"/>
    <cellStyle name="Comma 2 4 11 2 5" xfId="11972"/>
    <cellStyle name="Comma 2 4 11 2 6" xfId="11973"/>
    <cellStyle name="Comma 2 4 11 3" xfId="11974"/>
    <cellStyle name="Comma 2 4 11 3 2" xfId="11975"/>
    <cellStyle name="Comma 2 4 11 3 2 2" xfId="11976"/>
    <cellStyle name="Comma 2 4 11 3 2 3" xfId="11977"/>
    <cellStyle name="Comma 2 4 11 3 3" xfId="11978"/>
    <cellStyle name="Comma 2 4 11 3 4" xfId="11979"/>
    <cellStyle name="Comma 2 4 11 3 5" xfId="11980"/>
    <cellStyle name="Comma 2 4 11 3 6" xfId="11981"/>
    <cellStyle name="Comma 2 4 11 4" xfId="11982"/>
    <cellStyle name="Comma 2 4 11 4 2" xfId="11983"/>
    <cellStyle name="Comma 2 4 11 4 2 2" xfId="11984"/>
    <cellStyle name="Comma 2 4 11 4 3" xfId="11985"/>
    <cellStyle name="Comma 2 4 11 4 4" xfId="11986"/>
    <cellStyle name="Comma 2 4 11 4 5" xfId="11987"/>
    <cellStyle name="Comma 2 4 11 5" xfId="11988"/>
    <cellStyle name="Comma 2 4 11 5 2" xfId="11989"/>
    <cellStyle name="Comma 2 4 11 5 3" xfId="11990"/>
    <cellStyle name="Comma 2 4 11 5 4" xfId="11991"/>
    <cellStyle name="Comma 2 4 11 6" xfId="11992"/>
    <cellStyle name="Comma 2 4 11 6 2" xfId="11993"/>
    <cellStyle name="Comma 2 4 11 7" xfId="11994"/>
    <cellStyle name="Comma 2 4 11 8" xfId="11995"/>
    <cellStyle name="Comma 2 4 11 9" xfId="11996"/>
    <cellStyle name="Comma 2 4 12" xfId="11997"/>
    <cellStyle name="Comma 2 4 12 10" xfId="11998"/>
    <cellStyle name="Comma 2 4 12 2" xfId="11999"/>
    <cellStyle name="Comma 2 4 12 2 2" xfId="12000"/>
    <cellStyle name="Comma 2 4 12 2 2 2" xfId="12001"/>
    <cellStyle name="Comma 2 4 12 2 2 3" xfId="12002"/>
    <cellStyle name="Comma 2 4 12 2 3" xfId="12003"/>
    <cellStyle name="Comma 2 4 12 2 4" xfId="12004"/>
    <cellStyle name="Comma 2 4 12 2 5" xfId="12005"/>
    <cellStyle name="Comma 2 4 12 2 6" xfId="12006"/>
    <cellStyle name="Comma 2 4 12 3" xfId="12007"/>
    <cellStyle name="Comma 2 4 12 3 2" xfId="12008"/>
    <cellStyle name="Comma 2 4 12 3 2 2" xfId="12009"/>
    <cellStyle name="Comma 2 4 12 3 2 3" xfId="12010"/>
    <cellStyle name="Comma 2 4 12 3 3" xfId="12011"/>
    <cellStyle name="Comma 2 4 12 3 4" xfId="12012"/>
    <cellStyle name="Comma 2 4 12 3 5" xfId="12013"/>
    <cellStyle name="Comma 2 4 12 3 6" xfId="12014"/>
    <cellStyle name="Comma 2 4 12 4" xfId="12015"/>
    <cellStyle name="Comma 2 4 12 4 2" xfId="12016"/>
    <cellStyle name="Comma 2 4 12 4 2 2" xfId="12017"/>
    <cellStyle name="Comma 2 4 12 4 3" xfId="12018"/>
    <cellStyle name="Comma 2 4 12 4 4" xfId="12019"/>
    <cellStyle name="Comma 2 4 12 4 5" xfId="12020"/>
    <cellStyle name="Comma 2 4 12 5" xfId="12021"/>
    <cellStyle name="Comma 2 4 12 5 2" xfId="12022"/>
    <cellStyle name="Comma 2 4 12 5 3" xfId="12023"/>
    <cellStyle name="Comma 2 4 12 5 4" xfId="12024"/>
    <cellStyle name="Comma 2 4 12 6" xfId="12025"/>
    <cellStyle name="Comma 2 4 12 6 2" xfId="12026"/>
    <cellStyle name="Comma 2 4 12 7" xfId="12027"/>
    <cellStyle name="Comma 2 4 12 8" xfId="12028"/>
    <cellStyle name="Comma 2 4 12 9" xfId="12029"/>
    <cellStyle name="Comma 2 4 13" xfId="12030"/>
    <cellStyle name="Comma 2 4 13 10" xfId="12031"/>
    <cellStyle name="Comma 2 4 13 2" xfId="12032"/>
    <cellStyle name="Comma 2 4 13 2 2" xfId="12033"/>
    <cellStyle name="Comma 2 4 13 2 2 2" xfId="12034"/>
    <cellStyle name="Comma 2 4 13 2 2 3" xfId="12035"/>
    <cellStyle name="Comma 2 4 13 2 3" xfId="12036"/>
    <cellStyle name="Comma 2 4 13 2 4" xfId="12037"/>
    <cellStyle name="Comma 2 4 13 2 5" xfId="12038"/>
    <cellStyle name="Comma 2 4 13 2 6" xfId="12039"/>
    <cellStyle name="Comma 2 4 13 3" xfId="12040"/>
    <cellStyle name="Comma 2 4 13 3 2" xfId="12041"/>
    <cellStyle name="Comma 2 4 13 3 2 2" xfId="12042"/>
    <cellStyle name="Comma 2 4 13 3 2 3" xfId="12043"/>
    <cellStyle name="Comma 2 4 13 3 3" xfId="12044"/>
    <cellStyle name="Comma 2 4 13 3 4" xfId="12045"/>
    <cellStyle name="Comma 2 4 13 3 5" xfId="12046"/>
    <cellStyle name="Comma 2 4 13 3 6" xfId="12047"/>
    <cellStyle name="Comma 2 4 13 4" xfId="12048"/>
    <cellStyle name="Comma 2 4 13 4 2" xfId="12049"/>
    <cellStyle name="Comma 2 4 13 4 2 2" xfId="12050"/>
    <cellStyle name="Comma 2 4 13 4 3" xfId="12051"/>
    <cellStyle name="Comma 2 4 13 4 4" xfId="12052"/>
    <cellStyle name="Comma 2 4 13 4 5" xfId="12053"/>
    <cellStyle name="Comma 2 4 13 5" xfId="12054"/>
    <cellStyle name="Comma 2 4 13 5 2" xfId="12055"/>
    <cellStyle name="Comma 2 4 13 5 3" xfId="12056"/>
    <cellStyle name="Comma 2 4 13 5 4" xfId="12057"/>
    <cellStyle name="Comma 2 4 13 6" xfId="12058"/>
    <cellStyle name="Comma 2 4 13 6 2" xfId="12059"/>
    <cellStyle name="Comma 2 4 13 7" xfId="12060"/>
    <cellStyle name="Comma 2 4 13 8" xfId="12061"/>
    <cellStyle name="Comma 2 4 13 9" xfId="12062"/>
    <cellStyle name="Comma 2 4 14" xfId="12063"/>
    <cellStyle name="Comma 2 4 14 10" xfId="12064"/>
    <cellStyle name="Comma 2 4 14 2" xfId="12065"/>
    <cellStyle name="Comma 2 4 14 2 2" xfId="12066"/>
    <cellStyle name="Comma 2 4 14 2 2 2" xfId="12067"/>
    <cellStyle name="Comma 2 4 14 2 2 3" xfId="12068"/>
    <cellStyle name="Comma 2 4 14 2 3" xfId="12069"/>
    <cellStyle name="Comma 2 4 14 2 4" xfId="12070"/>
    <cellStyle name="Comma 2 4 14 2 5" xfId="12071"/>
    <cellStyle name="Comma 2 4 14 2 6" xfId="12072"/>
    <cellStyle name="Comma 2 4 14 3" xfId="12073"/>
    <cellStyle name="Comma 2 4 14 3 2" xfId="12074"/>
    <cellStyle name="Comma 2 4 14 3 2 2" xfId="12075"/>
    <cellStyle name="Comma 2 4 14 3 2 3" xfId="12076"/>
    <cellStyle name="Comma 2 4 14 3 3" xfId="12077"/>
    <cellStyle name="Comma 2 4 14 3 4" xfId="12078"/>
    <cellStyle name="Comma 2 4 14 3 5" xfId="12079"/>
    <cellStyle name="Comma 2 4 14 3 6" xfId="12080"/>
    <cellStyle name="Comma 2 4 14 4" xfId="12081"/>
    <cellStyle name="Comma 2 4 14 4 2" xfId="12082"/>
    <cellStyle name="Comma 2 4 14 4 2 2" xfId="12083"/>
    <cellStyle name="Comma 2 4 14 4 3" xfId="12084"/>
    <cellStyle name="Comma 2 4 14 4 4" xfId="12085"/>
    <cellStyle name="Comma 2 4 14 4 5" xfId="12086"/>
    <cellStyle name="Comma 2 4 14 5" xfId="12087"/>
    <cellStyle name="Comma 2 4 14 5 2" xfId="12088"/>
    <cellStyle name="Comma 2 4 14 5 3" xfId="12089"/>
    <cellStyle name="Comma 2 4 14 5 4" xfId="12090"/>
    <cellStyle name="Comma 2 4 14 6" xfId="12091"/>
    <cellStyle name="Comma 2 4 14 6 2" xfId="12092"/>
    <cellStyle name="Comma 2 4 14 7" xfId="12093"/>
    <cellStyle name="Comma 2 4 14 8" xfId="12094"/>
    <cellStyle name="Comma 2 4 14 9" xfId="12095"/>
    <cellStyle name="Comma 2 4 15" xfId="12096"/>
    <cellStyle name="Comma 2 4 15 10" xfId="12097"/>
    <cellStyle name="Comma 2 4 15 2" xfId="12098"/>
    <cellStyle name="Comma 2 4 15 2 2" xfId="12099"/>
    <cellStyle name="Comma 2 4 15 2 2 2" xfId="12100"/>
    <cellStyle name="Comma 2 4 15 2 2 3" xfId="12101"/>
    <cellStyle name="Comma 2 4 15 2 3" xfId="12102"/>
    <cellStyle name="Comma 2 4 15 2 4" xfId="12103"/>
    <cellStyle name="Comma 2 4 15 2 5" xfId="12104"/>
    <cellStyle name="Comma 2 4 15 2 6" xfId="12105"/>
    <cellStyle name="Comma 2 4 15 3" xfId="12106"/>
    <cellStyle name="Comma 2 4 15 3 2" xfId="12107"/>
    <cellStyle name="Comma 2 4 15 3 2 2" xfId="12108"/>
    <cellStyle name="Comma 2 4 15 3 2 3" xfId="12109"/>
    <cellStyle name="Comma 2 4 15 3 3" xfId="12110"/>
    <cellStyle name="Comma 2 4 15 3 4" xfId="12111"/>
    <cellStyle name="Comma 2 4 15 3 5" xfId="12112"/>
    <cellStyle name="Comma 2 4 15 3 6" xfId="12113"/>
    <cellStyle name="Comma 2 4 15 4" xfId="12114"/>
    <cellStyle name="Comma 2 4 15 4 2" xfId="12115"/>
    <cellStyle name="Comma 2 4 15 4 2 2" xfId="12116"/>
    <cellStyle name="Comma 2 4 15 4 3" xfId="12117"/>
    <cellStyle name="Comma 2 4 15 4 4" xfId="12118"/>
    <cellStyle name="Comma 2 4 15 4 5" xfId="12119"/>
    <cellStyle name="Comma 2 4 15 5" xfId="12120"/>
    <cellStyle name="Comma 2 4 15 5 2" xfId="12121"/>
    <cellStyle name="Comma 2 4 15 5 3" xfId="12122"/>
    <cellStyle name="Comma 2 4 15 5 4" xfId="12123"/>
    <cellStyle name="Comma 2 4 15 6" xfId="12124"/>
    <cellStyle name="Comma 2 4 15 6 2" xfId="12125"/>
    <cellStyle name="Comma 2 4 15 7" xfId="12126"/>
    <cellStyle name="Comma 2 4 15 8" xfId="12127"/>
    <cellStyle name="Comma 2 4 15 9" xfId="12128"/>
    <cellStyle name="Comma 2 4 16" xfId="12129"/>
    <cellStyle name="Comma 2 4 16 10" xfId="12130"/>
    <cellStyle name="Comma 2 4 16 2" xfId="12131"/>
    <cellStyle name="Comma 2 4 16 2 2" xfId="12132"/>
    <cellStyle name="Comma 2 4 16 2 2 2" xfId="12133"/>
    <cellStyle name="Comma 2 4 16 2 2 3" xfId="12134"/>
    <cellStyle name="Comma 2 4 16 2 3" xfId="12135"/>
    <cellStyle name="Comma 2 4 16 2 4" xfId="12136"/>
    <cellStyle name="Comma 2 4 16 2 5" xfId="12137"/>
    <cellStyle name="Comma 2 4 16 2 6" xfId="12138"/>
    <cellStyle name="Comma 2 4 16 3" xfId="12139"/>
    <cellStyle name="Comma 2 4 16 3 2" xfId="12140"/>
    <cellStyle name="Comma 2 4 16 3 2 2" xfId="12141"/>
    <cellStyle name="Comma 2 4 16 3 2 3" xfId="12142"/>
    <cellStyle name="Comma 2 4 16 3 3" xfId="12143"/>
    <cellStyle name="Comma 2 4 16 3 4" xfId="12144"/>
    <cellStyle name="Comma 2 4 16 3 5" xfId="12145"/>
    <cellStyle name="Comma 2 4 16 3 6" xfId="12146"/>
    <cellStyle name="Comma 2 4 16 4" xfId="12147"/>
    <cellStyle name="Comma 2 4 16 4 2" xfId="12148"/>
    <cellStyle name="Comma 2 4 16 4 2 2" xfId="12149"/>
    <cellStyle name="Comma 2 4 16 4 3" xfId="12150"/>
    <cellStyle name="Comma 2 4 16 4 4" xfId="12151"/>
    <cellStyle name="Comma 2 4 16 4 5" xfId="12152"/>
    <cellStyle name="Comma 2 4 16 5" xfId="12153"/>
    <cellStyle name="Comma 2 4 16 5 2" xfId="12154"/>
    <cellStyle name="Comma 2 4 16 5 3" xfId="12155"/>
    <cellStyle name="Comma 2 4 16 5 4" xfId="12156"/>
    <cellStyle name="Comma 2 4 16 6" xfId="12157"/>
    <cellStyle name="Comma 2 4 16 6 2" xfId="12158"/>
    <cellStyle name="Comma 2 4 16 7" xfId="12159"/>
    <cellStyle name="Comma 2 4 16 8" xfId="12160"/>
    <cellStyle name="Comma 2 4 16 9" xfId="12161"/>
    <cellStyle name="Comma 2 4 17" xfId="12162"/>
    <cellStyle name="Comma 2 4 17 10" xfId="12163"/>
    <cellStyle name="Comma 2 4 17 2" xfId="12164"/>
    <cellStyle name="Comma 2 4 17 2 2" xfId="12165"/>
    <cellStyle name="Comma 2 4 17 2 2 2" xfId="12166"/>
    <cellStyle name="Comma 2 4 17 2 2 3" xfId="12167"/>
    <cellStyle name="Comma 2 4 17 2 3" xfId="12168"/>
    <cellStyle name="Comma 2 4 17 2 4" xfId="12169"/>
    <cellStyle name="Comma 2 4 17 2 5" xfId="12170"/>
    <cellStyle name="Comma 2 4 17 2 6" xfId="12171"/>
    <cellStyle name="Comma 2 4 17 3" xfId="12172"/>
    <cellStyle name="Comma 2 4 17 3 2" xfId="12173"/>
    <cellStyle name="Comma 2 4 17 3 2 2" xfId="12174"/>
    <cellStyle name="Comma 2 4 17 3 2 3" xfId="12175"/>
    <cellStyle name="Comma 2 4 17 3 3" xfId="12176"/>
    <cellStyle name="Comma 2 4 17 3 4" xfId="12177"/>
    <cellStyle name="Comma 2 4 17 3 5" xfId="12178"/>
    <cellStyle name="Comma 2 4 17 3 6" xfId="12179"/>
    <cellStyle name="Comma 2 4 17 4" xfId="12180"/>
    <cellStyle name="Comma 2 4 17 4 2" xfId="12181"/>
    <cellStyle name="Comma 2 4 17 4 2 2" xfId="12182"/>
    <cellStyle name="Comma 2 4 17 4 3" xfId="12183"/>
    <cellStyle name="Comma 2 4 17 4 4" xfId="12184"/>
    <cellStyle name="Comma 2 4 17 4 5" xfId="12185"/>
    <cellStyle name="Comma 2 4 17 5" xfId="12186"/>
    <cellStyle name="Comma 2 4 17 5 2" xfId="12187"/>
    <cellStyle name="Comma 2 4 17 5 3" xfId="12188"/>
    <cellStyle name="Comma 2 4 17 5 4" xfId="12189"/>
    <cellStyle name="Comma 2 4 17 6" xfId="12190"/>
    <cellStyle name="Comma 2 4 17 6 2" xfId="12191"/>
    <cellStyle name="Comma 2 4 17 7" xfId="12192"/>
    <cellStyle name="Comma 2 4 17 8" xfId="12193"/>
    <cellStyle name="Comma 2 4 17 9" xfId="12194"/>
    <cellStyle name="Comma 2 4 18" xfId="12195"/>
    <cellStyle name="Comma 2 4 18 10" xfId="12196"/>
    <cellStyle name="Comma 2 4 18 2" xfId="12197"/>
    <cellStyle name="Comma 2 4 18 2 2" xfId="12198"/>
    <cellStyle name="Comma 2 4 18 2 2 2" xfId="12199"/>
    <cellStyle name="Comma 2 4 18 2 2 3" xfId="12200"/>
    <cellStyle name="Comma 2 4 18 2 3" xfId="12201"/>
    <cellStyle name="Comma 2 4 18 2 4" xfId="12202"/>
    <cellStyle name="Comma 2 4 18 2 5" xfId="12203"/>
    <cellStyle name="Comma 2 4 18 2 6" xfId="12204"/>
    <cellStyle name="Comma 2 4 18 3" xfId="12205"/>
    <cellStyle name="Comma 2 4 18 3 2" xfId="12206"/>
    <cellStyle name="Comma 2 4 18 3 2 2" xfId="12207"/>
    <cellStyle name="Comma 2 4 18 3 2 3" xfId="12208"/>
    <cellStyle name="Comma 2 4 18 3 3" xfId="12209"/>
    <cellStyle name="Comma 2 4 18 3 4" xfId="12210"/>
    <cellStyle name="Comma 2 4 18 3 5" xfId="12211"/>
    <cellStyle name="Comma 2 4 18 3 6" xfId="12212"/>
    <cellStyle name="Comma 2 4 18 4" xfId="12213"/>
    <cellStyle name="Comma 2 4 18 4 2" xfId="12214"/>
    <cellStyle name="Comma 2 4 18 4 2 2" xfId="12215"/>
    <cellStyle name="Comma 2 4 18 4 3" xfId="12216"/>
    <cellStyle name="Comma 2 4 18 4 4" xfId="12217"/>
    <cellStyle name="Comma 2 4 18 4 5" xfId="12218"/>
    <cellStyle name="Comma 2 4 18 5" xfId="12219"/>
    <cellStyle name="Comma 2 4 18 5 2" xfId="12220"/>
    <cellStyle name="Comma 2 4 18 5 3" xfId="12221"/>
    <cellStyle name="Comma 2 4 18 5 4" xfId="12222"/>
    <cellStyle name="Comma 2 4 18 6" xfId="12223"/>
    <cellStyle name="Comma 2 4 18 6 2" xfId="12224"/>
    <cellStyle name="Comma 2 4 18 7" xfId="12225"/>
    <cellStyle name="Comma 2 4 18 8" xfId="12226"/>
    <cellStyle name="Comma 2 4 18 9" xfId="12227"/>
    <cellStyle name="Comma 2 4 19" xfId="12228"/>
    <cellStyle name="Comma 2 4 19 10" xfId="12229"/>
    <cellStyle name="Comma 2 4 19 2" xfId="12230"/>
    <cellStyle name="Comma 2 4 19 2 2" xfId="12231"/>
    <cellStyle name="Comma 2 4 19 2 2 2" xfId="12232"/>
    <cellStyle name="Comma 2 4 19 2 2 3" xfId="12233"/>
    <cellStyle name="Comma 2 4 19 2 3" xfId="12234"/>
    <cellStyle name="Comma 2 4 19 2 4" xfId="12235"/>
    <cellStyle name="Comma 2 4 19 2 5" xfId="12236"/>
    <cellStyle name="Comma 2 4 19 2 6" xfId="12237"/>
    <cellStyle name="Comma 2 4 19 3" xfId="12238"/>
    <cellStyle name="Comma 2 4 19 3 2" xfId="12239"/>
    <cellStyle name="Comma 2 4 19 3 2 2" xfId="12240"/>
    <cellStyle name="Comma 2 4 19 3 2 3" xfId="12241"/>
    <cellStyle name="Comma 2 4 19 3 3" xfId="12242"/>
    <cellStyle name="Comma 2 4 19 3 4" xfId="12243"/>
    <cellStyle name="Comma 2 4 19 3 5" xfId="12244"/>
    <cellStyle name="Comma 2 4 19 3 6" xfId="12245"/>
    <cellStyle name="Comma 2 4 19 4" xfId="12246"/>
    <cellStyle name="Comma 2 4 19 4 2" xfId="12247"/>
    <cellStyle name="Comma 2 4 19 4 2 2" xfId="12248"/>
    <cellStyle name="Comma 2 4 19 4 3" xfId="12249"/>
    <cellStyle name="Comma 2 4 19 4 4" xfId="12250"/>
    <cellStyle name="Comma 2 4 19 4 5" xfId="12251"/>
    <cellStyle name="Comma 2 4 19 5" xfId="12252"/>
    <cellStyle name="Comma 2 4 19 5 2" xfId="12253"/>
    <cellStyle name="Comma 2 4 19 5 3" xfId="12254"/>
    <cellStyle name="Comma 2 4 19 5 4" xfId="12255"/>
    <cellStyle name="Comma 2 4 19 6" xfId="12256"/>
    <cellStyle name="Comma 2 4 19 6 2" xfId="12257"/>
    <cellStyle name="Comma 2 4 19 7" xfId="12258"/>
    <cellStyle name="Comma 2 4 19 8" xfId="12259"/>
    <cellStyle name="Comma 2 4 19 9" xfId="12260"/>
    <cellStyle name="Comma 2 4 2" xfId="12261"/>
    <cellStyle name="Comma 2 4 2 10" xfId="12262"/>
    <cellStyle name="Comma 2 4 2 10 10" xfId="12263"/>
    <cellStyle name="Comma 2 4 2 10 2" xfId="12264"/>
    <cellStyle name="Comma 2 4 2 10 2 2" xfId="12265"/>
    <cellStyle name="Comma 2 4 2 10 2 2 2" xfId="12266"/>
    <cellStyle name="Comma 2 4 2 10 2 2 3" xfId="12267"/>
    <cellStyle name="Comma 2 4 2 10 2 3" xfId="12268"/>
    <cellStyle name="Comma 2 4 2 10 2 4" xfId="12269"/>
    <cellStyle name="Comma 2 4 2 10 2 5" xfId="12270"/>
    <cellStyle name="Comma 2 4 2 10 2 6" xfId="12271"/>
    <cellStyle name="Comma 2 4 2 10 3" xfId="12272"/>
    <cellStyle name="Comma 2 4 2 10 3 2" xfId="12273"/>
    <cellStyle name="Comma 2 4 2 10 3 2 2" xfId="12274"/>
    <cellStyle name="Comma 2 4 2 10 3 2 3" xfId="12275"/>
    <cellStyle name="Comma 2 4 2 10 3 3" xfId="12276"/>
    <cellStyle name="Comma 2 4 2 10 3 4" xfId="12277"/>
    <cellStyle name="Comma 2 4 2 10 3 5" xfId="12278"/>
    <cellStyle name="Comma 2 4 2 10 3 6" xfId="12279"/>
    <cellStyle name="Comma 2 4 2 10 4" xfId="12280"/>
    <cellStyle name="Comma 2 4 2 10 4 2" xfId="12281"/>
    <cellStyle name="Comma 2 4 2 10 4 2 2" xfId="12282"/>
    <cellStyle name="Comma 2 4 2 10 4 3" xfId="12283"/>
    <cellStyle name="Comma 2 4 2 10 4 4" xfId="12284"/>
    <cellStyle name="Comma 2 4 2 10 4 5" xfId="12285"/>
    <cellStyle name="Comma 2 4 2 10 5" xfId="12286"/>
    <cellStyle name="Comma 2 4 2 10 5 2" xfId="12287"/>
    <cellStyle name="Comma 2 4 2 10 5 3" xfId="12288"/>
    <cellStyle name="Comma 2 4 2 10 5 4" xfId="12289"/>
    <cellStyle name="Comma 2 4 2 10 6" xfId="12290"/>
    <cellStyle name="Comma 2 4 2 10 6 2" xfId="12291"/>
    <cellStyle name="Comma 2 4 2 10 7" xfId="12292"/>
    <cellStyle name="Comma 2 4 2 10 8" xfId="12293"/>
    <cellStyle name="Comma 2 4 2 10 9" xfId="12294"/>
    <cellStyle name="Comma 2 4 2 11" xfId="12295"/>
    <cellStyle name="Comma 2 4 2 11 10" xfId="12296"/>
    <cellStyle name="Comma 2 4 2 11 2" xfId="12297"/>
    <cellStyle name="Comma 2 4 2 11 2 2" xfId="12298"/>
    <cellStyle name="Comma 2 4 2 11 2 2 2" xfId="12299"/>
    <cellStyle name="Comma 2 4 2 11 2 2 3" xfId="12300"/>
    <cellStyle name="Comma 2 4 2 11 2 3" xfId="12301"/>
    <cellStyle name="Comma 2 4 2 11 2 4" xfId="12302"/>
    <cellStyle name="Comma 2 4 2 11 2 5" xfId="12303"/>
    <cellStyle name="Comma 2 4 2 11 2 6" xfId="12304"/>
    <cellStyle name="Comma 2 4 2 11 3" xfId="12305"/>
    <cellStyle name="Comma 2 4 2 11 3 2" xfId="12306"/>
    <cellStyle name="Comma 2 4 2 11 3 2 2" xfId="12307"/>
    <cellStyle name="Comma 2 4 2 11 3 2 3" xfId="12308"/>
    <cellStyle name="Comma 2 4 2 11 3 3" xfId="12309"/>
    <cellStyle name="Comma 2 4 2 11 3 4" xfId="12310"/>
    <cellStyle name="Comma 2 4 2 11 3 5" xfId="12311"/>
    <cellStyle name="Comma 2 4 2 11 3 6" xfId="12312"/>
    <cellStyle name="Comma 2 4 2 11 4" xfId="12313"/>
    <cellStyle name="Comma 2 4 2 11 4 2" xfId="12314"/>
    <cellStyle name="Comma 2 4 2 11 4 2 2" xfId="12315"/>
    <cellStyle name="Comma 2 4 2 11 4 3" xfId="12316"/>
    <cellStyle name="Comma 2 4 2 11 4 4" xfId="12317"/>
    <cellStyle name="Comma 2 4 2 11 4 5" xfId="12318"/>
    <cellStyle name="Comma 2 4 2 11 5" xfId="12319"/>
    <cellStyle name="Comma 2 4 2 11 5 2" xfId="12320"/>
    <cellStyle name="Comma 2 4 2 11 5 3" xfId="12321"/>
    <cellStyle name="Comma 2 4 2 11 5 4" xfId="12322"/>
    <cellStyle name="Comma 2 4 2 11 6" xfId="12323"/>
    <cellStyle name="Comma 2 4 2 11 6 2" xfId="12324"/>
    <cellStyle name="Comma 2 4 2 11 7" xfId="12325"/>
    <cellStyle name="Comma 2 4 2 11 8" xfId="12326"/>
    <cellStyle name="Comma 2 4 2 11 9" xfId="12327"/>
    <cellStyle name="Comma 2 4 2 12" xfId="12328"/>
    <cellStyle name="Comma 2 4 2 12 10" xfId="12329"/>
    <cellStyle name="Comma 2 4 2 12 2" xfId="12330"/>
    <cellStyle name="Comma 2 4 2 12 2 2" xfId="12331"/>
    <cellStyle name="Comma 2 4 2 12 2 2 2" xfId="12332"/>
    <cellStyle name="Comma 2 4 2 12 2 2 3" xfId="12333"/>
    <cellStyle name="Comma 2 4 2 12 2 3" xfId="12334"/>
    <cellStyle name="Comma 2 4 2 12 2 4" xfId="12335"/>
    <cellStyle name="Comma 2 4 2 12 2 5" xfId="12336"/>
    <cellStyle name="Comma 2 4 2 12 2 6" xfId="12337"/>
    <cellStyle name="Comma 2 4 2 12 3" xfId="12338"/>
    <cellStyle name="Comma 2 4 2 12 3 2" xfId="12339"/>
    <cellStyle name="Comma 2 4 2 12 3 2 2" xfId="12340"/>
    <cellStyle name="Comma 2 4 2 12 3 2 3" xfId="12341"/>
    <cellStyle name="Comma 2 4 2 12 3 3" xfId="12342"/>
    <cellStyle name="Comma 2 4 2 12 3 4" xfId="12343"/>
    <cellStyle name="Comma 2 4 2 12 3 5" xfId="12344"/>
    <cellStyle name="Comma 2 4 2 12 3 6" xfId="12345"/>
    <cellStyle name="Comma 2 4 2 12 4" xfId="12346"/>
    <cellStyle name="Comma 2 4 2 12 4 2" xfId="12347"/>
    <cellStyle name="Comma 2 4 2 12 4 2 2" xfId="12348"/>
    <cellStyle name="Comma 2 4 2 12 4 3" xfId="12349"/>
    <cellStyle name="Comma 2 4 2 12 4 4" xfId="12350"/>
    <cellStyle name="Comma 2 4 2 12 4 5" xfId="12351"/>
    <cellStyle name="Comma 2 4 2 12 5" xfId="12352"/>
    <cellStyle name="Comma 2 4 2 12 5 2" xfId="12353"/>
    <cellStyle name="Comma 2 4 2 12 5 3" xfId="12354"/>
    <cellStyle name="Comma 2 4 2 12 5 4" xfId="12355"/>
    <cellStyle name="Comma 2 4 2 12 6" xfId="12356"/>
    <cellStyle name="Comma 2 4 2 12 6 2" xfId="12357"/>
    <cellStyle name="Comma 2 4 2 12 7" xfId="12358"/>
    <cellStyle name="Comma 2 4 2 12 8" xfId="12359"/>
    <cellStyle name="Comma 2 4 2 12 9" xfId="12360"/>
    <cellStyle name="Comma 2 4 2 13" xfId="12361"/>
    <cellStyle name="Comma 2 4 2 13 2" xfId="12362"/>
    <cellStyle name="Comma 2 4 2 13 2 2" xfId="12363"/>
    <cellStyle name="Comma 2 4 2 13 2 2 2" xfId="12364"/>
    <cellStyle name="Comma 2 4 2 13 2 2 3" xfId="12365"/>
    <cellStyle name="Comma 2 4 2 13 2 3" xfId="12366"/>
    <cellStyle name="Comma 2 4 2 13 2 4" xfId="12367"/>
    <cellStyle name="Comma 2 4 2 13 2 5" xfId="12368"/>
    <cellStyle name="Comma 2 4 2 13 2 6" xfId="12369"/>
    <cellStyle name="Comma 2 4 2 13 3" xfId="12370"/>
    <cellStyle name="Comma 2 4 2 13 3 2" xfId="12371"/>
    <cellStyle name="Comma 2 4 2 13 3 2 2" xfId="12372"/>
    <cellStyle name="Comma 2 4 2 13 3 3" xfId="12373"/>
    <cellStyle name="Comma 2 4 2 13 3 4" xfId="12374"/>
    <cellStyle name="Comma 2 4 2 13 3 5" xfId="12375"/>
    <cellStyle name="Comma 2 4 2 13 4" xfId="12376"/>
    <cellStyle name="Comma 2 4 2 13 4 2" xfId="12377"/>
    <cellStyle name="Comma 2 4 2 13 4 3" xfId="12378"/>
    <cellStyle name="Comma 2 4 2 13 4 4" xfId="12379"/>
    <cellStyle name="Comma 2 4 2 13 5" xfId="12380"/>
    <cellStyle name="Comma 2 4 2 13 5 2" xfId="12381"/>
    <cellStyle name="Comma 2 4 2 13 6" xfId="12382"/>
    <cellStyle name="Comma 2 4 2 13 7" xfId="12383"/>
    <cellStyle name="Comma 2 4 2 13 8" xfId="12384"/>
    <cellStyle name="Comma 2 4 2 13 9" xfId="12385"/>
    <cellStyle name="Comma 2 4 2 14" xfId="12386"/>
    <cellStyle name="Comma 2 4 2 14 2" xfId="12387"/>
    <cellStyle name="Comma 2 4 2 14 2 2" xfId="12388"/>
    <cellStyle name="Comma 2 4 2 14 2 2 2" xfId="12389"/>
    <cellStyle name="Comma 2 4 2 14 2 2 3" xfId="12390"/>
    <cellStyle name="Comma 2 4 2 14 2 3" xfId="12391"/>
    <cellStyle name="Comma 2 4 2 14 2 4" xfId="12392"/>
    <cellStyle name="Comma 2 4 2 14 2 5" xfId="12393"/>
    <cellStyle name="Comma 2 4 2 14 2 6" xfId="12394"/>
    <cellStyle name="Comma 2 4 2 14 3" xfId="12395"/>
    <cellStyle name="Comma 2 4 2 14 3 2" xfId="12396"/>
    <cellStyle name="Comma 2 4 2 14 3 2 2" xfId="12397"/>
    <cellStyle name="Comma 2 4 2 14 3 3" xfId="12398"/>
    <cellStyle name="Comma 2 4 2 14 3 4" xfId="12399"/>
    <cellStyle name="Comma 2 4 2 14 3 5" xfId="12400"/>
    <cellStyle name="Comma 2 4 2 14 4" xfId="12401"/>
    <cellStyle name="Comma 2 4 2 14 4 2" xfId="12402"/>
    <cellStyle name="Comma 2 4 2 14 4 3" xfId="12403"/>
    <cellStyle name="Comma 2 4 2 14 4 4" xfId="12404"/>
    <cellStyle name="Comma 2 4 2 14 5" xfId="12405"/>
    <cellStyle name="Comma 2 4 2 14 5 2" xfId="12406"/>
    <cellStyle name="Comma 2 4 2 14 6" xfId="12407"/>
    <cellStyle name="Comma 2 4 2 14 7" xfId="12408"/>
    <cellStyle name="Comma 2 4 2 14 8" xfId="12409"/>
    <cellStyle name="Comma 2 4 2 14 9" xfId="12410"/>
    <cellStyle name="Comma 2 4 2 15" xfId="12411"/>
    <cellStyle name="Comma 2 4 2 15 2" xfId="12412"/>
    <cellStyle name="Comma 2 4 2 15 2 2" xfId="12413"/>
    <cellStyle name="Comma 2 4 2 15 2 3" xfId="12414"/>
    <cellStyle name="Comma 2 4 2 15 3" xfId="12415"/>
    <cellStyle name="Comma 2 4 2 15 4" xfId="12416"/>
    <cellStyle name="Comma 2 4 2 15 5" xfId="12417"/>
    <cellStyle name="Comma 2 4 2 15 6" xfId="12418"/>
    <cellStyle name="Comma 2 4 2 16" xfId="12419"/>
    <cellStyle name="Comma 2 4 2 16 2" xfId="12420"/>
    <cellStyle name="Comma 2 4 2 16 2 2" xfId="12421"/>
    <cellStyle name="Comma 2 4 2 16 3" xfId="12422"/>
    <cellStyle name="Comma 2 4 2 16 4" xfId="12423"/>
    <cellStyle name="Comma 2 4 2 16 5" xfId="12424"/>
    <cellStyle name="Comma 2 4 2 17" xfId="12425"/>
    <cellStyle name="Comma 2 4 2 17 2" xfId="12426"/>
    <cellStyle name="Comma 2 4 2 17 2 2" xfId="12427"/>
    <cellStyle name="Comma 2 4 2 17 3" xfId="12428"/>
    <cellStyle name="Comma 2 4 2 17 4" xfId="12429"/>
    <cellStyle name="Comma 2 4 2 17 5" xfId="12430"/>
    <cellStyle name="Comma 2 4 2 18" xfId="12431"/>
    <cellStyle name="Comma 2 4 2 18 2" xfId="12432"/>
    <cellStyle name="Comma 2 4 2 19" xfId="12433"/>
    <cellStyle name="Comma 2 4 2 2" xfId="12434"/>
    <cellStyle name="Comma 2 4 2 2 10" xfId="12435"/>
    <cellStyle name="Comma 2 4 2 2 11" xfId="12436"/>
    <cellStyle name="Comma 2 4 2 2 2" xfId="12437"/>
    <cellStyle name="Comma 2 4 2 2 2 2" xfId="12438"/>
    <cellStyle name="Comma 2 4 2 2 2 2 2" xfId="12439"/>
    <cellStyle name="Comma 2 4 2 2 2 2 2 2" xfId="12440"/>
    <cellStyle name="Comma 2 4 2 2 2 2 2 3" xfId="12441"/>
    <cellStyle name="Comma 2 4 2 2 2 2 3" xfId="12442"/>
    <cellStyle name="Comma 2 4 2 2 2 2 4" xfId="12443"/>
    <cellStyle name="Comma 2 4 2 2 2 2 5" xfId="12444"/>
    <cellStyle name="Comma 2 4 2 2 2 2 6" xfId="12445"/>
    <cellStyle name="Comma 2 4 2 2 2 3" xfId="12446"/>
    <cellStyle name="Comma 2 4 2 2 2 3 2" xfId="12447"/>
    <cellStyle name="Comma 2 4 2 2 2 3 2 2" xfId="12448"/>
    <cellStyle name="Comma 2 4 2 2 2 3 3" xfId="12449"/>
    <cellStyle name="Comma 2 4 2 2 2 3 4" xfId="12450"/>
    <cellStyle name="Comma 2 4 2 2 2 3 5" xfId="12451"/>
    <cellStyle name="Comma 2 4 2 2 2 4" xfId="12452"/>
    <cellStyle name="Comma 2 4 2 2 2 4 2" xfId="12453"/>
    <cellStyle name="Comma 2 4 2 2 2 4 3" xfId="12454"/>
    <cellStyle name="Comma 2 4 2 2 2 4 4" xfId="12455"/>
    <cellStyle name="Comma 2 4 2 2 2 5" xfId="12456"/>
    <cellStyle name="Comma 2 4 2 2 2 5 2" xfId="12457"/>
    <cellStyle name="Comma 2 4 2 2 2 6" xfId="12458"/>
    <cellStyle name="Comma 2 4 2 2 2 7" xfId="12459"/>
    <cellStyle name="Comma 2 4 2 2 2 8" xfId="12460"/>
    <cellStyle name="Comma 2 4 2 2 2 9" xfId="12461"/>
    <cellStyle name="Comma 2 4 2 2 3" xfId="12462"/>
    <cellStyle name="Comma 2 4 2 2 3 2" xfId="12463"/>
    <cellStyle name="Comma 2 4 2 2 3 2 2" xfId="12464"/>
    <cellStyle name="Comma 2 4 2 2 3 2 2 2" xfId="12465"/>
    <cellStyle name="Comma 2 4 2 2 3 2 2 3" xfId="12466"/>
    <cellStyle name="Comma 2 4 2 2 3 2 3" xfId="12467"/>
    <cellStyle name="Comma 2 4 2 2 3 2 4" xfId="12468"/>
    <cellStyle name="Comma 2 4 2 2 3 2 5" xfId="12469"/>
    <cellStyle name="Comma 2 4 2 2 3 2 6" xfId="12470"/>
    <cellStyle name="Comma 2 4 2 2 3 3" xfId="12471"/>
    <cellStyle name="Comma 2 4 2 2 3 3 2" xfId="12472"/>
    <cellStyle name="Comma 2 4 2 2 3 3 2 2" xfId="12473"/>
    <cellStyle name="Comma 2 4 2 2 3 3 3" xfId="12474"/>
    <cellStyle name="Comma 2 4 2 2 3 3 4" xfId="12475"/>
    <cellStyle name="Comma 2 4 2 2 3 3 5" xfId="12476"/>
    <cellStyle name="Comma 2 4 2 2 3 4" xfId="12477"/>
    <cellStyle name="Comma 2 4 2 2 3 4 2" xfId="12478"/>
    <cellStyle name="Comma 2 4 2 2 3 4 3" xfId="12479"/>
    <cellStyle name="Comma 2 4 2 2 3 4 4" xfId="12480"/>
    <cellStyle name="Comma 2 4 2 2 3 5" xfId="12481"/>
    <cellStyle name="Comma 2 4 2 2 3 5 2" xfId="12482"/>
    <cellStyle name="Comma 2 4 2 2 3 6" xfId="12483"/>
    <cellStyle name="Comma 2 4 2 2 3 7" xfId="12484"/>
    <cellStyle name="Comma 2 4 2 2 3 8" xfId="12485"/>
    <cellStyle name="Comma 2 4 2 2 3 9" xfId="12486"/>
    <cellStyle name="Comma 2 4 2 2 4" xfId="12487"/>
    <cellStyle name="Comma 2 4 2 2 4 2" xfId="12488"/>
    <cellStyle name="Comma 2 4 2 2 4 2 2" xfId="12489"/>
    <cellStyle name="Comma 2 4 2 2 4 2 3" xfId="12490"/>
    <cellStyle name="Comma 2 4 2 2 4 3" xfId="12491"/>
    <cellStyle name="Comma 2 4 2 2 4 4" xfId="12492"/>
    <cellStyle name="Comma 2 4 2 2 4 5" xfId="12493"/>
    <cellStyle name="Comma 2 4 2 2 4 6" xfId="12494"/>
    <cellStyle name="Comma 2 4 2 2 5" xfId="12495"/>
    <cellStyle name="Comma 2 4 2 2 5 2" xfId="12496"/>
    <cellStyle name="Comma 2 4 2 2 5 2 2" xfId="12497"/>
    <cellStyle name="Comma 2 4 2 2 5 3" xfId="12498"/>
    <cellStyle name="Comma 2 4 2 2 5 4" xfId="12499"/>
    <cellStyle name="Comma 2 4 2 2 5 5" xfId="12500"/>
    <cellStyle name="Comma 2 4 2 2 6" xfId="12501"/>
    <cellStyle name="Comma 2 4 2 2 6 2" xfId="12502"/>
    <cellStyle name="Comma 2 4 2 2 6 3" xfId="12503"/>
    <cellStyle name="Comma 2 4 2 2 6 4" xfId="12504"/>
    <cellStyle name="Comma 2 4 2 2 7" xfId="12505"/>
    <cellStyle name="Comma 2 4 2 2 7 2" xfId="12506"/>
    <cellStyle name="Comma 2 4 2 2 8" xfId="12507"/>
    <cellStyle name="Comma 2 4 2 2 9" xfId="12508"/>
    <cellStyle name="Comma 2 4 2 20" xfId="12509"/>
    <cellStyle name="Comma 2 4 2 21" xfId="12510"/>
    <cellStyle name="Comma 2 4 2 22" xfId="12511"/>
    <cellStyle name="Comma 2 4 2 3" xfId="12512"/>
    <cellStyle name="Comma 2 4 2 3 10" xfId="12513"/>
    <cellStyle name="Comma 2 4 2 3 11" xfId="12514"/>
    <cellStyle name="Comma 2 4 2 3 2" xfId="12515"/>
    <cellStyle name="Comma 2 4 2 3 2 2" xfId="12516"/>
    <cellStyle name="Comma 2 4 2 3 2 2 2" xfId="12517"/>
    <cellStyle name="Comma 2 4 2 3 2 2 2 2" xfId="12518"/>
    <cellStyle name="Comma 2 4 2 3 2 2 2 3" xfId="12519"/>
    <cellStyle name="Comma 2 4 2 3 2 2 3" xfId="12520"/>
    <cellStyle name="Comma 2 4 2 3 2 2 4" xfId="12521"/>
    <cellStyle name="Comma 2 4 2 3 2 2 5" xfId="12522"/>
    <cellStyle name="Comma 2 4 2 3 2 2 6" xfId="12523"/>
    <cellStyle name="Comma 2 4 2 3 2 3" xfId="12524"/>
    <cellStyle name="Comma 2 4 2 3 2 3 2" xfId="12525"/>
    <cellStyle name="Comma 2 4 2 3 2 3 2 2" xfId="12526"/>
    <cellStyle name="Comma 2 4 2 3 2 3 3" xfId="12527"/>
    <cellStyle name="Comma 2 4 2 3 2 3 4" xfId="12528"/>
    <cellStyle name="Comma 2 4 2 3 2 3 5" xfId="12529"/>
    <cellStyle name="Comma 2 4 2 3 2 4" xfId="12530"/>
    <cellStyle name="Comma 2 4 2 3 2 4 2" xfId="12531"/>
    <cellStyle name="Comma 2 4 2 3 2 4 3" xfId="12532"/>
    <cellStyle name="Comma 2 4 2 3 2 4 4" xfId="12533"/>
    <cellStyle name="Comma 2 4 2 3 2 5" xfId="12534"/>
    <cellStyle name="Comma 2 4 2 3 2 5 2" xfId="12535"/>
    <cellStyle name="Comma 2 4 2 3 2 6" xfId="12536"/>
    <cellStyle name="Comma 2 4 2 3 2 7" xfId="12537"/>
    <cellStyle name="Comma 2 4 2 3 2 8" xfId="12538"/>
    <cellStyle name="Comma 2 4 2 3 2 9" xfId="12539"/>
    <cellStyle name="Comma 2 4 2 3 3" xfId="12540"/>
    <cellStyle name="Comma 2 4 2 3 3 2" xfId="12541"/>
    <cellStyle name="Comma 2 4 2 3 3 2 2" xfId="12542"/>
    <cellStyle name="Comma 2 4 2 3 3 2 2 2" xfId="12543"/>
    <cellStyle name="Comma 2 4 2 3 3 2 2 3" xfId="12544"/>
    <cellStyle name="Comma 2 4 2 3 3 2 3" xfId="12545"/>
    <cellStyle name="Comma 2 4 2 3 3 2 4" xfId="12546"/>
    <cellStyle name="Comma 2 4 2 3 3 2 5" xfId="12547"/>
    <cellStyle name="Comma 2 4 2 3 3 2 6" xfId="12548"/>
    <cellStyle name="Comma 2 4 2 3 3 3" xfId="12549"/>
    <cellStyle name="Comma 2 4 2 3 3 3 2" xfId="12550"/>
    <cellStyle name="Comma 2 4 2 3 3 3 2 2" xfId="12551"/>
    <cellStyle name="Comma 2 4 2 3 3 3 3" xfId="12552"/>
    <cellStyle name="Comma 2 4 2 3 3 3 4" xfId="12553"/>
    <cellStyle name="Comma 2 4 2 3 3 3 5" xfId="12554"/>
    <cellStyle name="Comma 2 4 2 3 3 4" xfId="12555"/>
    <cellStyle name="Comma 2 4 2 3 3 4 2" xfId="12556"/>
    <cellStyle name="Comma 2 4 2 3 3 4 3" xfId="12557"/>
    <cellStyle name="Comma 2 4 2 3 3 4 4" xfId="12558"/>
    <cellStyle name="Comma 2 4 2 3 3 5" xfId="12559"/>
    <cellStyle name="Comma 2 4 2 3 3 5 2" xfId="12560"/>
    <cellStyle name="Comma 2 4 2 3 3 6" xfId="12561"/>
    <cellStyle name="Comma 2 4 2 3 3 7" xfId="12562"/>
    <cellStyle name="Comma 2 4 2 3 3 8" xfId="12563"/>
    <cellStyle name="Comma 2 4 2 3 3 9" xfId="12564"/>
    <cellStyle name="Comma 2 4 2 3 4" xfId="12565"/>
    <cellStyle name="Comma 2 4 2 3 4 2" xfId="12566"/>
    <cellStyle name="Comma 2 4 2 3 4 2 2" xfId="12567"/>
    <cellStyle name="Comma 2 4 2 3 4 2 3" xfId="12568"/>
    <cellStyle name="Comma 2 4 2 3 4 3" xfId="12569"/>
    <cellStyle name="Comma 2 4 2 3 4 4" xfId="12570"/>
    <cellStyle name="Comma 2 4 2 3 4 5" xfId="12571"/>
    <cellStyle name="Comma 2 4 2 3 4 6" xfId="12572"/>
    <cellStyle name="Comma 2 4 2 3 5" xfId="12573"/>
    <cellStyle name="Comma 2 4 2 3 5 2" xfId="12574"/>
    <cellStyle name="Comma 2 4 2 3 5 2 2" xfId="12575"/>
    <cellStyle name="Comma 2 4 2 3 5 3" xfId="12576"/>
    <cellStyle name="Comma 2 4 2 3 5 4" xfId="12577"/>
    <cellStyle name="Comma 2 4 2 3 5 5" xfId="12578"/>
    <cellStyle name="Comma 2 4 2 3 6" xfId="12579"/>
    <cellStyle name="Comma 2 4 2 3 6 2" xfId="12580"/>
    <cellStyle name="Comma 2 4 2 3 6 3" xfId="12581"/>
    <cellStyle name="Comma 2 4 2 3 6 4" xfId="12582"/>
    <cellStyle name="Comma 2 4 2 3 7" xfId="12583"/>
    <cellStyle name="Comma 2 4 2 3 7 2" xfId="12584"/>
    <cellStyle name="Comma 2 4 2 3 8" xfId="12585"/>
    <cellStyle name="Comma 2 4 2 3 9" xfId="12586"/>
    <cellStyle name="Comma 2 4 2 4" xfId="12587"/>
    <cellStyle name="Comma 2 4 2 4 10" xfId="12588"/>
    <cellStyle name="Comma 2 4 2 4 11" xfId="12589"/>
    <cellStyle name="Comma 2 4 2 4 2" xfId="12590"/>
    <cellStyle name="Comma 2 4 2 4 2 2" xfId="12591"/>
    <cellStyle name="Comma 2 4 2 4 2 2 2" xfId="12592"/>
    <cellStyle name="Comma 2 4 2 4 2 2 2 2" xfId="12593"/>
    <cellStyle name="Comma 2 4 2 4 2 2 2 3" xfId="12594"/>
    <cellStyle name="Comma 2 4 2 4 2 2 3" xfId="12595"/>
    <cellStyle name="Comma 2 4 2 4 2 2 4" xfId="12596"/>
    <cellStyle name="Comma 2 4 2 4 2 2 5" xfId="12597"/>
    <cellStyle name="Comma 2 4 2 4 2 2 6" xfId="12598"/>
    <cellStyle name="Comma 2 4 2 4 2 3" xfId="12599"/>
    <cellStyle name="Comma 2 4 2 4 2 3 2" xfId="12600"/>
    <cellStyle name="Comma 2 4 2 4 2 3 2 2" xfId="12601"/>
    <cellStyle name="Comma 2 4 2 4 2 3 3" xfId="12602"/>
    <cellStyle name="Comma 2 4 2 4 2 3 4" xfId="12603"/>
    <cellStyle name="Comma 2 4 2 4 2 3 5" xfId="12604"/>
    <cellStyle name="Comma 2 4 2 4 2 4" xfId="12605"/>
    <cellStyle name="Comma 2 4 2 4 2 4 2" xfId="12606"/>
    <cellStyle name="Comma 2 4 2 4 2 4 3" xfId="12607"/>
    <cellStyle name="Comma 2 4 2 4 2 4 4" xfId="12608"/>
    <cellStyle name="Comma 2 4 2 4 2 5" xfId="12609"/>
    <cellStyle name="Comma 2 4 2 4 2 5 2" xfId="12610"/>
    <cellStyle name="Comma 2 4 2 4 2 6" xfId="12611"/>
    <cellStyle name="Comma 2 4 2 4 2 7" xfId="12612"/>
    <cellStyle name="Comma 2 4 2 4 2 8" xfId="12613"/>
    <cellStyle name="Comma 2 4 2 4 2 9" xfId="12614"/>
    <cellStyle name="Comma 2 4 2 4 3" xfId="12615"/>
    <cellStyle name="Comma 2 4 2 4 3 2" xfId="12616"/>
    <cellStyle name="Comma 2 4 2 4 3 2 2" xfId="12617"/>
    <cellStyle name="Comma 2 4 2 4 3 2 2 2" xfId="12618"/>
    <cellStyle name="Comma 2 4 2 4 3 2 2 3" xfId="12619"/>
    <cellStyle name="Comma 2 4 2 4 3 2 3" xfId="12620"/>
    <cellStyle name="Comma 2 4 2 4 3 2 4" xfId="12621"/>
    <cellStyle name="Comma 2 4 2 4 3 2 5" xfId="12622"/>
    <cellStyle name="Comma 2 4 2 4 3 2 6" xfId="12623"/>
    <cellStyle name="Comma 2 4 2 4 3 3" xfId="12624"/>
    <cellStyle name="Comma 2 4 2 4 3 3 2" xfId="12625"/>
    <cellStyle name="Comma 2 4 2 4 3 3 2 2" xfId="12626"/>
    <cellStyle name="Comma 2 4 2 4 3 3 3" xfId="12627"/>
    <cellStyle name="Comma 2 4 2 4 3 3 4" xfId="12628"/>
    <cellStyle name="Comma 2 4 2 4 3 3 5" xfId="12629"/>
    <cellStyle name="Comma 2 4 2 4 3 4" xfId="12630"/>
    <cellStyle name="Comma 2 4 2 4 3 4 2" xfId="12631"/>
    <cellStyle name="Comma 2 4 2 4 3 4 3" xfId="12632"/>
    <cellStyle name="Comma 2 4 2 4 3 4 4" xfId="12633"/>
    <cellStyle name="Comma 2 4 2 4 3 5" xfId="12634"/>
    <cellStyle name="Comma 2 4 2 4 3 5 2" xfId="12635"/>
    <cellStyle name="Comma 2 4 2 4 3 6" xfId="12636"/>
    <cellStyle name="Comma 2 4 2 4 3 7" xfId="12637"/>
    <cellStyle name="Comma 2 4 2 4 3 8" xfId="12638"/>
    <cellStyle name="Comma 2 4 2 4 3 9" xfId="12639"/>
    <cellStyle name="Comma 2 4 2 4 4" xfId="12640"/>
    <cellStyle name="Comma 2 4 2 4 4 2" xfId="12641"/>
    <cellStyle name="Comma 2 4 2 4 4 2 2" xfId="12642"/>
    <cellStyle name="Comma 2 4 2 4 4 2 3" xfId="12643"/>
    <cellStyle name="Comma 2 4 2 4 4 3" xfId="12644"/>
    <cellStyle name="Comma 2 4 2 4 4 4" xfId="12645"/>
    <cellStyle name="Comma 2 4 2 4 4 5" xfId="12646"/>
    <cellStyle name="Comma 2 4 2 4 4 6" xfId="12647"/>
    <cellStyle name="Comma 2 4 2 4 5" xfId="12648"/>
    <cellStyle name="Comma 2 4 2 4 5 2" xfId="12649"/>
    <cellStyle name="Comma 2 4 2 4 5 2 2" xfId="12650"/>
    <cellStyle name="Comma 2 4 2 4 5 3" xfId="12651"/>
    <cellStyle name="Comma 2 4 2 4 5 4" xfId="12652"/>
    <cellStyle name="Comma 2 4 2 4 5 5" xfId="12653"/>
    <cellStyle name="Comma 2 4 2 4 6" xfId="12654"/>
    <cellStyle name="Comma 2 4 2 4 6 2" xfId="12655"/>
    <cellStyle name="Comma 2 4 2 4 6 3" xfId="12656"/>
    <cellStyle name="Comma 2 4 2 4 6 4" xfId="12657"/>
    <cellStyle name="Comma 2 4 2 4 7" xfId="12658"/>
    <cellStyle name="Comma 2 4 2 4 7 2" xfId="12659"/>
    <cellStyle name="Comma 2 4 2 4 8" xfId="12660"/>
    <cellStyle name="Comma 2 4 2 4 9" xfId="12661"/>
    <cellStyle name="Comma 2 4 2 5" xfId="12662"/>
    <cellStyle name="Comma 2 4 2 5 10" xfId="12663"/>
    <cellStyle name="Comma 2 4 2 5 11" xfId="12664"/>
    <cellStyle name="Comma 2 4 2 5 2" xfId="12665"/>
    <cellStyle name="Comma 2 4 2 5 2 2" xfId="12666"/>
    <cellStyle name="Comma 2 4 2 5 2 2 2" xfId="12667"/>
    <cellStyle name="Comma 2 4 2 5 2 2 2 2" xfId="12668"/>
    <cellStyle name="Comma 2 4 2 5 2 2 2 3" xfId="12669"/>
    <cellStyle name="Comma 2 4 2 5 2 2 3" xfId="12670"/>
    <cellStyle name="Comma 2 4 2 5 2 2 4" xfId="12671"/>
    <cellStyle name="Comma 2 4 2 5 2 2 5" xfId="12672"/>
    <cellStyle name="Comma 2 4 2 5 2 2 6" xfId="12673"/>
    <cellStyle name="Comma 2 4 2 5 2 3" xfId="12674"/>
    <cellStyle name="Comma 2 4 2 5 2 3 2" xfId="12675"/>
    <cellStyle name="Comma 2 4 2 5 2 3 2 2" xfId="12676"/>
    <cellStyle name="Comma 2 4 2 5 2 3 3" xfId="12677"/>
    <cellStyle name="Comma 2 4 2 5 2 3 4" xfId="12678"/>
    <cellStyle name="Comma 2 4 2 5 2 3 5" xfId="12679"/>
    <cellStyle name="Comma 2 4 2 5 2 4" xfId="12680"/>
    <cellStyle name="Comma 2 4 2 5 2 4 2" xfId="12681"/>
    <cellStyle name="Comma 2 4 2 5 2 4 3" xfId="12682"/>
    <cellStyle name="Comma 2 4 2 5 2 4 4" xfId="12683"/>
    <cellStyle name="Comma 2 4 2 5 2 5" xfId="12684"/>
    <cellStyle name="Comma 2 4 2 5 2 5 2" xfId="12685"/>
    <cellStyle name="Comma 2 4 2 5 2 6" xfId="12686"/>
    <cellStyle name="Comma 2 4 2 5 2 7" xfId="12687"/>
    <cellStyle name="Comma 2 4 2 5 2 8" xfId="12688"/>
    <cellStyle name="Comma 2 4 2 5 2 9" xfId="12689"/>
    <cellStyle name="Comma 2 4 2 5 3" xfId="12690"/>
    <cellStyle name="Comma 2 4 2 5 3 2" xfId="12691"/>
    <cellStyle name="Comma 2 4 2 5 3 2 2" xfId="12692"/>
    <cellStyle name="Comma 2 4 2 5 3 2 2 2" xfId="12693"/>
    <cellStyle name="Comma 2 4 2 5 3 2 2 3" xfId="12694"/>
    <cellStyle name="Comma 2 4 2 5 3 2 3" xfId="12695"/>
    <cellStyle name="Comma 2 4 2 5 3 2 4" xfId="12696"/>
    <cellStyle name="Comma 2 4 2 5 3 2 5" xfId="12697"/>
    <cellStyle name="Comma 2 4 2 5 3 2 6" xfId="12698"/>
    <cellStyle name="Comma 2 4 2 5 3 3" xfId="12699"/>
    <cellStyle name="Comma 2 4 2 5 3 3 2" xfId="12700"/>
    <cellStyle name="Comma 2 4 2 5 3 3 2 2" xfId="12701"/>
    <cellStyle name="Comma 2 4 2 5 3 3 3" xfId="12702"/>
    <cellStyle name="Comma 2 4 2 5 3 3 4" xfId="12703"/>
    <cellStyle name="Comma 2 4 2 5 3 3 5" xfId="12704"/>
    <cellStyle name="Comma 2 4 2 5 3 4" xfId="12705"/>
    <cellStyle name="Comma 2 4 2 5 3 4 2" xfId="12706"/>
    <cellStyle name="Comma 2 4 2 5 3 4 3" xfId="12707"/>
    <cellStyle name="Comma 2 4 2 5 3 4 4" xfId="12708"/>
    <cellStyle name="Comma 2 4 2 5 3 5" xfId="12709"/>
    <cellStyle name="Comma 2 4 2 5 3 5 2" xfId="12710"/>
    <cellStyle name="Comma 2 4 2 5 3 6" xfId="12711"/>
    <cellStyle name="Comma 2 4 2 5 3 7" xfId="12712"/>
    <cellStyle name="Comma 2 4 2 5 3 8" xfId="12713"/>
    <cellStyle name="Comma 2 4 2 5 3 9" xfId="12714"/>
    <cellStyle name="Comma 2 4 2 5 4" xfId="12715"/>
    <cellStyle name="Comma 2 4 2 5 4 2" xfId="12716"/>
    <cellStyle name="Comma 2 4 2 5 4 2 2" xfId="12717"/>
    <cellStyle name="Comma 2 4 2 5 4 2 3" xfId="12718"/>
    <cellStyle name="Comma 2 4 2 5 4 3" xfId="12719"/>
    <cellStyle name="Comma 2 4 2 5 4 4" xfId="12720"/>
    <cellStyle name="Comma 2 4 2 5 4 5" xfId="12721"/>
    <cellStyle name="Comma 2 4 2 5 4 6" xfId="12722"/>
    <cellStyle name="Comma 2 4 2 5 5" xfId="12723"/>
    <cellStyle name="Comma 2 4 2 5 5 2" xfId="12724"/>
    <cellStyle name="Comma 2 4 2 5 5 2 2" xfId="12725"/>
    <cellStyle name="Comma 2 4 2 5 5 3" xfId="12726"/>
    <cellStyle name="Comma 2 4 2 5 5 4" xfId="12727"/>
    <cellStyle name="Comma 2 4 2 5 5 5" xfId="12728"/>
    <cellStyle name="Comma 2 4 2 5 6" xfId="12729"/>
    <cellStyle name="Comma 2 4 2 5 6 2" xfId="12730"/>
    <cellStyle name="Comma 2 4 2 5 6 3" xfId="12731"/>
    <cellStyle name="Comma 2 4 2 5 6 4" xfId="12732"/>
    <cellStyle name="Comma 2 4 2 5 7" xfId="12733"/>
    <cellStyle name="Comma 2 4 2 5 7 2" xfId="12734"/>
    <cellStyle name="Comma 2 4 2 5 8" xfId="12735"/>
    <cellStyle name="Comma 2 4 2 5 9" xfId="12736"/>
    <cellStyle name="Comma 2 4 2 6" xfId="12737"/>
    <cellStyle name="Comma 2 4 2 6 10" xfId="12738"/>
    <cellStyle name="Comma 2 4 2 6 11" xfId="12739"/>
    <cellStyle name="Comma 2 4 2 6 2" xfId="12740"/>
    <cellStyle name="Comma 2 4 2 6 2 2" xfId="12741"/>
    <cellStyle name="Comma 2 4 2 6 2 2 2" xfId="12742"/>
    <cellStyle name="Comma 2 4 2 6 2 2 2 2" xfId="12743"/>
    <cellStyle name="Comma 2 4 2 6 2 2 2 3" xfId="12744"/>
    <cellStyle name="Comma 2 4 2 6 2 2 3" xfId="12745"/>
    <cellStyle name="Comma 2 4 2 6 2 2 4" xfId="12746"/>
    <cellStyle name="Comma 2 4 2 6 2 2 5" xfId="12747"/>
    <cellStyle name="Comma 2 4 2 6 2 2 6" xfId="12748"/>
    <cellStyle name="Comma 2 4 2 6 2 3" xfId="12749"/>
    <cellStyle name="Comma 2 4 2 6 2 3 2" xfId="12750"/>
    <cellStyle name="Comma 2 4 2 6 2 3 2 2" xfId="12751"/>
    <cellStyle name="Comma 2 4 2 6 2 3 3" xfId="12752"/>
    <cellStyle name="Comma 2 4 2 6 2 3 4" xfId="12753"/>
    <cellStyle name="Comma 2 4 2 6 2 3 5" xfId="12754"/>
    <cellStyle name="Comma 2 4 2 6 2 4" xfId="12755"/>
    <cellStyle name="Comma 2 4 2 6 2 4 2" xfId="12756"/>
    <cellStyle name="Comma 2 4 2 6 2 4 3" xfId="12757"/>
    <cellStyle name="Comma 2 4 2 6 2 4 4" xfId="12758"/>
    <cellStyle name="Comma 2 4 2 6 2 5" xfId="12759"/>
    <cellStyle name="Comma 2 4 2 6 2 5 2" xfId="12760"/>
    <cellStyle name="Comma 2 4 2 6 2 6" xfId="12761"/>
    <cellStyle name="Comma 2 4 2 6 2 7" xfId="12762"/>
    <cellStyle name="Comma 2 4 2 6 2 8" xfId="12763"/>
    <cellStyle name="Comma 2 4 2 6 2 9" xfId="12764"/>
    <cellStyle name="Comma 2 4 2 6 3" xfId="12765"/>
    <cellStyle name="Comma 2 4 2 6 3 2" xfId="12766"/>
    <cellStyle name="Comma 2 4 2 6 3 2 2" xfId="12767"/>
    <cellStyle name="Comma 2 4 2 6 3 2 2 2" xfId="12768"/>
    <cellStyle name="Comma 2 4 2 6 3 2 2 3" xfId="12769"/>
    <cellStyle name="Comma 2 4 2 6 3 2 3" xfId="12770"/>
    <cellStyle name="Comma 2 4 2 6 3 2 4" xfId="12771"/>
    <cellStyle name="Comma 2 4 2 6 3 2 5" xfId="12772"/>
    <cellStyle name="Comma 2 4 2 6 3 2 6" xfId="12773"/>
    <cellStyle name="Comma 2 4 2 6 3 3" xfId="12774"/>
    <cellStyle name="Comma 2 4 2 6 3 3 2" xfId="12775"/>
    <cellStyle name="Comma 2 4 2 6 3 3 2 2" xfId="12776"/>
    <cellStyle name="Comma 2 4 2 6 3 3 3" xfId="12777"/>
    <cellStyle name="Comma 2 4 2 6 3 3 4" xfId="12778"/>
    <cellStyle name="Comma 2 4 2 6 3 3 5" xfId="12779"/>
    <cellStyle name="Comma 2 4 2 6 3 4" xfId="12780"/>
    <cellStyle name="Comma 2 4 2 6 3 4 2" xfId="12781"/>
    <cellStyle name="Comma 2 4 2 6 3 4 3" xfId="12782"/>
    <cellStyle name="Comma 2 4 2 6 3 4 4" xfId="12783"/>
    <cellStyle name="Comma 2 4 2 6 3 5" xfId="12784"/>
    <cellStyle name="Comma 2 4 2 6 3 5 2" xfId="12785"/>
    <cellStyle name="Comma 2 4 2 6 3 6" xfId="12786"/>
    <cellStyle name="Comma 2 4 2 6 3 7" xfId="12787"/>
    <cellStyle name="Comma 2 4 2 6 3 8" xfId="12788"/>
    <cellStyle name="Comma 2 4 2 6 3 9" xfId="12789"/>
    <cellStyle name="Comma 2 4 2 6 4" xfId="12790"/>
    <cellStyle name="Comma 2 4 2 6 4 2" xfId="12791"/>
    <cellStyle name="Comma 2 4 2 6 4 2 2" xfId="12792"/>
    <cellStyle name="Comma 2 4 2 6 4 2 3" xfId="12793"/>
    <cellStyle name="Comma 2 4 2 6 4 3" xfId="12794"/>
    <cellStyle name="Comma 2 4 2 6 4 4" xfId="12795"/>
    <cellStyle name="Comma 2 4 2 6 4 5" xfId="12796"/>
    <cellStyle name="Comma 2 4 2 6 4 6" xfId="12797"/>
    <cellStyle name="Comma 2 4 2 6 5" xfId="12798"/>
    <cellStyle name="Comma 2 4 2 6 5 2" xfId="12799"/>
    <cellStyle name="Comma 2 4 2 6 5 2 2" xfId="12800"/>
    <cellStyle name="Comma 2 4 2 6 5 3" xfId="12801"/>
    <cellStyle name="Comma 2 4 2 6 5 4" xfId="12802"/>
    <cellStyle name="Comma 2 4 2 6 5 5" xfId="12803"/>
    <cellStyle name="Comma 2 4 2 6 6" xfId="12804"/>
    <cellStyle name="Comma 2 4 2 6 6 2" xfId="12805"/>
    <cellStyle name="Comma 2 4 2 6 6 3" xfId="12806"/>
    <cellStyle name="Comma 2 4 2 6 6 4" xfId="12807"/>
    <cellStyle name="Comma 2 4 2 6 7" xfId="12808"/>
    <cellStyle name="Comma 2 4 2 6 7 2" xfId="12809"/>
    <cellStyle name="Comma 2 4 2 6 8" xfId="12810"/>
    <cellStyle name="Comma 2 4 2 6 9" xfId="12811"/>
    <cellStyle name="Comma 2 4 2 7" xfId="12812"/>
    <cellStyle name="Comma 2 4 2 7 10" xfId="12813"/>
    <cellStyle name="Comma 2 4 2 7 11" xfId="12814"/>
    <cellStyle name="Comma 2 4 2 7 2" xfId="12815"/>
    <cellStyle name="Comma 2 4 2 7 2 2" xfId="12816"/>
    <cellStyle name="Comma 2 4 2 7 2 2 2" xfId="12817"/>
    <cellStyle name="Comma 2 4 2 7 2 2 2 2" xfId="12818"/>
    <cellStyle name="Comma 2 4 2 7 2 2 2 3" xfId="12819"/>
    <cellStyle name="Comma 2 4 2 7 2 2 3" xfId="12820"/>
    <cellStyle name="Comma 2 4 2 7 2 2 4" xfId="12821"/>
    <cellStyle name="Comma 2 4 2 7 2 2 5" xfId="12822"/>
    <cellStyle name="Comma 2 4 2 7 2 2 6" xfId="12823"/>
    <cellStyle name="Comma 2 4 2 7 2 3" xfId="12824"/>
    <cellStyle name="Comma 2 4 2 7 2 3 2" xfId="12825"/>
    <cellStyle name="Comma 2 4 2 7 2 3 2 2" xfId="12826"/>
    <cellStyle name="Comma 2 4 2 7 2 3 3" xfId="12827"/>
    <cellStyle name="Comma 2 4 2 7 2 3 4" xfId="12828"/>
    <cellStyle name="Comma 2 4 2 7 2 3 5" xfId="12829"/>
    <cellStyle name="Comma 2 4 2 7 2 4" xfId="12830"/>
    <cellStyle name="Comma 2 4 2 7 2 4 2" xfId="12831"/>
    <cellStyle name="Comma 2 4 2 7 2 4 3" xfId="12832"/>
    <cellStyle name="Comma 2 4 2 7 2 4 4" xfId="12833"/>
    <cellStyle name="Comma 2 4 2 7 2 5" xfId="12834"/>
    <cellStyle name="Comma 2 4 2 7 2 5 2" xfId="12835"/>
    <cellStyle name="Comma 2 4 2 7 2 6" xfId="12836"/>
    <cellStyle name="Comma 2 4 2 7 2 7" xfId="12837"/>
    <cellStyle name="Comma 2 4 2 7 2 8" xfId="12838"/>
    <cellStyle name="Comma 2 4 2 7 2 9" xfId="12839"/>
    <cellStyle name="Comma 2 4 2 7 3" xfId="12840"/>
    <cellStyle name="Comma 2 4 2 7 3 2" xfId="12841"/>
    <cellStyle name="Comma 2 4 2 7 3 2 2" xfId="12842"/>
    <cellStyle name="Comma 2 4 2 7 3 2 2 2" xfId="12843"/>
    <cellStyle name="Comma 2 4 2 7 3 2 2 3" xfId="12844"/>
    <cellStyle name="Comma 2 4 2 7 3 2 3" xfId="12845"/>
    <cellStyle name="Comma 2 4 2 7 3 2 4" xfId="12846"/>
    <cellStyle name="Comma 2 4 2 7 3 2 5" xfId="12847"/>
    <cellStyle name="Comma 2 4 2 7 3 2 6" xfId="12848"/>
    <cellStyle name="Comma 2 4 2 7 3 3" xfId="12849"/>
    <cellStyle name="Comma 2 4 2 7 3 3 2" xfId="12850"/>
    <cellStyle name="Comma 2 4 2 7 3 3 2 2" xfId="12851"/>
    <cellStyle name="Comma 2 4 2 7 3 3 3" xfId="12852"/>
    <cellStyle name="Comma 2 4 2 7 3 3 4" xfId="12853"/>
    <cellStyle name="Comma 2 4 2 7 3 3 5" xfId="12854"/>
    <cellStyle name="Comma 2 4 2 7 3 4" xfId="12855"/>
    <cellStyle name="Comma 2 4 2 7 3 4 2" xfId="12856"/>
    <cellStyle name="Comma 2 4 2 7 3 4 3" xfId="12857"/>
    <cellStyle name="Comma 2 4 2 7 3 4 4" xfId="12858"/>
    <cellStyle name="Comma 2 4 2 7 3 5" xfId="12859"/>
    <cellStyle name="Comma 2 4 2 7 3 5 2" xfId="12860"/>
    <cellStyle name="Comma 2 4 2 7 3 6" xfId="12861"/>
    <cellStyle name="Comma 2 4 2 7 3 7" xfId="12862"/>
    <cellStyle name="Comma 2 4 2 7 3 8" xfId="12863"/>
    <cellStyle name="Comma 2 4 2 7 3 9" xfId="12864"/>
    <cellStyle name="Comma 2 4 2 7 4" xfId="12865"/>
    <cellStyle name="Comma 2 4 2 7 4 2" xfId="12866"/>
    <cellStyle name="Comma 2 4 2 7 4 2 2" xfId="12867"/>
    <cellStyle name="Comma 2 4 2 7 4 2 3" xfId="12868"/>
    <cellStyle name="Comma 2 4 2 7 4 3" xfId="12869"/>
    <cellStyle name="Comma 2 4 2 7 4 4" xfId="12870"/>
    <cellStyle name="Comma 2 4 2 7 4 5" xfId="12871"/>
    <cellStyle name="Comma 2 4 2 7 4 6" xfId="12872"/>
    <cellStyle name="Comma 2 4 2 7 5" xfId="12873"/>
    <cellStyle name="Comma 2 4 2 7 5 2" xfId="12874"/>
    <cellStyle name="Comma 2 4 2 7 5 2 2" xfId="12875"/>
    <cellStyle name="Comma 2 4 2 7 5 3" xfId="12876"/>
    <cellStyle name="Comma 2 4 2 7 5 4" xfId="12877"/>
    <cellStyle name="Comma 2 4 2 7 5 5" xfId="12878"/>
    <cellStyle name="Comma 2 4 2 7 6" xfId="12879"/>
    <cellStyle name="Comma 2 4 2 7 6 2" xfId="12880"/>
    <cellStyle name="Comma 2 4 2 7 6 3" xfId="12881"/>
    <cellStyle name="Comma 2 4 2 7 6 4" xfId="12882"/>
    <cellStyle name="Comma 2 4 2 7 7" xfId="12883"/>
    <cellStyle name="Comma 2 4 2 7 7 2" xfId="12884"/>
    <cellStyle name="Comma 2 4 2 7 8" xfId="12885"/>
    <cellStyle name="Comma 2 4 2 7 9" xfId="12886"/>
    <cellStyle name="Comma 2 4 2 8" xfId="12887"/>
    <cellStyle name="Comma 2 4 2 8 10" xfId="12888"/>
    <cellStyle name="Comma 2 4 2 8 2" xfId="12889"/>
    <cellStyle name="Comma 2 4 2 8 2 2" xfId="12890"/>
    <cellStyle name="Comma 2 4 2 8 2 2 2" xfId="12891"/>
    <cellStyle name="Comma 2 4 2 8 2 2 3" xfId="12892"/>
    <cellStyle name="Comma 2 4 2 8 2 3" xfId="12893"/>
    <cellStyle name="Comma 2 4 2 8 2 4" xfId="12894"/>
    <cellStyle name="Comma 2 4 2 8 2 5" xfId="12895"/>
    <cellStyle name="Comma 2 4 2 8 2 6" xfId="12896"/>
    <cellStyle name="Comma 2 4 2 8 3" xfId="12897"/>
    <cellStyle name="Comma 2 4 2 8 3 2" xfId="12898"/>
    <cellStyle name="Comma 2 4 2 8 3 2 2" xfId="12899"/>
    <cellStyle name="Comma 2 4 2 8 3 2 3" xfId="12900"/>
    <cellStyle name="Comma 2 4 2 8 3 3" xfId="12901"/>
    <cellStyle name="Comma 2 4 2 8 3 4" xfId="12902"/>
    <cellStyle name="Comma 2 4 2 8 3 5" xfId="12903"/>
    <cellStyle name="Comma 2 4 2 8 3 6" xfId="12904"/>
    <cellStyle name="Comma 2 4 2 8 4" xfId="12905"/>
    <cellStyle name="Comma 2 4 2 8 4 2" xfId="12906"/>
    <cellStyle name="Comma 2 4 2 8 4 2 2" xfId="12907"/>
    <cellStyle name="Comma 2 4 2 8 4 3" xfId="12908"/>
    <cellStyle name="Comma 2 4 2 8 4 4" xfId="12909"/>
    <cellStyle name="Comma 2 4 2 8 4 5" xfId="12910"/>
    <cellStyle name="Comma 2 4 2 8 5" xfId="12911"/>
    <cellStyle name="Comma 2 4 2 8 5 2" xfId="12912"/>
    <cellStyle name="Comma 2 4 2 8 5 3" xfId="12913"/>
    <cellStyle name="Comma 2 4 2 8 5 4" xfId="12914"/>
    <cellStyle name="Comma 2 4 2 8 6" xfId="12915"/>
    <cellStyle name="Comma 2 4 2 8 6 2" xfId="12916"/>
    <cellStyle name="Comma 2 4 2 8 7" xfId="12917"/>
    <cellStyle name="Comma 2 4 2 8 8" xfId="12918"/>
    <cellStyle name="Comma 2 4 2 8 9" xfId="12919"/>
    <cellStyle name="Comma 2 4 2 9" xfId="12920"/>
    <cellStyle name="Comma 2 4 2 9 10" xfId="12921"/>
    <cellStyle name="Comma 2 4 2 9 2" xfId="12922"/>
    <cellStyle name="Comma 2 4 2 9 2 2" xfId="12923"/>
    <cellStyle name="Comma 2 4 2 9 2 2 2" xfId="12924"/>
    <cellStyle name="Comma 2 4 2 9 2 2 3" xfId="12925"/>
    <cellStyle name="Comma 2 4 2 9 2 3" xfId="12926"/>
    <cellStyle name="Comma 2 4 2 9 2 4" xfId="12927"/>
    <cellStyle name="Comma 2 4 2 9 2 5" xfId="12928"/>
    <cellStyle name="Comma 2 4 2 9 2 6" xfId="12929"/>
    <cellStyle name="Comma 2 4 2 9 3" xfId="12930"/>
    <cellStyle name="Comma 2 4 2 9 3 2" xfId="12931"/>
    <cellStyle name="Comma 2 4 2 9 3 2 2" xfId="12932"/>
    <cellStyle name="Comma 2 4 2 9 3 2 3" xfId="12933"/>
    <cellStyle name="Comma 2 4 2 9 3 3" xfId="12934"/>
    <cellStyle name="Comma 2 4 2 9 3 4" xfId="12935"/>
    <cellStyle name="Comma 2 4 2 9 3 5" xfId="12936"/>
    <cellStyle name="Comma 2 4 2 9 3 6" xfId="12937"/>
    <cellStyle name="Comma 2 4 2 9 4" xfId="12938"/>
    <cellStyle name="Comma 2 4 2 9 4 2" xfId="12939"/>
    <cellStyle name="Comma 2 4 2 9 4 2 2" xfId="12940"/>
    <cellStyle name="Comma 2 4 2 9 4 3" xfId="12941"/>
    <cellStyle name="Comma 2 4 2 9 4 4" xfId="12942"/>
    <cellStyle name="Comma 2 4 2 9 4 5" xfId="12943"/>
    <cellStyle name="Comma 2 4 2 9 5" xfId="12944"/>
    <cellStyle name="Comma 2 4 2 9 5 2" xfId="12945"/>
    <cellStyle name="Comma 2 4 2 9 5 3" xfId="12946"/>
    <cellStyle name="Comma 2 4 2 9 5 4" xfId="12947"/>
    <cellStyle name="Comma 2 4 2 9 6" xfId="12948"/>
    <cellStyle name="Comma 2 4 2 9 6 2" xfId="12949"/>
    <cellStyle name="Comma 2 4 2 9 7" xfId="12950"/>
    <cellStyle name="Comma 2 4 2 9 8" xfId="12951"/>
    <cellStyle name="Comma 2 4 2 9 9" xfId="12952"/>
    <cellStyle name="Comma 2 4 20" xfId="12953"/>
    <cellStyle name="Comma 2 4 20 10" xfId="12954"/>
    <cellStyle name="Comma 2 4 20 2" xfId="12955"/>
    <cellStyle name="Comma 2 4 20 2 2" xfId="12956"/>
    <cellStyle name="Comma 2 4 20 2 2 2" xfId="12957"/>
    <cellStyle name="Comma 2 4 20 2 2 3" xfId="12958"/>
    <cellStyle name="Comma 2 4 20 2 3" xfId="12959"/>
    <cellStyle name="Comma 2 4 20 2 4" xfId="12960"/>
    <cellStyle name="Comma 2 4 20 2 5" xfId="12961"/>
    <cellStyle name="Comma 2 4 20 2 6" xfId="12962"/>
    <cellStyle name="Comma 2 4 20 3" xfId="12963"/>
    <cellStyle name="Comma 2 4 20 3 2" xfId="12964"/>
    <cellStyle name="Comma 2 4 20 3 2 2" xfId="12965"/>
    <cellStyle name="Comma 2 4 20 3 2 3" xfId="12966"/>
    <cellStyle name="Comma 2 4 20 3 3" xfId="12967"/>
    <cellStyle name="Comma 2 4 20 3 4" xfId="12968"/>
    <cellStyle name="Comma 2 4 20 3 5" xfId="12969"/>
    <cellStyle name="Comma 2 4 20 3 6" xfId="12970"/>
    <cellStyle name="Comma 2 4 20 4" xfId="12971"/>
    <cellStyle name="Comma 2 4 20 4 2" xfId="12972"/>
    <cellStyle name="Comma 2 4 20 4 2 2" xfId="12973"/>
    <cellStyle name="Comma 2 4 20 4 3" xfId="12974"/>
    <cellStyle name="Comma 2 4 20 4 4" xfId="12975"/>
    <cellStyle name="Comma 2 4 20 4 5" xfId="12976"/>
    <cellStyle name="Comma 2 4 20 5" xfId="12977"/>
    <cellStyle name="Comma 2 4 20 5 2" xfId="12978"/>
    <cellStyle name="Comma 2 4 20 5 3" xfId="12979"/>
    <cellStyle name="Comma 2 4 20 5 4" xfId="12980"/>
    <cellStyle name="Comma 2 4 20 6" xfId="12981"/>
    <cellStyle name="Comma 2 4 20 6 2" xfId="12982"/>
    <cellStyle name="Comma 2 4 20 7" xfId="12983"/>
    <cellStyle name="Comma 2 4 20 8" xfId="12984"/>
    <cellStyle name="Comma 2 4 20 9" xfId="12985"/>
    <cellStyle name="Comma 2 4 21" xfId="12986"/>
    <cellStyle name="Comma 2 4 21 10" xfId="12987"/>
    <cellStyle name="Comma 2 4 21 2" xfId="12988"/>
    <cellStyle name="Comma 2 4 21 2 2" xfId="12989"/>
    <cellStyle name="Comma 2 4 21 2 2 2" xfId="12990"/>
    <cellStyle name="Comma 2 4 21 2 2 3" xfId="12991"/>
    <cellStyle name="Comma 2 4 21 2 3" xfId="12992"/>
    <cellStyle name="Comma 2 4 21 2 4" xfId="12993"/>
    <cellStyle name="Comma 2 4 21 2 5" xfId="12994"/>
    <cellStyle name="Comma 2 4 21 2 6" xfId="12995"/>
    <cellStyle name="Comma 2 4 21 3" xfId="12996"/>
    <cellStyle name="Comma 2 4 21 3 2" xfId="12997"/>
    <cellStyle name="Comma 2 4 21 3 2 2" xfId="12998"/>
    <cellStyle name="Comma 2 4 21 3 2 3" xfId="12999"/>
    <cellStyle name="Comma 2 4 21 3 3" xfId="13000"/>
    <cellStyle name="Comma 2 4 21 3 4" xfId="13001"/>
    <cellStyle name="Comma 2 4 21 3 5" xfId="13002"/>
    <cellStyle name="Comma 2 4 21 3 6" xfId="13003"/>
    <cellStyle name="Comma 2 4 21 4" xfId="13004"/>
    <cellStyle name="Comma 2 4 21 4 2" xfId="13005"/>
    <cellStyle name="Comma 2 4 21 4 2 2" xfId="13006"/>
    <cellStyle name="Comma 2 4 21 4 3" xfId="13007"/>
    <cellStyle name="Comma 2 4 21 4 4" xfId="13008"/>
    <cellStyle name="Comma 2 4 21 4 5" xfId="13009"/>
    <cellStyle name="Comma 2 4 21 5" xfId="13010"/>
    <cellStyle name="Comma 2 4 21 5 2" xfId="13011"/>
    <cellStyle name="Comma 2 4 21 5 3" xfId="13012"/>
    <cellStyle name="Comma 2 4 21 5 4" xfId="13013"/>
    <cellStyle name="Comma 2 4 21 6" xfId="13014"/>
    <cellStyle name="Comma 2 4 21 6 2" xfId="13015"/>
    <cellStyle name="Comma 2 4 21 7" xfId="13016"/>
    <cellStyle name="Comma 2 4 21 8" xfId="13017"/>
    <cellStyle name="Comma 2 4 21 9" xfId="13018"/>
    <cellStyle name="Comma 2 4 22" xfId="13019"/>
    <cellStyle name="Comma 2 4 22 10" xfId="13020"/>
    <cellStyle name="Comma 2 4 22 2" xfId="13021"/>
    <cellStyle name="Comma 2 4 22 2 2" xfId="13022"/>
    <cellStyle name="Comma 2 4 22 2 2 2" xfId="13023"/>
    <cellStyle name="Comma 2 4 22 2 2 3" xfId="13024"/>
    <cellStyle name="Comma 2 4 22 2 3" xfId="13025"/>
    <cellStyle name="Comma 2 4 22 2 4" xfId="13026"/>
    <cellStyle name="Comma 2 4 22 2 5" xfId="13027"/>
    <cellStyle name="Comma 2 4 22 2 6" xfId="13028"/>
    <cellStyle name="Comma 2 4 22 3" xfId="13029"/>
    <cellStyle name="Comma 2 4 22 3 2" xfId="13030"/>
    <cellStyle name="Comma 2 4 22 3 2 2" xfId="13031"/>
    <cellStyle name="Comma 2 4 22 3 2 3" xfId="13032"/>
    <cellStyle name="Comma 2 4 22 3 3" xfId="13033"/>
    <cellStyle name="Comma 2 4 22 3 4" xfId="13034"/>
    <cellStyle name="Comma 2 4 22 3 5" xfId="13035"/>
    <cellStyle name="Comma 2 4 22 3 6" xfId="13036"/>
    <cellStyle name="Comma 2 4 22 4" xfId="13037"/>
    <cellStyle name="Comma 2 4 22 4 2" xfId="13038"/>
    <cellStyle name="Comma 2 4 22 4 2 2" xfId="13039"/>
    <cellStyle name="Comma 2 4 22 4 3" xfId="13040"/>
    <cellStyle name="Comma 2 4 22 4 4" xfId="13041"/>
    <cellStyle name="Comma 2 4 22 4 5" xfId="13042"/>
    <cellStyle name="Comma 2 4 22 5" xfId="13043"/>
    <cellStyle name="Comma 2 4 22 5 2" xfId="13044"/>
    <cellStyle name="Comma 2 4 22 5 3" xfId="13045"/>
    <cellStyle name="Comma 2 4 22 5 4" xfId="13046"/>
    <cellStyle name="Comma 2 4 22 6" xfId="13047"/>
    <cellStyle name="Comma 2 4 22 6 2" xfId="13048"/>
    <cellStyle name="Comma 2 4 22 7" xfId="13049"/>
    <cellStyle name="Comma 2 4 22 8" xfId="13050"/>
    <cellStyle name="Comma 2 4 22 9" xfId="13051"/>
    <cellStyle name="Comma 2 4 23" xfId="13052"/>
    <cellStyle name="Comma 2 4 23 10" xfId="13053"/>
    <cellStyle name="Comma 2 4 23 2" xfId="13054"/>
    <cellStyle name="Comma 2 4 23 2 2" xfId="13055"/>
    <cellStyle name="Comma 2 4 23 2 2 2" xfId="13056"/>
    <cellStyle name="Comma 2 4 23 2 2 3" xfId="13057"/>
    <cellStyle name="Comma 2 4 23 2 3" xfId="13058"/>
    <cellStyle name="Comma 2 4 23 2 4" xfId="13059"/>
    <cellStyle name="Comma 2 4 23 2 5" xfId="13060"/>
    <cellStyle name="Comma 2 4 23 2 6" xfId="13061"/>
    <cellStyle name="Comma 2 4 23 3" xfId="13062"/>
    <cellStyle name="Comma 2 4 23 3 2" xfId="13063"/>
    <cellStyle name="Comma 2 4 23 3 2 2" xfId="13064"/>
    <cellStyle name="Comma 2 4 23 3 2 3" xfId="13065"/>
    <cellStyle name="Comma 2 4 23 3 3" xfId="13066"/>
    <cellStyle name="Comma 2 4 23 3 4" xfId="13067"/>
    <cellStyle name="Comma 2 4 23 3 5" xfId="13068"/>
    <cellStyle name="Comma 2 4 23 3 6" xfId="13069"/>
    <cellStyle name="Comma 2 4 23 4" xfId="13070"/>
    <cellStyle name="Comma 2 4 23 4 2" xfId="13071"/>
    <cellStyle name="Comma 2 4 23 4 2 2" xfId="13072"/>
    <cellStyle name="Comma 2 4 23 4 3" xfId="13073"/>
    <cellStyle name="Comma 2 4 23 4 4" xfId="13074"/>
    <cellStyle name="Comma 2 4 23 4 5" xfId="13075"/>
    <cellStyle name="Comma 2 4 23 5" xfId="13076"/>
    <cellStyle name="Comma 2 4 23 5 2" xfId="13077"/>
    <cellStyle name="Comma 2 4 23 5 3" xfId="13078"/>
    <cellStyle name="Comma 2 4 23 5 4" xfId="13079"/>
    <cellStyle name="Comma 2 4 23 6" xfId="13080"/>
    <cellStyle name="Comma 2 4 23 6 2" xfId="13081"/>
    <cellStyle name="Comma 2 4 23 7" xfId="13082"/>
    <cellStyle name="Comma 2 4 23 8" xfId="13083"/>
    <cellStyle name="Comma 2 4 23 9" xfId="13084"/>
    <cellStyle name="Comma 2 4 24" xfId="13085"/>
    <cellStyle name="Comma 2 4 24 10" xfId="13086"/>
    <cellStyle name="Comma 2 4 24 2" xfId="13087"/>
    <cellStyle name="Comma 2 4 24 2 2" xfId="13088"/>
    <cellStyle name="Comma 2 4 24 2 2 2" xfId="13089"/>
    <cellStyle name="Comma 2 4 24 2 2 3" xfId="13090"/>
    <cellStyle name="Comma 2 4 24 2 3" xfId="13091"/>
    <cellStyle name="Comma 2 4 24 2 4" xfId="13092"/>
    <cellStyle name="Comma 2 4 24 2 5" xfId="13093"/>
    <cellStyle name="Comma 2 4 24 2 6" xfId="13094"/>
    <cellStyle name="Comma 2 4 24 3" xfId="13095"/>
    <cellStyle name="Comma 2 4 24 3 2" xfId="13096"/>
    <cellStyle name="Comma 2 4 24 3 2 2" xfId="13097"/>
    <cellStyle name="Comma 2 4 24 3 2 3" xfId="13098"/>
    <cellStyle name="Comma 2 4 24 3 3" xfId="13099"/>
    <cellStyle name="Comma 2 4 24 3 4" xfId="13100"/>
    <cellStyle name="Comma 2 4 24 3 5" xfId="13101"/>
    <cellStyle name="Comma 2 4 24 3 6" xfId="13102"/>
    <cellStyle name="Comma 2 4 24 4" xfId="13103"/>
    <cellStyle name="Comma 2 4 24 4 2" xfId="13104"/>
    <cellStyle name="Comma 2 4 24 4 2 2" xfId="13105"/>
    <cellStyle name="Comma 2 4 24 4 3" xfId="13106"/>
    <cellStyle name="Comma 2 4 24 4 4" xfId="13107"/>
    <cellStyle name="Comma 2 4 24 4 5" xfId="13108"/>
    <cellStyle name="Comma 2 4 24 5" xfId="13109"/>
    <cellStyle name="Comma 2 4 24 5 2" xfId="13110"/>
    <cellStyle name="Comma 2 4 24 5 3" xfId="13111"/>
    <cellStyle name="Comma 2 4 24 5 4" xfId="13112"/>
    <cellStyle name="Comma 2 4 24 6" xfId="13113"/>
    <cellStyle name="Comma 2 4 24 6 2" xfId="13114"/>
    <cellStyle name="Comma 2 4 24 7" xfId="13115"/>
    <cellStyle name="Comma 2 4 24 8" xfId="13116"/>
    <cellStyle name="Comma 2 4 24 9" xfId="13117"/>
    <cellStyle name="Comma 2 4 25" xfId="13118"/>
    <cellStyle name="Comma 2 4 25 10" xfId="13119"/>
    <cellStyle name="Comma 2 4 25 2" xfId="13120"/>
    <cellStyle name="Comma 2 4 25 2 2" xfId="13121"/>
    <cellStyle name="Comma 2 4 25 2 2 2" xfId="13122"/>
    <cellStyle name="Comma 2 4 25 2 2 3" xfId="13123"/>
    <cellStyle name="Comma 2 4 25 2 3" xfId="13124"/>
    <cellStyle name="Comma 2 4 25 2 4" xfId="13125"/>
    <cellStyle name="Comma 2 4 25 2 5" xfId="13126"/>
    <cellStyle name="Comma 2 4 25 2 6" xfId="13127"/>
    <cellStyle name="Comma 2 4 25 3" xfId="13128"/>
    <cellStyle name="Comma 2 4 25 3 2" xfId="13129"/>
    <cellStyle name="Comma 2 4 25 3 2 2" xfId="13130"/>
    <cellStyle name="Comma 2 4 25 3 2 3" xfId="13131"/>
    <cellStyle name="Comma 2 4 25 3 3" xfId="13132"/>
    <cellStyle name="Comma 2 4 25 3 4" xfId="13133"/>
    <cellStyle name="Comma 2 4 25 3 5" xfId="13134"/>
    <cellStyle name="Comma 2 4 25 3 6" xfId="13135"/>
    <cellStyle name="Comma 2 4 25 4" xfId="13136"/>
    <cellStyle name="Comma 2 4 25 4 2" xfId="13137"/>
    <cellStyle name="Comma 2 4 25 4 2 2" xfId="13138"/>
    <cellStyle name="Comma 2 4 25 4 3" xfId="13139"/>
    <cellStyle name="Comma 2 4 25 4 4" xfId="13140"/>
    <cellStyle name="Comma 2 4 25 4 5" xfId="13141"/>
    <cellStyle name="Comma 2 4 25 5" xfId="13142"/>
    <cellStyle name="Comma 2 4 25 5 2" xfId="13143"/>
    <cellStyle name="Comma 2 4 25 5 3" xfId="13144"/>
    <cellStyle name="Comma 2 4 25 5 4" xfId="13145"/>
    <cellStyle name="Comma 2 4 25 6" xfId="13146"/>
    <cellStyle name="Comma 2 4 25 6 2" xfId="13147"/>
    <cellStyle name="Comma 2 4 25 7" xfId="13148"/>
    <cellStyle name="Comma 2 4 25 8" xfId="13149"/>
    <cellStyle name="Comma 2 4 25 9" xfId="13150"/>
    <cellStyle name="Comma 2 4 26" xfId="13151"/>
    <cellStyle name="Comma 2 4 26 10" xfId="13152"/>
    <cellStyle name="Comma 2 4 26 2" xfId="13153"/>
    <cellStyle name="Comma 2 4 26 2 2" xfId="13154"/>
    <cellStyle name="Comma 2 4 26 2 2 2" xfId="13155"/>
    <cellStyle name="Comma 2 4 26 2 2 3" xfId="13156"/>
    <cellStyle name="Comma 2 4 26 2 3" xfId="13157"/>
    <cellStyle name="Comma 2 4 26 2 4" xfId="13158"/>
    <cellStyle name="Comma 2 4 26 2 5" xfId="13159"/>
    <cellStyle name="Comma 2 4 26 2 6" xfId="13160"/>
    <cellStyle name="Comma 2 4 26 3" xfId="13161"/>
    <cellStyle name="Comma 2 4 26 3 2" xfId="13162"/>
    <cellStyle name="Comma 2 4 26 3 2 2" xfId="13163"/>
    <cellStyle name="Comma 2 4 26 3 2 3" xfId="13164"/>
    <cellStyle name="Comma 2 4 26 3 3" xfId="13165"/>
    <cellStyle name="Comma 2 4 26 3 4" xfId="13166"/>
    <cellStyle name="Comma 2 4 26 3 5" xfId="13167"/>
    <cellStyle name="Comma 2 4 26 3 6" xfId="13168"/>
    <cellStyle name="Comma 2 4 26 4" xfId="13169"/>
    <cellStyle name="Comma 2 4 26 4 2" xfId="13170"/>
    <cellStyle name="Comma 2 4 26 4 2 2" xfId="13171"/>
    <cellStyle name="Comma 2 4 26 4 3" xfId="13172"/>
    <cellStyle name="Comma 2 4 26 4 4" xfId="13173"/>
    <cellStyle name="Comma 2 4 26 4 5" xfId="13174"/>
    <cellStyle name="Comma 2 4 26 5" xfId="13175"/>
    <cellStyle name="Comma 2 4 26 5 2" xfId="13176"/>
    <cellStyle name="Comma 2 4 26 5 3" xfId="13177"/>
    <cellStyle name="Comma 2 4 26 5 4" xfId="13178"/>
    <cellStyle name="Comma 2 4 26 6" xfId="13179"/>
    <cellStyle name="Comma 2 4 26 6 2" xfId="13180"/>
    <cellStyle name="Comma 2 4 26 7" xfId="13181"/>
    <cellStyle name="Comma 2 4 26 8" xfId="13182"/>
    <cellStyle name="Comma 2 4 26 9" xfId="13183"/>
    <cellStyle name="Comma 2 4 27" xfId="13184"/>
    <cellStyle name="Comma 2 4 27 10" xfId="13185"/>
    <cellStyle name="Comma 2 4 27 2" xfId="13186"/>
    <cellStyle name="Comma 2 4 27 2 2" xfId="13187"/>
    <cellStyle name="Comma 2 4 27 2 2 2" xfId="13188"/>
    <cellStyle name="Comma 2 4 27 2 2 3" xfId="13189"/>
    <cellStyle name="Comma 2 4 27 2 3" xfId="13190"/>
    <cellStyle name="Comma 2 4 27 2 4" xfId="13191"/>
    <cellStyle name="Comma 2 4 27 2 5" xfId="13192"/>
    <cellStyle name="Comma 2 4 27 2 6" xfId="13193"/>
    <cellStyle name="Comma 2 4 27 3" xfId="13194"/>
    <cellStyle name="Comma 2 4 27 3 2" xfId="13195"/>
    <cellStyle name="Comma 2 4 27 3 2 2" xfId="13196"/>
    <cellStyle name="Comma 2 4 27 3 2 3" xfId="13197"/>
    <cellStyle name="Comma 2 4 27 3 3" xfId="13198"/>
    <cellStyle name="Comma 2 4 27 3 4" xfId="13199"/>
    <cellStyle name="Comma 2 4 27 3 5" xfId="13200"/>
    <cellStyle name="Comma 2 4 27 3 6" xfId="13201"/>
    <cellStyle name="Comma 2 4 27 4" xfId="13202"/>
    <cellStyle name="Comma 2 4 27 4 2" xfId="13203"/>
    <cellStyle name="Comma 2 4 27 4 2 2" xfId="13204"/>
    <cellStyle name="Comma 2 4 27 4 3" xfId="13205"/>
    <cellStyle name="Comma 2 4 27 4 4" xfId="13206"/>
    <cellStyle name="Comma 2 4 27 4 5" xfId="13207"/>
    <cellStyle name="Comma 2 4 27 5" xfId="13208"/>
    <cellStyle name="Comma 2 4 27 5 2" xfId="13209"/>
    <cellStyle name="Comma 2 4 27 5 3" xfId="13210"/>
    <cellStyle name="Comma 2 4 27 5 4" xfId="13211"/>
    <cellStyle name="Comma 2 4 27 6" xfId="13212"/>
    <cellStyle name="Comma 2 4 27 6 2" xfId="13213"/>
    <cellStyle name="Comma 2 4 27 7" xfId="13214"/>
    <cellStyle name="Comma 2 4 27 8" xfId="13215"/>
    <cellStyle name="Comma 2 4 27 9" xfId="13216"/>
    <cellStyle name="Comma 2 4 28" xfId="13217"/>
    <cellStyle name="Comma 2 4 28 10" xfId="13218"/>
    <cellStyle name="Comma 2 4 28 2" xfId="13219"/>
    <cellStyle name="Comma 2 4 28 2 2" xfId="13220"/>
    <cellStyle name="Comma 2 4 28 2 2 2" xfId="13221"/>
    <cellStyle name="Comma 2 4 28 2 2 3" xfId="13222"/>
    <cellStyle name="Comma 2 4 28 2 3" xfId="13223"/>
    <cellStyle name="Comma 2 4 28 2 4" xfId="13224"/>
    <cellStyle name="Comma 2 4 28 2 5" xfId="13225"/>
    <cellStyle name="Comma 2 4 28 2 6" xfId="13226"/>
    <cellStyle name="Comma 2 4 28 3" xfId="13227"/>
    <cellStyle name="Comma 2 4 28 3 2" xfId="13228"/>
    <cellStyle name="Comma 2 4 28 3 2 2" xfId="13229"/>
    <cellStyle name="Comma 2 4 28 3 2 3" xfId="13230"/>
    <cellStyle name="Comma 2 4 28 3 3" xfId="13231"/>
    <cellStyle name="Comma 2 4 28 3 4" xfId="13232"/>
    <cellStyle name="Comma 2 4 28 3 5" xfId="13233"/>
    <cellStyle name="Comma 2 4 28 3 6" xfId="13234"/>
    <cellStyle name="Comma 2 4 28 4" xfId="13235"/>
    <cellStyle name="Comma 2 4 28 4 2" xfId="13236"/>
    <cellStyle name="Comma 2 4 28 4 2 2" xfId="13237"/>
    <cellStyle name="Comma 2 4 28 4 3" xfId="13238"/>
    <cellStyle name="Comma 2 4 28 4 4" xfId="13239"/>
    <cellStyle name="Comma 2 4 28 4 5" xfId="13240"/>
    <cellStyle name="Comma 2 4 28 5" xfId="13241"/>
    <cellStyle name="Comma 2 4 28 5 2" xfId="13242"/>
    <cellStyle name="Comma 2 4 28 5 3" xfId="13243"/>
    <cellStyle name="Comma 2 4 28 5 4" xfId="13244"/>
    <cellStyle name="Comma 2 4 28 6" xfId="13245"/>
    <cellStyle name="Comma 2 4 28 6 2" xfId="13246"/>
    <cellStyle name="Comma 2 4 28 7" xfId="13247"/>
    <cellStyle name="Comma 2 4 28 8" xfId="13248"/>
    <cellStyle name="Comma 2 4 28 9" xfId="13249"/>
    <cellStyle name="Comma 2 4 29" xfId="13250"/>
    <cellStyle name="Comma 2 4 29 2" xfId="13251"/>
    <cellStyle name="Comma 2 4 29 2 2" xfId="13252"/>
    <cellStyle name="Comma 2 4 29 2 2 2" xfId="13253"/>
    <cellStyle name="Comma 2 4 29 2 2 3" xfId="13254"/>
    <cellStyle name="Comma 2 4 29 2 3" xfId="13255"/>
    <cellStyle name="Comma 2 4 29 2 4" xfId="13256"/>
    <cellStyle name="Comma 2 4 29 2 5" xfId="13257"/>
    <cellStyle name="Comma 2 4 29 2 6" xfId="13258"/>
    <cellStyle name="Comma 2 4 29 3" xfId="13259"/>
    <cellStyle name="Comma 2 4 29 3 2" xfId="13260"/>
    <cellStyle name="Comma 2 4 29 3 2 2" xfId="13261"/>
    <cellStyle name="Comma 2 4 29 3 3" xfId="13262"/>
    <cellStyle name="Comma 2 4 29 3 4" xfId="13263"/>
    <cellStyle name="Comma 2 4 29 3 5" xfId="13264"/>
    <cellStyle name="Comma 2 4 29 4" xfId="13265"/>
    <cellStyle name="Comma 2 4 29 4 2" xfId="13266"/>
    <cellStyle name="Comma 2 4 29 4 3" xfId="13267"/>
    <cellStyle name="Comma 2 4 29 4 4" xfId="13268"/>
    <cellStyle name="Comma 2 4 29 5" xfId="13269"/>
    <cellStyle name="Comma 2 4 29 5 2" xfId="13270"/>
    <cellStyle name="Comma 2 4 29 6" xfId="13271"/>
    <cellStyle name="Comma 2 4 29 7" xfId="13272"/>
    <cellStyle name="Comma 2 4 29 8" xfId="13273"/>
    <cellStyle name="Comma 2 4 29 9" xfId="13274"/>
    <cellStyle name="Comma 2 4 3" xfId="13275"/>
    <cellStyle name="Comma 2 4 3 10" xfId="13276"/>
    <cellStyle name="Comma 2 4 3 10 10" xfId="13277"/>
    <cellStyle name="Comma 2 4 3 10 2" xfId="13278"/>
    <cellStyle name="Comma 2 4 3 10 2 2" xfId="13279"/>
    <cellStyle name="Comma 2 4 3 10 2 2 2" xfId="13280"/>
    <cellStyle name="Comma 2 4 3 10 2 2 3" xfId="13281"/>
    <cellStyle name="Comma 2 4 3 10 2 3" xfId="13282"/>
    <cellStyle name="Comma 2 4 3 10 2 4" xfId="13283"/>
    <cellStyle name="Comma 2 4 3 10 2 5" xfId="13284"/>
    <cellStyle name="Comma 2 4 3 10 2 6" xfId="13285"/>
    <cellStyle name="Comma 2 4 3 10 3" xfId="13286"/>
    <cellStyle name="Comma 2 4 3 10 3 2" xfId="13287"/>
    <cellStyle name="Comma 2 4 3 10 3 2 2" xfId="13288"/>
    <cellStyle name="Comma 2 4 3 10 3 2 3" xfId="13289"/>
    <cellStyle name="Comma 2 4 3 10 3 3" xfId="13290"/>
    <cellStyle name="Comma 2 4 3 10 3 4" xfId="13291"/>
    <cellStyle name="Comma 2 4 3 10 3 5" xfId="13292"/>
    <cellStyle name="Comma 2 4 3 10 3 6" xfId="13293"/>
    <cellStyle name="Comma 2 4 3 10 4" xfId="13294"/>
    <cellStyle name="Comma 2 4 3 10 4 2" xfId="13295"/>
    <cellStyle name="Comma 2 4 3 10 4 2 2" xfId="13296"/>
    <cellStyle name="Comma 2 4 3 10 4 3" xfId="13297"/>
    <cellStyle name="Comma 2 4 3 10 4 4" xfId="13298"/>
    <cellStyle name="Comma 2 4 3 10 4 5" xfId="13299"/>
    <cellStyle name="Comma 2 4 3 10 5" xfId="13300"/>
    <cellStyle name="Comma 2 4 3 10 5 2" xfId="13301"/>
    <cellStyle name="Comma 2 4 3 10 5 3" xfId="13302"/>
    <cellStyle name="Comma 2 4 3 10 5 4" xfId="13303"/>
    <cellStyle name="Comma 2 4 3 10 6" xfId="13304"/>
    <cellStyle name="Comma 2 4 3 10 6 2" xfId="13305"/>
    <cellStyle name="Comma 2 4 3 10 7" xfId="13306"/>
    <cellStyle name="Comma 2 4 3 10 8" xfId="13307"/>
    <cellStyle name="Comma 2 4 3 10 9" xfId="13308"/>
    <cellStyle name="Comma 2 4 3 11" xfId="13309"/>
    <cellStyle name="Comma 2 4 3 11 10" xfId="13310"/>
    <cellStyle name="Comma 2 4 3 11 2" xfId="13311"/>
    <cellStyle name="Comma 2 4 3 11 2 2" xfId="13312"/>
    <cellStyle name="Comma 2 4 3 11 2 2 2" xfId="13313"/>
    <cellStyle name="Comma 2 4 3 11 2 2 3" xfId="13314"/>
    <cellStyle name="Comma 2 4 3 11 2 3" xfId="13315"/>
    <cellStyle name="Comma 2 4 3 11 2 4" xfId="13316"/>
    <cellStyle name="Comma 2 4 3 11 2 5" xfId="13317"/>
    <cellStyle name="Comma 2 4 3 11 2 6" xfId="13318"/>
    <cellStyle name="Comma 2 4 3 11 3" xfId="13319"/>
    <cellStyle name="Comma 2 4 3 11 3 2" xfId="13320"/>
    <cellStyle name="Comma 2 4 3 11 3 2 2" xfId="13321"/>
    <cellStyle name="Comma 2 4 3 11 3 2 3" xfId="13322"/>
    <cellStyle name="Comma 2 4 3 11 3 3" xfId="13323"/>
    <cellStyle name="Comma 2 4 3 11 3 4" xfId="13324"/>
    <cellStyle name="Comma 2 4 3 11 3 5" xfId="13325"/>
    <cellStyle name="Comma 2 4 3 11 3 6" xfId="13326"/>
    <cellStyle name="Comma 2 4 3 11 4" xfId="13327"/>
    <cellStyle name="Comma 2 4 3 11 4 2" xfId="13328"/>
    <cellStyle name="Comma 2 4 3 11 4 2 2" xfId="13329"/>
    <cellStyle name="Comma 2 4 3 11 4 3" xfId="13330"/>
    <cellStyle name="Comma 2 4 3 11 4 4" xfId="13331"/>
    <cellStyle name="Comma 2 4 3 11 4 5" xfId="13332"/>
    <cellStyle name="Comma 2 4 3 11 5" xfId="13333"/>
    <cellStyle name="Comma 2 4 3 11 5 2" xfId="13334"/>
    <cellStyle name="Comma 2 4 3 11 5 3" xfId="13335"/>
    <cellStyle name="Comma 2 4 3 11 5 4" xfId="13336"/>
    <cellStyle name="Comma 2 4 3 11 6" xfId="13337"/>
    <cellStyle name="Comma 2 4 3 11 6 2" xfId="13338"/>
    <cellStyle name="Comma 2 4 3 11 7" xfId="13339"/>
    <cellStyle name="Comma 2 4 3 11 8" xfId="13340"/>
    <cellStyle name="Comma 2 4 3 11 9" xfId="13341"/>
    <cellStyle name="Comma 2 4 3 12" xfId="13342"/>
    <cellStyle name="Comma 2 4 3 12 10" xfId="13343"/>
    <cellStyle name="Comma 2 4 3 12 2" xfId="13344"/>
    <cellStyle name="Comma 2 4 3 12 2 2" xfId="13345"/>
    <cellStyle name="Comma 2 4 3 12 2 2 2" xfId="13346"/>
    <cellStyle name="Comma 2 4 3 12 2 2 3" xfId="13347"/>
    <cellStyle name="Comma 2 4 3 12 2 3" xfId="13348"/>
    <cellStyle name="Comma 2 4 3 12 2 4" xfId="13349"/>
    <cellStyle name="Comma 2 4 3 12 2 5" xfId="13350"/>
    <cellStyle name="Comma 2 4 3 12 2 6" xfId="13351"/>
    <cellStyle name="Comma 2 4 3 12 3" xfId="13352"/>
    <cellStyle name="Comma 2 4 3 12 3 2" xfId="13353"/>
    <cellStyle name="Comma 2 4 3 12 3 2 2" xfId="13354"/>
    <cellStyle name="Comma 2 4 3 12 3 2 3" xfId="13355"/>
    <cellStyle name="Comma 2 4 3 12 3 3" xfId="13356"/>
    <cellStyle name="Comma 2 4 3 12 3 4" xfId="13357"/>
    <cellStyle name="Comma 2 4 3 12 3 5" xfId="13358"/>
    <cellStyle name="Comma 2 4 3 12 3 6" xfId="13359"/>
    <cellStyle name="Comma 2 4 3 12 4" xfId="13360"/>
    <cellStyle name="Comma 2 4 3 12 4 2" xfId="13361"/>
    <cellStyle name="Comma 2 4 3 12 4 2 2" xfId="13362"/>
    <cellStyle name="Comma 2 4 3 12 4 3" xfId="13363"/>
    <cellStyle name="Comma 2 4 3 12 4 4" xfId="13364"/>
    <cellStyle name="Comma 2 4 3 12 4 5" xfId="13365"/>
    <cellStyle name="Comma 2 4 3 12 5" xfId="13366"/>
    <cellStyle name="Comma 2 4 3 12 5 2" xfId="13367"/>
    <cellStyle name="Comma 2 4 3 12 5 3" xfId="13368"/>
    <cellStyle name="Comma 2 4 3 12 5 4" xfId="13369"/>
    <cellStyle name="Comma 2 4 3 12 6" xfId="13370"/>
    <cellStyle name="Comma 2 4 3 12 6 2" xfId="13371"/>
    <cellStyle name="Comma 2 4 3 12 7" xfId="13372"/>
    <cellStyle name="Comma 2 4 3 12 8" xfId="13373"/>
    <cellStyle name="Comma 2 4 3 12 9" xfId="13374"/>
    <cellStyle name="Comma 2 4 3 13" xfId="13375"/>
    <cellStyle name="Comma 2 4 3 13 2" xfId="13376"/>
    <cellStyle name="Comma 2 4 3 13 2 2" xfId="13377"/>
    <cellStyle name="Comma 2 4 3 13 2 2 2" xfId="13378"/>
    <cellStyle name="Comma 2 4 3 13 2 2 3" xfId="13379"/>
    <cellStyle name="Comma 2 4 3 13 2 3" xfId="13380"/>
    <cellStyle name="Comma 2 4 3 13 2 4" xfId="13381"/>
    <cellStyle name="Comma 2 4 3 13 2 5" xfId="13382"/>
    <cellStyle name="Comma 2 4 3 13 2 6" xfId="13383"/>
    <cellStyle name="Comma 2 4 3 13 3" xfId="13384"/>
    <cellStyle name="Comma 2 4 3 13 3 2" xfId="13385"/>
    <cellStyle name="Comma 2 4 3 13 3 2 2" xfId="13386"/>
    <cellStyle name="Comma 2 4 3 13 3 3" xfId="13387"/>
    <cellStyle name="Comma 2 4 3 13 3 4" xfId="13388"/>
    <cellStyle name="Comma 2 4 3 13 3 5" xfId="13389"/>
    <cellStyle name="Comma 2 4 3 13 4" xfId="13390"/>
    <cellStyle name="Comma 2 4 3 13 4 2" xfId="13391"/>
    <cellStyle name="Comma 2 4 3 13 4 3" xfId="13392"/>
    <cellStyle name="Comma 2 4 3 13 4 4" xfId="13393"/>
    <cellStyle name="Comma 2 4 3 13 5" xfId="13394"/>
    <cellStyle name="Comma 2 4 3 13 5 2" xfId="13395"/>
    <cellStyle name="Comma 2 4 3 13 6" xfId="13396"/>
    <cellStyle name="Comma 2 4 3 13 7" xfId="13397"/>
    <cellStyle name="Comma 2 4 3 13 8" xfId="13398"/>
    <cellStyle name="Comma 2 4 3 13 9" xfId="13399"/>
    <cellStyle name="Comma 2 4 3 14" xfId="13400"/>
    <cellStyle name="Comma 2 4 3 14 2" xfId="13401"/>
    <cellStyle name="Comma 2 4 3 14 2 2" xfId="13402"/>
    <cellStyle name="Comma 2 4 3 14 2 2 2" xfId="13403"/>
    <cellStyle name="Comma 2 4 3 14 2 2 3" xfId="13404"/>
    <cellStyle name="Comma 2 4 3 14 2 3" xfId="13405"/>
    <cellStyle name="Comma 2 4 3 14 2 4" xfId="13406"/>
    <cellStyle name="Comma 2 4 3 14 2 5" xfId="13407"/>
    <cellStyle name="Comma 2 4 3 14 2 6" xfId="13408"/>
    <cellStyle name="Comma 2 4 3 14 3" xfId="13409"/>
    <cellStyle name="Comma 2 4 3 14 3 2" xfId="13410"/>
    <cellStyle name="Comma 2 4 3 14 3 2 2" xfId="13411"/>
    <cellStyle name="Comma 2 4 3 14 3 3" xfId="13412"/>
    <cellStyle name="Comma 2 4 3 14 3 4" xfId="13413"/>
    <cellStyle name="Comma 2 4 3 14 3 5" xfId="13414"/>
    <cellStyle name="Comma 2 4 3 14 4" xfId="13415"/>
    <cellStyle name="Comma 2 4 3 14 4 2" xfId="13416"/>
    <cellStyle name="Comma 2 4 3 14 4 3" xfId="13417"/>
    <cellStyle name="Comma 2 4 3 14 4 4" xfId="13418"/>
    <cellStyle name="Comma 2 4 3 14 5" xfId="13419"/>
    <cellStyle name="Comma 2 4 3 14 5 2" xfId="13420"/>
    <cellStyle name="Comma 2 4 3 14 6" xfId="13421"/>
    <cellStyle name="Comma 2 4 3 14 7" xfId="13422"/>
    <cellStyle name="Comma 2 4 3 14 8" xfId="13423"/>
    <cellStyle name="Comma 2 4 3 14 9" xfId="13424"/>
    <cellStyle name="Comma 2 4 3 15" xfId="13425"/>
    <cellStyle name="Comma 2 4 3 15 2" xfId="13426"/>
    <cellStyle name="Comma 2 4 3 15 2 2" xfId="13427"/>
    <cellStyle name="Comma 2 4 3 15 2 3" xfId="13428"/>
    <cellStyle name="Comma 2 4 3 15 3" xfId="13429"/>
    <cellStyle name="Comma 2 4 3 15 4" xfId="13430"/>
    <cellStyle name="Comma 2 4 3 15 5" xfId="13431"/>
    <cellStyle name="Comma 2 4 3 15 6" xfId="13432"/>
    <cellStyle name="Comma 2 4 3 16" xfId="13433"/>
    <cellStyle name="Comma 2 4 3 16 2" xfId="13434"/>
    <cellStyle name="Comma 2 4 3 16 2 2" xfId="13435"/>
    <cellStyle name="Comma 2 4 3 16 3" xfId="13436"/>
    <cellStyle name="Comma 2 4 3 16 4" xfId="13437"/>
    <cellStyle name="Comma 2 4 3 16 5" xfId="13438"/>
    <cellStyle name="Comma 2 4 3 17" xfId="13439"/>
    <cellStyle name="Comma 2 4 3 17 2" xfId="13440"/>
    <cellStyle name="Comma 2 4 3 17 2 2" xfId="13441"/>
    <cellStyle name="Comma 2 4 3 17 3" xfId="13442"/>
    <cellStyle name="Comma 2 4 3 17 4" xfId="13443"/>
    <cellStyle name="Comma 2 4 3 17 5" xfId="13444"/>
    <cellStyle name="Comma 2 4 3 18" xfId="13445"/>
    <cellStyle name="Comma 2 4 3 18 2" xfId="13446"/>
    <cellStyle name="Comma 2 4 3 19" xfId="13447"/>
    <cellStyle name="Comma 2 4 3 2" xfId="13448"/>
    <cellStyle name="Comma 2 4 3 2 10" xfId="13449"/>
    <cellStyle name="Comma 2 4 3 2 11" xfId="13450"/>
    <cellStyle name="Comma 2 4 3 2 2" xfId="13451"/>
    <cellStyle name="Comma 2 4 3 2 2 2" xfId="13452"/>
    <cellStyle name="Comma 2 4 3 2 2 2 2" xfId="13453"/>
    <cellStyle name="Comma 2 4 3 2 2 2 2 2" xfId="13454"/>
    <cellStyle name="Comma 2 4 3 2 2 2 2 3" xfId="13455"/>
    <cellStyle name="Comma 2 4 3 2 2 2 3" xfId="13456"/>
    <cellStyle name="Comma 2 4 3 2 2 2 4" xfId="13457"/>
    <cellStyle name="Comma 2 4 3 2 2 2 5" xfId="13458"/>
    <cellStyle name="Comma 2 4 3 2 2 2 6" xfId="13459"/>
    <cellStyle name="Comma 2 4 3 2 2 3" xfId="13460"/>
    <cellStyle name="Comma 2 4 3 2 2 3 2" xfId="13461"/>
    <cellStyle name="Comma 2 4 3 2 2 3 2 2" xfId="13462"/>
    <cellStyle name="Comma 2 4 3 2 2 3 3" xfId="13463"/>
    <cellStyle name="Comma 2 4 3 2 2 3 4" xfId="13464"/>
    <cellStyle name="Comma 2 4 3 2 2 3 5" xfId="13465"/>
    <cellStyle name="Comma 2 4 3 2 2 4" xfId="13466"/>
    <cellStyle name="Comma 2 4 3 2 2 4 2" xfId="13467"/>
    <cellStyle name="Comma 2 4 3 2 2 4 3" xfId="13468"/>
    <cellStyle name="Comma 2 4 3 2 2 4 4" xfId="13469"/>
    <cellStyle name="Comma 2 4 3 2 2 5" xfId="13470"/>
    <cellStyle name="Comma 2 4 3 2 2 5 2" xfId="13471"/>
    <cellStyle name="Comma 2 4 3 2 2 6" xfId="13472"/>
    <cellStyle name="Comma 2 4 3 2 2 7" xfId="13473"/>
    <cellStyle name="Comma 2 4 3 2 2 8" xfId="13474"/>
    <cellStyle name="Comma 2 4 3 2 2 9" xfId="13475"/>
    <cellStyle name="Comma 2 4 3 2 3" xfId="13476"/>
    <cellStyle name="Comma 2 4 3 2 3 2" xfId="13477"/>
    <cellStyle name="Comma 2 4 3 2 3 2 2" xfId="13478"/>
    <cellStyle name="Comma 2 4 3 2 3 2 2 2" xfId="13479"/>
    <cellStyle name="Comma 2 4 3 2 3 2 2 3" xfId="13480"/>
    <cellStyle name="Comma 2 4 3 2 3 2 3" xfId="13481"/>
    <cellStyle name="Comma 2 4 3 2 3 2 4" xfId="13482"/>
    <cellStyle name="Comma 2 4 3 2 3 2 5" xfId="13483"/>
    <cellStyle name="Comma 2 4 3 2 3 2 6" xfId="13484"/>
    <cellStyle name="Comma 2 4 3 2 3 3" xfId="13485"/>
    <cellStyle name="Comma 2 4 3 2 3 3 2" xfId="13486"/>
    <cellStyle name="Comma 2 4 3 2 3 3 2 2" xfId="13487"/>
    <cellStyle name="Comma 2 4 3 2 3 3 3" xfId="13488"/>
    <cellStyle name="Comma 2 4 3 2 3 3 4" xfId="13489"/>
    <cellStyle name="Comma 2 4 3 2 3 3 5" xfId="13490"/>
    <cellStyle name="Comma 2 4 3 2 3 4" xfId="13491"/>
    <cellStyle name="Comma 2 4 3 2 3 4 2" xfId="13492"/>
    <cellStyle name="Comma 2 4 3 2 3 4 3" xfId="13493"/>
    <cellStyle name="Comma 2 4 3 2 3 4 4" xfId="13494"/>
    <cellStyle name="Comma 2 4 3 2 3 5" xfId="13495"/>
    <cellStyle name="Comma 2 4 3 2 3 5 2" xfId="13496"/>
    <cellStyle name="Comma 2 4 3 2 3 6" xfId="13497"/>
    <cellStyle name="Comma 2 4 3 2 3 7" xfId="13498"/>
    <cellStyle name="Comma 2 4 3 2 3 8" xfId="13499"/>
    <cellStyle name="Comma 2 4 3 2 3 9" xfId="13500"/>
    <cellStyle name="Comma 2 4 3 2 4" xfId="13501"/>
    <cellStyle name="Comma 2 4 3 2 4 2" xfId="13502"/>
    <cellStyle name="Comma 2 4 3 2 4 2 2" xfId="13503"/>
    <cellStyle name="Comma 2 4 3 2 4 2 3" xfId="13504"/>
    <cellStyle name="Comma 2 4 3 2 4 3" xfId="13505"/>
    <cellStyle name="Comma 2 4 3 2 4 4" xfId="13506"/>
    <cellStyle name="Comma 2 4 3 2 4 5" xfId="13507"/>
    <cellStyle name="Comma 2 4 3 2 4 6" xfId="13508"/>
    <cellStyle name="Comma 2 4 3 2 5" xfId="13509"/>
    <cellStyle name="Comma 2 4 3 2 5 2" xfId="13510"/>
    <cellStyle name="Comma 2 4 3 2 5 2 2" xfId="13511"/>
    <cellStyle name="Comma 2 4 3 2 5 3" xfId="13512"/>
    <cellStyle name="Comma 2 4 3 2 5 4" xfId="13513"/>
    <cellStyle name="Comma 2 4 3 2 5 5" xfId="13514"/>
    <cellStyle name="Comma 2 4 3 2 6" xfId="13515"/>
    <cellStyle name="Comma 2 4 3 2 6 2" xfId="13516"/>
    <cellStyle name="Comma 2 4 3 2 6 3" xfId="13517"/>
    <cellStyle name="Comma 2 4 3 2 6 4" xfId="13518"/>
    <cellStyle name="Comma 2 4 3 2 7" xfId="13519"/>
    <cellStyle name="Comma 2 4 3 2 7 2" xfId="13520"/>
    <cellStyle name="Comma 2 4 3 2 8" xfId="13521"/>
    <cellStyle name="Comma 2 4 3 2 9" xfId="13522"/>
    <cellStyle name="Comma 2 4 3 20" xfId="13523"/>
    <cellStyle name="Comma 2 4 3 21" xfId="13524"/>
    <cellStyle name="Comma 2 4 3 22" xfId="13525"/>
    <cellStyle name="Comma 2 4 3 3" xfId="13526"/>
    <cellStyle name="Comma 2 4 3 3 10" xfId="13527"/>
    <cellStyle name="Comma 2 4 3 3 11" xfId="13528"/>
    <cellStyle name="Comma 2 4 3 3 2" xfId="13529"/>
    <cellStyle name="Comma 2 4 3 3 2 2" xfId="13530"/>
    <cellStyle name="Comma 2 4 3 3 2 2 2" xfId="13531"/>
    <cellStyle name="Comma 2 4 3 3 2 2 2 2" xfId="13532"/>
    <cellStyle name="Comma 2 4 3 3 2 2 2 3" xfId="13533"/>
    <cellStyle name="Comma 2 4 3 3 2 2 3" xfId="13534"/>
    <cellStyle name="Comma 2 4 3 3 2 2 4" xfId="13535"/>
    <cellStyle name="Comma 2 4 3 3 2 2 5" xfId="13536"/>
    <cellStyle name="Comma 2 4 3 3 2 2 6" xfId="13537"/>
    <cellStyle name="Comma 2 4 3 3 2 3" xfId="13538"/>
    <cellStyle name="Comma 2 4 3 3 2 3 2" xfId="13539"/>
    <cellStyle name="Comma 2 4 3 3 2 3 2 2" xfId="13540"/>
    <cellStyle name="Comma 2 4 3 3 2 3 3" xfId="13541"/>
    <cellStyle name="Comma 2 4 3 3 2 3 4" xfId="13542"/>
    <cellStyle name="Comma 2 4 3 3 2 3 5" xfId="13543"/>
    <cellStyle name="Comma 2 4 3 3 2 4" xfId="13544"/>
    <cellStyle name="Comma 2 4 3 3 2 4 2" xfId="13545"/>
    <cellStyle name="Comma 2 4 3 3 2 4 3" xfId="13546"/>
    <cellStyle name="Comma 2 4 3 3 2 4 4" xfId="13547"/>
    <cellStyle name="Comma 2 4 3 3 2 5" xfId="13548"/>
    <cellStyle name="Comma 2 4 3 3 2 5 2" xfId="13549"/>
    <cellStyle name="Comma 2 4 3 3 2 6" xfId="13550"/>
    <cellStyle name="Comma 2 4 3 3 2 7" xfId="13551"/>
    <cellStyle name="Comma 2 4 3 3 2 8" xfId="13552"/>
    <cellStyle name="Comma 2 4 3 3 2 9" xfId="13553"/>
    <cellStyle name="Comma 2 4 3 3 3" xfId="13554"/>
    <cellStyle name="Comma 2 4 3 3 3 2" xfId="13555"/>
    <cellStyle name="Comma 2 4 3 3 3 2 2" xfId="13556"/>
    <cellStyle name="Comma 2 4 3 3 3 2 2 2" xfId="13557"/>
    <cellStyle name="Comma 2 4 3 3 3 2 2 3" xfId="13558"/>
    <cellStyle name="Comma 2 4 3 3 3 2 3" xfId="13559"/>
    <cellStyle name="Comma 2 4 3 3 3 2 4" xfId="13560"/>
    <cellStyle name="Comma 2 4 3 3 3 2 5" xfId="13561"/>
    <cellStyle name="Comma 2 4 3 3 3 2 6" xfId="13562"/>
    <cellStyle name="Comma 2 4 3 3 3 3" xfId="13563"/>
    <cellStyle name="Comma 2 4 3 3 3 3 2" xfId="13564"/>
    <cellStyle name="Comma 2 4 3 3 3 3 2 2" xfId="13565"/>
    <cellStyle name="Comma 2 4 3 3 3 3 3" xfId="13566"/>
    <cellStyle name="Comma 2 4 3 3 3 3 4" xfId="13567"/>
    <cellStyle name="Comma 2 4 3 3 3 3 5" xfId="13568"/>
    <cellStyle name="Comma 2 4 3 3 3 4" xfId="13569"/>
    <cellStyle name="Comma 2 4 3 3 3 4 2" xfId="13570"/>
    <cellStyle name="Comma 2 4 3 3 3 4 3" xfId="13571"/>
    <cellStyle name="Comma 2 4 3 3 3 4 4" xfId="13572"/>
    <cellStyle name="Comma 2 4 3 3 3 5" xfId="13573"/>
    <cellStyle name="Comma 2 4 3 3 3 5 2" xfId="13574"/>
    <cellStyle name="Comma 2 4 3 3 3 6" xfId="13575"/>
    <cellStyle name="Comma 2 4 3 3 3 7" xfId="13576"/>
    <cellStyle name="Comma 2 4 3 3 3 8" xfId="13577"/>
    <cellStyle name="Comma 2 4 3 3 3 9" xfId="13578"/>
    <cellStyle name="Comma 2 4 3 3 4" xfId="13579"/>
    <cellStyle name="Comma 2 4 3 3 4 2" xfId="13580"/>
    <cellStyle name="Comma 2 4 3 3 4 2 2" xfId="13581"/>
    <cellStyle name="Comma 2 4 3 3 4 2 3" xfId="13582"/>
    <cellStyle name="Comma 2 4 3 3 4 3" xfId="13583"/>
    <cellStyle name="Comma 2 4 3 3 4 4" xfId="13584"/>
    <cellStyle name="Comma 2 4 3 3 4 5" xfId="13585"/>
    <cellStyle name="Comma 2 4 3 3 4 6" xfId="13586"/>
    <cellStyle name="Comma 2 4 3 3 5" xfId="13587"/>
    <cellStyle name="Comma 2 4 3 3 5 2" xfId="13588"/>
    <cellStyle name="Comma 2 4 3 3 5 2 2" xfId="13589"/>
    <cellStyle name="Comma 2 4 3 3 5 3" xfId="13590"/>
    <cellStyle name="Comma 2 4 3 3 5 4" xfId="13591"/>
    <cellStyle name="Comma 2 4 3 3 5 5" xfId="13592"/>
    <cellStyle name="Comma 2 4 3 3 6" xfId="13593"/>
    <cellStyle name="Comma 2 4 3 3 6 2" xfId="13594"/>
    <cellStyle name="Comma 2 4 3 3 6 3" xfId="13595"/>
    <cellStyle name="Comma 2 4 3 3 6 4" xfId="13596"/>
    <cellStyle name="Comma 2 4 3 3 7" xfId="13597"/>
    <cellStyle name="Comma 2 4 3 3 7 2" xfId="13598"/>
    <cellStyle name="Comma 2 4 3 3 8" xfId="13599"/>
    <cellStyle name="Comma 2 4 3 3 9" xfId="13600"/>
    <cellStyle name="Comma 2 4 3 4" xfId="13601"/>
    <cellStyle name="Comma 2 4 3 4 10" xfId="13602"/>
    <cellStyle name="Comma 2 4 3 4 11" xfId="13603"/>
    <cellStyle name="Comma 2 4 3 4 2" xfId="13604"/>
    <cellStyle name="Comma 2 4 3 4 2 2" xfId="13605"/>
    <cellStyle name="Comma 2 4 3 4 2 2 2" xfId="13606"/>
    <cellStyle name="Comma 2 4 3 4 2 2 2 2" xfId="13607"/>
    <cellStyle name="Comma 2 4 3 4 2 2 2 3" xfId="13608"/>
    <cellStyle name="Comma 2 4 3 4 2 2 3" xfId="13609"/>
    <cellStyle name="Comma 2 4 3 4 2 2 4" xfId="13610"/>
    <cellStyle name="Comma 2 4 3 4 2 2 5" xfId="13611"/>
    <cellStyle name="Comma 2 4 3 4 2 2 6" xfId="13612"/>
    <cellStyle name="Comma 2 4 3 4 2 3" xfId="13613"/>
    <cellStyle name="Comma 2 4 3 4 2 3 2" xfId="13614"/>
    <cellStyle name="Comma 2 4 3 4 2 3 2 2" xfId="13615"/>
    <cellStyle name="Comma 2 4 3 4 2 3 3" xfId="13616"/>
    <cellStyle name="Comma 2 4 3 4 2 3 4" xfId="13617"/>
    <cellStyle name="Comma 2 4 3 4 2 3 5" xfId="13618"/>
    <cellStyle name="Comma 2 4 3 4 2 4" xfId="13619"/>
    <cellStyle name="Comma 2 4 3 4 2 4 2" xfId="13620"/>
    <cellStyle name="Comma 2 4 3 4 2 4 3" xfId="13621"/>
    <cellStyle name="Comma 2 4 3 4 2 4 4" xfId="13622"/>
    <cellStyle name="Comma 2 4 3 4 2 5" xfId="13623"/>
    <cellStyle name="Comma 2 4 3 4 2 5 2" xfId="13624"/>
    <cellStyle name="Comma 2 4 3 4 2 6" xfId="13625"/>
    <cellStyle name="Comma 2 4 3 4 2 7" xfId="13626"/>
    <cellStyle name="Comma 2 4 3 4 2 8" xfId="13627"/>
    <cellStyle name="Comma 2 4 3 4 2 9" xfId="13628"/>
    <cellStyle name="Comma 2 4 3 4 3" xfId="13629"/>
    <cellStyle name="Comma 2 4 3 4 3 2" xfId="13630"/>
    <cellStyle name="Comma 2 4 3 4 3 2 2" xfId="13631"/>
    <cellStyle name="Comma 2 4 3 4 3 2 2 2" xfId="13632"/>
    <cellStyle name="Comma 2 4 3 4 3 2 2 3" xfId="13633"/>
    <cellStyle name="Comma 2 4 3 4 3 2 3" xfId="13634"/>
    <cellStyle name="Comma 2 4 3 4 3 2 4" xfId="13635"/>
    <cellStyle name="Comma 2 4 3 4 3 2 5" xfId="13636"/>
    <cellStyle name="Comma 2 4 3 4 3 2 6" xfId="13637"/>
    <cellStyle name="Comma 2 4 3 4 3 3" xfId="13638"/>
    <cellStyle name="Comma 2 4 3 4 3 3 2" xfId="13639"/>
    <cellStyle name="Comma 2 4 3 4 3 3 2 2" xfId="13640"/>
    <cellStyle name="Comma 2 4 3 4 3 3 3" xfId="13641"/>
    <cellStyle name="Comma 2 4 3 4 3 3 4" xfId="13642"/>
    <cellStyle name="Comma 2 4 3 4 3 3 5" xfId="13643"/>
    <cellStyle name="Comma 2 4 3 4 3 4" xfId="13644"/>
    <cellStyle name="Comma 2 4 3 4 3 4 2" xfId="13645"/>
    <cellStyle name="Comma 2 4 3 4 3 4 3" xfId="13646"/>
    <cellStyle name="Comma 2 4 3 4 3 4 4" xfId="13647"/>
    <cellStyle name="Comma 2 4 3 4 3 5" xfId="13648"/>
    <cellStyle name="Comma 2 4 3 4 3 5 2" xfId="13649"/>
    <cellStyle name="Comma 2 4 3 4 3 6" xfId="13650"/>
    <cellStyle name="Comma 2 4 3 4 3 7" xfId="13651"/>
    <cellStyle name="Comma 2 4 3 4 3 8" xfId="13652"/>
    <cellStyle name="Comma 2 4 3 4 3 9" xfId="13653"/>
    <cellStyle name="Comma 2 4 3 4 4" xfId="13654"/>
    <cellStyle name="Comma 2 4 3 4 4 2" xfId="13655"/>
    <cellStyle name="Comma 2 4 3 4 4 2 2" xfId="13656"/>
    <cellStyle name="Comma 2 4 3 4 4 2 3" xfId="13657"/>
    <cellStyle name="Comma 2 4 3 4 4 3" xfId="13658"/>
    <cellStyle name="Comma 2 4 3 4 4 4" xfId="13659"/>
    <cellStyle name="Comma 2 4 3 4 4 5" xfId="13660"/>
    <cellStyle name="Comma 2 4 3 4 4 6" xfId="13661"/>
    <cellStyle name="Comma 2 4 3 4 5" xfId="13662"/>
    <cellStyle name="Comma 2 4 3 4 5 2" xfId="13663"/>
    <cellStyle name="Comma 2 4 3 4 5 2 2" xfId="13664"/>
    <cellStyle name="Comma 2 4 3 4 5 3" xfId="13665"/>
    <cellStyle name="Comma 2 4 3 4 5 4" xfId="13666"/>
    <cellStyle name="Comma 2 4 3 4 5 5" xfId="13667"/>
    <cellStyle name="Comma 2 4 3 4 6" xfId="13668"/>
    <cellStyle name="Comma 2 4 3 4 6 2" xfId="13669"/>
    <cellStyle name="Comma 2 4 3 4 6 3" xfId="13670"/>
    <cellStyle name="Comma 2 4 3 4 6 4" xfId="13671"/>
    <cellStyle name="Comma 2 4 3 4 7" xfId="13672"/>
    <cellStyle name="Comma 2 4 3 4 7 2" xfId="13673"/>
    <cellStyle name="Comma 2 4 3 4 8" xfId="13674"/>
    <cellStyle name="Comma 2 4 3 4 9" xfId="13675"/>
    <cellStyle name="Comma 2 4 3 5" xfId="13676"/>
    <cellStyle name="Comma 2 4 3 5 10" xfId="13677"/>
    <cellStyle name="Comma 2 4 3 5 11" xfId="13678"/>
    <cellStyle name="Comma 2 4 3 5 2" xfId="13679"/>
    <cellStyle name="Comma 2 4 3 5 2 2" xfId="13680"/>
    <cellStyle name="Comma 2 4 3 5 2 2 2" xfId="13681"/>
    <cellStyle name="Comma 2 4 3 5 2 2 2 2" xfId="13682"/>
    <cellStyle name="Comma 2 4 3 5 2 2 2 3" xfId="13683"/>
    <cellStyle name="Comma 2 4 3 5 2 2 3" xfId="13684"/>
    <cellStyle name="Comma 2 4 3 5 2 2 4" xfId="13685"/>
    <cellStyle name="Comma 2 4 3 5 2 2 5" xfId="13686"/>
    <cellStyle name="Comma 2 4 3 5 2 2 6" xfId="13687"/>
    <cellStyle name="Comma 2 4 3 5 2 3" xfId="13688"/>
    <cellStyle name="Comma 2 4 3 5 2 3 2" xfId="13689"/>
    <cellStyle name="Comma 2 4 3 5 2 3 2 2" xfId="13690"/>
    <cellStyle name="Comma 2 4 3 5 2 3 3" xfId="13691"/>
    <cellStyle name="Comma 2 4 3 5 2 3 4" xfId="13692"/>
    <cellStyle name="Comma 2 4 3 5 2 3 5" xfId="13693"/>
    <cellStyle name="Comma 2 4 3 5 2 4" xfId="13694"/>
    <cellStyle name="Comma 2 4 3 5 2 4 2" xfId="13695"/>
    <cellStyle name="Comma 2 4 3 5 2 4 3" xfId="13696"/>
    <cellStyle name="Comma 2 4 3 5 2 4 4" xfId="13697"/>
    <cellStyle name="Comma 2 4 3 5 2 5" xfId="13698"/>
    <cellStyle name="Comma 2 4 3 5 2 5 2" xfId="13699"/>
    <cellStyle name="Comma 2 4 3 5 2 6" xfId="13700"/>
    <cellStyle name="Comma 2 4 3 5 2 7" xfId="13701"/>
    <cellStyle name="Comma 2 4 3 5 2 8" xfId="13702"/>
    <cellStyle name="Comma 2 4 3 5 2 9" xfId="13703"/>
    <cellStyle name="Comma 2 4 3 5 3" xfId="13704"/>
    <cellStyle name="Comma 2 4 3 5 3 2" xfId="13705"/>
    <cellStyle name="Comma 2 4 3 5 3 2 2" xfId="13706"/>
    <cellStyle name="Comma 2 4 3 5 3 2 2 2" xfId="13707"/>
    <cellStyle name="Comma 2 4 3 5 3 2 2 3" xfId="13708"/>
    <cellStyle name="Comma 2 4 3 5 3 2 3" xfId="13709"/>
    <cellStyle name="Comma 2 4 3 5 3 2 4" xfId="13710"/>
    <cellStyle name="Comma 2 4 3 5 3 2 5" xfId="13711"/>
    <cellStyle name="Comma 2 4 3 5 3 2 6" xfId="13712"/>
    <cellStyle name="Comma 2 4 3 5 3 3" xfId="13713"/>
    <cellStyle name="Comma 2 4 3 5 3 3 2" xfId="13714"/>
    <cellStyle name="Comma 2 4 3 5 3 3 2 2" xfId="13715"/>
    <cellStyle name="Comma 2 4 3 5 3 3 3" xfId="13716"/>
    <cellStyle name="Comma 2 4 3 5 3 3 4" xfId="13717"/>
    <cellStyle name="Comma 2 4 3 5 3 3 5" xfId="13718"/>
    <cellStyle name="Comma 2 4 3 5 3 4" xfId="13719"/>
    <cellStyle name="Comma 2 4 3 5 3 4 2" xfId="13720"/>
    <cellStyle name="Comma 2 4 3 5 3 4 3" xfId="13721"/>
    <cellStyle name="Comma 2 4 3 5 3 4 4" xfId="13722"/>
    <cellStyle name="Comma 2 4 3 5 3 5" xfId="13723"/>
    <cellStyle name="Comma 2 4 3 5 3 5 2" xfId="13724"/>
    <cellStyle name="Comma 2 4 3 5 3 6" xfId="13725"/>
    <cellStyle name="Comma 2 4 3 5 3 7" xfId="13726"/>
    <cellStyle name="Comma 2 4 3 5 3 8" xfId="13727"/>
    <cellStyle name="Comma 2 4 3 5 3 9" xfId="13728"/>
    <cellStyle name="Comma 2 4 3 5 4" xfId="13729"/>
    <cellStyle name="Comma 2 4 3 5 4 2" xfId="13730"/>
    <cellStyle name="Comma 2 4 3 5 4 2 2" xfId="13731"/>
    <cellStyle name="Comma 2 4 3 5 4 2 3" xfId="13732"/>
    <cellStyle name="Comma 2 4 3 5 4 3" xfId="13733"/>
    <cellStyle name="Comma 2 4 3 5 4 4" xfId="13734"/>
    <cellStyle name="Comma 2 4 3 5 4 5" xfId="13735"/>
    <cellStyle name="Comma 2 4 3 5 4 6" xfId="13736"/>
    <cellStyle name="Comma 2 4 3 5 5" xfId="13737"/>
    <cellStyle name="Comma 2 4 3 5 5 2" xfId="13738"/>
    <cellStyle name="Comma 2 4 3 5 5 2 2" xfId="13739"/>
    <cellStyle name="Comma 2 4 3 5 5 3" xfId="13740"/>
    <cellStyle name="Comma 2 4 3 5 5 4" xfId="13741"/>
    <cellStyle name="Comma 2 4 3 5 5 5" xfId="13742"/>
    <cellStyle name="Comma 2 4 3 5 6" xfId="13743"/>
    <cellStyle name="Comma 2 4 3 5 6 2" xfId="13744"/>
    <cellStyle name="Comma 2 4 3 5 6 3" xfId="13745"/>
    <cellStyle name="Comma 2 4 3 5 6 4" xfId="13746"/>
    <cellStyle name="Comma 2 4 3 5 7" xfId="13747"/>
    <cellStyle name="Comma 2 4 3 5 7 2" xfId="13748"/>
    <cellStyle name="Comma 2 4 3 5 8" xfId="13749"/>
    <cellStyle name="Comma 2 4 3 5 9" xfId="13750"/>
    <cellStyle name="Comma 2 4 3 6" xfId="13751"/>
    <cellStyle name="Comma 2 4 3 6 10" xfId="13752"/>
    <cellStyle name="Comma 2 4 3 6 11" xfId="13753"/>
    <cellStyle name="Comma 2 4 3 6 2" xfId="13754"/>
    <cellStyle name="Comma 2 4 3 6 2 2" xfId="13755"/>
    <cellStyle name="Comma 2 4 3 6 2 2 2" xfId="13756"/>
    <cellStyle name="Comma 2 4 3 6 2 2 2 2" xfId="13757"/>
    <cellStyle name="Comma 2 4 3 6 2 2 2 3" xfId="13758"/>
    <cellStyle name="Comma 2 4 3 6 2 2 3" xfId="13759"/>
    <cellStyle name="Comma 2 4 3 6 2 2 4" xfId="13760"/>
    <cellStyle name="Comma 2 4 3 6 2 2 5" xfId="13761"/>
    <cellStyle name="Comma 2 4 3 6 2 2 6" xfId="13762"/>
    <cellStyle name="Comma 2 4 3 6 2 3" xfId="13763"/>
    <cellStyle name="Comma 2 4 3 6 2 3 2" xfId="13764"/>
    <cellStyle name="Comma 2 4 3 6 2 3 2 2" xfId="13765"/>
    <cellStyle name="Comma 2 4 3 6 2 3 3" xfId="13766"/>
    <cellStyle name="Comma 2 4 3 6 2 3 4" xfId="13767"/>
    <cellStyle name="Comma 2 4 3 6 2 3 5" xfId="13768"/>
    <cellStyle name="Comma 2 4 3 6 2 4" xfId="13769"/>
    <cellStyle name="Comma 2 4 3 6 2 4 2" xfId="13770"/>
    <cellStyle name="Comma 2 4 3 6 2 4 3" xfId="13771"/>
    <cellStyle name="Comma 2 4 3 6 2 4 4" xfId="13772"/>
    <cellStyle name="Comma 2 4 3 6 2 5" xfId="13773"/>
    <cellStyle name="Comma 2 4 3 6 2 5 2" xfId="13774"/>
    <cellStyle name="Comma 2 4 3 6 2 6" xfId="13775"/>
    <cellStyle name="Comma 2 4 3 6 2 7" xfId="13776"/>
    <cellStyle name="Comma 2 4 3 6 2 8" xfId="13777"/>
    <cellStyle name="Comma 2 4 3 6 2 9" xfId="13778"/>
    <cellStyle name="Comma 2 4 3 6 3" xfId="13779"/>
    <cellStyle name="Comma 2 4 3 6 3 2" xfId="13780"/>
    <cellStyle name="Comma 2 4 3 6 3 2 2" xfId="13781"/>
    <cellStyle name="Comma 2 4 3 6 3 2 2 2" xfId="13782"/>
    <cellStyle name="Comma 2 4 3 6 3 2 2 3" xfId="13783"/>
    <cellStyle name="Comma 2 4 3 6 3 2 3" xfId="13784"/>
    <cellStyle name="Comma 2 4 3 6 3 2 4" xfId="13785"/>
    <cellStyle name="Comma 2 4 3 6 3 2 5" xfId="13786"/>
    <cellStyle name="Comma 2 4 3 6 3 2 6" xfId="13787"/>
    <cellStyle name="Comma 2 4 3 6 3 3" xfId="13788"/>
    <cellStyle name="Comma 2 4 3 6 3 3 2" xfId="13789"/>
    <cellStyle name="Comma 2 4 3 6 3 3 2 2" xfId="13790"/>
    <cellStyle name="Comma 2 4 3 6 3 3 3" xfId="13791"/>
    <cellStyle name="Comma 2 4 3 6 3 3 4" xfId="13792"/>
    <cellStyle name="Comma 2 4 3 6 3 3 5" xfId="13793"/>
    <cellStyle name="Comma 2 4 3 6 3 4" xfId="13794"/>
    <cellStyle name="Comma 2 4 3 6 3 4 2" xfId="13795"/>
    <cellStyle name="Comma 2 4 3 6 3 4 3" xfId="13796"/>
    <cellStyle name="Comma 2 4 3 6 3 4 4" xfId="13797"/>
    <cellStyle name="Comma 2 4 3 6 3 5" xfId="13798"/>
    <cellStyle name="Comma 2 4 3 6 3 5 2" xfId="13799"/>
    <cellStyle name="Comma 2 4 3 6 3 6" xfId="13800"/>
    <cellStyle name="Comma 2 4 3 6 3 7" xfId="13801"/>
    <cellStyle name="Comma 2 4 3 6 3 8" xfId="13802"/>
    <cellStyle name="Comma 2 4 3 6 3 9" xfId="13803"/>
    <cellStyle name="Comma 2 4 3 6 4" xfId="13804"/>
    <cellStyle name="Comma 2 4 3 6 4 2" xfId="13805"/>
    <cellStyle name="Comma 2 4 3 6 4 2 2" xfId="13806"/>
    <cellStyle name="Comma 2 4 3 6 4 2 3" xfId="13807"/>
    <cellStyle name="Comma 2 4 3 6 4 3" xfId="13808"/>
    <cellStyle name="Comma 2 4 3 6 4 4" xfId="13809"/>
    <cellStyle name="Comma 2 4 3 6 4 5" xfId="13810"/>
    <cellStyle name="Comma 2 4 3 6 4 6" xfId="13811"/>
    <cellStyle name="Comma 2 4 3 6 5" xfId="13812"/>
    <cellStyle name="Comma 2 4 3 6 5 2" xfId="13813"/>
    <cellStyle name="Comma 2 4 3 6 5 2 2" xfId="13814"/>
    <cellStyle name="Comma 2 4 3 6 5 3" xfId="13815"/>
    <cellStyle name="Comma 2 4 3 6 5 4" xfId="13816"/>
    <cellStyle name="Comma 2 4 3 6 5 5" xfId="13817"/>
    <cellStyle name="Comma 2 4 3 6 6" xfId="13818"/>
    <cellStyle name="Comma 2 4 3 6 6 2" xfId="13819"/>
    <cellStyle name="Comma 2 4 3 6 6 3" xfId="13820"/>
    <cellStyle name="Comma 2 4 3 6 6 4" xfId="13821"/>
    <cellStyle name="Comma 2 4 3 6 7" xfId="13822"/>
    <cellStyle name="Comma 2 4 3 6 7 2" xfId="13823"/>
    <cellStyle name="Comma 2 4 3 6 8" xfId="13824"/>
    <cellStyle name="Comma 2 4 3 6 9" xfId="13825"/>
    <cellStyle name="Comma 2 4 3 7" xfId="13826"/>
    <cellStyle name="Comma 2 4 3 7 10" xfId="13827"/>
    <cellStyle name="Comma 2 4 3 7 11" xfId="13828"/>
    <cellStyle name="Comma 2 4 3 7 2" xfId="13829"/>
    <cellStyle name="Comma 2 4 3 7 2 2" xfId="13830"/>
    <cellStyle name="Comma 2 4 3 7 2 2 2" xfId="13831"/>
    <cellStyle name="Comma 2 4 3 7 2 2 2 2" xfId="13832"/>
    <cellStyle name="Comma 2 4 3 7 2 2 2 3" xfId="13833"/>
    <cellStyle name="Comma 2 4 3 7 2 2 3" xfId="13834"/>
    <cellStyle name="Comma 2 4 3 7 2 2 4" xfId="13835"/>
    <cellStyle name="Comma 2 4 3 7 2 2 5" xfId="13836"/>
    <cellStyle name="Comma 2 4 3 7 2 2 6" xfId="13837"/>
    <cellStyle name="Comma 2 4 3 7 2 3" xfId="13838"/>
    <cellStyle name="Comma 2 4 3 7 2 3 2" xfId="13839"/>
    <cellStyle name="Comma 2 4 3 7 2 3 2 2" xfId="13840"/>
    <cellStyle name="Comma 2 4 3 7 2 3 3" xfId="13841"/>
    <cellStyle name="Comma 2 4 3 7 2 3 4" xfId="13842"/>
    <cellStyle name="Comma 2 4 3 7 2 3 5" xfId="13843"/>
    <cellStyle name="Comma 2 4 3 7 2 4" xfId="13844"/>
    <cellStyle name="Comma 2 4 3 7 2 4 2" xfId="13845"/>
    <cellStyle name="Comma 2 4 3 7 2 4 3" xfId="13846"/>
    <cellStyle name="Comma 2 4 3 7 2 4 4" xfId="13847"/>
    <cellStyle name="Comma 2 4 3 7 2 5" xfId="13848"/>
    <cellStyle name="Comma 2 4 3 7 2 5 2" xfId="13849"/>
    <cellStyle name="Comma 2 4 3 7 2 6" xfId="13850"/>
    <cellStyle name="Comma 2 4 3 7 2 7" xfId="13851"/>
    <cellStyle name="Comma 2 4 3 7 2 8" xfId="13852"/>
    <cellStyle name="Comma 2 4 3 7 2 9" xfId="13853"/>
    <cellStyle name="Comma 2 4 3 7 3" xfId="13854"/>
    <cellStyle name="Comma 2 4 3 7 3 2" xfId="13855"/>
    <cellStyle name="Comma 2 4 3 7 3 2 2" xfId="13856"/>
    <cellStyle name="Comma 2 4 3 7 3 2 2 2" xfId="13857"/>
    <cellStyle name="Comma 2 4 3 7 3 2 2 3" xfId="13858"/>
    <cellStyle name="Comma 2 4 3 7 3 2 3" xfId="13859"/>
    <cellStyle name="Comma 2 4 3 7 3 2 4" xfId="13860"/>
    <cellStyle name="Comma 2 4 3 7 3 2 5" xfId="13861"/>
    <cellStyle name="Comma 2 4 3 7 3 2 6" xfId="13862"/>
    <cellStyle name="Comma 2 4 3 7 3 3" xfId="13863"/>
    <cellStyle name="Comma 2 4 3 7 3 3 2" xfId="13864"/>
    <cellStyle name="Comma 2 4 3 7 3 3 2 2" xfId="13865"/>
    <cellStyle name="Comma 2 4 3 7 3 3 3" xfId="13866"/>
    <cellStyle name="Comma 2 4 3 7 3 3 4" xfId="13867"/>
    <cellStyle name="Comma 2 4 3 7 3 3 5" xfId="13868"/>
    <cellStyle name="Comma 2 4 3 7 3 4" xfId="13869"/>
    <cellStyle name="Comma 2 4 3 7 3 4 2" xfId="13870"/>
    <cellStyle name="Comma 2 4 3 7 3 4 3" xfId="13871"/>
    <cellStyle name="Comma 2 4 3 7 3 4 4" xfId="13872"/>
    <cellStyle name="Comma 2 4 3 7 3 5" xfId="13873"/>
    <cellStyle name="Comma 2 4 3 7 3 5 2" xfId="13874"/>
    <cellStyle name="Comma 2 4 3 7 3 6" xfId="13875"/>
    <cellStyle name="Comma 2 4 3 7 3 7" xfId="13876"/>
    <cellStyle name="Comma 2 4 3 7 3 8" xfId="13877"/>
    <cellStyle name="Comma 2 4 3 7 3 9" xfId="13878"/>
    <cellStyle name="Comma 2 4 3 7 4" xfId="13879"/>
    <cellStyle name="Comma 2 4 3 7 4 2" xfId="13880"/>
    <cellStyle name="Comma 2 4 3 7 4 2 2" xfId="13881"/>
    <cellStyle name="Comma 2 4 3 7 4 2 3" xfId="13882"/>
    <cellStyle name="Comma 2 4 3 7 4 3" xfId="13883"/>
    <cellStyle name="Comma 2 4 3 7 4 4" xfId="13884"/>
    <cellStyle name="Comma 2 4 3 7 4 5" xfId="13885"/>
    <cellStyle name="Comma 2 4 3 7 4 6" xfId="13886"/>
    <cellStyle name="Comma 2 4 3 7 5" xfId="13887"/>
    <cellStyle name="Comma 2 4 3 7 5 2" xfId="13888"/>
    <cellStyle name="Comma 2 4 3 7 5 2 2" xfId="13889"/>
    <cellStyle name="Comma 2 4 3 7 5 3" xfId="13890"/>
    <cellStyle name="Comma 2 4 3 7 5 4" xfId="13891"/>
    <cellStyle name="Comma 2 4 3 7 5 5" xfId="13892"/>
    <cellStyle name="Comma 2 4 3 7 6" xfId="13893"/>
    <cellStyle name="Comma 2 4 3 7 6 2" xfId="13894"/>
    <cellStyle name="Comma 2 4 3 7 6 3" xfId="13895"/>
    <cellStyle name="Comma 2 4 3 7 6 4" xfId="13896"/>
    <cellStyle name="Comma 2 4 3 7 7" xfId="13897"/>
    <cellStyle name="Comma 2 4 3 7 7 2" xfId="13898"/>
    <cellStyle name="Comma 2 4 3 7 8" xfId="13899"/>
    <cellStyle name="Comma 2 4 3 7 9" xfId="13900"/>
    <cellStyle name="Comma 2 4 3 8" xfId="13901"/>
    <cellStyle name="Comma 2 4 3 8 10" xfId="13902"/>
    <cellStyle name="Comma 2 4 3 8 2" xfId="13903"/>
    <cellStyle name="Comma 2 4 3 8 2 2" xfId="13904"/>
    <cellStyle name="Comma 2 4 3 8 2 2 2" xfId="13905"/>
    <cellStyle name="Comma 2 4 3 8 2 2 3" xfId="13906"/>
    <cellStyle name="Comma 2 4 3 8 2 3" xfId="13907"/>
    <cellStyle name="Comma 2 4 3 8 2 4" xfId="13908"/>
    <cellStyle name="Comma 2 4 3 8 2 5" xfId="13909"/>
    <cellStyle name="Comma 2 4 3 8 2 6" xfId="13910"/>
    <cellStyle name="Comma 2 4 3 8 3" xfId="13911"/>
    <cellStyle name="Comma 2 4 3 8 3 2" xfId="13912"/>
    <cellStyle name="Comma 2 4 3 8 3 2 2" xfId="13913"/>
    <cellStyle name="Comma 2 4 3 8 3 2 3" xfId="13914"/>
    <cellStyle name="Comma 2 4 3 8 3 3" xfId="13915"/>
    <cellStyle name="Comma 2 4 3 8 3 4" xfId="13916"/>
    <cellStyle name="Comma 2 4 3 8 3 5" xfId="13917"/>
    <cellStyle name="Comma 2 4 3 8 3 6" xfId="13918"/>
    <cellStyle name="Comma 2 4 3 8 4" xfId="13919"/>
    <cellStyle name="Comma 2 4 3 8 4 2" xfId="13920"/>
    <cellStyle name="Comma 2 4 3 8 4 2 2" xfId="13921"/>
    <cellStyle name="Comma 2 4 3 8 4 3" xfId="13922"/>
    <cellStyle name="Comma 2 4 3 8 4 4" xfId="13923"/>
    <cellStyle name="Comma 2 4 3 8 4 5" xfId="13924"/>
    <cellStyle name="Comma 2 4 3 8 5" xfId="13925"/>
    <cellStyle name="Comma 2 4 3 8 5 2" xfId="13926"/>
    <cellStyle name="Comma 2 4 3 8 5 3" xfId="13927"/>
    <cellStyle name="Comma 2 4 3 8 5 4" xfId="13928"/>
    <cellStyle name="Comma 2 4 3 8 6" xfId="13929"/>
    <cellStyle name="Comma 2 4 3 8 6 2" xfId="13930"/>
    <cellStyle name="Comma 2 4 3 8 7" xfId="13931"/>
    <cellStyle name="Comma 2 4 3 8 8" xfId="13932"/>
    <cellStyle name="Comma 2 4 3 8 9" xfId="13933"/>
    <cellStyle name="Comma 2 4 3 9" xfId="13934"/>
    <cellStyle name="Comma 2 4 3 9 10" xfId="13935"/>
    <cellStyle name="Comma 2 4 3 9 2" xfId="13936"/>
    <cellStyle name="Comma 2 4 3 9 2 2" xfId="13937"/>
    <cellStyle name="Comma 2 4 3 9 2 2 2" xfId="13938"/>
    <cellStyle name="Comma 2 4 3 9 2 2 3" xfId="13939"/>
    <cellStyle name="Comma 2 4 3 9 2 3" xfId="13940"/>
    <cellStyle name="Comma 2 4 3 9 2 4" xfId="13941"/>
    <cellStyle name="Comma 2 4 3 9 2 5" xfId="13942"/>
    <cellStyle name="Comma 2 4 3 9 2 6" xfId="13943"/>
    <cellStyle name="Comma 2 4 3 9 3" xfId="13944"/>
    <cellStyle name="Comma 2 4 3 9 3 2" xfId="13945"/>
    <cellStyle name="Comma 2 4 3 9 3 2 2" xfId="13946"/>
    <cellStyle name="Comma 2 4 3 9 3 2 3" xfId="13947"/>
    <cellStyle name="Comma 2 4 3 9 3 3" xfId="13948"/>
    <cellStyle name="Comma 2 4 3 9 3 4" xfId="13949"/>
    <cellStyle name="Comma 2 4 3 9 3 5" xfId="13950"/>
    <cellStyle name="Comma 2 4 3 9 3 6" xfId="13951"/>
    <cellStyle name="Comma 2 4 3 9 4" xfId="13952"/>
    <cellStyle name="Comma 2 4 3 9 4 2" xfId="13953"/>
    <cellStyle name="Comma 2 4 3 9 4 2 2" xfId="13954"/>
    <cellStyle name="Comma 2 4 3 9 4 3" xfId="13955"/>
    <cellStyle name="Comma 2 4 3 9 4 4" xfId="13956"/>
    <cellStyle name="Comma 2 4 3 9 4 5" xfId="13957"/>
    <cellStyle name="Comma 2 4 3 9 5" xfId="13958"/>
    <cellStyle name="Comma 2 4 3 9 5 2" xfId="13959"/>
    <cellStyle name="Comma 2 4 3 9 5 3" xfId="13960"/>
    <cellStyle name="Comma 2 4 3 9 5 4" xfId="13961"/>
    <cellStyle name="Comma 2 4 3 9 6" xfId="13962"/>
    <cellStyle name="Comma 2 4 3 9 6 2" xfId="13963"/>
    <cellStyle name="Comma 2 4 3 9 7" xfId="13964"/>
    <cellStyle name="Comma 2 4 3 9 8" xfId="13965"/>
    <cellStyle name="Comma 2 4 3 9 9" xfId="13966"/>
    <cellStyle name="Comma 2 4 30" xfId="13967"/>
    <cellStyle name="Comma 2 4 30 2" xfId="13968"/>
    <cellStyle name="Comma 2 4 30 2 2" xfId="13969"/>
    <cellStyle name="Comma 2 4 30 2 2 2" xfId="13970"/>
    <cellStyle name="Comma 2 4 30 2 2 3" xfId="13971"/>
    <cellStyle name="Comma 2 4 30 2 3" xfId="13972"/>
    <cellStyle name="Comma 2 4 30 2 4" xfId="13973"/>
    <cellStyle name="Comma 2 4 30 2 5" xfId="13974"/>
    <cellStyle name="Comma 2 4 30 2 6" xfId="13975"/>
    <cellStyle name="Comma 2 4 30 3" xfId="13976"/>
    <cellStyle name="Comma 2 4 30 3 2" xfId="13977"/>
    <cellStyle name="Comma 2 4 30 3 2 2" xfId="13978"/>
    <cellStyle name="Comma 2 4 30 3 3" xfId="13979"/>
    <cellStyle name="Comma 2 4 30 3 4" xfId="13980"/>
    <cellStyle name="Comma 2 4 30 3 5" xfId="13981"/>
    <cellStyle name="Comma 2 4 30 4" xfId="13982"/>
    <cellStyle name="Comma 2 4 30 4 2" xfId="13983"/>
    <cellStyle name="Comma 2 4 30 4 3" xfId="13984"/>
    <cellStyle name="Comma 2 4 30 4 4" xfId="13985"/>
    <cellStyle name="Comma 2 4 30 5" xfId="13986"/>
    <cellStyle name="Comma 2 4 30 5 2" xfId="13987"/>
    <cellStyle name="Comma 2 4 30 6" xfId="13988"/>
    <cellStyle name="Comma 2 4 30 7" xfId="13989"/>
    <cellStyle name="Comma 2 4 30 8" xfId="13990"/>
    <cellStyle name="Comma 2 4 30 9" xfId="13991"/>
    <cellStyle name="Comma 2 4 31" xfId="13992"/>
    <cellStyle name="Comma 2 4 31 2" xfId="13993"/>
    <cellStyle name="Comma 2 4 31 2 2" xfId="13994"/>
    <cellStyle name="Comma 2 4 31 2 3" xfId="13995"/>
    <cellStyle name="Comma 2 4 31 3" xfId="13996"/>
    <cellStyle name="Comma 2 4 31 4" xfId="13997"/>
    <cellStyle name="Comma 2 4 31 5" xfId="13998"/>
    <cellStyle name="Comma 2 4 31 6" xfId="13999"/>
    <cellStyle name="Comma 2 4 32" xfId="14000"/>
    <cellStyle name="Comma 2 4 32 2" xfId="14001"/>
    <cellStyle name="Comma 2 4 32 2 2" xfId="14002"/>
    <cellStyle name="Comma 2 4 32 3" xfId="14003"/>
    <cellStyle name="Comma 2 4 32 4" xfId="14004"/>
    <cellStyle name="Comma 2 4 32 5" xfId="14005"/>
    <cellStyle name="Comma 2 4 33" xfId="14006"/>
    <cellStyle name="Comma 2 4 33 2" xfId="14007"/>
    <cellStyle name="Comma 2 4 33 2 2" xfId="14008"/>
    <cellStyle name="Comma 2 4 33 3" xfId="14009"/>
    <cellStyle name="Comma 2 4 33 4" xfId="14010"/>
    <cellStyle name="Comma 2 4 33 5" xfId="14011"/>
    <cellStyle name="Comma 2 4 34" xfId="14012"/>
    <cellStyle name="Comma 2 4 34 2" xfId="14013"/>
    <cellStyle name="Comma 2 4 35" xfId="14014"/>
    <cellStyle name="Comma 2 4 36" xfId="14015"/>
    <cellStyle name="Comma 2 4 37" xfId="14016"/>
    <cellStyle name="Comma 2 4 38" xfId="14017"/>
    <cellStyle name="Comma 2 4 4" xfId="14018"/>
    <cellStyle name="Comma 2 4 4 10" xfId="14019"/>
    <cellStyle name="Comma 2 4 4 11" xfId="14020"/>
    <cellStyle name="Comma 2 4 4 2" xfId="14021"/>
    <cellStyle name="Comma 2 4 4 2 2" xfId="14022"/>
    <cellStyle name="Comma 2 4 4 2 2 2" xfId="14023"/>
    <cellStyle name="Comma 2 4 4 2 2 2 2" xfId="14024"/>
    <cellStyle name="Comma 2 4 4 2 2 2 3" xfId="14025"/>
    <cellStyle name="Comma 2 4 4 2 2 3" xfId="14026"/>
    <cellStyle name="Comma 2 4 4 2 2 4" xfId="14027"/>
    <cellStyle name="Comma 2 4 4 2 2 5" xfId="14028"/>
    <cellStyle name="Comma 2 4 4 2 2 6" xfId="14029"/>
    <cellStyle name="Comma 2 4 4 2 3" xfId="14030"/>
    <cellStyle name="Comma 2 4 4 2 3 2" xfId="14031"/>
    <cellStyle name="Comma 2 4 4 2 3 2 2" xfId="14032"/>
    <cellStyle name="Comma 2 4 4 2 3 3" xfId="14033"/>
    <cellStyle name="Comma 2 4 4 2 3 4" xfId="14034"/>
    <cellStyle name="Comma 2 4 4 2 3 5" xfId="14035"/>
    <cellStyle name="Comma 2 4 4 2 4" xfId="14036"/>
    <cellStyle name="Comma 2 4 4 2 4 2" xfId="14037"/>
    <cellStyle name="Comma 2 4 4 2 4 3" xfId="14038"/>
    <cellStyle name="Comma 2 4 4 2 4 4" xfId="14039"/>
    <cellStyle name="Comma 2 4 4 2 5" xfId="14040"/>
    <cellStyle name="Comma 2 4 4 2 5 2" xfId="14041"/>
    <cellStyle name="Comma 2 4 4 2 6" xfId="14042"/>
    <cellStyle name="Comma 2 4 4 2 7" xfId="14043"/>
    <cellStyle name="Comma 2 4 4 2 8" xfId="14044"/>
    <cellStyle name="Comma 2 4 4 2 9" xfId="14045"/>
    <cellStyle name="Comma 2 4 4 3" xfId="14046"/>
    <cellStyle name="Comma 2 4 4 3 2" xfId="14047"/>
    <cellStyle name="Comma 2 4 4 3 2 2" xfId="14048"/>
    <cellStyle name="Comma 2 4 4 3 2 2 2" xfId="14049"/>
    <cellStyle name="Comma 2 4 4 3 2 2 3" xfId="14050"/>
    <cellStyle name="Comma 2 4 4 3 2 3" xfId="14051"/>
    <cellStyle name="Comma 2 4 4 3 2 4" xfId="14052"/>
    <cellStyle name="Comma 2 4 4 3 2 5" xfId="14053"/>
    <cellStyle name="Comma 2 4 4 3 2 6" xfId="14054"/>
    <cellStyle name="Comma 2 4 4 3 3" xfId="14055"/>
    <cellStyle name="Comma 2 4 4 3 3 2" xfId="14056"/>
    <cellStyle name="Comma 2 4 4 3 3 2 2" xfId="14057"/>
    <cellStyle name="Comma 2 4 4 3 3 3" xfId="14058"/>
    <cellStyle name="Comma 2 4 4 3 3 4" xfId="14059"/>
    <cellStyle name="Comma 2 4 4 3 3 5" xfId="14060"/>
    <cellStyle name="Comma 2 4 4 3 4" xfId="14061"/>
    <cellStyle name="Comma 2 4 4 3 4 2" xfId="14062"/>
    <cellStyle name="Comma 2 4 4 3 4 3" xfId="14063"/>
    <cellStyle name="Comma 2 4 4 3 4 4" xfId="14064"/>
    <cellStyle name="Comma 2 4 4 3 5" xfId="14065"/>
    <cellStyle name="Comma 2 4 4 3 5 2" xfId="14066"/>
    <cellStyle name="Comma 2 4 4 3 6" xfId="14067"/>
    <cellStyle name="Comma 2 4 4 3 7" xfId="14068"/>
    <cellStyle name="Comma 2 4 4 3 8" xfId="14069"/>
    <cellStyle name="Comma 2 4 4 3 9" xfId="14070"/>
    <cellStyle name="Comma 2 4 4 4" xfId="14071"/>
    <cellStyle name="Comma 2 4 4 4 2" xfId="14072"/>
    <cellStyle name="Comma 2 4 4 4 2 2" xfId="14073"/>
    <cellStyle name="Comma 2 4 4 4 2 3" xfId="14074"/>
    <cellStyle name="Comma 2 4 4 4 3" xfId="14075"/>
    <cellStyle name="Comma 2 4 4 4 4" xfId="14076"/>
    <cellStyle name="Comma 2 4 4 4 5" xfId="14077"/>
    <cellStyle name="Comma 2 4 4 4 6" xfId="14078"/>
    <cellStyle name="Comma 2 4 4 5" xfId="14079"/>
    <cellStyle name="Comma 2 4 4 5 2" xfId="14080"/>
    <cellStyle name="Comma 2 4 4 5 2 2" xfId="14081"/>
    <cellStyle name="Comma 2 4 4 5 3" xfId="14082"/>
    <cellStyle name="Comma 2 4 4 5 4" xfId="14083"/>
    <cellStyle name="Comma 2 4 4 5 5" xfId="14084"/>
    <cellStyle name="Comma 2 4 4 6" xfId="14085"/>
    <cellStyle name="Comma 2 4 4 6 2" xfId="14086"/>
    <cellStyle name="Comma 2 4 4 6 3" xfId="14087"/>
    <cellStyle name="Comma 2 4 4 6 4" xfId="14088"/>
    <cellStyle name="Comma 2 4 4 7" xfId="14089"/>
    <cellStyle name="Comma 2 4 4 7 2" xfId="14090"/>
    <cellStyle name="Comma 2 4 4 8" xfId="14091"/>
    <cellStyle name="Comma 2 4 4 9" xfId="14092"/>
    <cellStyle name="Comma 2 4 5" xfId="14093"/>
    <cellStyle name="Comma 2 4 5 10" xfId="14094"/>
    <cellStyle name="Comma 2 4 5 11" xfId="14095"/>
    <cellStyle name="Comma 2 4 5 2" xfId="14096"/>
    <cellStyle name="Comma 2 4 5 2 2" xfId="14097"/>
    <cellStyle name="Comma 2 4 5 2 2 2" xfId="14098"/>
    <cellStyle name="Comma 2 4 5 2 2 2 2" xfId="14099"/>
    <cellStyle name="Comma 2 4 5 2 2 2 3" xfId="14100"/>
    <cellStyle name="Comma 2 4 5 2 2 3" xfId="14101"/>
    <cellStyle name="Comma 2 4 5 2 2 4" xfId="14102"/>
    <cellStyle name="Comma 2 4 5 2 2 5" xfId="14103"/>
    <cellStyle name="Comma 2 4 5 2 2 6" xfId="14104"/>
    <cellStyle name="Comma 2 4 5 2 3" xfId="14105"/>
    <cellStyle name="Comma 2 4 5 2 3 2" xfId="14106"/>
    <cellStyle name="Comma 2 4 5 2 3 2 2" xfId="14107"/>
    <cellStyle name="Comma 2 4 5 2 3 3" xfId="14108"/>
    <cellStyle name="Comma 2 4 5 2 3 4" xfId="14109"/>
    <cellStyle name="Comma 2 4 5 2 3 5" xfId="14110"/>
    <cellStyle name="Comma 2 4 5 2 4" xfId="14111"/>
    <cellStyle name="Comma 2 4 5 2 4 2" xfId="14112"/>
    <cellStyle name="Comma 2 4 5 2 4 3" xfId="14113"/>
    <cellStyle name="Comma 2 4 5 2 4 4" xfId="14114"/>
    <cellStyle name="Comma 2 4 5 2 5" xfId="14115"/>
    <cellStyle name="Comma 2 4 5 2 5 2" xfId="14116"/>
    <cellStyle name="Comma 2 4 5 2 6" xfId="14117"/>
    <cellStyle name="Comma 2 4 5 2 7" xfId="14118"/>
    <cellStyle name="Comma 2 4 5 2 8" xfId="14119"/>
    <cellStyle name="Comma 2 4 5 2 9" xfId="14120"/>
    <cellStyle name="Comma 2 4 5 3" xfId="14121"/>
    <cellStyle name="Comma 2 4 5 3 2" xfId="14122"/>
    <cellStyle name="Comma 2 4 5 3 2 2" xfId="14123"/>
    <cellStyle name="Comma 2 4 5 3 2 2 2" xfId="14124"/>
    <cellStyle name="Comma 2 4 5 3 2 2 3" xfId="14125"/>
    <cellStyle name="Comma 2 4 5 3 2 3" xfId="14126"/>
    <cellStyle name="Comma 2 4 5 3 2 4" xfId="14127"/>
    <cellStyle name="Comma 2 4 5 3 2 5" xfId="14128"/>
    <cellStyle name="Comma 2 4 5 3 2 6" xfId="14129"/>
    <cellStyle name="Comma 2 4 5 3 3" xfId="14130"/>
    <cellStyle name="Comma 2 4 5 3 3 2" xfId="14131"/>
    <cellStyle name="Comma 2 4 5 3 3 2 2" xfId="14132"/>
    <cellStyle name="Comma 2 4 5 3 3 3" xfId="14133"/>
    <cellStyle name="Comma 2 4 5 3 3 4" xfId="14134"/>
    <cellStyle name="Comma 2 4 5 3 3 5" xfId="14135"/>
    <cellStyle name="Comma 2 4 5 3 4" xfId="14136"/>
    <cellStyle name="Comma 2 4 5 3 4 2" xfId="14137"/>
    <cellStyle name="Comma 2 4 5 3 4 3" xfId="14138"/>
    <cellStyle name="Comma 2 4 5 3 4 4" xfId="14139"/>
    <cellStyle name="Comma 2 4 5 3 5" xfId="14140"/>
    <cellStyle name="Comma 2 4 5 3 5 2" xfId="14141"/>
    <cellStyle name="Comma 2 4 5 3 6" xfId="14142"/>
    <cellStyle name="Comma 2 4 5 3 7" xfId="14143"/>
    <cellStyle name="Comma 2 4 5 3 8" xfId="14144"/>
    <cellStyle name="Comma 2 4 5 3 9" xfId="14145"/>
    <cellStyle name="Comma 2 4 5 4" xfId="14146"/>
    <cellStyle name="Comma 2 4 5 4 2" xfId="14147"/>
    <cellStyle name="Comma 2 4 5 4 2 2" xfId="14148"/>
    <cellStyle name="Comma 2 4 5 4 2 3" xfId="14149"/>
    <cellStyle name="Comma 2 4 5 4 3" xfId="14150"/>
    <cellStyle name="Comma 2 4 5 4 4" xfId="14151"/>
    <cellStyle name="Comma 2 4 5 4 5" xfId="14152"/>
    <cellStyle name="Comma 2 4 5 4 6" xfId="14153"/>
    <cellStyle name="Comma 2 4 5 5" xfId="14154"/>
    <cellStyle name="Comma 2 4 5 5 2" xfId="14155"/>
    <cellStyle name="Comma 2 4 5 5 2 2" xfId="14156"/>
    <cellStyle name="Comma 2 4 5 5 3" xfId="14157"/>
    <cellStyle name="Comma 2 4 5 5 4" xfId="14158"/>
    <cellStyle name="Comma 2 4 5 5 5" xfId="14159"/>
    <cellStyle name="Comma 2 4 5 6" xfId="14160"/>
    <cellStyle name="Comma 2 4 5 6 2" xfId="14161"/>
    <cellStyle name="Comma 2 4 5 6 3" xfId="14162"/>
    <cellStyle name="Comma 2 4 5 6 4" xfId="14163"/>
    <cellStyle name="Comma 2 4 5 7" xfId="14164"/>
    <cellStyle name="Comma 2 4 5 7 2" xfId="14165"/>
    <cellStyle name="Comma 2 4 5 8" xfId="14166"/>
    <cellStyle name="Comma 2 4 5 9" xfId="14167"/>
    <cellStyle name="Comma 2 4 6" xfId="14168"/>
    <cellStyle name="Comma 2 4 6 10" xfId="14169"/>
    <cellStyle name="Comma 2 4 6 11" xfId="14170"/>
    <cellStyle name="Comma 2 4 6 2" xfId="14171"/>
    <cellStyle name="Comma 2 4 6 2 2" xfId="14172"/>
    <cellStyle name="Comma 2 4 6 2 2 2" xfId="14173"/>
    <cellStyle name="Comma 2 4 6 2 2 2 2" xfId="14174"/>
    <cellStyle name="Comma 2 4 6 2 2 2 3" xfId="14175"/>
    <cellStyle name="Comma 2 4 6 2 2 3" xfId="14176"/>
    <cellStyle name="Comma 2 4 6 2 2 4" xfId="14177"/>
    <cellStyle name="Comma 2 4 6 2 2 5" xfId="14178"/>
    <cellStyle name="Comma 2 4 6 2 2 6" xfId="14179"/>
    <cellStyle name="Comma 2 4 6 2 3" xfId="14180"/>
    <cellStyle name="Comma 2 4 6 2 3 2" xfId="14181"/>
    <cellStyle name="Comma 2 4 6 2 3 2 2" xfId="14182"/>
    <cellStyle name="Comma 2 4 6 2 3 3" xfId="14183"/>
    <cellStyle name="Comma 2 4 6 2 3 4" xfId="14184"/>
    <cellStyle name="Comma 2 4 6 2 3 5" xfId="14185"/>
    <cellStyle name="Comma 2 4 6 2 4" xfId="14186"/>
    <cellStyle name="Comma 2 4 6 2 4 2" xfId="14187"/>
    <cellStyle name="Comma 2 4 6 2 4 3" xfId="14188"/>
    <cellStyle name="Comma 2 4 6 2 4 4" xfId="14189"/>
    <cellStyle name="Comma 2 4 6 2 5" xfId="14190"/>
    <cellStyle name="Comma 2 4 6 2 5 2" xfId="14191"/>
    <cellStyle name="Comma 2 4 6 2 6" xfId="14192"/>
    <cellStyle name="Comma 2 4 6 2 7" xfId="14193"/>
    <cellStyle name="Comma 2 4 6 2 8" xfId="14194"/>
    <cellStyle name="Comma 2 4 6 2 9" xfId="14195"/>
    <cellStyle name="Comma 2 4 6 3" xfId="14196"/>
    <cellStyle name="Comma 2 4 6 3 2" xfId="14197"/>
    <cellStyle name="Comma 2 4 6 3 2 2" xfId="14198"/>
    <cellStyle name="Comma 2 4 6 3 2 2 2" xfId="14199"/>
    <cellStyle name="Comma 2 4 6 3 2 2 3" xfId="14200"/>
    <cellStyle name="Comma 2 4 6 3 2 3" xfId="14201"/>
    <cellStyle name="Comma 2 4 6 3 2 4" xfId="14202"/>
    <cellStyle name="Comma 2 4 6 3 2 5" xfId="14203"/>
    <cellStyle name="Comma 2 4 6 3 2 6" xfId="14204"/>
    <cellStyle name="Comma 2 4 6 3 3" xfId="14205"/>
    <cellStyle name="Comma 2 4 6 3 3 2" xfId="14206"/>
    <cellStyle name="Comma 2 4 6 3 3 2 2" xfId="14207"/>
    <cellStyle name="Comma 2 4 6 3 3 3" xfId="14208"/>
    <cellStyle name="Comma 2 4 6 3 3 4" xfId="14209"/>
    <cellStyle name="Comma 2 4 6 3 3 5" xfId="14210"/>
    <cellStyle name="Comma 2 4 6 3 4" xfId="14211"/>
    <cellStyle name="Comma 2 4 6 3 4 2" xfId="14212"/>
    <cellStyle name="Comma 2 4 6 3 4 3" xfId="14213"/>
    <cellStyle name="Comma 2 4 6 3 4 4" xfId="14214"/>
    <cellStyle name="Comma 2 4 6 3 5" xfId="14215"/>
    <cellStyle name="Comma 2 4 6 3 5 2" xfId="14216"/>
    <cellStyle name="Comma 2 4 6 3 6" xfId="14217"/>
    <cellStyle name="Comma 2 4 6 3 7" xfId="14218"/>
    <cellStyle name="Comma 2 4 6 3 8" xfId="14219"/>
    <cellStyle name="Comma 2 4 6 3 9" xfId="14220"/>
    <cellStyle name="Comma 2 4 6 4" xfId="14221"/>
    <cellStyle name="Comma 2 4 6 4 2" xfId="14222"/>
    <cellStyle name="Comma 2 4 6 4 2 2" xfId="14223"/>
    <cellStyle name="Comma 2 4 6 4 2 3" xfId="14224"/>
    <cellStyle name="Comma 2 4 6 4 3" xfId="14225"/>
    <cellStyle name="Comma 2 4 6 4 4" xfId="14226"/>
    <cellStyle name="Comma 2 4 6 4 5" xfId="14227"/>
    <cellStyle name="Comma 2 4 6 4 6" xfId="14228"/>
    <cellStyle name="Comma 2 4 6 5" xfId="14229"/>
    <cellStyle name="Comma 2 4 6 5 2" xfId="14230"/>
    <cellStyle name="Comma 2 4 6 5 2 2" xfId="14231"/>
    <cellStyle name="Comma 2 4 6 5 3" xfId="14232"/>
    <cellStyle name="Comma 2 4 6 5 4" xfId="14233"/>
    <cellStyle name="Comma 2 4 6 5 5" xfId="14234"/>
    <cellStyle name="Comma 2 4 6 6" xfId="14235"/>
    <cellStyle name="Comma 2 4 6 6 2" xfId="14236"/>
    <cellStyle name="Comma 2 4 6 6 3" xfId="14237"/>
    <cellStyle name="Comma 2 4 6 6 4" xfId="14238"/>
    <cellStyle name="Comma 2 4 6 7" xfId="14239"/>
    <cellStyle name="Comma 2 4 6 7 2" xfId="14240"/>
    <cellStyle name="Comma 2 4 6 8" xfId="14241"/>
    <cellStyle name="Comma 2 4 6 9" xfId="14242"/>
    <cellStyle name="Comma 2 4 7" xfId="14243"/>
    <cellStyle name="Comma 2 4 7 10" xfId="14244"/>
    <cellStyle name="Comma 2 4 7 11" xfId="14245"/>
    <cellStyle name="Comma 2 4 7 2" xfId="14246"/>
    <cellStyle name="Comma 2 4 7 2 2" xfId="14247"/>
    <cellStyle name="Comma 2 4 7 2 2 2" xfId="14248"/>
    <cellStyle name="Comma 2 4 7 2 2 2 2" xfId="14249"/>
    <cellStyle name="Comma 2 4 7 2 2 2 3" xfId="14250"/>
    <cellStyle name="Comma 2 4 7 2 2 3" xfId="14251"/>
    <cellStyle name="Comma 2 4 7 2 2 4" xfId="14252"/>
    <cellStyle name="Comma 2 4 7 2 2 5" xfId="14253"/>
    <cellStyle name="Comma 2 4 7 2 2 6" xfId="14254"/>
    <cellStyle name="Comma 2 4 7 2 3" xfId="14255"/>
    <cellStyle name="Comma 2 4 7 2 3 2" xfId="14256"/>
    <cellStyle name="Comma 2 4 7 2 3 2 2" xfId="14257"/>
    <cellStyle name="Comma 2 4 7 2 3 3" xfId="14258"/>
    <cellStyle name="Comma 2 4 7 2 3 4" xfId="14259"/>
    <cellStyle name="Comma 2 4 7 2 3 5" xfId="14260"/>
    <cellStyle name="Comma 2 4 7 2 4" xfId="14261"/>
    <cellStyle name="Comma 2 4 7 2 4 2" xfId="14262"/>
    <cellStyle name="Comma 2 4 7 2 4 3" xfId="14263"/>
    <cellStyle name="Comma 2 4 7 2 4 4" xfId="14264"/>
    <cellStyle name="Comma 2 4 7 2 5" xfId="14265"/>
    <cellStyle name="Comma 2 4 7 2 5 2" xfId="14266"/>
    <cellStyle name="Comma 2 4 7 2 6" xfId="14267"/>
    <cellStyle name="Comma 2 4 7 2 7" xfId="14268"/>
    <cellStyle name="Comma 2 4 7 2 8" xfId="14269"/>
    <cellStyle name="Comma 2 4 7 2 9" xfId="14270"/>
    <cellStyle name="Comma 2 4 7 3" xfId="14271"/>
    <cellStyle name="Comma 2 4 7 3 2" xfId="14272"/>
    <cellStyle name="Comma 2 4 7 3 2 2" xfId="14273"/>
    <cellStyle name="Comma 2 4 7 3 2 2 2" xfId="14274"/>
    <cellStyle name="Comma 2 4 7 3 2 2 3" xfId="14275"/>
    <cellStyle name="Comma 2 4 7 3 2 3" xfId="14276"/>
    <cellStyle name="Comma 2 4 7 3 2 4" xfId="14277"/>
    <cellStyle name="Comma 2 4 7 3 2 5" xfId="14278"/>
    <cellStyle name="Comma 2 4 7 3 2 6" xfId="14279"/>
    <cellStyle name="Comma 2 4 7 3 3" xfId="14280"/>
    <cellStyle name="Comma 2 4 7 3 3 2" xfId="14281"/>
    <cellStyle name="Comma 2 4 7 3 3 2 2" xfId="14282"/>
    <cellStyle name="Comma 2 4 7 3 3 3" xfId="14283"/>
    <cellStyle name="Comma 2 4 7 3 3 4" xfId="14284"/>
    <cellStyle name="Comma 2 4 7 3 3 5" xfId="14285"/>
    <cellStyle name="Comma 2 4 7 3 4" xfId="14286"/>
    <cellStyle name="Comma 2 4 7 3 4 2" xfId="14287"/>
    <cellStyle name="Comma 2 4 7 3 4 3" xfId="14288"/>
    <cellStyle name="Comma 2 4 7 3 4 4" xfId="14289"/>
    <cellStyle name="Comma 2 4 7 3 5" xfId="14290"/>
    <cellStyle name="Comma 2 4 7 3 5 2" xfId="14291"/>
    <cellStyle name="Comma 2 4 7 3 6" xfId="14292"/>
    <cellStyle name="Comma 2 4 7 3 7" xfId="14293"/>
    <cellStyle name="Comma 2 4 7 3 8" xfId="14294"/>
    <cellStyle name="Comma 2 4 7 3 9" xfId="14295"/>
    <cellStyle name="Comma 2 4 7 4" xfId="14296"/>
    <cellStyle name="Comma 2 4 7 4 2" xfId="14297"/>
    <cellStyle name="Comma 2 4 7 4 2 2" xfId="14298"/>
    <cellStyle name="Comma 2 4 7 4 2 3" xfId="14299"/>
    <cellStyle name="Comma 2 4 7 4 3" xfId="14300"/>
    <cellStyle name="Comma 2 4 7 4 4" xfId="14301"/>
    <cellStyle name="Comma 2 4 7 4 5" xfId="14302"/>
    <cellStyle name="Comma 2 4 7 4 6" xfId="14303"/>
    <cellStyle name="Comma 2 4 7 5" xfId="14304"/>
    <cellStyle name="Comma 2 4 7 5 2" xfId="14305"/>
    <cellStyle name="Comma 2 4 7 5 2 2" xfId="14306"/>
    <cellStyle name="Comma 2 4 7 5 3" xfId="14307"/>
    <cellStyle name="Comma 2 4 7 5 4" xfId="14308"/>
    <cellStyle name="Comma 2 4 7 5 5" xfId="14309"/>
    <cellStyle name="Comma 2 4 7 6" xfId="14310"/>
    <cellStyle name="Comma 2 4 7 6 2" xfId="14311"/>
    <cellStyle name="Comma 2 4 7 6 3" xfId="14312"/>
    <cellStyle name="Comma 2 4 7 6 4" xfId="14313"/>
    <cellStyle name="Comma 2 4 7 7" xfId="14314"/>
    <cellStyle name="Comma 2 4 7 7 2" xfId="14315"/>
    <cellStyle name="Comma 2 4 7 8" xfId="14316"/>
    <cellStyle name="Comma 2 4 7 9" xfId="14317"/>
    <cellStyle name="Comma 2 4 8" xfId="14318"/>
    <cellStyle name="Comma 2 4 8 10" xfId="14319"/>
    <cellStyle name="Comma 2 4 8 11" xfId="14320"/>
    <cellStyle name="Comma 2 4 8 2" xfId="14321"/>
    <cellStyle name="Comma 2 4 8 2 2" xfId="14322"/>
    <cellStyle name="Comma 2 4 8 2 2 2" xfId="14323"/>
    <cellStyle name="Comma 2 4 8 2 2 2 2" xfId="14324"/>
    <cellStyle name="Comma 2 4 8 2 2 2 3" xfId="14325"/>
    <cellStyle name="Comma 2 4 8 2 2 3" xfId="14326"/>
    <cellStyle name="Comma 2 4 8 2 2 4" xfId="14327"/>
    <cellStyle name="Comma 2 4 8 2 2 5" xfId="14328"/>
    <cellStyle name="Comma 2 4 8 2 2 6" xfId="14329"/>
    <cellStyle name="Comma 2 4 8 2 3" xfId="14330"/>
    <cellStyle name="Comma 2 4 8 2 3 2" xfId="14331"/>
    <cellStyle name="Comma 2 4 8 2 3 2 2" xfId="14332"/>
    <cellStyle name="Comma 2 4 8 2 3 3" xfId="14333"/>
    <cellStyle name="Comma 2 4 8 2 3 4" xfId="14334"/>
    <cellStyle name="Comma 2 4 8 2 3 5" xfId="14335"/>
    <cellStyle name="Comma 2 4 8 2 4" xfId="14336"/>
    <cellStyle name="Comma 2 4 8 2 4 2" xfId="14337"/>
    <cellStyle name="Comma 2 4 8 2 4 3" xfId="14338"/>
    <cellStyle name="Comma 2 4 8 2 4 4" xfId="14339"/>
    <cellStyle name="Comma 2 4 8 2 5" xfId="14340"/>
    <cellStyle name="Comma 2 4 8 2 5 2" xfId="14341"/>
    <cellStyle name="Comma 2 4 8 2 6" xfId="14342"/>
    <cellStyle name="Comma 2 4 8 2 7" xfId="14343"/>
    <cellStyle name="Comma 2 4 8 2 8" xfId="14344"/>
    <cellStyle name="Comma 2 4 8 2 9" xfId="14345"/>
    <cellStyle name="Comma 2 4 8 3" xfId="14346"/>
    <cellStyle name="Comma 2 4 8 3 2" xfId="14347"/>
    <cellStyle name="Comma 2 4 8 3 2 2" xfId="14348"/>
    <cellStyle name="Comma 2 4 8 3 2 2 2" xfId="14349"/>
    <cellStyle name="Comma 2 4 8 3 2 2 3" xfId="14350"/>
    <cellStyle name="Comma 2 4 8 3 2 3" xfId="14351"/>
    <cellStyle name="Comma 2 4 8 3 2 4" xfId="14352"/>
    <cellStyle name="Comma 2 4 8 3 2 5" xfId="14353"/>
    <cellStyle name="Comma 2 4 8 3 2 6" xfId="14354"/>
    <cellStyle name="Comma 2 4 8 3 3" xfId="14355"/>
    <cellStyle name="Comma 2 4 8 3 3 2" xfId="14356"/>
    <cellStyle name="Comma 2 4 8 3 3 2 2" xfId="14357"/>
    <cellStyle name="Comma 2 4 8 3 3 3" xfId="14358"/>
    <cellStyle name="Comma 2 4 8 3 3 4" xfId="14359"/>
    <cellStyle name="Comma 2 4 8 3 3 5" xfId="14360"/>
    <cellStyle name="Comma 2 4 8 3 4" xfId="14361"/>
    <cellStyle name="Comma 2 4 8 3 4 2" xfId="14362"/>
    <cellStyle name="Comma 2 4 8 3 4 3" xfId="14363"/>
    <cellStyle name="Comma 2 4 8 3 4 4" xfId="14364"/>
    <cellStyle name="Comma 2 4 8 3 5" xfId="14365"/>
    <cellStyle name="Comma 2 4 8 3 5 2" xfId="14366"/>
    <cellStyle name="Comma 2 4 8 3 6" xfId="14367"/>
    <cellStyle name="Comma 2 4 8 3 7" xfId="14368"/>
    <cellStyle name="Comma 2 4 8 3 8" xfId="14369"/>
    <cellStyle name="Comma 2 4 8 3 9" xfId="14370"/>
    <cellStyle name="Comma 2 4 8 4" xfId="14371"/>
    <cellStyle name="Comma 2 4 8 4 2" xfId="14372"/>
    <cellStyle name="Comma 2 4 8 4 2 2" xfId="14373"/>
    <cellStyle name="Comma 2 4 8 4 2 3" xfId="14374"/>
    <cellStyle name="Comma 2 4 8 4 3" xfId="14375"/>
    <cellStyle name="Comma 2 4 8 4 4" xfId="14376"/>
    <cellStyle name="Comma 2 4 8 4 5" xfId="14377"/>
    <cellStyle name="Comma 2 4 8 4 6" xfId="14378"/>
    <cellStyle name="Comma 2 4 8 5" xfId="14379"/>
    <cellStyle name="Comma 2 4 8 5 2" xfId="14380"/>
    <cellStyle name="Comma 2 4 8 5 2 2" xfId="14381"/>
    <cellStyle name="Comma 2 4 8 5 3" xfId="14382"/>
    <cellStyle name="Comma 2 4 8 5 4" xfId="14383"/>
    <cellStyle name="Comma 2 4 8 5 5" xfId="14384"/>
    <cellStyle name="Comma 2 4 8 6" xfId="14385"/>
    <cellStyle name="Comma 2 4 8 6 2" xfId="14386"/>
    <cellStyle name="Comma 2 4 8 6 3" xfId="14387"/>
    <cellStyle name="Comma 2 4 8 6 4" xfId="14388"/>
    <cellStyle name="Comma 2 4 8 7" xfId="14389"/>
    <cellStyle name="Comma 2 4 8 7 2" xfId="14390"/>
    <cellStyle name="Comma 2 4 8 8" xfId="14391"/>
    <cellStyle name="Comma 2 4 8 9" xfId="14392"/>
    <cellStyle name="Comma 2 4 9" xfId="14393"/>
    <cellStyle name="Comma 2 4 9 10" xfId="14394"/>
    <cellStyle name="Comma 2 4 9 11" xfId="14395"/>
    <cellStyle name="Comma 2 4 9 2" xfId="14396"/>
    <cellStyle name="Comma 2 4 9 2 2" xfId="14397"/>
    <cellStyle name="Comma 2 4 9 2 2 2" xfId="14398"/>
    <cellStyle name="Comma 2 4 9 2 2 2 2" xfId="14399"/>
    <cellStyle name="Comma 2 4 9 2 2 2 3" xfId="14400"/>
    <cellStyle name="Comma 2 4 9 2 2 3" xfId="14401"/>
    <cellStyle name="Comma 2 4 9 2 2 4" xfId="14402"/>
    <cellStyle name="Comma 2 4 9 2 2 5" xfId="14403"/>
    <cellStyle name="Comma 2 4 9 2 2 6" xfId="14404"/>
    <cellStyle name="Comma 2 4 9 2 3" xfId="14405"/>
    <cellStyle name="Comma 2 4 9 2 3 2" xfId="14406"/>
    <cellStyle name="Comma 2 4 9 2 3 2 2" xfId="14407"/>
    <cellStyle name="Comma 2 4 9 2 3 3" xfId="14408"/>
    <cellStyle name="Comma 2 4 9 2 3 4" xfId="14409"/>
    <cellStyle name="Comma 2 4 9 2 3 5" xfId="14410"/>
    <cellStyle name="Comma 2 4 9 2 4" xfId="14411"/>
    <cellStyle name="Comma 2 4 9 2 4 2" xfId="14412"/>
    <cellStyle name="Comma 2 4 9 2 4 3" xfId="14413"/>
    <cellStyle name="Comma 2 4 9 2 4 4" xfId="14414"/>
    <cellStyle name="Comma 2 4 9 2 5" xfId="14415"/>
    <cellStyle name="Comma 2 4 9 2 5 2" xfId="14416"/>
    <cellStyle name="Comma 2 4 9 2 6" xfId="14417"/>
    <cellStyle name="Comma 2 4 9 2 7" xfId="14418"/>
    <cellStyle name="Comma 2 4 9 2 8" xfId="14419"/>
    <cellStyle name="Comma 2 4 9 2 9" xfId="14420"/>
    <cellStyle name="Comma 2 4 9 3" xfId="14421"/>
    <cellStyle name="Comma 2 4 9 3 2" xfId="14422"/>
    <cellStyle name="Comma 2 4 9 3 2 2" xfId="14423"/>
    <cellStyle name="Comma 2 4 9 3 2 2 2" xfId="14424"/>
    <cellStyle name="Comma 2 4 9 3 2 2 3" xfId="14425"/>
    <cellStyle name="Comma 2 4 9 3 2 3" xfId="14426"/>
    <cellStyle name="Comma 2 4 9 3 2 4" xfId="14427"/>
    <cellStyle name="Comma 2 4 9 3 2 5" xfId="14428"/>
    <cellStyle name="Comma 2 4 9 3 2 6" xfId="14429"/>
    <cellStyle name="Comma 2 4 9 3 3" xfId="14430"/>
    <cellStyle name="Comma 2 4 9 3 3 2" xfId="14431"/>
    <cellStyle name="Comma 2 4 9 3 3 2 2" xfId="14432"/>
    <cellStyle name="Comma 2 4 9 3 3 3" xfId="14433"/>
    <cellStyle name="Comma 2 4 9 3 3 4" xfId="14434"/>
    <cellStyle name="Comma 2 4 9 3 3 5" xfId="14435"/>
    <cellStyle name="Comma 2 4 9 3 4" xfId="14436"/>
    <cellStyle name="Comma 2 4 9 3 4 2" xfId="14437"/>
    <cellStyle name="Comma 2 4 9 3 4 3" xfId="14438"/>
    <cellStyle name="Comma 2 4 9 3 4 4" xfId="14439"/>
    <cellStyle name="Comma 2 4 9 3 5" xfId="14440"/>
    <cellStyle name="Comma 2 4 9 3 5 2" xfId="14441"/>
    <cellStyle name="Comma 2 4 9 3 6" xfId="14442"/>
    <cellStyle name="Comma 2 4 9 3 7" xfId="14443"/>
    <cellStyle name="Comma 2 4 9 3 8" xfId="14444"/>
    <cellStyle name="Comma 2 4 9 3 9" xfId="14445"/>
    <cellStyle name="Comma 2 4 9 4" xfId="14446"/>
    <cellStyle name="Comma 2 4 9 4 2" xfId="14447"/>
    <cellStyle name="Comma 2 4 9 4 2 2" xfId="14448"/>
    <cellStyle name="Comma 2 4 9 4 2 3" xfId="14449"/>
    <cellStyle name="Comma 2 4 9 4 3" xfId="14450"/>
    <cellStyle name="Comma 2 4 9 4 4" xfId="14451"/>
    <cellStyle name="Comma 2 4 9 4 5" xfId="14452"/>
    <cellStyle name="Comma 2 4 9 4 6" xfId="14453"/>
    <cellStyle name="Comma 2 4 9 5" xfId="14454"/>
    <cellStyle name="Comma 2 4 9 5 2" xfId="14455"/>
    <cellStyle name="Comma 2 4 9 5 2 2" xfId="14456"/>
    <cellStyle name="Comma 2 4 9 5 3" xfId="14457"/>
    <cellStyle name="Comma 2 4 9 5 4" xfId="14458"/>
    <cellStyle name="Comma 2 4 9 5 5" xfId="14459"/>
    <cellStyle name="Comma 2 4 9 6" xfId="14460"/>
    <cellStyle name="Comma 2 4 9 6 2" xfId="14461"/>
    <cellStyle name="Comma 2 4 9 6 3" xfId="14462"/>
    <cellStyle name="Comma 2 4 9 6 4" xfId="14463"/>
    <cellStyle name="Comma 2 4 9 7" xfId="14464"/>
    <cellStyle name="Comma 2 4 9 7 2" xfId="14465"/>
    <cellStyle name="Comma 2 4 9 8" xfId="14466"/>
    <cellStyle name="Comma 2 4 9 9" xfId="14467"/>
    <cellStyle name="Comma 2 40" xfId="14468"/>
    <cellStyle name="Comma 2 40 10" xfId="14469"/>
    <cellStyle name="Comma 2 40 2" xfId="14470"/>
    <cellStyle name="Comma 2 40 2 2" xfId="14471"/>
    <cellStyle name="Comma 2 40 2 2 2" xfId="14472"/>
    <cellStyle name="Comma 2 40 2 3" xfId="14473"/>
    <cellStyle name="Comma 2 40 2 4" xfId="14474"/>
    <cellStyle name="Comma 2 40 3" xfId="14475"/>
    <cellStyle name="Comma 2 40 3 2" xfId="14476"/>
    <cellStyle name="Comma 2 40 4" xfId="14477"/>
    <cellStyle name="Comma 2 40 4 2" xfId="14478"/>
    <cellStyle name="Comma 2 40 5" xfId="14479"/>
    <cellStyle name="Comma 2 40 6" xfId="14480"/>
    <cellStyle name="Comma 2 40 7" xfId="14481"/>
    <cellStyle name="Comma 2 40 8" xfId="14482"/>
    <cellStyle name="Comma 2 40 9" xfId="14483"/>
    <cellStyle name="Comma 2 41" xfId="14484"/>
    <cellStyle name="Comma 2 41 2" xfId="14485"/>
    <cellStyle name="Comma 2 41 2 2" xfId="14486"/>
    <cellStyle name="Comma 2 41 2 3" xfId="14487"/>
    <cellStyle name="Comma 2 41 3" xfId="14488"/>
    <cellStyle name="Comma 2 41 3 2" xfId="14489"/>
    <cellStyle name="Comma 2 41 4" xfId="14490"/>
    <cellStyle name="Comma 2 41 5" xfId="14491"/>
    <cellStyle name="Comma 2 41 6" xfId="14492"/>
    <cellStyle name="Comma 2 41 7" xfId="14493"/>
    <cellStyle name="Comma 2 41 8" xfId="14494"/>
    <cellStyle name="Comma 2 41 9" xfId="14495"/>
    <cellStyle name="Comma 2 42" xfId="14496"/>
    <cellStyle name="Comma 2 42 2" xfId="14497"/>
    <cellStyle name="Comma 2 42 2 2" xfId="14498"/>
    <cellStyle name="Comma 2 42 3" xfId="14499"/>
    <cellStyle name="Comma 2 42 3 2" xfId="14500"/>
    <cellStyle name="Comma 2 42 4" xfId="14501"/>
    <cellStyle name="Comma 2 42 5" xfId="14502"/>
    <cellStyle name="Comma 2 42 6" xfId="14503"/>
    <cellStyle name="Comma 2 42 7" xfId="14504"/>
    <cellStyle name="Comma 2 42 8" xfId="14505"/>
    <cellStyle name="Comma 2 42 9" xfId="14506"/>
    <cellStyle name="Comma 2 43" xfId="14507"/>
    <cellStyle name="Comma 2 43 2" xfId="14508"/>
    <cellStyle name="Comma 2 43 2 2" xfId="14509"/>
    <cellStyle name="Comma 2 43 3" xfId="14510"/>
    <cellStyle name="Comma 2 43 3 2" xfId="14511"/>
    <cellStyle name="Comma 2 43 4" xfId="14512"/>
    <cellStyle name="Comma 2 43 5" xfId="14513"/>
    <cellStyle name="Comma 2 43 6" xfId="14514"/>
    <cellStyle name="Comma 2 43 7" xfId="14515"/>
    <cellStyle name="Comma 2 43 8" xfId="14516"/>
    <cellStyle name="Comma 2 44" xfId="14517"/>
    <cellStyle name="Comma 2 44 2" xfId="14518"/>
    <cellStyle name="Comma 2 44 2 2" xfId="14519"/>
    <cellStyle name="Comma 2 44 3" xfId="14520"/>
    <cellStyle name="Comma 2 44 4" xfId="14521"/>
    <cellStyle name="Comma 2 44 5" xfId="14522"/>
    <cellStyle name="Comma 2 44 6" xfId="14523"/>
    <cellStyle name="Comma 2 44 7" xfId="14524"/>
    <cellStyle name="Comma 2 45" xfId="14525"/>
    <cellStyle name="Comma 2 45 2" xfId="14526"/>
    <cellStyle name="Comma 2 45 2 2" xfId="14527"/>
    <cellStyle name="Comma 2 45 3" xfId="14528"/>
    <cellStyle name="Comma 2 45 4" xfId="14529"/>
    <cellStyle name="Comma 2 45 5" xfId="14530"/>
    <cellStyle name="Comma 2 45 6" xfId="14531"/>
    <cellStyle name="Comma 2 45 7" xfId="14532"/>
    <cellStyle name="Comma 2 46" xfId="14533"/>
    <cellStyle name="Comma 2 46 2" xfId="14534"/>
    <cellStyle name="Comma 2 46 2 2" xfId="14535"/>
    <cellStyle name="Comma 2 46 3" xfId="14536"/>
    <cellStyle name="Comma 2 46 4" xfId="14537"/>
    <cellStyle name="Comma 2 46 5" xfId="14538"/>
    <cellStyle name="Comma 2 46 6" xfId="14539"/>
    <cellStyle name="Comma 2 46 7" xfId="14540"/>
    <cellStyle name="Comma 2 47" xfId="14541"/>
    <cellStyle name="Comma 2 47 2" xfId="14542"/>
    <cellStyle name="Comma 2 47 2 2" xfId="14543"/>
    <cellStyle name="Comma 2 47 3" xfId="14544"/>
    <cellStyle name="Comma 2 47 4" xfId="14545"/>
    <cellStyle name="Comma 2 47 5" xfId="14546"/>
    <cellStyle name="Comma 2 47 6" xfId="14547"/>
    <cellStyle name="Comma 2 47 7" xfId="14548"/>
    <cellStyle name="Comma 2 48" xfId="14549"/>
    <cellStyle name="Comma 2 48 2" xfId="14550"/>
    <cellStyle name="Comma 2 48 2 2" xfId="14551"/>
    <cellStyle name="Comma 2 48 3" xfId="14552"/>
    <cellStyle name="Comma 2 48 4" xfId="14553"/>
    <cellStyle name="Comma 2 48 5" xfId="14554"/>
    <cellStyle name="Comma 2 48 6" xfId="14555"/>
    <cellStyle name="Comma 2 48 7" xfId="14556"/>
    <cellStyle name="Comma 2 49" xfId="14557"/>
    <cellStyle name="Comma 2 49 2" xfId="14558"/>
    <cellStyle name="Comma 2 49 2 2" xfId="14559"/>
    <cellStyle name="Comma 2 49 3" xfId="14560"/>
    <cellStyle name="Comma 2 49 4" xfId="14561"/>
    <cellStyle name="Comma 2 49 5" xfId="14562"/>
    <cellStyle name="Comma 2 49 6" xfId="14563"/>
    <cellStyle name="Comma 2 49 7" xfId="14564"/>
    <cellStyle name="Comma 2 5" xfId="14565"/>
    <cellStyle name="Comma 2 5 10" xfId="14566"/>
    <cellStyle name="Comma 2 5 10 10" xfId="14567"/>
    <cellStyle name="Comma 2 5 10 2" xfId="14568"/>
    <cellStyle name="Comma 2 5 10 2 2" xfId="14569"/>
    <cellStyle name="Comma 2 5 10 2 2 2" xfId="14570"/>
    <cellStyle name="Comma 2 5 10 2 2 3" xfId="14571"/>
    <cellStyle name="Comma 2 5 10 2 3" xfId="14572"/>
    <cellStyle name="Comma 2 5 10 2 4" xfId="14573"/>
    <cellStyle name="Comma 2 5 10 2 5" xfId="14574"/>
    <cellStyle name="Comma 2 5 10 2 6" xfId="14575"/>
    <cellStyle name="Comma 2 5 10 3" xfId="14576"/>
    <cellStyle name="Comma 2 5 10 3 2" xfId="14577"/>
    <cellStyle name="Comma 2 5 10 3 2 2" xfId="14578"/>
    <cellStyle name="Comma 2 5 10 3 2 3" xfId="14579"/>
    <cellStyle name="Comma 2 5 10 3 3" xfId="14580"/>
    <cellStyle name="Comma 2 5 10 3 4" xfId="14581"/>
    <cellStyle name="Comma 2 5 10 3 5" xfId="14582"/>
    <cellStyle name="Comma 2 5 10 3 6" xfId="14583"/>
    <cellStyle name="Comma 2 5 10 4" xfId="14584"/>
    <cellStyle name="Comma 2 5 10 4 2" xfId="14585"/>
    <cellStyle name="Comma 2 5 10 4 2 2" xfId="14586"/>
    <cellStyle name="Comma 2 5 10 4 3" xfId="14587"/>
    <cellStyle name="Comma 2 5 10 4 4" xfId="14588"/>
    <cellStyle name="Comma 2 5 10 4 5" xfId="14589"/>
    <cellStyle name="Comma 2 5 10 5" xfId="14590"/>
    <cellStyle name="Comma 2 5 10 5 2" xfId="14591"/>
    <cellStyle name="Comma 2 5 10 5 3" xfId="14592"/>
    <cellStyle name="Comma 2 5 10 5 4" xfId="14593"/>
    <cellStyle name="Comma 2 5 10 6" xfId="14594"/>
    <cellStyle name="Comma 2 5 10 6 2" xfId="14595"/>
    <cellStyle name="Comma 2 5 10 7" xfId="14596"/>
    <cellStyle name="Comma 2 5 10 8" xfId="14597"/>
    <cellStyle name="Comma 2 5 10 9" xfId="14598"/>
    <cellStyle name="Comma 2 5 11" xfId="14599"/>
    <cellStyle name="Comma 2 5 11 10" xfId="14600"/>
    <cellStyle name="Comma 2 5 11 2" xfId="14601"/>
    <cellStyle name="Comma 2 5 11 2 2" xfId="14602"/>
    <cellStyle name="Comma 2 5 11 2 2 2" xfId="14603"/>
    <cellStyle name="Comma 2 5 11 2 2 3" xfId="14604"/>
    <cellStyle name="Comma 2 5 11 2 3" xfId="14605"/>
    <cellStyle name="Comma 2 5 11 2 4" xfId="14606"/>
    <cellStyle name="Comma 2 5 11 2 5" xfId="14607"/>
    <cellStyle name="Comma 2 5 11 2 6" xfId="14608"/>
    <cellStyle name="Comma 2 5 11 3" xfId="14609"/>
    <cellStyle name="Comma 2 5 11 3 2" xfId="14610"/>
    <cellStyle name="Comma 2 5 11 3 2 2" xfId="14611"/>
    <cellStyle name="Comma 2 5 11 3 2 3" xfId="14612"/>
    <cellStyle name="Comma 2 5 11 3 3" xfId="14613"/>
    <cellStyle name="Comma 2 5 11 3 4" xfId="14614"/>
    <cellStyle name="Comma 2 5 11 3 5" xfId="14615"/>
    <cellStyle name="Comma 2 5 11 3 6" xfId="14616"/>
    <cellStyle name="Comma 2 5 11 4" xfId="14617"/>
    <cellStyle name="Comma 2 5 11 4 2" xfId="14618"/>
    <cellStyle name="Comma 2 5 11 4 2 2" xfId="14619"/>
    <cellStyle name="Comma 2 5 11 4 3" xfId="14620"/>
    <cellStyle name="Comma 2 5 11 4 4" xfId="14621"/>
    <cellStyle name="Comma 2 5 11 4 5" xfId="14622"/>
    <cellStyle name="Comma 2 5 11 5" xfId="14623"/>
    <cellStyle name="Comma 2 5 11 5 2" xfId="14624"/>
    <cellStyle name="Comma 2 5 11 5 3" xfId="14625"/>
    <cellStyle name="Comma 2 5 11 5 4" xfId="14626"/>
    <cellStyle name="Comma 2 5 11 6" xfId="14627"/>
    <cellStyle name="Comma 2 5 11 6 2" xfId="14628"/>
    <cellStyle name="Comma 2 5 11 7" xfId="14629"/>
    <cellStyle name="Comma 2 5 11 8" xfId="14630"/>
    <cellStyle name="Comma 2 5 11 9" xfId="14631"/>
    <cellStyle name="Comma 2 5 12" xfId="14632"/>
    <cellStyle name="Comma 2 5 12 10" xfId="14633"/>
    <cellStyle name="Comma 2 5 12 2" xfId="14634"/>
    <cellStyle name="Comma 2 5 12 2 2" xfId="14635"/>
    <cellStyle name="Comma 2 5 12 2 2 2" xfId="14636"/>
    <cellStyle name="Comma 2 5 12 2 2 3" xfId="14637"/>
    <cellStyle name="Comma 2 5 12 2 3" xfId="14638"/>
    <cellStyle name="Comma 2 5 12 2 4" xfId="14639"/>
    <cellStyle name="Comma 2 5 12 2 5" xfId="14640"/>
    <cellStyle name="Comma 2 5 12 2 6" xfId="14641"/>
    <cellStyle name="Comma 2 5 12 3" xfId="14642"/>
    <cellStyle name="Comma 2 5 12 3 2" xfId="14643"/>
    <cellStyle name="Comma 2 5 12 3 2 2" xfId="14644"/>
    <cellStyle name="Comma 2 5 12 3 2 3" xfId="14645"/>
    <cellStyle name="Comma 2 5 12 3 3" xfId="14646"/>
    <cellStyle name="Comma 2 5 12 3 4" xfId="14647"/>
    <cellStyle name="Comma 2 5 12 3 5" xfId="14648"/>
    <cellStyle name="Comma 2 5 12 3 6" xfId="14649"/>
    <cellStyle name="Comma 2 5 12 4" xfId="14650"/>
    <cellStyle name="Comma 2 5 12 4 2" xfId="14651"/>
    <cellStyle name="Comma 2 5 12 4 2 2" xfId="14652"/>
    <cellStyle name="Comma 2 5 12 4 3" xfId="14653"/>
    <cellStyle name="Comma 2 5 12 4 4" xfId="14654"/>
    <cellStyle name="Comma 2 5 12 4 5" xfId="14655"/>
    <cellStyle name="Comma 2 5 12 5" xfId="14656"/>
    <cellStyle name="Comma 2 5 12 5 2" xfId="14657"/>
    <cellStyle name="Comma 2 5 12 5 3" xfId="14658"/>
    <cellStyle name="Comma 2 5 12 5 4" xfId="14659"/>
    <cellStyle name="Comma 2 5 12 6" xfId="14660"/>
    <cellStyle name="Comma 2 5 12 6 2" xfId="14661"/>
    <cellStyle name="Comma 2 5 12 7" xfId="14662"/>
    <cellStyle name="Comma 2 5 12 8" xfId="14663"/>
    <cellStyle name="Comma 2 5 12 9" xfId="14664"/>
    <cellStyle name="Comma 2 5 13" xfId="14665"/>
    <cellStyle name="Comma 2 5 13 2" xfId="14666"/>
    <cellStyle name="Comma 2 5 13 2 2" xfId="14667"/>
    <cellStyle name="Comma 2 5 13 2 2 2" xfId="14668"/>
    <cellStyle name="Comma 2 5 13 2 2 3" xfId="14669"/>
    <cellStyle name="Comma 2 5 13 2 3" xfId="14670"/>
    <cellStyle name="Comma 2 5 13 2 4" xfId="14671"/>
    <cellStyle name="Comma 2 5 13 2 5" xfId="14672"/>
    <cellStyle name="Comma 2 5 13 2 6" xfId="14673"/>
    <cellStyle name="Comma 2 5 13 3" xfId="14674"/>
    <cellStyle name="Comma 2 5 13 3 2" xfId="14675"/>
    <cellStyle name="Comma 2 5 13 3 2 2" xfId="14676"/>
    <cellStyle name="Comma 2 5 13 3 3" xfId="14677"/>
    <cellStyle name="Comma 2 5 13 3 4" xfId="14678"/>
    <cellStyle name="Comma 2 5 13 3 5" xfId="14679"/>
    <cellStyle name="Comma 2 5 13 4" xfId="14680"/>
    <cellStyle name="Comma 2 5 13 4 2" xfId="14681"/>
    <cellStyle name="Comma 2 5 13 4 3" xfId="14682"/>
    <cellStyle name="Comma 2 5 13 4 4" xfId="14683"/>
    <cellStyle name="Comma 2 5 13 5" xfId="14684"/>
    <cellStyle name="Comma 2 5 13 5 2" xfId="14685"/>
    <cellStyle name="Comma 2 5 13 6" xfId="14686"/>
    <cellStyle name="Comma 2 5 13 7" xfId="14687"/>
    <cellStyle name="Comma 2 5 13 8" xfId="14688"/>
    <cellStyle name="Comma 2 5 13 9" xfId="14689"/>
    <cellStyle name="Comma 2 5 14" xfId="14690"/>
    <cellStyle name="Comma 2 5 14 2" xfId="14691"/>
    <cellStyle name="Comma 2 5 14 2 2" xfId="14692"/>
    <cellStyle name="Comma 2 5 14 2 2 2" xfId="14693"/>
    <cellStyle name="Comma 2 5 14 2 2 3" xfId="14694"/>
    <cellStyle name="Comma 2 5 14 2 3" xfId="14695"/>
    <cellStyle name="Comma 2 5 14 2 4" xfId="14696"/>
    <cellStyle name="Comma 2 5 14 2 5" xfId="14697"/>
    <cellStyle name="Comma 2 5 14 2 6" xfId="14698"/>
    <cellStyle name="Comma 2 5 14 3" xfId="14699"/>
    <cellStyle name="Comma 2 5 14 3 2" xfId="14700"/>
    <cellStyle name="Comma 2 5 14 3 2 2" xfId="14701"/>
    <cellStyle name="Comma 2 5 14 3 3" xfId="14702"/>
    <cellStyle name="Comma 2 5 14 3 4" xfId="14703"/>
    <cellStyle name="Comma 2 5 14 3 5" xfId="14704"/>
    <cellStyle name="Comma 2 5 14 4" xfId="14705"/>
    <cellStyle name="Comma 2 5 14 4 2" xfId="14706"/>
    <cellStyle name="Comma 2 5 14 4 3" xfId="14707"/>
    <cellStyle name="Comma 2 5 14 4 4" xfId="14708"/>
    <cellStyle name="Comma 2 5 14 5" xfId="14709"/>
    <cellStyle name="Comma 2 5 14 5 2" xfId="14710"/>
    <cellStyle name="Comma 2 5 14 6" xfId="14711"/>
    <cellStyle name="Comma 2 5 14 7" xfId="14712"/>
    <cellStyle name="Comma 2 5 14 8" xfId="14713"/>
    <cellStyle name="Comma 2 5 14 9" xfId="14714"/>
    <cellStyle name="Comma 2 5 15" xfId="14715"/>
    <cellStyle name="Comma 2 5 15 2" xfId="14716"/>
    <cellStyle name="Comma 2 5 15 2 2" xfId="14717"/>
    <cellStyle name="Comma 2 5 15 2 3" xfId="14718"/>
    <cellStyle name="Comma 2 5 15 3" xfId="14719"/>
    <cellStyle name="Comma 2 5 15 4" xfId="14720"/>
    <cellStyle name="Comma 2 5 15 5" xfId="14721"/>
    <cellStyle name="Comma 2 5 15 6" xfId="14722"/>
    <cellStyle name="Comma 2 5 16" xfId="14723"/>
    <cellStyle name="Comma 2 5 16 2" xfId="14724"/>
    <cellStyle name="Comma 2 5 16 2 2" xfId="14725"/>
    <cellStyle name="Comma 2 5 16 3" xfId="14726"/>
    <cellStyle name="Comma 2 5 16 4" xfId="14727"/>
    <cellStyle name="Comma 2 5 16 5" xfId="14728"/>
    <cellStyle name="Comma 2 5 17" xfId="14729"/>
    <cellStyle name="Comma 2 5 17 2" xfId="14730"/>
    <cellStyle name="Comma 2 5 17 2 2" xfId="14731"/>
    <cellStyle name="Comma 2 5 17 3" xfId="14732"/>
    <cellStyle name="Comma 2 5 17 4" xfId="14733"/>
    <cellStyle name="Comma 2 5 17 5" xfId="14734"/>
    <cellStyle name="Comma 2 5 18" xfId="14735"/>
    <cellStyle name="Comma 2 5 18 2" xfId="14736"/>
    <cellStyle name="Comma 2 5 19" xfId="14737"/>
    <cellStyle name="Comma 2 5 2" xfId="14738"/>
    <cellStyle name="Comma 2 5 2 10" xfId="14739"/>
    <cellStyle name="Comma 2 5 2 11" xfId="14740"/>
    <cellStyle name="Comma 2 5 2 2" xfId="14741"/>
    <cellStyle name="Comma 2 5 2 2 2" xfId="14742"/>
    <cellStyle name="Comma 2 5 2 2 2 2" xfId="14743"/>
    <cellStyle name="Comma 2 5 2 2 2 2 2" xfId="14744"/>
    <cellStyle name="Comma 2 5 2 2 2 2 3" xfId="14745"/>
    <cellStyle name="Comma 2 5 2 2 2 3" xfId="14746"/>
    <cellStyle name="Comma 2 5 2 2 2 4" xfId="14747"/>
    <cellStyle name="Comma 2 5 2 2 2 5" xfId="14748"/>
    <cellStyle name="Comma 2 5 2 2 2 6" xfId="14749"/>
    <cellStyle name="Comma 2 5 2 2 3" xfId="14750"/>
    <cellStyle name="Comma 2 5 2 2 3 2" xfId="14751"/>
    <cellStyle name="Comma 2 5 2 2 3 2 2" xfId="14752"/>
    <cellStyle name="Comma 2 5 2 2 3 3" xfId="14753"/>
    <cellStyle name="Comma 2 5 2 2 3 4" xfId="14754"/>
    <cellStyle name="Comma 2 5 2 2 3 5" xfId="14755"/>
    <cellStyle name="Comma 2 5 2 2 4" xfId="14756"/>
    <cellStyle name="Comma 2 5 2 2 4 2" xfId="14757"/>
    <cellStyle name="Comma 2 5 2 2 4 3" xfId="14758"/>
    <cellStyle name="Comma 2 5 2 2 4 4" xfId="14759"/>
    <cellStyle name="Comma 2 5 2 2 5" xfId="14760"/>
    <cellStyle name="Comma 2 5 2 2 5 2" xfId="14761"/>
    <cellStyle name="Comma 2 5 2 2 6" xfId="14762"/>
    <cellStyle name="Comma 2 5 2 2 7" xfId="14763"/>
    <cellStyle name="Comma 2 5 2 2 8" xfId="14764"/>
    <cellStyle name="Comma 2 5 2 2 9" xfId="14765"/>
    <cellStyle name="Comma 2 5 2 3" xfId="14766"/>
    <cellStyle name="Comma 2 5 2 3 2" xfId="14767"/>
    <cellStyle name="Comma 2 5 2 3 2 2" xfId="14768"/>
    <cellStyle name="Comma 2 5 2 3 2 2 2" xfId="14769"/>
    <cellStyle name="Comma 2 5 2 3 2 2 3" xfId="14770"/>
    <cellStyle name="Comma 2 5 2 3 2 3" xfId="14771"/>
    <cellStyle name="Comma 2 5 2 3 2 4" xfId="14772"/>
    <cellStyle name="Comma 2 5 2 3 2 5" xfId="14773"/>
    <cellStyle name="Comma 2 5 2 3 2 6" xfId="14774"/>
    <cellStyle name="Comma 2 5 2 3 3" xfId="14775"/>
    <cellStyle name="Comma 2 5 2 3 3 2" xfId="14776"/>
    <cellStyle name="Comma 2 5 2 3 3 2 2" xfId="14777"/>
    <cellStyle name="Comma 2 5 2 3 3 3" xfId="14778"/>
    <cellStyle name="Comma 2 5 2 3 3 4" xfId="14779"/>
    <cellStyle name="Comma 2 5 2 3 3 5" xfId="14780"/>
    <cellStyle name="Comma 2 5 2 3 4" xfId="14781"/>
    <cellStyle name="Comma 2 5 2 3 4 2" xfId="14782"/>
    <cellStyle name="Comma 2 5 2 3 4 3" xfId="14783"/>
    <cellStyle name="Comma 2 5 2 3 4 4" xfId="14784"/>
    <cellStyle name="Comma 2 5 2 3 5" xfId="14785"/>
    <cellStyle name="Comma 2 5 2 3 5 2" xfId="14786"/>
    <cellStyle name="Comma 2 5 2 3 6" xfId="14787"/>
    <cellStyle name="Comma 2 5 2 3 7" xfId="14788"/>
    <cellStyle name="Comma 2 5 2 3 8" xfId="14789"/>
    <cellStyle name="Comma 2 5 2 3 9" xfId="14790"/>
    <cellStyle name="Comma 2 5 2 4" xfId="14791"/>
    <cellStyle name="Comma 2 5 2 4 2" xfId="14792"/>
    <cellStyle name="Comma 2 5 2 4 2 2" xfId="14793"/>
    <cellStyle name="Comma 2 5 2 4 2 3" xfId="14794"/>
    <cellStyle name="Comma 2 5 2 4 3" xfId="14795"/>
    <cellStyle name="Comma 2 5 2 4 4" xfId="14796"/>
    <cellStyle name="Comma 2 5 2 4 5" xfId="14797"/>
    <cellStyle name="Comma 2 5 2 4 6" xfId="14798"/>
    <cellStyle name="Comma 2 5 2 5" xfId="14799"/>
    <cellStyle name="Comma 2 5 2 5 2" xfId="14800"/>
    <cellStyle name="Comma 2 5 2 5 2 2" xfId="14801"/>
    <cellStyle name="Comma 2 5 2 5 3" xfId="14802"/>
    <cellStyle name="Comma 2 5 2 5 4" xfId="14803"/>
    <cellStyle name="Comma 2 5 2 5 5" xfId="14804"/>
    <cellStyle name="Comma 2 5 2 6" xfId="14805"/>
    <cellStyle name="Comma 2 5 2 6 2" xfId="14806"/>
    <cellStyle name="Comma 2 5 2 6 3" xfId="14807"/>
    <cellStyle name="Comma 2 5 2 6 4" xfId="14808"/>
    <cellStyle name="Comma 2 5 2 7" xfId="14809"/>
    <cellStyle name="Comma 2 5 2 7 2" xfId="14810"/>
    <cellStyle name="Comma 2 5 2 8" xfId="14811"/>
    <cellStyle name="Comma 2 5 2 9" xfId="14812"/>
    <cellStyle name="Comma 2 5 20" xfId="14813"/>
    <cellStyle name="Comma 2 5 21" xfId="14814"/>
    <cellStyle name="Comma 2 5 22" xfId="14815"/>
    <cellStyle name="Comma 2 5 3" xfId="14816"/>
    <cellStyle name="Comma 2 5 3 10" xfId="14817"/>
    <cellStyle name="Comma 2 5 3 11" xfId="14818"/>
    <cellStyle name="Comma 2 5 3 2" xfId="14819"/>
    <cellStyle name="Comma 2 5 3 2 2" xfId="14820"/>
    <cellStyle name="Comma 2 5 3 2 2 2" xfId="14821"/>
    <cellStyle name="Comma 2 5 3 2 2 2 2" xfId="14822"/>
    <cellStyle name="Comma 2 5 3 2 2 2 3" xfId="14823"/>
    <cellStyle name="Comma 2 5 3 2 2 3" xfId="14824"/>
    <cellStyle name="Comma 2 5 3 2 2 4" xfId="14825"/>
    <cellStyle name="Comma 2 5 3 2 2 5" xfId="14826"/>
    <cellStyle name="Comma 2 5 3 2 2 6" xfId="14827"/>
    <cellStyle name="Comma 2 5 3 2 3" xfId="14828"/>
    <cellStyle name="Comma 2 5 3 2 3 2" xfId="14829"/>
    <cellStyle name="Comma 2 5 3 2 3 2 2" xfId="14830"/>
    <cellStyle name="Comma 2 5 3 2 3 3" xfId="14831"/>
    <cellStyle name="Comma 2 5 3 2 3 4" xfId="14832"/>
    <cellStyle name="Comma 2 5 3 2 3 5" xfId="14833"/>
    <cellStyle name="Comma 2 5 3 2 4" xfId="14834"/>
    <cellStyle name="Comma 2 5 3 2 4 2" xfId="14835"/>
    <cellStyle name="Comma 2 5 3 2 4 3" xfId="14836"/>
    <cellStyle name="Comma 2 5 3 2 4 4" xfId="14837"/>
    <cellStyle name="Comma 2 5 3 2 5" xfId="14838"/>
    <cellStyle name="Comma 2 5 3 2 5 2" xfId="14839"/>
    <cellStyle name="Comma 2 5 3 2 6" xfId="14840"/>
    <cellStyle name="Comma 2 5 3 2 7" xfId="14841"/>
    <cellStyle name="Comma 2 5 3 2 8" xfId="14842"/>
    <cellStyle name="Comma 2 5 3 2 9" xfId="14843"/>
    <cellStyle name="Comma 2 5 3 3" xfId="14844"/>
    <cellStyle name="Comma 2 5 3 3 2" xfId="14845"/>
    <cellStyle name="Comma 2 5 3 3 2 2" xfId="14846"/>
    <cellStyle name="Comma 2 5 3 3 2 2 2" xfId="14847"/>
    <cellStyle name="Comma 2 5 3 3 2 2 3" xfId="14848"/>
    <cellStyle name="Comma 2 5 3 3 2 3" xfId="14849"/>
    <cellStyle name="Comma 2 5 3 3 2 4" xfId="14850"/>
    <cellStyle name="Comma 2 5 3 3 2 5" xfId="14851"/>
    <cellStyle name="Comma 2 5 3 3 2 6" xfId="14852"/>
    <cellStyle name="Comma 2 5 3 3 3" xfId="14853"/>
    <cellStyle name="Comma 2 5 3 3 3 2" xfId="14854"/>
    <cellStyle name="Comma 2 5 3 3 3 2 2" xfId="14855"/>
    <cellStyle name="Comma 2 5 3 3 3 3" xfId="14856"/>
    <cellStyle name="Comma 2 5 3 3 3 4" xfId="14857"/>
    <cellStyle name="Comma 2 5 3 3 3 5" xfId="14858"/>
    <cellStyle name="Comma 2 5 3 3 4" xfId="14859"/>
    <cellStyle name="Comma 2 5 3 3 4 2" xfId="14860"/>
    <cellStyle name="Comma 2 5 3 3 4 3" xfId="14861"/>
    <cellStyle name="Comma 2 5 3 3 4 4" xfId="14862"/>
    <cellStyle name="Comma 2 5 3 3 5" xfId="14863"/>
    <cellStyle name="Comma 2 5 3 3 5 2" xfId="14864"/>
    <cellStyle name="Comma 2 5 3 3 6" xfId="14865"/>
    <cellStyle name="Comma 2 5 3 3 7" xfId="14866"/>
    <cellStyle name="Comma 2 5 3 3 8" xfId="14867"/>
    <cellStyle name="Comma 2 5 3 3 9" xfId="14868"/>
    <cellStyle name="Comma 2 5 3 4" xfId="14869"/>
    <cellStyle name="Comma 2 5 3 4 2" xfId="14870"/>
    <cellStyle name="Comma 2 5 3 4 2 2" xfId="14871"/>
    <cellStyle name="Comma 2 5 3 4 2 3" xfId="14872"/>
    <cellStyle name="Comma 2 5 3 4 3" xfId="14873"/>
    <cellStyle name="Comma 2 5 3 4 4" xfId="14874"/>
    <cellStyle name="Comma 2 5 3 4 5" xfId="14875"/>
    <cellStyle name="Comma 2 5 3 4 6" xfId="14876"/>
    <cellStyle name="Comma 2 5 3 5" xfId="14877"/>
    <cellStyle name="Comma 2 5 3 5 2" xfId="14878"/>
    <cellStyle name="Comma 2 5 3 5 2 2" xfId="14879"/>
    <cellStyle name="Comma 2 5 3 5 3" xfId="14880"/>
    <cellStyle name="Comma 2 5 3 5 4" xfId="14881"/>
    <cellStyle name="Comma 2 5 3 5 5" xfId="14882"/>
    <cellStyle name="Comma 2 5 3 6" xfId="14883"/>
    <cellStyle name="Comma 2 5 3 6 2" xfId="14884"/>
    <cellStyle name="Comma 2 5 3 6 3" xfId="14885"/>
    <cellStyle name="Comma 2 5 3 6 4" xfId="14886"/>
    <cellStyle name="Comma 2 5 3 7" xfId="14887"/>
    <cellStyle name="Comma 2 5 3 7 2" xfId="14888"/>
    <cellStyle name="Comma 2 5 3 8" xfId="14889"/>
    <cellStyle name="Comma 2 5 3 9" xfId="14890"/>
    <cellStyle name="Comma 2 5 4" xfId="14891"/>
    <cellStyle name="Comma 2 5 4 10" xfId="14892"/>
    <cellStyle name="Comma 2 5 4 11" xfId="14893"/>
    <cellStyle name="Comma 2 5 4 2" xfId="14894"/>
    <cellStyle name="Comma 2 5 4 2 2" xfId="14895"/>
    <cellStyle name="Comma 2 5 4 2 2 2" xfId="14896"/>
    <cellStyle name="Comma 2 5 4 2 2 2 2" xfId="14897"/>
    <cellStyle name="Comma 2 5 4 2 2 2 3" xfId="14898"/>
    <cellStyle name="Comma 2 5 4 2 2 3" xfId="14899"/>
    <cellStyle name="Comma 2 5 4 2 2 4" xfId="14900"/>
    <cellStyle name="Comma 2 5 4 2 2 5" xfId="14901"/>
    <cellStyle name="Comma 2 5 4 2 2 6" xfId="14902"/>
    <cellStyle name="Comma 2 5 4 2 3" xfId="14903"/>
    <cellStyle name="Comma 2 5 4 2 3 2" xfId="14904"/>
    <cellStyle name="Comma 2 5 4 2 3 2 2" xfId="14905"/>
    <cellStyle name="Comma 2 5 4 2 3 3" xfId="14906"/>
    <cellStyle name="Comma 2 5 4 2 3 4" xfId="14907"/>
    <cellStyle name="Comma 2 5 4 2 3 5" xfId="14908"/>
    <cellStyle name="Comma 2 5 4 2 4" xfId="14909"/>
    <cellStyle name="Comma 2 5 4 2 4 2" xfId="14910"/>
    <cellStyle name="Comma 2 5 4 2 4 3" xfId="14911"/>
    <cellStyle name="Comma 2 5 4 2 4 4" xfId="14912"/>
    <cellStyle name="Comma 2 5 4 2 5" xfId="14913"/>
    <cellStyle name="Comma 2 5 4 2 5 2" xfId="14914"/>
    <cellStyle name="Comma 2 5 4 2 6" xfId="14915"/>
    <cellStyle name="Comma 2 5 4 2 7" xfId="14916"/>
    <cellStyle name="Comma 2 5 4 2 8" xfId="14917"/>
    <cellStyle name="Comma 2 5 4 2 9" xfId="14918"/>
    <cellStyle name="Comma 2 5 4 3" xfId="14919"/>
    <cellStyle name="Comma 2 5 4 3 2" xfId="14920"/>
    <cellStyle name="Comma 2 5 4 3 2 2" xfId="14921"/>
    <cellStyle name="Comma 2 5 4 3 2 2 2" xfId="14922"/>
    <cellStyle name="Comma 2 5 4 3 2 2 3" xfId="14923"/>
    <cellStyle name="Comma 2 5 4 3 2 3" xfId="14924"/>
    <cellStyle name="Comma 2 5 4 3 2 4" xfId="14925"/>
    <cellStyle name="Comma 2 5 4 3 2 5" xfId="14926"/>
    <cellStyle name="Comma 2 5 4 3 2 6" xfId="14927"/>
    <cellStyle name="Comma 2 5 4 3 3" xfId="14928"/>
    <cellStyle name="Comma 2 5 4 3 3 2" xfId="14929"/>
    <cellStyle name="Comma 2 5 4 3 3 2 2" xfId="14930"/>
    <cellStyle name="Comma 2 5 4 3 3 3" xfId="14931"/>
    <cellStyle name="Comma 2 5 4 3 3 4" xfId="14932"/>
    <cellStyle name="Comma 2 5 4 3 3 5" xfId="14933"/>
    <cellStyle name="Comma 2 5 4 3 4" xfId="14934"/>
    <cellStyle name="Comma 2 5 4 3 4 2" xfId="14935"/>
    <cellStyle name="Comma 2 5 4 3 4 3" xfId="14936"/>
    <cellStyle name="Comma 2 5 4 3 4 4" xfId="14937"/>
    <cellStyle name="Comma 2 5 4 3 5" xfId="14938"/>
    <cellStyle name="Comma 2 5 4 3 5 2" xfId="14939"/>
    <cellStyle name="Comma 2 5 4 3 6" xfId="14940"/>
    <cellStyle name="Comma 2 5 4 3 7" xfId="14941"/>
    <cellStyle name="Comma 2 5 4 3 8" xfId="14942"/>
    <cellStyle name="Comma 2 5 4 3 9" xfId="14943"/>
    <cellStyle name="Comma 2 5 4 4" xfId="14944"/>
    <cellStyle name="Comma 2 5 4 4 2" xfId="14945"/>
    <cellStyle name="Comma 2 5 4 4 2 2" xfId="14946"/>
    <cellStyle name="Comma 2 5 4 4 2 3" xfId="14947"/>
    <cellStyle name="Comma 2 5 4 4 3" xfId="14948"/>
    <cellStyle name="Comma 2 5 4 4 4" xfId="14949"/>
    <cellStyle name="Comma 2 5 4 4 5" xfId="14950"/>
    <cellStyle name="Comma 2 5 4 4 6" xfId="14951"/>
    <cellStyle name="Comma 2 5 4 5" xfId="14952"/>
    <cellStyle name="Comma 2 5 4 5 2" xfId="14953"/>
    <cellStyle name="Comma 2 5 4 5 2 2" xfId="14954"/>
    <cellStyle name="Comma 2 5 4 5 3" xfId="14955"/>
    <cellStyle name="Comma 2 5 4 5 4" xfId="14956"/>
    <cellStyle name="Comma 2 5 4 5 5" xfId="14957"/>
    <cellStyle name="Comma 2 5 4 6" xfId="14958"/>
    <cellStyle name="Comma 2 5 4 6 2" xfId="14959"/>
    <cellStyle name="Comma 2 5 4 6 3" xfId="14960"/>
    <cellStyle name="Comma 2 5 4 6 4" xfId="14961"/>
    <cellStyle name="Comma 2 5 4 7" xfId="14962"/>
    <cellStyle name="Comma 2 5 4 7 2" xfId="14963"/>
    <cellStyle name="Comma 2 5 4 8" xfId="14964"/>
    <cellStyle name="Comma 2 5 4 9" xfId="14965"/>
    <cellStyle name="Comma 2 5 5" xfId="14966"/>
    <cellStyle name="Comma 2 5 5 10" xfId="14967"/>
    <cellStyle name="Comma 2 5 5 11" xfId="14968"/>
    <cellStyle name="Comma 2 5 5 2" xfId="14969"/>
    <cellStyle name="Comma 2 5 5 2 2" xfId="14970"/>
    <cellStyle name="Comma 2 5 5 2 2 2" xfId="14971"/>
    <cellStyle name="Comma 2 5 5 2 2 2 2" xfId="14972"/>
    <cellStyle name="Comma 2 5 5 2 2 2 3" xfId="14973"/>
    <cellStyle name="Comma 2 5 5 2 2 3" xfId="14974"/>
    <cellStyle name="Comma 2 5 5 2 2 4" xfId="14975"/>
    <cellStyle name="Comma 2 5 5 2 2 5" xfId="14976"/>
    <cellStyle name="Comma 2 5 5 2 2 6" xfId="14977"/>
    <cellStyle name="Comma 2 5 5 2 3" xfId="14978"/>
    <cellStyle name="Comma 2 5 5 2 3 2" xfId="14979"/>
    <cellStyle name="Comma 2 5 5 2 3 2 2" xfId="14980"/>
    <cellStyle name="Comma 2 5 5 2 3 3" xfId="14981"/>
    <cellStyle name="Comma 2 5 5 2 3 4" xfId="14982"/>
    <cellStyle name="Comma 2 5 5 2 3 5" xfId="14983"/>
    <cellStyle name="Comma 2 5 5 2 4" xfId="14984"/>
    <cellStyle name="Comma 2 5 5 2 4 2" xfId="14985"/>
    <cellStyle name="Comma 2 5 5 2 4 3" xfId="14986"/>
    <cellStyle name="Comma 2 5 5 2 4 4" xfId="14987"/>
    <cellStyle name="Comma 2 5 5 2 5" xfId="14988"/>
    <cellStyle name="Comma 2 5 5 2 5 2" xfId="14989"/>
    <cellStyle name="Comma 2 5 5 2 6" xfId="14990"/>
    <cellStyle name="Comma 2 5 5 2 7" xfId="14991"/>
    <cellStyle name="Comma 2 5 5 2 8" xfId="14992"/>
    <cellStyle name="Comma 2 5 5 2 9" xfId="14993"/>
    <cellStyle name="Comma 2 5 5 3" xfId="14994"/>
    <cellStyle name="Comma 2 5 5 3 2" xfId="14995"/>
    <cellStyle name="Comma 2 5 5 3 2 2" xfId="14996"/>
    <cellStyle name="Comma 2 5 5 3 2 2 2" xfId="14997"/>
    <cellStyle name="Comma 2 5 5 3 2 2 3" xfId="14998"/>
    <cellStyle name="Comma 2 5 5 3 2 3" xfId="14999"/>
    <cellStyle name="Comma 2 5 5 3 2 4" xfId="15000"/>
    <cellStyle name="Comma 2 5 5 3 2 5" xfId="15001"/>
    <cellStyle name="Comma 2 5 5 3 2 6" xfId="15002"/>
    <cellStyle name="Comma 2 5 5 3 3" xfId="15003"/>
    <cellStyle name="Comma 2 5 5 3 3 2" xfId="15004"/>
    <cellStyle name="Comma 2 5 5 3 3 2 2" xfId="15005"/>
    <cellStyle name="Comma 2 5 5 3 3 3" xfId="15006"/>
    <cellStyle name="Comma 2 5 5 3 3 4" xfId="15007"/>
    <cellStyle name="Comma 2 5 5 3 3 5" xfId="15008"/>
    <cellStyle name="Comma 2 5 5 3 4" xfId="15009"/>
    <cellStyle name="Comma 2 5 5 3 4 2" xfId="15010"/>
    <cellStyle name="Comma 2 5 5 3 4 3" xfId="15011"/>
    <cellStyle name="Comma 2 5 5 3 4 4" xfId="15012"/>
    <cellStyle name="Comma 2 5 5 3 5" xfId="15013"/>
    <cellStyle name="Comma 2 5 5 3 5 2" xfId="15014"/>
    <cellStyle name="Comma 2 5 5 3 6" xfId="15015"/>
    <cellStyle name="Comma 2 5 5 3 7" xfId="15016"/>
    <cellStyle name="Comma 2 5 5 3 8" xfId="15017"/>
    <cellStyle name="Comma 2 5 5 3 9" xfId="15018"/>
    <cellStyle name="Comma 2 5 5 4" xfId="15019"/>
    <cellStyle name="Comma 2 5 5 4 2" xfId="15020"/>
    <cellStyle name="Comma 2 5 5 4 2 2" xfId="15021"/>
    <cellStyle name="Comma 2 5 5 4 2 3" xfId="15022"/>
    <cellStyle name="Comma 2 5 5 4 3" xfId="15023"/>
    <cellStyle name="Comma 2 5 5 4 4" xfId="15024"/>
    <cellStyle name="Comma 2 5 5 4 5" xfId="15025"/>
    <cellStyle name="Comma 2 5 5 4 6" xfId="15026"/>
    <cellStyle name="Comma 2 5 5 5" xfId="15027"/>
    <cellStyle name="Comma 2 5 5 5 2" xfId="15028"/>
    <cellStyle name="Comma 2 5 5 5 2 2" xfId="15029"/>
    <cellStyle name="Comma 2 5 5 5 3" xfId="15030"/>
    <cellStyle name="Comma 2 5 5 5 4" xfId="15031"/>
    <cellStyle name="Comma 2 5 5 5 5" xfId="15032"/>
    <cellStyle name="Comma 2 5 5 6" xfId="15033"/>
    <cellStyle name="Comma 2 5 5 6 2" xfId="15034"/>
    <cellStyle name="Comma 2 5 5 6 3" xfId="15035"/>
    <cellStyle name="Comma 2 5 5 6 4" xfId="15036"/>
    <cellStyle name="Comma 2 5 5 7" xfId="15037"/>
    <cellStyle name="Comma 2 5 5 7 2" xfId="15038"/>
    <cellStyle name="Comma 2 5 5 8" xfId="15039"/>
    <cellStyle name="Comma 2 5 5 9" xfId="15040"/>
    <cellStyle name="Comma 2 5 6" xfId="15041"/>
    <cellStyle name="Comma 2 5 6 10" xfId="15042"/>
    <cellStyle name="Comma 2 5 6 11" xfId="15043"/>
    <cellStyle name="Comma 2 5 6 2" xfId="15044"/>
    <cellStyle name="Comma 2 5 6 2 2" xfId="15045"/>
    <cellStyle name="Comma 2 5 6 2 2 2" xfId="15046"/>
    <cellStyle name="Comma 2 5 6 2 2 2 2" xfId="15047"/>
    <cellStyle name="Comma 2 5 6 2 2 2 3" xfId="15048"/>
    <cellStyle name="Comma 2 5 6 2 2 3" xfId="15049"/>
    <cellStyle name="Comma 2 5 6 2 2 4" xfId="15050"/>
    <cellStyle name="Comma 2 5 6 2 2 5" xfId="15051"/>
    <cellStyle name="Comma 2 5 6 2 2 6" xfId="15052"/>
    <cellStyle name="Comma 2 5 6 2 3" xfId="15053"/>
    <cellStyle name="Comma 2 5 6 2 3 2" xfId="15054"/>
    <cellStyle name="Comma 2 5 6 2 3 2 2" xfId="15055"/>
    <cellStyle name="Comma 2 5 6 2 3 3" xfId="15056"/>
    <cellStyle name="Comma 2 5 6 2 3 4" xfId="15057"/>
    <cellStyle name="Comma 2 5 6 2 3 5" xfId="15058"/>
    <cellStyle name="Comma 2 5 6 2 4" xfId="15059"/>
    <cellStyle name="Comma 2 5 6 2 4 2" xfId="15060"/>
    <cellStyle name="Comma 2 5 6 2 4 3" xfId="15061"/>
    <cellStyle name="Comma 2 5 6 2 4 4" xfId="15062"/>
    <cellStyle name="Comma 2 5 6 2 5" xfId="15063"/>
    <cellStyle name="Comma 2 5 6 2 5 2" xfId="15064"/>
    <cellStyle name="Comma 2 5 6 2 6" xfId="15065"/>
    <cellStyle name="Comma 2 5 6 2 7" xfId="15066"/>
    <cellStyle name="Comma 2 5 6 2 8" xfId="15067"/>
    <cellStyle name="Comma 2 5 6 2 9" xfId="15068"/>
    <cellStyle name="Comma 2 5 6 3" xfId="15069"/>
    <cellStyle name="Comma 2 5 6 3 2" xfId="15070"/>
    <cellStyle name="Comma 2 5 6 3 2 2" xfId="15071"/>
    <cellStyle name="Comma 2 5 6 3 2 2 2" xfId="15072"/>
    <cellStyle name="Comma 2 5 6 3 2 2 3" xfId="15073"/>
    <cellStyle name="Comma 2 5 6 3 2 3" xfId="15074"/>
    <cellStyle name="Comma 2 5 6 3 2 4" xfId="15075"/>
    <cellStyle name="Comma 2 5 6 3 2 5" xfId="15076"/>
    <cellStyle name="Comma 2 5 6 3 2 6" xfId="15077"/>
    <cellStyle name="Comma 2 5 6 3 3" xfId="15078"/>
    <cellStyle name="Comma 2 5 6 3 3 2" xfId="15079"/>
    <cellStyle name="Comma 2 5 6 3 3 2 2" xfId="15080"/>
    <cellStyle name="Comma 2 5 6 3 3 3" xfId="15081"/>
    <cellStyle name="Comma 2 5 6 3 3 4" xfId="15082"/>
    <cellStyle name="Comma 2 5 6 3 3 5" xfId="15083"/>
    <cellStyle name="Comma 2 5 6 3 4" xfId="15084"/>
    <cellStyle name="Comma 2 5 6 3 4 2" xfId="15085"/>
    <cellStyle name="Comma 2 5 6 3 4 3" xfId="15086"/>
    <cellStyle name="Comma 2 5 6 3 4 4" xfId="15087"/>
    <cellStyle name="Comma 2 5 6 3 5" xfId="15088"/>
    <cellStyle name="Comma 2 5 6 3 5 2" xfId="15089"/>
    <cellStyle name="Comma 2 5 6 3 6" xfId="15090"/>
    <cellStyle name="Comma 2 5 6 3 7" xfId="15091"/>
    <cellStyle name="Comma 2 5 6 3 8" xfId="15092"/>
    <cellStyle name="Comma 2 5 6 3 9" xfId="15093"/>
    <cellStyle name="Comma 2 5 6 4" xfId="15094"/>
    <cellStyle name="Comma 2 5 6 4 2" xfId="15095"/>
    <cellStyle name="Comma 2 5 6 4 2 2" xfId="15096"/>
    <cellStyle name="Comma 2 5 6 4 2 3" xfId="15097"/>
    <cellStyle name="Comma 2 5 6 4 3" xfId="15098"/>
    <cellStyle name="Comma 2 5 6 4 4" xfId="15099"/>
    <cellStyle name="Comma 2 5 6 4 5" xfId="15100"/>
    <cellStyle name="Comma 2 5 6 4 6" xfId="15101"/>
    <cellStyle name="Comma 2 5 6 5" xfId="15102"/>
    <cellStyle name="Comma 2 5 6 5 2" xfId="15103"/>
    <cellStyle name="Comma 2 5 6 5 2 2" xfId="15104"/>
    <cellStyle name="Comma 2 5 6 5 3" xfId="15105"/>
    <cellStyle name="Comma 2 5 6 5 4" xfId="15106"/>
    <cellStyle name="Comma 2 5 6 5 5" xfId="15107"/>
    <cellStyle name="Comma 2 5 6 6" xfId="15108"/>
    <cellStyle name="Comma 2 5 6 6 2" xfId="15109"/>
    <cellStyle name="Comma 2 5 6 6 3" xfId="15110"/>
    <cellStyle name="Comma 2 5 6 6 4" xfId="15111"/>
    <cellStyle name="Comma 2 5 6 7" xfId="15112"/>
    <cellStyle name="Comma 2 5 6 7 2" xfId="15113"/>
    <cellStyle name="Comma 2 5 6 8" xfId="15114"/>
    <cellStyle name="Comma 2 5 6 9" xfId="15115"/>
    <cellStyle name="Comma 2 5 7" xfId="15116"/>
    <cellStyle name="Comma 2 5 7 10" xfId="15117"/>
    <cellStyle name="Comma 2 5 7 11" xfId="15118"/>
    <cellStyle name="Comma 2 5 7 2" xfId="15119"/>
    <cellStyle name="Comma 2 5 7 2 2" xfId="15120"/>
    <cellStyle name="Comma 2 5 7 2 2 2" xfId="15121"/>
    <cellStyle name="Comma 2 5 7 2 2 2 2" xfId="15122"/>
    <cellStyle name="Comma 2 5 7 2 2 2 3" xfId="15123"/>
    <cellStyle name="Comma 2 5 7 2 2 3" xfId="15124"/>
    <cellStyle name="Comma 2 5 7 2 2 4" xfId="15125"/>
    <cellStyle name="Comma 2 5 7 2 2 5" xfId="15126"/>
    <cellStyle name="Comma 2 5 7 2 2 6" xfId="15127"/>
    <cellStyle name="Comma 2 5 7 2 3" xfId="15128"/>
    <cellStyle name="Comma 2 5 7 2 3 2" xfId="15129"/>
    <cellStyle name="Comma 2 5 7 2 3 2 2" xfId="15130"/>
    <cellStyle name="Comma 2 5 7 2 3 3" xfId="15131"/>
    <cellStyle name="Comma 2 5 7 2 3 4" xfId="15132"/>
    <cellStyle name="Comma 2 5 7 2 3 5" xfId="15133"/>
    <cellStyle name="Comma 2 5 7 2 4" xfId="15134"/>
    <cellStyle name="Comma 2 5 7 2 4 2" xfId="15135"/>
    <cellStyle name="Comma 2 5 7 2 4 3" xfId="15136"/>
    <cellStyle name="Comma 2 5 7 2 4 4" xfId="15137"/>
    <cellStyle name="Comma 2 5 7 2 5" xfId="15138"/>
    <cellStyle name="Comma 2 5 7 2 5 2" xfId="15139"/>
    <cellStyle name="Comma 2 5 7 2 6" xfId="15140"/>
    <cellStyle name="Comma 2 5 7 2 7" xfId="15141"/>
    <cellStyle name="Comma 2 5 7 2 8" xfId="15142"/>
    <cellStyle name="Comma 2 5 7 2 9" xfId="15143"/>
    <cellStyle name="Comma 2 5 7 3" xfId="15144"/>
    <cellStyle name="Comma 2 5 7 3 2" xfId="15145"/>
    <cellStyle name="Comma 2 5 7 3 2 2" xfId="15146"/>
    <cellStyle name="Comma 2 5 7 3 2 2 2" xfId="15147"/>
    <cellStyle name="Comma 2 5 7 3 2 2 3" xfId="15148"/>
    <cellStyle name="Comma 2 5 7 3 2 3" xfId="15149"/>
    <cellStyle name="Comma 2 5 7 3 2 4" xfId="15150"/>
    <cellStyle name="Comma 2 5 7 3 2 5" xfId="15151"/>
    <cellStyle name="Comma 2 5 7 3 2 6" xfId="15152"/>
    <cellStyle name="Comma 2 5 7 3 3" xfId="15153"/>
    <cellStyle name="Comma 2 5 7 3 3 2" xfId="15154"/>
    <cellStyle name="Comma 2 5 7 3 3 2 2" xfId="15155"/>
    <cellStyle name="Comma 2 5 7 3 3 3" xfId="15156"/>
    <cellStyle name="Comma 2 5 7 3 3 4" xfId="15157"/>
    <cellStyle name="Comma 2 5 7 3 3 5" xfId="15158"/>
    <cellStyle name="Comma 2 5 7 3 4" xfId="15159"/>
    <cellStyle name="Comma 2 5 7 3 4 2" xfId="15160"/>
    <cellStyle name="Comma 2 5 7 3 4 3" xfId="15161"/>
    <cellStyle name="Comma 2 5 7 3 4 4" xfId="15162"/>
    <cellStyle name="Comma 2 5 7 3 5" xfId="15163"/>
    <cellStyle name="Comma 2 5 7 3 5 2" xfId="15164"/>
    <cellStyle name="Comma 2 5 7 3 6" xfId="15165"/>
    <cellStyle name="Comma 2 5 7 3 7" xfId="15166"/>
    <cellStyle name="Comma 2 5 7 3 8" xfId="15167"/>
    <cellStyle name="Comma 2 5 7 3 9" xfId="15168"/>
    <cellStyle name="Comma 2 5 7 4" xfId="15169"/>
    <cellStyle name="Comma 2 5 7 4 2" xfId="15170"/>
    <cellStyle name="Comma 2 5 7 4 2 2" xfId="15171"/>
    <cellStyle name="Comma 2 5 7 4 2 3" xfId="15172"/>
    <cellStyle name="Comma 2 5 7 4 3" xfId="15173"/>
    <cellStyle name="Comma 2 5 7 4 4" xfId="15174"/>
    <cellStyle name="Comma 2 5 7 4 5" xfId="15175"/>
    <cellStyle name="Comma 2 5 7 4 6" xfId="15176"/>
    <cellStyle name="Comma 2 5 7 5" xfId="15177"/>
    <cellStyle name="Comma 2 5 7 5 2" xfId="15178"/>
    <cellStyle name="Comma 2 5 7 5 2 2" xfId="15179"/>
    <cellStyle name="Comma 2 5 7 5 3" xfId="15180"/>
    <cellStyle name="Comma 2 5 7 5 4" xfId="15181"/>
    <cellStyle name="Comma 2 5 7 5 5" xfId="15182"/>
    <cellStyle name="Comma 2 5 7 6" xfId="15183"/>
    <cellStyle name="Comma 2 5 7 6 2" xfId="15184"/>
    <cellStyle name="Comma 2 5 7 6 3" xfId="15185"/>
    <cellStyle name="Comma 2 5 7 6 4" xfId="15186"/>
    <cellStyle name="Comma 2 5 7 7" xfId="15187"/>
    <cellStyle name="Comma 2 5 7 7 2" xfId="15188"/>
    <cellStyle name="Comma 2 5 7 8" xfId="15189"/>
    <cellStyle name="Comma 2 5 7 9" xfId="15190"/>
    <cellStyle name="Comma 2 5 8" xfId="15191"/>
    <cellStyle name="Comma 2 5 8 10" xfId="15192"/>
    <cellStyle name="Comma 2 5 8 2" xfId="15193"/>
    <cellStyle name="Comma 2 5 8 2 2" xfId="15194"/>
    <cellStyle name="Comma 2 5 8 2 2 2" xfId="15195"/>
    <cellStyle name="Comma 2 5 8 2 2 3" xfId="15196"/>
    <cellStyle name="Comma 2 5 8 2 3" xfId="15197"/>
    <cellStyle name="Comma 2 5 8 2 4" xfId="15198"/>
    <cellStyle name="Comma 2 5 8 2 5" xfId="15199"/>
    <cellStyle name="Comma 2 5 8 2 6" xfId="15200"/>
    <cellStyle name="Comma 2 5 8 3" xfId="15201"/>
    <cellStyle name="Comma 2 5 8 3 2" xfId="15202"/>
    <cellStyle name="Comma 2 5 8 3 2 2" xfId="15203"/>
    <cellStyle name="Comma 2 5 8 3 2 3" xfId="15204"/>
    <cellStyle name="Comma 2 5 8 3 3" xfId="15205"/>
    <cellStyle name="Comma 2 5 8 3 4" xfId="15206"/>
    <cellStyle name="Comma 2 5 8 3 5" xfId="15207"/>
    <cellStyle name="Comma 2 5 8 3 6" xfId="15208"/>
    <cellStyle name="Comma 2 5 8 4" xfId="15209"/>
    <cellStyle name="Comma 2 5 8 4 2" xfId="15210"/>
    <cellStyle name="Comma 2 5 8 4 2 2" xfId="15211"/>
    <cellStyle name="Comma 2 5 8 4 3" xfId="15212"/>
    <cellStyle name="Comma 2 5 8 4 4" xfId="15213"/>
    <cellStyle name="Comma 2 5 8 4 5" xfId="15214"/>
    <cellStyle name="Comma 2 5 8 5" xfId="15215"/>
    <cellStyle name="Comma 2 5 8 5 2" xfId="15216"/>
    <cellStyle name="Comma 2 5 8 5 3" xfId="15217"/>
    <cellStyle name="Comma 2 5 8 5 4" xfId="15218"/>
    <cellStyle name="Comma 2 5 8 6" xfId="15219"/>
    <cellStyle name="Comma 2 5 8 6 2" xfId="15220"/>
    <cellStyle name="Comma 2 5 8 7" xfId="15221"/>
    <cellStyle name="Comma 2 5 8 8" xfId="15222"/>
    <cellStyle name="Comma 2 5 8 9" xfId="15223"/>
    <cellStyle name="Comma 2 5 9" xfId="15224"/>
    <cellStyle name="Comma 2 5 9 10" xfId="15225"/>
    <cellStyle name="Comma 2 5 9 2" xfId="15226"/>
    <cellStyle name="Comma 2 5 9 2 2" xfId="15227"/>
    <cellStyle name="Comma 2 5 9 2 2 2" xfId="15228"/>
    <cellStyle name="Comma 2 5 9 2 2 3" xfId="15229"/>
    <cellStyle name="Comma 2 5 9 2 3" xfId="15230"/>
    <cellStyle name="Comma 2 5 9 2 4" xfId="15231"/>
    <cellStyle name="Comma 2 5 9 2 5" xfId="15232"/>
    <cellStyle name="Comma 2 5 9 2 6" xfId="15233"/>
    <cellStyle name="Comma 2 5 9 3" xfId="15234"/>
    <cellStyle name="Comma 2 5 9 3 2" xfId="15235"/>
    <cellStyle name="Comma 2 5 9 3 2 2" xfId="15236"/>
    <cellStyle name="Comma 2 5 9 3 2 3" xfId="15237"/>
    <cellStyle name="Comma 2 5 9 3 3" xfId="15238"/>
    <cellStyle name="Comma 2 5 9 3 4" xfId="15239"/>
    <cellStyle name="Comma 2 5 9 3 5" xfId="15240"/>
    <cellStyle name="Comma 2 5 9 3 6" xfId="15241"/>
    <cellStyle name="Comma 2 5 9 4" xfId="15242"/>
    <cellStyle name="Comma 2 5 9 4 2" xfId="15243"/>
    <cellStyle name="Comma 2 5 9 4 2 2" xfId="15244"/>
    <cellStyle name="Comma 2 5 9 4 3" xfId="15245"/>
    <cellStyle name="Comma 2 5 9 4 4" xfId="15246"/>
    <cellStyle name="Comma 2 5 9 4 5" xfId="15247"/>
    <cellStyle name="Comma 2 5 9 5" xfId="15248"/>
    <cellStyle name="Comma 2 5 9 5 2" xfId="15249"/>
    <cellStyle name="Comma 2 5 9 5 3" xfId="15250"/>
    <cellStyle name="Comma 2 5 9 5 4" xfId="15251"/>
    <cellStyle name="Comma 2 5 9 6" xfId="15252"/>
    <cellStyle name="Comma 2 5 9 6 2" xfId="15253"/>
    <cellStyle name="Comma 2 5 9 7" xfId="15254"/>
    <cellStyle name="Comma 2 5 9 8" xfId="15255"/>
    <cellStyle name="Comma 2 5 9 9" xfId="15256"/>
    <cellStyle name="Comma 2 50" xfId="15257"/>
    <cellStyle name="Comma 2 50 2" xfId="15258"/>
    <cellStyle name="Comma 2 50 2 2" xfId="15259"/>
    <cellStyle name="Comma 2 50 3" xfId="15260"/>
    <cellStyle name="Comma 2 50 4" xfId="15261"/>
    <cellStyle name="Comma 2 50 5" xfId="15262"/>
    <cellStyle name="Comma 2 50 6" xfId="15263"/>
    <cellStyle name="Comma 2 50 7" xfId="15264"/>
    <cellStyle name="Comma 2 51" xfId="15265"/>
    <cellStyle name="Comma 2 51 2" xfId="15266"/>
    <cellStyle name="Comma 2 51 2 2" xfId="15267"/>
    <cellStyle name="Comma 2 51 3" xfId="15268"/>
    <cellStyle name="Comma 2 51 4" xfId="15269"/>
    <cellStyle name="Comma 2 51 5" xfId="15270"/>
    <cellStyle name="Comma 2 51 6" xfId="15271"/>
    <cellStyle name="Comma 2 51 7" xfId="15272"/>
    <cellStyle name="Comma 2 52" xfId="15273"/>
    <cellStyle name="Comma 2 52 2" xfId="15274"/>
    <cellStyle name="Comma 2 52 2 2" xfId="15275"/>
    <cellStyle name="Comma 2 52 3" xfId="15276"/>
    <cellStyle name="Comma 2 52 4" xfId="15277"/>
    <cellStyle name="Comma 2 52 5" xfId="15278"/>
    <cellStyle name="Comma 2 52 6" xfId="15279"/>
    <cellStyle name="Comma 2 52 7" xfId="15280"/>
    <cellStyle name="Comma 2 53" xfId="15281"/>
    <cellStyle name="Comma 2 53 2" xfId="15282"/>
    <cellStyle name="Comma 2 53 2 2" xfId="15283"/>
    <cellStyle name="Comma 2 53 3" xfId="15284"/>
    <cellStyle name="Comma 2 53 4" xfId="15285"/>
    <cellStyle name="Comma 2 53 5" xfId="15286"/>
    <cellStyle name="Comma 2 53 6" xfId="15287"/>
    <cellStyle name="Comma 2 53 7" xfId="15288"/>
    <cellStyle name="Comma 2 54" xfId="15289"/>
    <cellStyle name="Comma 2 54 2" xfId="15290"/>
    <cellStyle name="Comma 2 54 2 2" xfId="15291"/>
    <cellStyle name="Comma 2 54 3" xfId="15292"/>
    <cellStyle name="Comma 2 54 4" xfId="15293"/>
    <cellStyle name="Comma 2 54 5" xfId="15294"/>
    <cellStyle name="Comma 2 54 6" xfId="15295"/>
    <cellStyle name="Comma 2 54 7" xfId="15296"/>
    <cellStyle name="Comma 2 55" xfId="15297"/>
    <cellStyle name="Comma 2 55 2" xfId="15298"/>
    <cellStyle name="Comma 2 55 2 2" xfId="15299"/>
    <cellStyle name="Comma 2 55 3" xfId="15300"/>
    <cellStyle name="Comma 2 55 4" xfId="15301"/>
    <cellStyle name="Comma 2 55 5" xfId="15302"/>
    <cellStyle name="Comma 2 55 6" xfId="15303"/>
    <cellStyle name="Comma 2 55 7" xfId="15304"/>
    <cellStyle name="Comma 2 56" xfId="15305"/>
    <cellStyle name="Comma 2 56 2" xfId="15306"/>
    <cellStyle name="Comma 2 57" xfId="15307"/>
    <cellStyle name="Comma 2 57 2" xfId="15308"/>
    <cellStyle name="Comma 2 58" xfId="15309"/>
    <cellStyle name="Comma 2 58 2" xfId="15310"/>
    <cellStyle name="Comma 2 59" xfId="15311"/>
    <cellStyle name="Comma 2 59 2" xfId="15312"/>
    <cellStyle name="Comma 2 6" xfId="15313"/>
    <cellStyle name="Comma 2 6 10" xfId="15314"/>
    <cellStyle name="Comma 2 6 10 10" xfId="15315"/>
    <cellStyle name="Comma 2 6 10 2" xfId="15316"/>
    <cellStyle name="Comma 2 6 10 2 2" xfId="15317"/>
    <cellStyle name="Comma 2 6 10 2 2 2" xfId="15318"/>
    <cellStyle name="Comma 2 6 10 2 2 3" xfId="15319"/>
    <cellStyle name="Comma 2 6 10 2 3" xfId="15320"/>
    <cellStyle name="Comma 2 6 10 2 4" xfId="15321"/>
    <cellStyle name="Comma 2 6 10 2 5" xfId="15322"/>
    <cellStyle name="Comma 2 6 10 2 6" xfId="15323"/>
    <cellStyle name="Comma 2 6 10 3" xfId="15324"/>
    <cellStyle name="Comma 2 6 10 3 2" xfId="15325"/>
    <cellStyle name="Comma 2 6 10 3 2 2" xfId="15326"/>
    <cellStyle name="Comma 2 6 10 3 2 3" xfId="15327"/>
    <cellStyle name="Comma 2 6 10 3 3" xfId="15328"/>
    <cellStyle name="Comma 2 6 10 3 4" xfId="15329"/>
    <cellStyle name="Comma 2 6 10 3 5" xfId="15330"/>
    <cellStyle name="Comma 2 6 10 3 6" xfId="15331"/>
    <cellStyle name="Comma 2 6 10 4" xfId="15332"/>
    <cellStyle name="Comma 2 6 10 4 2" xfId="15333"/>
    <cellStyle name="Comma 2 6 10 4 2 2" xfId="15334"/>
    <cellStyle name="Comma 2 6 10 4 3" xfId="15335"/>
    <cellStyle name="Comma 2 6 10 4 4" xfId="15336"/>
    <cellStyle name="Comma 2 6 10 4 5" xfId="15337"/>
    <cellStyle name="Comma 2 6 10 5" xfId="15338"/>
    <cellStyle name="Comma 2 6 10 5 2" xfId="15339"/>
    <cellStyle name="Comma 2 6 10 5 3" xfId="15340"/>
    <cellStyle name="Comma 2 6 10 5 4" xfId="15341"/>
    <cellStyle name="Comma 2 6 10 6" xfId="15342"/>
    <cellStyle name="Comma 2 6 10 6 2" xfId="15343"/>
    <cellStyle name="Comma 2 6 10 7" xfId="15344"/>
    <cellStyle name="Comma 2 6 10 8" xfId="15345"/>
    <cellStyle name="Comma 2 6 10 9" xfId="15346"/>
    <cellStyle name="Comma 2 6 11" xfId="15347"/>
    <cellStyle name="Comma 2 6 11 10" xfId="15348"/>
    <cellStyle name="Comma 2 6 11 2" xfId="15349"/>
    <cellStyle name="Comma 2 6 11 2 2" xfId="15350"/>
    <cellStyle name="Comma 2 6 11 2 2 2" xfId="15351"/>
    <cellStyle name="Comma 2 6 11 2 2 3" xfId="15352"/>
    <cellStyle name="Comma 2 6 11 2 3" xfId="15353"/>
    <cellStyle name="Comma 2 6 11 2 4" xfId="15354"/>
    <cellStyle name="Comma 2 6 11 2 5" xfId="15355"/>
    <cellStyle name="Comma 2 6 11 2 6" xfId="15356"/>
    <cellStyle name="Comma 2 6 11 3" xfId="15357"/>
    <cellStyle name="Comma 2 6 11 3 2" xfId="15358"/>
    <cellStyle name="Comma 2 6 11 3 2 2" xfId="15359"/>
    <cellStyle name="Comma 2 6 11 3 2 3" xfId="15360"/>
    <cellStyle name="Comma 2 6 11 3 3" xfId="15361"/>
    <cellStyle name="Comma 2 6 11 3 4" xfId="15362"/>
    <cellStyle name="Comma 2 6 11 3 5" xfId="15363"/>
    <cellStyle name="Comma 2 6 11 3 6" xfId="15364"/>
    <cellStyle name="Comma 2 6 11 4" xfId="15365"/>
    <cellStyle name="Comma 2 6 11 4 2" xfId="15366"/>
    <cellStyle name="Comma 2 6 11 4 2 2" xfId="15367"/>
    <cellStyle name="Comma 2 6 11 4 3" xfId="15368"/>
    <cellStyle name="Comma 2 6 11 4 4" xfId="15369"/>
    <cellStyle name="Comma 2 6 11 4 5" xfId="15370"/>
    <cellStyle name="Comma 2 6 11 5" xfId="15371"/>
    <cellStyle name="Comma 2 6 11 5 2" xfId="15372"/>
    <cellStyle name="Comma 2 6 11 5 3" xfId="15373"/>
    <cellStyle name="Comma 2 6 11 5 4" xfId="15374"/>
    <cellStyle name="Comma 2 6 11 6" xfId="15375"/>
    <cellStyle name="Comma 2 6 11 6 2" xfId="15376"/>
    <cellStyle name="Comma 2 6 11 7" xfId="15377"/>
    <cellStyle name="Comma 2 6 11 8" xfId="15378"/>
    <cellStyle name="Comma 2 6 11 9" xfId="15379"/>
    <cellStyle name="Comma 2 6 12" xfId="15380"/>
    <cellStyle name="Comma 2 6 12 10" xfId="15381"/>
    <cellStyle name="Comma 2 6 12 2" xfId="15382"/>
    <cellStyle name="Comma 2 6 12 2 2" xfId="15383"/>
    <cellStyle name="Comma 2 6 12 2 2 2" xfId="15384"/>
    <cellStyle name="Comma 2 6 12 2 2 3" xfId="15385"/>
    <cellStyle name="Comma 2 6 12 2 3" xfId="15386"/>
    <cellStyle name="Comma 2 6 12 2 4" xfId="15387"/>
    <cellStyle name="Comma 2 6 12 2 5" xfId="15388"/>
    <cellStyle name="Comma 2 6 12 2 6" xfId="15389"/>
    <cellStyle name="Comma 2 6 12 3" xfId="15390"/>
    <cellStyle name="Comma 2 6 12 3 2" xfId="15391"/>
    <cellStyle name="Comma 2 6 12 3 2 2" xfId="15392"/>
    <cellStyle name="Comma 2 6 12 3 2 3" xfId="15393"/>
    <cellStyle name="Comma 2 6 12 3 3" xfId="15394"/>
    <cellStyle name="Comma 2 6 12 3 4" xfId="15395"/>
    <cellStyle name="Comma 2 6 12 3 5" xfId="15396"/>
    <cellStyle name="Comma 2 6 12 3 6" xfId="15397"/>
    <cellStyle name="Comma 2 6 12 4" xfId="15398"/>
    <cellStyle name="Comma 2 6 12 4 2" xfId="15399"/>
    <cellStyle name="Comma 2 6 12 4 2 2" xfId="15400"/>
    <cellStyle name="Comma 2 6 12 4 3" xfId="15401"/>
    <cellStyle name="Comma 2 6 12 4 4" xfId="15402"/>
    <cellStyle name="Comma 2 6 12 4 5" xfId="15403"/>
    <cellStyle name="Comma 2 6 12 5" xfId="15404"/>
    <cellStyle name="Comma 2 6 12 5 2" xfId="15405"/>
    <cellStyle name="Comma 2 6 12 5 3" xfId="15406"/>
    <cellStyle name="Comma 2 6 12 5 4" xfId="15407"/>
    <cellStyle name="Comma 2 6 12 6" xfId="15408"/>
    <cellStyle name="Comma 2 6 12 6 2" xfId="15409"/>
    <cellStyle name="Comma 2 6 12 7" xfId="15410"/>
    <cellStyle name="Comma 2 6 12 8" xfId="15411"/>
    <cellStyle name="Comma 2 6 12 9" xfId="15412"/>
    <cellStyle name="Comma 2 6 13" xfId="15413"/>
    <cellStyle name="Comma 2 6 13 2" xfId="15414"/>
    <cellStyle name="Comma 2 6 13 2 2" xfId="15415"/>
    <cellStyle name="Comma 2 6 13 2 2 2" xfId="15416"/>
    <cellStyle name="Comma 2 6 13 2 2 3" xfId="15417"/>
    <cellStyle name="Comma 2 6 13 2 3" xfId="15418"/>
    <cellStyle name="Comma 2 6 13 2 4" xfId="15419"/>
    <cellStyle name="Comma 2 6 13 2 5" xfId="15420"/>
    <cellStyle name="Comma 2 6 13 2 6" xfId="15421"/>
    <cellStyle name="Comma 2 6 13 3" xfId="15422"/>
    <cellStyle name="Comma 2 6 13 3 2" xfId="15423"/>
    <cellStyle name="Comma 2 6 13 3 2 2" xfId="15424"/>
    <cellStyle name="Comma 2 6 13 3 3" xfId="15425"/>
    <cellStyle name="Comma 2 6 13 3 4" xfId="15426"/>
    <cellStyle name="Comma 2 6 13 3 5" xfId="15427"/>
    <cellStyle name="Comma 2 6 13 4" xfId="15428"/>
    <cellStyle name="Comma 2 6 13 4 2" xfId="15429"/>
    <cellStyle name="Comma 2 6 13 4 3" xfId="15430"/>
    <cellStyle name="Comma 2 6 13 4 4" xfId="15431"/>
    <cellStyle name="Comma 2 6 13 5" xfId="15432"/>
    <cellStyle name="Comma 2 6 13 5 2" xfId="15433"/>
    <cellStyle name="Comma 2 6 13 6" xfId="15434"/>
    <cellStyle name="Comma 2 6 13 7" xfId="15435"/>
    <cellStyle name="Comma 2 6 13 8" xfId="15436"/>
    <cellStyle name="Comma 2 6 13 9" xfId="15437"/>
    <cellStyle name="Comma 2 6 14" xfId="15438"/>
    <cellStyle name="Comma 2 6 14 2" xfId="15439"/>
    <cellStyle name="Comma 2 6 14 2 2" xfId="15440"/>
    <cellStyle name="Comma 2 6 14 2 2 2" xfId="15441"/>
    <cellStyle name="Comma 2 6 14 2 2 3" xfId="15442"/>
    <cellStyle name="Comma 2 6 14 2 3" xfId="15443"/>
    <cellStyle name="Comma 2 6 14 2 4" xfId="15444"/>
    <cellStyle name="Comma 2 6 14 2 5" xfId="15445"/>
    <cellStyle name="Comma 2 6 14 2 6" xfId="15446"/>
    <cellStyle name="Comma 2 6 14 3" xfId="15447"/>
    <cellStyle name="Comma 2 6 14 3 2" xfId="15448"/>
    <cellStyle name="Comma 2 6 14 3 2 2" xfId="15449"/>
    <cellStyle name="Comma 2 6 14 3 3" xfId="15450"/>
    <cellStyle name="Comma 2 6 14 3 4" xfId="15451"/>
    <cellStyle name="Comma 2 6 14 3 5" xfId="15452"/>
    <cellStyle name="Comma 2 6 14 4" xfId="15453"/>
    <cellStyle name="Comma 2 6 14 4 2" xfId="15454"/>
    <cellStyle name="Comma 2 6 14 4 3" xfId="15455"/>
    <cellStyle name="Comma 2 6 14 4 4" xfId="15456"/>
    <cellStyle name="Comma 2 6 14 5" xfId="15457"/>
    <cellStyle name="Comma 2 6 14 5 2" xfId="15458"/>
    <cellStyle name="Comma 2 6 14 6" xfId="15459"/>
    <cellStyle name="Comma 2 6 14 7" xfId="15460"/>
    <cellStyle name="Comma 2 6 14 8" xfId="15461"/>
    <cellStyle name="Comma 2 6 14 9" xfId="15462"/>
    <cellStyle name="Comma 2 6 15" xfId="15463"/>
    <cellStyle name="Comma 2 6 15 2" xfId="15464"/>
    <cellStyle name="Comma 2 6 15 2 2" xfId="15465"/>
    <cellStyle name="Comma 2 6 15 2 3" xfId="15466"/>
    <cellStyle name="Comma 2 6 15 3" xfId="15467"/>
    <cellStyle name="Comma 2 6 15 4" xfId="15468"/>
    <cellStyle name="Comma 2 6 15 5" xfId="15469"/>
    <cellStyle name="Comma 2 6 15 6" xfId="15470"/>
    <cellStyle name="Comma 2 6 16" xfId="15471"/>
    <cellStyle name="Comma 2 6 16 2" xfId="15472"/>
    <cellStyle name="Comma 2 6 16 2 2" xfId="15473"/>
    <cellStyle name="Comma 2 6 16 3" xfId="15474"/>
    <cellStyle name="Comma 2 6 16 4" xfId="15475"/>
    <cellStyle name="Comma 2 6 16 5" xfId="15476"/>
    <cellStyle name="Comma 2 6 17" xfId="15477"/>
    <cellStyle name="Comma 2 6 17 2" xfId="15478"/>
    <cellStyle name="Comma 2 6 17 2 2" xfId="15479"/>
    <cellStyle name="Comma 2 6 17 3" xfId="15480"/>
    <cellStyle name="Comma 2 6 17 4" xfId="15481"/>
    <cellStyle name="Comma 2 6 17 5" xfId="15482"/>
    <cellStyle name="Comma 2 6 18" xfId="15483"/>
    <cellStyle name="Comma 2 6 18 2" xfId="15484"/>
    <cellStyle name="Comma 2 6 19" xfId="15485"/>
    <cellStyle name="Comma 2 6 2" xfId="15486"/>
    <cellStyle name="Comma 2 6 2 10" xfId="15487"/>
    <cellStyle name="Comma 2 6 2 11" xfId="15488"/>
    <cellStyle name="Comma 2 6 2 2" xfId="15489"/>
    <cellStyle name="Comma 2 6 2 2 2" xfId="15490"/>
    <cellStyle name="Comma 2 6 2 2 2 2" xfId="15491"/>
    <cellStyle name="Comma 2 6 2 2 2 2 2" xfId="15492"/>
    <cellStyle name="Comma 2 6 2 2 2 2 3" xfId="15493"/>
    <cellStyle name="Comma 2 6 2 2 2 3" xfId="15494"/>
    <cellStyle name="Comma 2 6 2 2 2 4" xfId="15495"/>
    <cellStyle name="Comma 2 6 2 2 2 5" xfId="15496"/>
    <cellStyle name="Comma 2 6 2 2 2 6" xfId="15497"/>
    <cellStyle name="Comma 2 6 2 2 3" xfId="15498"/>
    <cellStyle name="Comma 2 6 2 2 3 2" xfId="15499"/>
    <cellStyle name="Comma 2 6 2 2 3 2 2" xfId="15500"/>
    <cellStyle name="Comma 2 6 2 2 3 3" xfId="15501"/>
    <cellStyle name="Comma 2 6 2 2 3 4" xfId="15502"/>
    <cellStyle name="Comma 2 6 2 2 3 5" xfId="15503"/>
    <cellStyle name="Comma 2 6 2 2 4" xfId="15504"/>
    <cellStyle name="Comma 2 6 2 2 4 2" xfId="15505"/>
    <cellStyle name="Comma 2 6 2 2 4 3" xfId="15506"/>
    <cellStyle name="Comma 2 6 2 2 4 4" xfId="15507"/>
    <cellStyle name="Comma 2 6 2 2 5" xfId="15508"/>
    <cellStyle name="Comma 2 6 2 2 5 2" xfId="15509"/>
    <cellStyle name="Comma 2 6 2 2 6" xfId="15510"/>
    <cellStyle name="Comma 2 6 2 2 7" xfId="15511"/>
    <cellStyle name="Comma 2 6 2 2 8" xfId="15512"/>
    <cellStyle name="Comma 2 6 2 2 9" xfId="15513"/>
    <cellStyle name="Comma 2 6 2 3" xfId="15514"/>
    <cellStyle name="Comma 2 6 2 3 2" xfId="15515"/>
    <cellStyle name="Comma 2 6 2 3 2 2" xfId="15516"/>
    <cellStyle name="Comma 2 6 2 3 2 2 2" xfId="15517"/>
    <cellStyle name="Comma 2 6 2 3 2 2 3" xfId="15518"/>
    <cellStyle name="Comma 2 6 2 3 2 3" xfId="15519"/>
    <cellStyle name="Comma 2 6 2 3 2 4" xfId="15520"/>
    <cellStyle name="Comma 2 6 2 3 2 5" xfId="15521"/>
    <cellStyle name="Comma 2 6 2 3 2 6" xfId="15522"/>
    <cellStyle name="Comma 2 6 2 3 3" xfId="15523"/>
    <cellStyle name="Comma 2 6 2 3 3 2" xfId="15524"/>
    <cellStyle name="Comma 2 6 2 3 3 2 2" xfId="15525"/>
    <cellStyle name="Comma 2 6 2 3 3 3" xfId="15526"/>
    <cellStyle name="Comma 2 6 2 3 3 4" xfId="15527"/>
    <cellStyle name="Comma 2 6 2 3 3 5" xfId="15528"/>
    <cellStyle name="Comma 2 6 2 3 4" xfId="15529"/>
    <cellStyle name="Comma 2 6 2 3 4 2" xfId="15530"/>
    <cellStyle name="Comma 2 6 2 3 4 3" xfId="15531"/>
    <cellStyle name="Comma 2 6 2 3 4 4" xfId="15532"/>
    <cellStyle name="Comma 2 6 2 3 5" xfId="15533"/>
    <cellStyle name="Comma 2 6 2 3 5 2" xfId="15534"/>
    <cellStyle name="Comma 2 6 2 3 6" xfId="15535"/>
    <cellStyle name="Comma 2 6 2 3 7" xfId="15536"/>
    <cellStyle name="Comma 2 6 2 3 8" xfId="15537"/>
    <cellStyle name="Comma 2 6 2 3 9" xfId="15538"/>
    <cellStyle name="Comma 2 6 2 4" xfId="15539"/>
    <cellStyle name="Comma 2 6 2 4 2" xfId="15540"/>
    <cellStyle name="Comma 2 6 2 4 2 2" xfId="15541"/>
    <cellStyle name="Comma 2 6 2 4 2 3" xfId="15542"/>
    <cellStyle name="Comma 2 6 2 4 3" xfId="15543"/>
    <cellStyle name="Comma 2 6 2 4 4" xfId="15544"/>
    <cellStyle name="Comma 2 6 2 4 5" xfId="15545"/>
    <cellStyle name="Comma 2 6 2 4 6" xfId="15546"/>
    <cellStyle name="Comma 2 6 2 5" xfId="15547"/>
    <cellStyle name="Comma 2 6 2 5 2" xfId="15548"/>
    <cellStyle name="Comma 2 6 2 5 2 2" xfId="15549"/>
    <cellStyle name="Comma 2 6 2 5 3" xfId="15550"/>
    <cellStyle name="Comma 2 6 2 5 4" xfId="15551"/>
    <cellStyle name="Comma 2 6 2 5 5" xfId="15552"/>
    <cellStyle name="Comma 2 6 2 6" xfId="15553"/>
    <cellStyle name="Comma 2 6 2 6 2" xfId="15554"/>
    <cellStyle name="Comma 2 6 2 6 3" xfId="15555"/>
    <cellStyle name="Comma 2 6 2 6 4" xfId="15556"/>
    <cellStyle name="Comma 2 6 2 7" xfId="15557"/>
    <cellStyle name="Comma 2 6 2 7 2" xfId="15558"/>
    <cellStyle name="Comma 2 6 2 8" xfId="15559"/>
    <cellStyle name="Comma 2 6 2 9" xfId="15560"/>
    <cellStyle name="Comma 2 6 20" xfId="15561"/>
    <cellStyle name="Comma 2 6 21" xfId="15562"/>
    <cellStyle name="Comma 2 6 22" xfId="15563"/>
    <cellStyle name="Comma 2 6 3" xfId="15564"/>
    <cellStyle name="Comma 2 6 3 10" xfId="15565"/>
    <cellStyle name="Comma 2 6 3 11" xfId="15566"/>
    <cellStyle name="Comma 2 6 3 2" xfId="15567"/>
    <cellStyle name="Comma 2 6 3 2 2" xfId="15568"/>
    <cellStyle name="Comma 2 6 3 2 2 2" xfId="15569"/>
    <cellStyle name="Comma 2 6 3 2 2 2 2" xfId="15570"/>
    <cellStyle name="Comma 2 6 3 2 2 2 3" xfId="15571"/>
    <cellStyle name="Comma 2 6 3 2 2 3" xfId="15572"/>
    <cellStyle name="Comma 2 6 3 2 2 4" xfId="15573"/>
    <cellStyle name="Comma 2 6 3 2 2 5" xfId="15574"/>
    <cellStyle name="Comma 2 6 3 2 2 6" xfId="15575"/>
    <cellStyle name="Comma 2 6 3 2 3" xfId="15576"/>
    <cellStyle name="Comma 2 6 3 2 3 2" xfId="15577"/>
    <cellStyle name="Comma 2 6 3 2 3 2 2" xfId="15578"/>
    <cellStyle name="Comma 2 6 3 2 3 3" xfId="15579"/>
    <cellStyle name="Comma 2 6 3 2 3 4" xfId="15580"/>
    <cellStyle name="Comma 2 6 3 2 3 5" xfId="15581"/>
    <cellStyle name="Comma 2 6 3 2 4" xfId="15582"/>
    <cellStyle name="Comma 2 6 3 2 4 2" xfId="15583"/>
    <cellStyle name="Comma 2 6 3 2 4 3" xfId="15584"/>
    <cellStyle name="Comma 2 6 3 2 4 4" xfId="15585"/>
    <cellStyle name="Comma 2 6 3 2 5" xfId="15586"/>
    <cellStyle name="Comma 2 6 3 2 5 2" xfId="15587"/>
    <cellStyle name="Comma 2 6 3 2 6" xfId="15588"/>
    <cellStyle name="Comma 2 6 3 2 7" xfId="15589"/>
    <cellStyle name="Comma 2 6 3 2 8" xfId="15590"/>
    <cellStyle name="Comma 2 6 3 2 9" xfId="15591"/>
    <cellStyle name="Comma 2 6 3 3" xfId="15592"/>
    <cellStyle name="Comma 2 6 3 3 2" xfId="15593"/>
    <cellStyle name="Comma 2 6 3 3 2 2" xfId="15594"/>
    <cellStyle name="Comma 2 6 3 3 2 2 2" xfId="15595"/>
    <cellStyle name="Comma 2 6 3 3 2 2 3" xfId="15596"/>
    <cellStyle name="Comma 2 6 3 3 2 3" xfId="15597"/>
    <cellStyle name="Comma 2 6 3 3 2 4" xfId="15598"/>
    <cellStyle name="Comma 2 6 3 3 2 5" xfId="15599"/>
    <cellStyle name="Comma 2 6 3 3 2 6" xfId="15600"/>
    <cellStyle name="Comma 2 6 3 3 3" xfId="15601"/>
    <cellStyle name="Comma 2 6 3 3 3 2" xfId="15602"/>
    <cellStyle name="Comma 2 6 3 3 3 2 2" xfId="15603"/>
    <cellStyle name="Comma 2 6 3 3 3 3" xfId="15604"/>
    <cellStyle name="Comma 2 6 3 3 3 4" xfId="15605"/>
    <cellStyle name="Comma 2 6 3 3 3 5" xfId="15606"/>
    <cellStyle name="Comma 2 6 3 3 4" xfId="15607"/>
    <cellStyle name="Comma 2 6 3 3 4 2" xfId="15608"/>
    <cellStyle name="Comma 2 6 3 3 4 3" xfId="15609"/>
    <cellStyle name="Comma 2 6 3 3 4 4" xfId="15610"/>
    <cellStyle name="Comma 2 6 3 3 5" xfId="15611"/>
    <cellStyle name="Comma 2 6 3 3 5 2" xfId="15612"/>
    <cellStyle name="Comma 2 6 3 3 6" xfId="15613"/>
    <cellStyle name="Comma 2 6 3 3 7" xfId="15614"/>
    <cellStyle name="Comma 2 6 3 3 8" xfId="15615"/>
    <cellStyle name="Comma 2 6 3 3 9" xfId="15616"/>
    <cellStyle name="Comma 2 6 3 4" xfId="15617"/>
    <cellStyle name="Comma 2 6 3 4 2" xfId="15618"/>
    <cellStyle name="Comma 2 6 3 4 2 2" xfId="15619"/>
    <cellStyle name="Comma 2 6 3 4 2 3" xfId="15620"/>
    <cellStyle name="Comma 2 6 3 4 3" xfId="15621"/>
    <cellStyle name="Comma 2 6 3 4 4" xfId="15622"/>
    <cellStyle name="Comma 2 6 3 4 5" xfId="15623"/>
    <cellStyle name="Comma 2 6 3 4 6" xfId="15624"/>
    <cellStyle name="Comma 2 6 3 5" xfId="15625"/>
    <cellStyle name="Comma 2 6 3 5 2" xfId="15626"/>
    <cellStyle name="Comma 2 6 3 5 2 2" xfId="15627"/>
    <cellStyle name="Comma 2 6 3 5 3" xfId="15628"/>
    <cellStyle name="Comma 2 6 3 5 4" xfId="15629"/>
    <cellStyle name="Comma 2 6 3 5 5" xfId="15630"/>
    <cellStyle name="Comma 2 6 3 6" xfId="15631"/>
    <cellStyle name="Comma 2 6 3 6 2" xfId="15632"/>
    <cellStyle name="Comma 2 6 3 6 3" xfId="15633"/>
    <cellStyle name="Comma 2 6 3 6 4" xfId="15634"/>
    <cellStyle name="Comma 2 6 3 7" xfId="15635"/>
    <cellStyle name="Comma 2 6 3 7 2" xfId="15636"/>
    <cellStyle name="Comma 2 6 3 8" xfId="15637"/>
    <cellStyle name="Comma 2 6 3 9" xfId="15638"/>
    <cellStyle name="Comma 2 6 4" xfId="15639"/>
    <cellStyle name="Comma 2 6 4 10" xfId="15640"/>
    <cellStyle name="Comma 2 6 4 11" xfId="15641"/>
    <cellStyle name="Comma 2 6 4 2" xfId="15642"/>
    <cellStyle name="Comma 2 6 4 2 2" xfId="15643"/>
    <cellStyle name="Comma 2 6 4 2 2 2" xfId="15644"/>
    <cellStyle name="Comma 2 6 4 2 2 2 2" xfId="15645"/>
    <cellStyle name="Comma 2 6 4 2 2 2 3" xfId="15646"/>
    <cellStyle name="Comma 2 6 4 2 2 3" xfId="15647"/>
    <cellStyle name="Comma 2 6 4 2 2 4" xfId="15648"/>
    <cellStyle name="Comma 2 6 4 2 2 5" xfId="15649"/>
    <cellStyle name="Comma 2 6 4 2 2 6" xfId="15650"/>
    <cellStyle name="Comma 2 6 4 2 3" xfId="15651"/>
    <cellStyle name="Comma 2 6 4 2 3 2" xfId="15652"/>
    <cellStyle name="Comma 2 6 4 2 3 2 2" xfId="15653"/>
    <cellStyle name="Comma 2 6 4 2 3 3" xfId="15654"/>
    <cellStyle name="Comma 2 6 4 2 3 4" xfId="15655"/>
    <cellStyle name="Comma 2 6 4 2 3 5" xfId="15656"/>
    <cellStyle name="Comma 2 6 4 2 4" xfId="15657"/>
    <cellStyle name="Comma 2 6 4 2 4 2" xfId="15658"/>
    <cellStyle name="Comma 2 6 4 2 4 3" xfId="15659"/>
    <cellStyle name="Comma 2 6 4 2 4 4" xfId="15660"/>
    <cellStyle name="Comma 2 6 4 2 5" xfId="15661"/>
    <cellStyle name="Comma 2 6 4 2 5 2" xfId="15662"/>
    <cellStyle name="Comma 2 6 4 2 6" xfId="15663"/>
    <cellStyle name="Comma 2 6 4 2 7" xfId="15664"/>
    <cellStyle name="Comma 2 6 4 2 8" xfId="15665"/>
    <cellStyle name="Comma 2 6 4 2 9" xfId="15666"/>
    <cellStyle name="Comma 2 6 4 3" xfId="15667"/>
    <cellStyle name="Comma 2 6 4 3 2" xfId="15668"/>
    <cellStyle name="Comma 2 6 4 3 2 2" xfId="15669"/>
    <cellStyle name="Comma 2 6 4 3 2 2 2" xfId="15670"/>
    <cellStyle name="Comma 2 6 4 3 2 2 3" xfId="15671"/>
    <cellStyle name="Comma 2 6 4 3 2 3" xfId="15672"/>
    <cellStyle name="Comma 2 6 4 3 2 4" xfId="15673"/>
    <cellStyle name="Comma 2 6 4 3 2 5" xfId="15674"/>
    <cellStyle name="Comma 2 6 4 3 2 6" xfId="15675"/>
    <cellStyle name="Comma 2 6 4 3 3" xfId="15676"/>
    <cellStyle name="Comma 2 6 4 3 3 2" xfId="15677"/>
    <cellStyle name="Comma 2 6 4 3 3 2 2" xfId="15678"/>
    <cellStyle name="Comma 2 6 4 3 3 3" xfId="15679"/>
    <cellStyle name="Comma 2 6 4 3 3 4" xfId="15680"/>
    <cellStyle name="Comma 2 6 4 3 3 5" xfId="15681"/>
    <cellStyle name="Comma 2 6 4 3 4" xfId="15682"/>
    <cellStyle name="Comma 2 6 4 3 4 2" xfId="15683"/>
    <cellStyle name="Comma 2 6 4 3 4 3" xfId="15684"/>
    <cellStyle name="Comma 2 6 4 3 4 4" xfId="15685"/>
    <cellStyle name="Comma 2 6 4 3 5" xfId="15686"/>
    <cellStyle name="Comma 2 6 4 3 5 2" xfId="15687"/>
    <cellStyle name="Comma 2 6 4 3 6" xfId="15688"/>
    <cellStyle name="Comma 2 6 4 3 7" xfId="15689"/>
    <cellStyle name="Comma 2 6 4 3 8" xfId="15690"/>
    <cellStyle name="Comma 2 6 4 3 9" xfId="15691"/>
    <cellStyle name="Comma 2 6 4 4" xfId="15692"/>
    <cellStyle name="Comma 2 6 4 4 2" xfId="15693"/>
    <cellStyle name="Comma 2 6 4 4 2 2" xfId="15694"/>
    <cellStyle name="Comma 2 6 4 4 2 3" xfId="15695"/>
    <cellStyle name="Comma 2 6 4 4 3" xfId="15696"/>
    <cellStyle name="Comma 2 6 4 4 4" xfId="15697"/>
    <cellStyle name="Comma 2 6 4 4 5" xfId="15698"/>
    <cellStyle name="Comma 2 6 4 4 6" xfId="15699"/>
    <cellStyle name="Comma 2 6 4 5" xfId="15700"/>
    <cellStyle name="Comma 2 6 4 5 2" xfId="15701"/>
    <cellStyle name="Comma 2 6 4 5 2 2" xfId="15702"/>
    <cellStyle name="Comma 2 6 4 5 3" xfId="15703"/>
    <cellStyle name="Comma 2 6 4 5 4" xfId="15704"/>
    <cellStyle name="Comma 2 6 4 5 5" xfId="15705"/>
    <cellStyle name="Comma 2 6 4 6" xfId="15706"/>
    <cellStyle name="Comma 2 6 4 6 2" xfId="15707"/>
    <cellStyle name="Comma 2 6 4 6 3" xfId="15708"/>
    <cellStyle name="Comma 2 6 4 6 4" xfId="15709"/>
    <cellStyle name="Comma 2 6 4 7" xfId="15710"/>
    <cellStyle name="Comma 2 6 4 7 2" xfId="15711"/>
    <cellStyle name="Comma 2 6 4 8" xfId="15712"/>
    <cellStyle name="Comma 2 6 4 9" xfId="15713"/>
    <cellStyle name="Comma 2 6 5" xfId="15714"/>
    <cellStyle name="Comma 2 6 5 10" xfId="15715"/>
    <cellStyle name="Comma 2 6 5 11" xfId="15716"/>
    <cellStyle name="Comma 2 6 5 2" xfId="15717"/>
    <cellStyle name="Comma 2 6 5 2 2" xfId="15718"/>
    <cellStyle name="Comma 2 6 5 2 2 2" xfId="15719"/>
    <cellStyle name="Comma 2 6 5 2 2 2 2" xfId="15720"/>
    <cellStyle name="Comma 2 6 5 2 2 2 3" xfId="15721"/>
    <cellStyle name="Comma 2 6 5 2 2 3" xfId="15722"/>
    <cellStyle name="Comma 2 6 5 2 2 4" xfId="15723"/>
    <cellStyle name="Comma 2 6 5 2 2 5" xfId="15724"/>
    <cellStyle name="Comma 2 6 5 2 2 6" xfId="15725"/>
    <cellStyle name="Comma 2 6 5 2 3" xfId="15726"/>
    <cellStyle name="Comma 2 6 5 2 3 2" xfId="15727"/>
    <cellStyle name="Comma 2 6 5 2 3 2 2" xfId="15728"/>
    <cellStyle name="Comma 2 6 5 2 3 3" xfId="15729"/>
    <cellStyle name="Comma 2 6 5 2 3 4" xfId="15730"/>
    <cellStyle name="Comma 2 6 5 2 3 5" xfId="15731"/>
    <cellStyle name="Comma 2 6 5 2 4" xfId="15732"/>
    <cellStyle name="Comma 2 6 5 2 4 2" xfId="15733"/>
    <cellStyle name="Comma 2 6 5 2 4 3" xfId="15734"/>
    <cellStyle name="Comma 2 6 5 2 4 4" xfId="15735"/>
    <cellStyle name="Comma 2 6 5 2 5" xfId="15736"/>
    <cellStyle name="Comma 2 6 5 2 5 2" xfId="15737"/>
    <cellStyle name="Comma 2 6 5 2 6" xfId="15738"/>
    <cellStyle name="Comma 2 6 5 2 7" xfId="15739"/>
    <cellStyle name="Comma 2 6 5 2 8" xfId="15740"/>
    <cellStyle name="Comma 2 6 5 2 9" xfId="15741"/>
    <cellStyle name="Comma 2 6 5 3" xfId="15742"/>
    <cellStyle name="Comma 2 6 5 3 2" xfId="15743"/>
    <cellStyle name="Comma 2 6 5 3 2 2" xfId="15744"/>
    <cellStyle name="Comma 2 6 5 3 2 2 2" xfId="15745"/>
    <cellStyle name="Comma 2 6 5 3 2 2 3" xfId="15746"/>
    <cellStyle name="Comma 2 6 5 3 2 3" xfId="15747"/>
    <cellStyle name="Comma 2 6 5 3 2 4" xfId="15748"/>
    <cellStyle name="Comma 2 6 5 3 2 5" xfId="15749"/>
    <cellStyle name="Comma 2 6 5 3 2 6" xfId="15750"/>
    <cellStyle name="Comma 2 6 5 3 3" xfId="15751"/>
    <cellStyle name="Comma 2 6 5 3 3 2" xfId="15752"/>
    <cellStyle name="Comma 2 6 5 3 3 2 2" xfId="15753"/>
    <cellStyle name="Comma 2 6 5 3 3 3" xfId="15754"/>
    <cellStyle name="Comma 2 6 5 3 3 4" xfId="15755"/>
    <cellStyle name="Comma 2 6 5 3 3 5" xfId="15756"/>
    <cellStyle name="Comma 2 6 5 3 4" xfId="15757"/>
    <cellStyle name="Comma 2 6 5 3 4 2" xfId="15758"/>
    <cellStyle name="Comma 2 6 5 3 4 3" xfId="15759"/>
    <cellStyle name="Comma 2 6 5 3 4 4" xfId="15760"/>
    <cellStyle name="Comma 2 6 5 3 5" xfId="15761"/>
    <cellStyle name="Comma 2 6 5 3 5 2" xfId="15762"/>
    <cellStyle name="Comma 2 6 5 3 6" xfId="15763"/>
    <cellStyle name="Comma 2 6 5 3 7" xfId="15764"/>
    <cellStyle name="Comma 2 6 5 3 8" xfId="15765"/>
    <cellStyle name="Comma 2 6 5 3 9" xfId="15766"/>
    <cellStyle name="Comma 2 6 5 4" xfId="15767"/>
    <cellStyle name="Comma 2 6 5 4 2" xfId="15768"/>
    <cellStyle name="Comma 2 6 5 4 2 2" xfId="15769"/>
    <cellStyle name="Comma 2 6 5 4 2 3" xfId="15770"/>
    <cellStyle name="Comma 2 6 5 4 3" xfId="15771"/>
    <cellStyle name="Comma 2 6 5 4 4" xfId="15772"/>
    <cellStyle name="Comma 2 6 5 4 5" xfId="15773"/>
    <cellStyle name="Comma 2 6 5 4 6" xfId="15774"/>
    <cellStyle name="Comma 2 6 5 5" xfId="15775"/>
    <cellStyle name="Comma 2 6 5 5 2" xfId="15776"/>
    <cellStyle name="Comma 2 6 5 5 2 2" xfId="15777"/>
    <cellStyle name="Comma 2 6 5 5 3" xfId="15778"/>
    <cellStyle name="Comma 2 6 5 5 4" xfId="15779"/>
    <cellStyle name="Comma 2 6 5 5 5" xfId="15780"/>
    <cellStyle name="Comma 2 6 5 6" xfId="15781"/>
    <cellStyle name="Comma 2 6 5 6 2" xfId="15782"/>
    <cellStyle name="Comma 2 6 5 6 3" xfId="15783"/>
    <cellStyle name="Comma 2 6 5 6 4" xfId="15784"/>
    <cellStyle name="Comma 2 6 5 7" xfId="15785"/>
    <cellStyle name="Comma 2 6 5 7 2" xfId="15786"/>
    <cellStyle name="Comma 2 6 5 8" xfId="15787"/>
    <cellStyle name="Comma 2 6 5 9" xfId="15788"/>
    <cellStyle name="Comma 2 6 6" xfId="15789"/>
    <cellStyle name="Comma 2 6 6 10" xfId="15790"/>
    <cellStyle name="Comma 2 6 6 11" xfId="15791"/>
    <cellStyle name="Comma 2 6 6 2" xfId="15792"/>
    <cellStyle name="Comma 2 6 6 2 2" xfId="15793"/>
    <cellStyle name="Comma 2 6 6 2 2 2" xfId="15794"/>
    <cellStyle name="Comma 2 6 6 2 2 2 2" xfId="15795"/>
    <cellStyle name="Comma 2 6 6 2 2 2 3" xfId="15796"/>
    <cellStyle name="Comma 2 6 6 2 2 3" xfId="15797"/>
    <cellStyle name="Comma 2 6 6 2 2 4" xfId="15798"/>
    <cellStyle name="Comma 2 6 6 2 2 5" xfId="15799"/>
    <cellStyle name="Comma 2 6 6 2 2 6" xfId="15800"/>
    <cellStyle name="Comma 2 6 6 2 3" xfId="15801"/>
    <cellStyle name="Comma 2 6 6 2 3 2" xfId="15802"/>
    <cellStyle name="Comma 2 6 6 2 3 2 2" xfId="15803"/>
    <cellStyle name="Comma 2 6 6 2 3 3" xfId="15804"/>
    <cellStyle name="Comma 2 6 6 2 3 4" xfId="15805"/>
    <cellStyle name="Comma 2 6 6 2 3 5" xfId="15806"/>
    <cellStyle name="Comma 2 6 6 2 4" xfId="15807"/>
    <cellStyle name="Comma 2 6 6 2 4 2" xfId="15808"/>
    <cellStyle name="Comma 2 6 6 2 4 3" xfId="15809"/>
    <cellStyle name="Comma 2 6 6 2 4 4" xfId="15810"/>
    <cellStyle name="Comma 2 6 6 2 5" xfId="15811"/>
    <cellStyle name="Comma 2 6 6 2 5 2" xfId="15812"/>
    <cellStyle name="Comma 2 6 6 2 6" xfId="15813"/>
    <cellStyle name="Comma 2 6 6 2 7" xfId="15814"/>
    <cellStyle name="Comma 2 6 6 2 8" xfId="15815"/>
    <cellStyle name="Comma 2 6 6 2 9" xfId="15816"/>
    <cellStyle name="Comma 2 6 6 3" xfId="15817"/>
    <cellStyle name="Comma 2 6 6 3 2" xfId="15818"/>
    <cellStyle name="Comma 2 6 6 3 2 2" xfId="15819"/>
    <cellStyle name="Comma 2 6 6 3 2 2 2" xfId="15820"/>
    <cellStyle name="Comma 2 6 6 3 2 2 3" xfId="15821"/>
    <cellStyle name="Comma 2 6 6 3 2 3" xfId="15822"/>
    <cellStyle name="Comma 2 6 6 3 2 4" xfId="15823"/>
    <cellStyle name="Comma 2 6 6 3 2 5" xfId="15824"/>
    <cellStyle name="Comma 2 6 6 3 2 6" xfId="15825"/>
    <cellStyle name="Comma 2 6 6 3 3" xfId="15826"/>
    <cellStyle name="Comma 2 6 6 3 3 2" xfId="15827"/>
    <cellStyle name="Comma 2 6 6 3 3 2 2" xfId="15828"/>
    <cellStyle name="Comma 2 6 6 3 3 3" xfId="15829"/>
    <cellStyle name="Comma 2 6 6 3 3 4" xfId="15830"/>
    <cellStyle name="Comma 2 6 6 3 3 5" xfId="15831"/>
    <cellStyle name="Comma 2 6 6 3 4" xfId="15832"/>
    <cellStyle name="Comma 2 6 6 3 4 2" xfId="15833"/>
    <cellStyle name="Comma 2 6 6 3 4 3" xfId="15834"/>
    <cellStyle name="Comma 2 6 6 3 4 4" xfId="15835"/>
    <cellStyle name="Comma 2 6 6 3 5" xfId="15836"/>
    <cellStyle name="Comma 2 6 6 3 5 2" xfId="15837"/>
    <cellStyle name="Comma 2 6 6 3 6" xfId="15838"/>
    <cellStyle name="Comma 2 6 6 3 7" xfId="15839"/>
    <cellStyle name="Comma 2 6 6 3 8" xfId="15840"/>
    <cellStyle name="Comma 2 6 6 3 9" xfId="15841"/>
    <cellStyle name="Comma 2 6 6 4" xfId="15842"/>
    <cellStyle name="Comma 2 6 6 4 2" xfId="15843"/>
    <cellStyle name="Comma 2 6 6 4 2 2" xfId="15844"/>
    <cellStyle name="Comma 2 6 6 4 2 3" xfId="15845"/>
    <cellStyle name="Comma 2 6 6 4 3" xfId="15846"/>
    <cellStyle name="Comma 2 6 6 4 4" xfId="15847"/>
    <cellStyle name="Comma 2 6 6 4 5" xfId="15848"/>
    <cellStyle name="Comma 2 6 6 4 6" xfId="15849"/>
    <cellStyle name="Comma 2 6 6 5" xfId="15850"/>
    <cellStyle name="Comma 2 6 6 5 2" xfId="15851"/>
    <cellStyle name="Comma 2 6 6 5 2 2" xfId="15852"/>
    <cellStyle name="Comma 2 6 6 5 3" xfId="15853"/>
    <cellStyle name="Comma 2 6 6 5 4" xfId="15854"/>
    <cellStyle name="Comma 2 6 6 5 5" xfId="15855"/>
    <cellStyle name="Comma 2 6 6 6" xfId="15856"/>
    <cellStyle name="Comma 2 6 6 6 2" xfId="15857"/>
    <cellStyle name="Comma 2 6 6 6 3" xfId="15858"/>
    <cellStyle name="Comma 2 6 6 6 4" xfId="15859"/>
    <cellStyle name="Comma 2 6 6 7" xfId="15860"/>
    <cellStyle name="Comma 2 6 6 7 2" xfId="15861"/>
    <cellStyle name="Comma 2 6 6 8" xfId="15862"/>
    <cellStyle name="Comma 2 6 6 9" xfId="15863"/>
    <cellStyle name="Comma 2 6 7" xfId="15864"/>
    <cellStyle name="Comma 2 6 7 10" xfId="15865"/>
    <cellStyle name="Comma 2 6 7 11" xfId="15866"/>
    <cellStyle name="Comma 2 6 7 2" xfId="15867"/>
    <cellStyle name="Comma 2 6 7 2 2" xfId="15868"/>
    <cellStyle name="Comma 2 6 7 2 2 2" xfId="15869"/>
    <cellStyle name="Comma 2 6 7 2 2 2 2" xfId="15870"/>
    <cellStyle name="Comma 2 6 7 2 2 2 3" xfId="15871"/>
    <cellStyle name="Comma 2 6 7 2 2 3" xfId="15872"/>
    <cellStyle name="Comma 2 6 7 2 2 4" xfId="15873"/>
    <cellStyle name="Comma 2 6 7 2 2 5" xfId="15874"/>
    <cellStyle name="Comma 2 6 7 2 2 6" xfId="15875"/>
    <cellStyle name="Comma 2 6 7 2 3" xfId="15876"/>
    <cellStyle name="Comma 2 6 7 2 3 2" xfId="15877"/>
    <cellStyle name="Comma 2 6 7 2 3 2 2" xfId="15878"/>
    <cellStyle name="Comma 2 6 7 2 3 3" xfId="15879"/>
    <cellStyle name="Comma 2 6 7 2 3 4" xfId="15880"/>
    <cellStyle name="Comma 2 6 7 2 3 5" xfId="15881"/>
    <cellStyle name="Comma 2 6 7 2 4" xfId="15882"/>
    <cellStyle name="Comma 2 6 7 2 4 2" xfId="15883"/>
    <cellStyle name="Comma 2 6 7 2 4 3" xfId="15884"/>
    <cellStyle name="Comma 2 6 7 2 4 4" xfId="15885"/>
    <cellStyle name="Comma 2 6 7 2 5" xfId="15886"/>
    <cellStyle name="Comma 2 6 7 2 5 2" xfId="15887"/>
    <cellStyle name="Comma 2 6 7 2 6" xfId="15888"/>
    <cellStyle name="Comma 2 6 7 2 7" xfId="15889"/>
    <cellStyle name="Comma 2 6 7 2 8" xfId="15890"/>
    <cellStyle name="Comma 2 6 7 2 9" xfId="15891"/>
    <cellStyle name="Comma 2 6 7 3" xfId="15892"/>
    <cellStyle name="Comma 2 6 7 3 2" xfId="15893"/>
    <cellStyle name="Comma 2 6 7 3 2 2" xfId="15894"/>
    <cellStyle name="Comma 2 6 7 3 2 2 2" xfId="15895"/>
    <cellStyle name="Comma 2 6 7 3 2 2 3" xfId="15896"/>
    <cellStyle name="Comma 2 6 7 3 2 3" xfId="15897"/>
    <cellStyle name="Comma 2 6 7 3 2 4" xfId="15898"/>
    <cellStyle name="Comma 2 6 7 3 2 5" xfId="15899"/>
    <cellStyle name="Comma 2 6 7 3 2 6" xfId="15900"/>
    <cellStyle name="Comma 2 6 7 3 3" xfId="15901"/>
    <cellStyle name="Comma 2 6 7 3 3 2" xfId="15902"/>
    <cellStyle name="Comma 2 6 7 3 3 2 2" xfId="15903"/>
    <cellStyle name="Comma 2 6 7 3 3 3" xfId="15904"/>
    <cellStyle name="Comma 2 6 7 3 3 4" xfId="15905"/>
    <cellStyle name="Comma 2 6 7 3 3 5" xfId="15906"/>
    <cellStyle name="Comma 2 6 7 3 4" xfId="15907"/>
    <cellStyle name="Comma 2 6 7 3 4 2" xfId="15908"/>
    <cellStyle name="Comma 2 6 7 3 4 3" xfId="15909"/>
    <cellStyle name="Comma 2 6 7 3 4 4" xfId="15910"/>
    <cellStyle name="Comma 2 6 7 3 5" xfId="15911"/>
    <cellStyle name="Comma 2 6 7 3 5 2" xfId="15912"/>
    <cellStyle name="Comma 2 6 7 3 6" xfId="15913"/>
    <cellStyle name="Comma 2 6 7 3 7" xfId="15914"/>
    <cellStyle name="Comma 2 6 7 3 8" xfId="15915"/>
    <cellStyle name="Comma 2 6 7 3 9" xfId="15916"/>
    <cellStyle name="Comma 2 6 7 4" xfId="15917"/>
    <cellStyle name="Comma 2 6 7 4 2" xfId="15918"/>
    <cellStyle name="Comma 2 6 7 4 2 2" xfId="15919"/>
    <cellStyle name="Comma 2 6 7 4 2 3" xfId="15920"/>
    <cellStyle name="Comma 2 6 7 4 3" xfId="15921"/>
    <cellStyle name="Comma 2 6 7 4 4" xfId="15922"/>
    <cellStyle name="Comma 2 6 7 4 5" xfId="15923"/>
    <cellStyle name="Comma 2 6 7 4 6" xfId="15924"/>
    <cellStyle name="Comma 2 6 7 5" xfId="15925"/>
    <cellStyle name="Comma 2 6 7 5 2" xfId="15926"/>
    <cellStyle name="Comma 2 6 7 5 2 2" xfId="15927"/>
    <cellStyle name="Comma 2 6 7 5 3" xfId="15928"/>
    <cellStyle name="Comma 2 6 7 5 4" xfId="15929"/>
    <cellStyle name="Comma 2 6 7 5 5" xfId="15930"/>
    <cellStyle name="Comma 2 6 7 6" xfId="15931"/>
    <cellStyle name="Comma 2 6 7 6 2" xfId="15932"/>
    <cellStyle name="Comma 2 6 7 6 3" xfId="15933"/>
    <cellStyle name="Comma 2 6 7 6 4" xfId="15934"/>
    <cellStyle name="Comma 2 6 7 7" xfId="15935"/>
    <cellStyle name="Comma 2 6 7 7 2" xfId="15936"/>
    <cellStyle name="Comma 2 6 7 8" xfId="15937"/>
    <cellStyle name="Comma 2 6 7 9" xfId="15938"/>
    <cellStyle name="Comma 2 6 8" xfId="15939"/>
    <cellStyle name="Comma 2 6 8 10" xfId="15940"/>
    <cellStyle name="Comma 2 6 8 2" xfId="15941"/>
    <cellStyle name="Comma 2 6 8 2 2" xfId="15942"/>
    <cellStyle name="Comma 2 6 8 2 2 2" xfId="15943"/>
    <cellStyle name="Comma 2 6 8 2 2 3" xfId="15944"/>
    <cellStyle name="Comma 2 6 8 2 3" xfId="15945"/>
    <cellStyle name="Comma 2 6 8 2 4" xfId="15946"/>
    <cellStyle name="Comma 2 6 8 2 5" xfId="15947"/>
    <cellStyle name="Comma 2 6 8 2 6" xfId="15948"/>
    <cellStyle name="Comma 2 6 8 3" xfId="15949"/>
    <cellStyle name="Comma 2 6 8 3 2" xfId="15950"/>
    <cellStyle name="Comma 2 6 8 3 2 2" xfId="15951"/>
    <cellStyle name="Comma 2 6 8 3 2 3" xfId="15952"/>
    <cellStyle name="Comma 2 6 8 3 3" xfId="15953"/>
    <cellStyle name="Comma 2 6 8 3 4" xfId="15954"/>
    <cellStyle name="Comma 2 6 8 3 5" xfId="15955"/>
    <cellStyle name="Comma 2 6 8 3 6" xfId="15956"/>
    <cellStyle name="Comma 2 6 8 4" xfId="15957"/>
    <cellStyle name="Comma 2 6 8 4 2" xfId="15958"/>
    <cellStyle name="Comma 2 6 8 4 2 2" xfId="15959"/>
    <cellStyle name="Comma 2 6 8 4 3" xfId="15960"/>
    <cellStyle name="Comma 2 6 8 4 4" xfId="15961"/>
    <cellStyle name="Comma 2 6 8 4 5" xfId="15962"/>
    <cellStyle name="Comma 2 6 8 5" xfId="15963"/>
    <cellStyle name="Comma 2 6 8 5 2" xfId="15964"/>
    <cellStyle name="Comma 2 6 8 5 3" xfId="15965"/>
    <cellStyle name="Comma 2 6 8 5 4" xfId="15966"/>
    <cellStyle name="Comma 2 6 8 6" xfId="15967"/>
    <cellStyle name="Comma 2 6 8 6 2" xfId="15968"/>
    <cellStyle name="Comma 2 6 8 7" xfId="15969"/>
    <cellStyle name="Comma 2 6 8 8" xfId="15970"/>
    <cellStyle name="Comma 2 6 8 9" xfId="15971"/>
    <cellStyle name="Comma 2 6 9" xfId="15972"/>
    <cellStyle name="Comma 2 6 9 10" xfId="15973"/>
    <cellStyle name="Comma 2 6 9 2" xfId="15974"/>
    <cellStyle name="Comma 2 6 9 2 2" xfId="15975"/>
    <cellStyle name="Comma 2 6 9 2 2 2" xfId="15976"/>
    <cellStyle name="Comma 2 6 9 2 2 3" xfId="15977"/>
    <cellStyle name="Comma 2 6 9 2 3" xfId="15978"/>
    <cellStyle name="Comma 2 6 9 2 4" xfId="15979"/>
    <cellStyle name="Comma 2 6 9 2 5" xfId="15980"/>
    <cellStyle name="Comma 2 6 9 2 6" xfId="15981"/>
    <cellStyle name="Comma 2 6 9 3" xfId="15982"/>
    <cellStyle name="Comma 2 6 9 3 2" xfId="15983"/>
    <cellStyle name="Comma 2 6 9 3 2 2" xfId="15984"/>
    <cellStyle name="Comma 2 6 9 3 2 3" xfId="15985"/>
    <cellStyle name="Comma 2 6 9 3 3" xfId="15986"/>
    <cellStyle name="Comma 2 6 9 3 4" xfId="15987"/>
    <cellStyle name="Comma 2 6 9 3 5" xfId="15988"/>
    <cellStyle name="Comma 2 6 9 3 6" xfId="15989"/>
    <cellStyle name="Comma 2 6 9 4" xfId="15990"/>
    <cellStyle name="Comma 2 6 9 4 2" xfId="15991"/>
    <cellStyle name="Comma 2 6 9 4 2 2" xfId="15992"/>
    <cellStyle name="Comma 2 6 9 4 3" xfId="15993"/>
    <cellStyle name="Comma 2 6 9 4 4" xfId="15994"/>
    <cellStyle name="Comma 2 6 9 4 5" xfId="15995"/>
    <cellStyle name="Comma 2 6 9 5" xfId="15996"/>
    <cellStyle name="Comma 2 6 9 5 2" xfId="15997"/>
    <cellStyle name="Comma 2 6 9 5 3" xfId="15998"/>
    <cellStyle name="Comma 2 6 9 5 4" xfId="15999"/>
    <cellStyle name="Comma 2 6 9 6" xfId="16000"/>
    <cellStyle name="Comma 2 6 9 6 2" xfId="16001"/>
    <cellStyle name="Comma 2 6 9 7" xfId="16002"/>
    <cellStyle name="Comma 2 6 9 8" xfId="16003"/>
    <cellStyle name="Comma 2 6 9 9" xfId="16004"/>
    <cellStyle name="Comma 2 60" xfId="16005"/>
    <cellStyle name="Comma 2 61" xfId="16006"/>
    <cellStyle name="Comma 2 62" xfId="16007"/>
    <cellStyle name="Comma 2 63" xfId="16008"/>
    <cellStyle name="Comma 2 64" xfId="16009"/>
    <cellStyle name="Comma 2 7" xfId="16010"/>
    <cellStyle name="Comma 2 7 10" xfId="16011"/>
    <cellStyle name="Comma 2 7 10 10" xfId="16012"/>
    <cellStyle name="Comma 2 7 10 2" xfId="16013"/>
    <cellStyle name="Comma 2 7 10 2 2" xfId="16014"/>
    <cellStyle name="Comma 2 7 10 2 2 2" xfId="16015"/>
    <cellStyle name="Comma 2 7 10 2 2 3" xfId="16016"/>
    <cellStyle name="Comma 2 7 10 2 3" xfId="16017"/>
    <cellStyle name="Comma 2 7 10 2 4" xfId="16018"/>
    <cellStyle name="Comma 2 7 10 2 5" xfId="16019"/>
    <cellStyle name="Comma 2 7 10 2 6" xfId="16020"/>
    <cellStyle name="Comma 2 7 10 3" xfId="16021"/>
    <cellStyle name="Comma 2 7 10 3 2" xfId="16022"/>
    <cellStyle name="Comma 2 7 10 3 2 2" xfId="16023"/>
    <cellStyle name="Comma 2 7 10 3 2 3" xfId="16024"/>
    <cellStyle name="Comma 2 7 10 3 3" xfId="16025"/>
    <cellStyle name="Comma 2 7 10 3 4" xfId="16026"/>
    <cellStyle name="Comma 2 7 10 3 5" xfId="16027"/>
    <cellStyle name="Comma 2 7 10 3 6" xfId="16028"/>
    <cellStyle name="Comma 2 7 10 4" xfId="16029"/>
    <cellStyle name="Comma 2 7 10 4 2" xfId="16030"/>
    <cellStyle name="Comma 2 7 10 4 2 2" xfId="16031"/>
    <cellStyle name="Comma 2 7 10 4 3" xfId="16032"/>
    <cellStyle name="Comma 2 7 10 4 4" xfId="16033"/>
    <cellStyle name="Comma 2 7 10 4 5" xfId="16034"/>
    <cellStyle name="Comma 2 7 10 5" xfId="16035"/>
    <cellStyle name="Comma 2 7 10 5 2" xfId="16036"/>
    <cellStyle name="Comma 2 7 10 5 3" xfId="16037"/>
    <cellStyle name="Comma 2 7 10 5 4" xfId="16038"/>
    <cellStyle name="Comma 2 7 10 6" xfId="16039"/>
    <cellStyle name="Comma 2 7 10 6 2" xfId="16040"/>
    <cellStyle name="Comma 2 7 10 7" xfId="16041"/>
    <cellStyle name="Comma 2 7 10 8" xfId="16042"/>
    <cellStyle name="Comma 2 7 10 9" xfId="16043"/>
    <cellStyle name="Comma 2 7 11" xfId="16044"/>
    <cellStyle name="Comma 2 7 11 10" xfId="16045"/>
    <cellStyle name="Comma 2 7 11 2" xfId="16046"/>
    <cellStyle name="Comma 2 7 11 2 2" xfId="16047"/>
    <cellStyle name="Comma 2 7 11 2 2 2" xfId="16048"/>
    <cellStyle name="Comma 2 7 11 2 2 3" xfId="16049"/>
    <cellStyle name="Comma 2 7 11 2 3" xfId="16050"/>
    <cellStyle name="Comma 2 7 11 2 4" xfId="16051"/>
    <cellStyle name="Comma 2 7 11 2 5" xfId="16052"/>
    <cellStyle name="Comma 2 7 11 2 6" xfId="16053"/>
    <cellStyle name="Comma 2 7 11 3" xfId="16054"/>
    <cellStyle name="Comma 2 7 11 3 2" xfId="16055"/>
    <cellStyle name="Comma 2 7 11 3 2 2" xfId="16056"/>
    <cellStyle name="Comma 2 7 11 3 2 3" xfId="16057"/>
    <cellStyle name="Comma 2 7 11 3 3" xfId="16058"/>
    <cellStyle name="Comma 2 7 11 3 4" xfId="16059"/>
    <cellStyle name="Comma 2 7 11 3 5" xfId="16060"/>
    <cellStyle name="Comma 2 7 11 3 6" xfId="16061"/>
    <cellStyle name="Comma 2 7 11 4" xfId="16062"/>
    <cellStyle name="Comma 2 7 11 4 2" xfId="16063"/>
    <cellStyle name="Comma 2 7 11 4 2 2" xfId="16064"/>
    <cellStyle name="Comma 2 7 11 4 3" xfId="16065"/>
    <cellStyle name="Comma 2 7 11 4 4" xfId="16066"/>
    <cellStyle name="Comma 2 7 11 4 5" xfId="16067"/>
    <cellStyle name="Comma 2 7 11 5" xfId="16068"/>
    <cellStyle name="Comma 2 7 11 5 2" xfId="16069"/>
    <cellStyle name="Comma 2 7 11 5 3" xfId="16070"/>
    <cellStyle name="Comma 2 7 11 5 4" xfId="16071"/>
    <cellStyle name="Comma 2 7 11 6" xfId="16072"/>
    <cellStyle name="Comma 2 7 11 6 2" xfId="16073"/>
    <cellStyle name="Comma 2 7 11 7" xfId="16074"/>
    <cellStyle name="Comma 2 7 11 8" xfId="16075"/>
    <cellStyle name="Comma 2 7 11 9" xfId="16076"/>
    <cellStyle name="Comma 2 7 12" xfId="16077"/>
    <cellStyle name="Comma 2 7 12 10" xfId="16078"/>
    <cellStyle name="Comma 2 7 12 2" xfId="16079"/>
    <cellStyle name="Comma 2 7 12 2 2" xfId="16080"/>
    <cellStyle name="Comma 2 7 12 2 2 2" xfId="16081"/>
    <cellStyle name="Comma 2 7 12 2 2 3" xfId="16082"/>
    <cellStyle name="Comma 2 7 12 2 3" xfId="16083"/>
    <cellStyle name="Comma 2 7 12 2 4" xfId="16084"/>
    <cellStyle name="Comma 2 7 12 2 5" xfId="16085"/>
    <cellStyle name="Comma 2 7 12 2 6" xfId="16086"/>
    <cellStyle name="Comma 2 7 12 3" xfId="16087"/>
    <cellStyle name="Comma 2 7 12 3 2" xfId="16088"/>
    <cellStyle name="Comma 2 7 12 3 2 2" xfId="16089"/>
    <cellStyle name="Comma 2 7 12 3 2 3" xfId="16090"/>
    <cellStyle name="Comma 2 7 12 3 3" xfId="16091"/>
    <cellStyle name="Comma 2 7 12 3 4" xfId="16092"/>
    <cellStyle name="Comma 2 7 12 3 5" xfId="16093"/>
    <cellStyle name="Comma 2 7 12 3 6" xfId="16094"/>
    <cellStyle name="Comma 2 7 12 4" xfId="16095"/>
    <cellStyle name="Comma 2 7 12 4 2" xfId="16096"/>
    <cellStyle name="Comma 2 7 12 4 2 2" xfId="16097"/>
    <cellStyle name="Comma 2 7 12 4 3" xfId="16098"/>
    <cellStyle name="Comma 2 7 12 4 4" xfId="16099"/>
    <cellStyle name="Comma 2 7 12 4 5" xfId="16100"/>
    <cellStyle name="Comma 2 7 12 5" xfId="16101"/>
    <cellStyle name="Comma 2 7 12 5 2" xfId="16102"/>
    <cellStyle name="Comma 2 7 12 5 3" xfId="16103"/>
    <cellStyle name="Comma 2 7 12 5 4" xfId="16104"/>
    <cellStyle name="Comma 2 7 12 6" xfId="16105"/>
    <cellStyle name="Comma 2 7 12 6 2" xfId="16106"/>
    <cellStyle name="Comma 2 7 12 7" xfId="16107"/>
    <cellStyle name="Comma 2 7 12 8" xfId="16108"/>
    <cellStyle name="Comma 2 7 12 9" xfId="16109"/>
    <cellStyle name="Comma 2 7 13" xfId="16110"/>
    <cellStyle name="Comma 2 7 13 2" xfId="16111"/>
    <cellStyle name="Comma 2 7 13 2 2" xfId="16112"/>
    <cellStyle name="Comma 2 7 13 2 2 2" xfId="16113"/>
    <cellStyle name="Comma 2 7 13 2 2 3" xfId="16114"/>
    <cellStyle name="Comma 2 7 13 2 3" xfId="16115"/>
    <cellStyle name="Comma 2 7 13 2 4" xfId="16116"/>
    <cellStyle name="Comma 2 7 13 2 5" xfId="16117"/>
    <cellStyle name="Comma 2 7 13 2 6" xfId="16118"/>
    <cellStyle name="Comma 2 7 13 3" xfId="16119"/>
    <cellStyle name="Comma 2 7 13 3 2" xfId="16120"/>
    <cellStyle name="Comma 2 7 13 3 2 2" xfId="16121"/>
    <cellStyle name="Comma 2 7 13 3 3" xfId="16122"/>
    <cellStyle name="Comma 2 7 13 3 4" xfId="16123"/>
    <cellStyle name="Comma 2 7 13 3 5" xfId="16124"/>
    <cellStyle name="Comma 2 7 13 4" xfId="16125"/>
    <cellStyle name="Comma 2 7 13 4 2" xfId="16126"/>
    <cellStyle name="Comma 2 7 13 4 3" xfId="16127"/>
    <cellStyle name="Comma 2 7 13 4 4" xfId="16128"/>
    <cellStyle name="Comma 2 7 13 5" xfId="16129"/>
    <cellStyle name="Comma 2 7 13 5 2" xfId="16130"/>
    <cellStyle name="Comma 2 7 13 6" xfId="16131"/>
    <cellStyle name="Comma 2 7 13 7" xfId="16132"/>
    <cellStyle name="Comma 2 7 13 8" xfId="16133"/>
    <cellStyle name="Comma 2 7 13 9" xfId="16134"/>
    <cellStyle name="Comma 2 7 14" xfId="16135"/>
    <cellStyle name="Comma 2 7 14 2" xfId="16136"/>
    <cellStyle name="Comma 2 7 14 2 2" xfId="16137"/>
    <cellStyle name="Comma 2 7 14 2 2 2" xfId="16138"/>
    <cellStyle name="Comma 2 7 14 2 2 3" xfId="16139"/>
    <cellStyle name="Comma 2 7 14 2 3" xfId="16140"/>
    <cellStyle name="Comma 2 7 14 2 4" xfId="16141"/>
    <cellStyle name="Comma 2 7 14 2 5" xfId="16142"/>
    <cellStyle name="Comma 2 7 14 2 6" xfId="16143"/>
    <cellStyle name="Comma 2 7 14 3" xfId="16144"/>
    <cellStyle name="Comma 2 7 14 3 2" xfId="16145"/>
    <cellStyle name="Comma 2 7 14 3 2 2" xfId="16146"/>
    <cellStyle name="Comma 2 7 14 3 3" xfId="16147"/>
    <cellStyle name="Comma 2 7 14 3 4" xfId="16148"/>
    <cellStyle name="Comma 2 7 14 3 5" xfId="16149"/>
    <cellStyle name="Comma 2 7 14 4" xfId="16150"/>
    <cellStyle name="Comma 2 7 14 4 2" xfId="16151"/>
    <cellStyle name="Comma 2 7 14 4 3" xfId="16152"/>
    <cellStyle name="Comma 2 7 14 4 4" xfId="16153"/>
    <cellStyle name="Comma 2 7 14 5" xfId="16154"/>
    <cellStyle name="Comma 2 7 14 5 2" xfId="16155"/>
    <cellStyle name="Comma 2 7 14 6" xfId="16156"/>
    <cellStyle name="Comma 2 7 14 7" xfId="16157"/>
    <cellStyle name="Comma 2 7 14 8" xfId="16158"/>
    <cellStyle name="Comma 2 7 14 9" xfId="16159"/>
    <cellStyle name="Comma 2 7 15" xfId="16160"/>
    <cellStyle name="Comma 2 7 15 2" xfId="16161"/>
    <cellStyle name="Comma 2 7 15 2 2" xfId="16162"/>
    <cellStyle name="Comma 2 7 15 2 3" xfId="16163"/>
    <cellStyle name="Comma 2 7 15 3" xfId="16164"/>
    <cellStyle name="Comma 2 7 15 4" xfId="16165"/>
    <cellStyle name="Comma 2 7 15 5" xfId="16166"/>
    <cellStyle name="Comma 2 7 15 6" xfId="16167"/>
    <cellStyle name="Comma 2 7 16" xfId="16168"/>
    <cellStyle name="Comma 2 7 16 2" xfId="16169"/>
    <cellStyle name="Comma 2 7 16 2 2" xfId="16170"/>
    <cellStyle name="Comma 2 7 16 3" xfId="16171"/>
    <cellStyle name="Comma 2 7 16 4" xfId="16172"/>
    <cellStyle name="Comma 2 7 16 5" xfId="16173"/>
    <cellStyle name="Comma 2 7 17" xfId="16174"/>
    <cellStyle name="Comma 2 7 17 2" xfId="16175"/>
    <cellStyle name="Comma 2 7 17 2 2" xfId="16176"/>
    <cellStyle name="Comma 2 7 17 3" xfId="16177"/>
    <cellStyle name="Comma 2 7 17 4" xfId="16178"/>
    <cellStyle name="Comma 2 7 17 5" xfId="16179"/>
    <cellStyle name="Comma 2 7 18" xfId="16180"/>
    <cellStyle name="Comma 2 7 18 2" xfId="16181"/>
    <cellStyle name="Comma 2 7 19" xfId="16182"/>
    <cellStyle name="Comma 2 7 2" xfId="16183"/>
    <cellStyle name="Comma 2 7 2 10" xfId="16184"/>
    <cellStyle name="Comma 2 7 2 11" xfId="16185"/>
    <cellStyle name="Comma 2 7 2 2" xfId="16186"/>
    <cellStyle name="Comma 2 7 2 2 2" xfId="16187"/>
    <cellStyle name="Comma 2 7 2 2 2 2" xfId="16188"/>
    <cellStyle name="Comma 2 7 2 2 2 2 2" xfId="16189"/>
    <cellStyle name="Comma 2 7 2 2 2 2 3" xfId="16190"/>
    <cellStyle name="Comma 2 7 2 2 2 3" xfId="16191"/>
    <cellStyle name="Comma 2 7 2 2 2 4" xfId="16192"/>
    <cellStyle name="Comma 2 7 2 2 2 5" xfId="16193"/>
    <cellStyle name="Comma 2 7 2 2 2 6" xfId="16194"/>
    <cellStyle name="Comma 2 7 2 2 3" xfId="16195"/>
    <cellStyle name="Comma 2 7 2 2 3 2" xfId="16196"/>
    <cellStyle name="Comma 2 7 2 2 3 2 2" xfId="16197"/>
    <cellStyle name="Comma 2 7 2 2 3 3" xfId="16198"/>
    <cellStyle name="Comma 2 7 2 2 3 4" xfId="16199"/>
    <cellStyle name="Comma 2 7 2 2 3 5" xfId="16200"/>
    <cellStyle name="Comma 2 7 2 2 4" xfId="16201"/>
    <cellStyle name="Comma 2 7 2 2 4 2" xfId="16202"/>
    <cellStyle name="Comma 2 7 2 2 4 3" xfId="16203"/>
    <cellStyle name="Comma 2 7 2 2 4 4" xfId="16204"/>
    <cellStyle name="Comma 2 7 2 2 5" xfId="16205"/>
    <cellStyle name="Comma 2 7 2 2 5 2" xfId="16206"/>
    <cellStyle name="Comma 2 7 2 2 6" xfId="16207"/>
    <cellStyle name="Comma 2 7 2 2 7" xfId="16208"/>
    <cellStyle name="Comma 2 7 2 2 8" xfId="16209"/>
    <cellStyle name="Comma 2 7 2 2 9" xfId="16210"/>
    <cellStyle name="Comma 2 7 2 3" xfId="16211"/>
    <cellStyle name="Comma 2 7 2 3 2" xfId="16212"/>
    <cellStyle name="Comma 2 7 2 3 2 2" xfId="16213"/>
    <cellStyle name="Comma 2 7 2 3 2 2 2" xfId="16214"/>
    <cellStyle name="Comma 2 7 2 3 2 2 3" xfId="16215"/>
    <cellStyle name="Comma 2 7 2 3 2 3" xfId="16216"/>
    <cellStyle name="Comma 2 7 2 3 2 4" xfId="16217"/>
    <cellStyle name="Comma 2 7 2 3 2 5" xfId="16218"/>
    <cellStyle name="Comma 2 7 2 3 2 6" xfId="16219"/>
    <cellStyle name="Comma 2 7 2 3 3" xfId="16220"/>
    <cellStyle name="Comma 2 7 2 3 3 2" xfId="16221"/>
    <cellStyle name="Comma 2 7 2 3 3 2 2" xfId="16222"/>
    <cellStyle name="Comma 2 7 2 3 3 3" xfId="16223"/>
    <cellStyle name="Comma 2 7 2 3 3 4" xfId="16224"/>
    <cellStyle name="Comma 2 7 2 3 3 5" xfId="16225"/>
    <cellStyle name="Comma 2 7 2 3 4" xfId="16226"/>
    <cellStyle name="Comma 2 7 2 3 4 2" xfId="16227"/>
    <cellStyle name="Comma 2 7 2 3 4 3" xfId="16228"/>
    <cellStyle name="Comma 2 7 2 3 4 4" xfId="16229"/>
    <cellStyle name="Comma 2 7 2 3 5" xfId="16230"/>
    <cellStyle name="Comma 2 7 2 3 5 2" xfId="16231"/>
    <cellStyle name="Comma 2 7 2 3 6" xfId="16232"/>
    <cellStyle name="Comma 2 7 2 3 7" xfId="16233"/>
    <cellStyle name="Comma 2 7 2 3 8" xfId="16234"/>
    <cellStyle name="Comma 2 7 2 3 9" xfId="16235"/>
    <cellStyle name="Comma 2 7 2 4" xfId="16236"/>
    <cellStyle name="Comma 2 7 2 4 2" xfId="16237"/>
    <cellStyle name="Comma 2 7 2 4 2 2" xfId="16238"/>
    <cellStyle name="Comma 2 7 2 4 2 3" xfId="16239"/>
    <cellStyle name="Comma 2 7 2 4 3" xfId="16240"/>
    <cellStyle name="Comma 2 7 2 4 4" xfId="16241"/>
    <cellStyle name="Comma 2 7 2 4 5" xfId="16242"/>
    <cellStyle name="Comma 2 7 2 4 6" xfId="16243"/>
    <cellStyle name="Comma 2 7 2 5" xfId="16244"/>
    <cellStyle name="Comma 2 7 2 5 2" xfId="16245"/>
    <cellStyle name="Comma 2 7 2 5 2 2" xfId="16246"/>
    <cellStyle name="Comma 2 7 2 5 3" xfId="16247"/>
    <cellStyle name="Comma 2 7 2 5 4" xfId="16248"/>
    <cellStyle name="Comma 2 7 2 5 5" xfId="16249"/>
    <cellStyle name="Comma 2 7 2 6" xfId="16250"/>
    <cellStyle name="Comma 2 7 2 6 2" xfId="16251"/>
    <cellStyle name="Comma 2 7 2 6 3" xfId="16252"/>
    <cellStyle name="Comma 2 7 2 6 4" xfId="16253"/>
    <cellStyle name="Comma 2 7 2 7" xfId="16254"/>
    <cellStyle name="Comma 2 7 2 7 2" xfId="16255"/>
    <cellStyle name="Comma 2 7 2 8" xfId="16256"/>
    <cellStyle name="Comma 2 7 2 9" xfId="16257"/>
    <cellStyle name="Comma 2 7 20" xfId="16258"/>
    <cellStyle name="Comma 2 7 21" xfId="16259"/>
    <cellStyle name="Comma 2 7 22" xfId="16260"/>
    <cellStyle name="Comma 2 7 3" xfId="16261"/>
    <cellStyle name="Comma 2 7 3 10" xfId="16262"/>
    <cellStyle name="Comma 2 7 3 11" xfId="16263"/>
    <cellStyle name="Comma 2 7 3 2" xfId="16264"/>
    <cellStyle name="Comma 2 7 3 2 2" xfId="16265"/>
    <cellStyle name="Comma 2 7 3 2 2 2" xfId="16266"/>
    <cellStyle name="Comma 2 7 3 2 2 2 2" xfId="16267"/>
    <cellStyle name="Comma 2 7 3 2 2 2 3" xfId="16268"/>
    <cellStyle name="Comma 2 7 3 2 2 3" xfId="16269"/>
    <cellStyle name="Comma 2 7 3 2 2 4" xfId="16270"/>
    <cellStyle name="Comma 2 7 3 2 2 5" xfId="16271"/>
    <cellStyle name="Comma 2 7 3 2 2 6" xfId="16272"/>
    <cellStyle name="Comma 2 7 3 2 3" xfId="16273"/>
    <cellStyle name="Comma 2 7 3 2 3 2" xfId="16274"/>
    <cellStyle name="Comma 2 7 3 2 3 2 2" xfId="16275"/>
    <cellStyle name="Comma 2 7 3 2 3 3" xfId="16276"/>
    <cellStyle name="Comma 2 7 3 2 3 4" xfId="16277"/>
    <cellStyle name="Comma 2 7 3 2 3 5" xfId="16278"/>
    <cellStyle name="Comma 2 7 3 2 4" xfId="16279"/>
    <cellStyle name="Comma 2 7 3 2 4 2" xfId="16280"/>
    <cellStyle name="Comma 2 7 3 2 4 3" xfId="16281"/>
    <cellStyle name="Comma 2 7 3 2 4 4" xfId="16282"/>
    <cellStyle name="Comma 2 7 3 2 5" xfId="16283"/>
    <cellStyle name="Comma 2 7 3 2 5 2" xfId="16284"/>
    <cellStyle name="Comma 2 7 3 2 6" xfId="16285"/>
    <cellStyle name="Comma 2 7 3 2 7" xfId="16286"/>
    <cellStyle name="Comma 2 7 3 2 8" xfId="16287"/>
    <cellStyle name="Comma 2 7 3 2 9" xfId="16288"/>
    <cellStyle name="Comma 2 7 3 3" xfId="16289"/>
    <cellStyle name="Comma 2 7 3 3 2" xfId="16290"/>
    <cellStyle name="Comma 2 7 3 3 2 2" xfId="16291"/>
    <cellStyle name="Comma 2 7 3 3 2 2 2" xfId="16292"/>
    <cellStyle name="Comma 2 7 3 3 2 2 3" xfId="16293"/>
    <cellStyle name="Comma 2 7 3 3 2 3" xfId="16294"/>
    <cellStyle name="Comma 2 7 3 3 2 4" xfId="16295"/>
    <cellStyle name="Comma 2 7 3 3 2 5" xfId="16296"/>
    <cellStyle name="Comma 2 7 3 3 2 6" xfId="16297"/>
    <cellStyle name="Comma 2 7 3 3 3" xfId="16298"/>
    <cellStyle name="Comma 2 7 3 3 3 2" xfId="16299"/>
    <cellStyle name="Comma 2 7 3 3 3 2 2" xfId="16300"/>
    <cellStyle name="Comma 2 7 3 3 3 3" xfId="16301"/>
    <cellStyle name="Comma 2 7 3 3 3 4" xfId="16302"/>
    <cellStyle name="Comma 2 7 3 3 3 5" xfId="16303"/>
    <cellStyle name="Comma 2 7 3 3 4" xfId="16304"/>
    <cellStyle name="Comma 2 7 3 3 4 2" xfId="16305"/>
    <cellStyle name="Comma 2 7 3 3 4 3" xfId="16306"/>
    <cellStyle name="Comma 2 7 3 3 4 4" xfId="16307"/>
    <cellStyle name="Comma 2 7 3 3 5" xfId="16308"/>
    <cellStyle name="Comma 2 7 3 3 5 2" xfId="16309"/>
    <cellStyle name="Comma 2 7 3 3 6" xfId="16310"/>
    <cellStyle name="Comma 2 7 3 3 7" xfId="16311"/>
    <cellStyle name="Comma 2 7 3 3 8" xfId="16312"/>
    <cellStyle name="Comma 2 7 3 3 9" xfId="16313"/>
    <cellStyle name="Comma 2 7 3 4" xfId="16314"/>
    <cellStyle name="Comma 2 7 3 4 2" xfId="16315"/>
    <cellStyle name="Comma 2 7 3 4 2 2" xfId="16316"/>
    <cellStyle name="Comma 2 7 3 4 2 3" xfId="16317"/>
    <cellStyle name="Comma 2 7 3 4 3" xfId="16318"/>
    <cellStyle name="Comma 2 7 3 4 4" xfId="16319"/>
    <cellStyle name="Comma 2 7 3 4 5" xfId="16320"/>
    <cellStyle name="Comma 2 7 3 4 6" xfId="16321"/>
    <cellStyle name="Comma 2 7 3 5" xfId="16322"/>
    <cellStyle name="Comma 2 7 3 5 2" xfId="16323"/>
    <cellStyle name="Comma 2 7 3 5 2 2" xfId="16324"/>
    <cellStyle name="Comma 2 7 3 5 3" xfId="16325"/>
    <cellStyle name="Comma 2 7 3 5 4" xfId="16326"/>
    <cellStyle name="Comma 2 7 3 5 5" xfId="16327"/>
    <cellStyle name="Comma 2 7 3 6" xfId="16328"/>
    <cellStyle name="Comma 2 7 3 6 2" xfId="16329"/>
    <cellStyle name="Comma 2 7 3 6 3" xfId="16330"/>
    <cellStyle name="Comma 2 7 3 6 4" xfId="16331"/>
    <cellStyle name="Comma 2 7 3 7" xfId="16332"/>
    <cellStyle name="Comma 2 7 3 7 2" xfId="16333"/>
    <cellStyle name="Comma 2 7 3 8" xfId="16334"/>
    <cellStyle name="Comma 2 7 3 9" xfId="16335"/>
    <cellStyle name="Comma 2 7 4" xfId="16336"/>
    <cellStyle name="Comma 2 7 4 10" xfId="16337"/>
    <cellStyle name="Comma 2 7 4 11" xfId="16338"/>
    <cellStyle name="Comma 2 7 4 2" xfId="16339"/>
    <cellStyle name="Comma 2 7 4 2 2" xfId="16340"/>
    <cellStyle name="Comma 2 7 4 2 2 2" xfId="16341"/>
    <cellStyle name="Comma 2 7 4 2 2 2 2" xfId="16342"/>
    <cellStyle name="Comma 2 7 4 2 2 2 3" xfId="16343"/>
    <cellStyle name="Comma 2 7 4 2 2 3" xfId="16344"/>
    <cellStyle name="Comma 2 7 4 2 2 4" xfId="16345"/>
    <cellStyle name="Comma 2 7 4 2 2 5" xfId="16346"/>
    <cellStyle name="Comma 2 7 4 2 2 6" xfId="16347"/>
    <cellStyle name="Comma 2 7 4 2 3" xfId="16348"/>
    <cellStyle name="Comma 2 7 4 2 3 2" xfId="16349"/>
    <cellStyle name="Comma 2 7 4 2 3 2 2" xfId="16350"/>
    <cellStyle name="Comma 2 7 4 2 3 3" xfId="16351"/>
    <cellStyle name="Comma 2 7 4 2 3 4" xfId="16352"/>
    <cellStyle name="Comma 2 7 4 2 3 5" xfId="16353"/>
    <cellStyle name="Comma 2 7 4 2 4" xfId="16354"/>
    <cellStyle name="Comma 2 7 4 2 4 2" xfId="16355"/>
    <cellStyle name="Comma 2 7 4 2 4 3" xfId="16356"/>
    <cellStyle name="Comma 2 7 4 2 4 4" xfId="16357"/>
    <cellStyle name="Comma 2 7 4 2 5" xfId="16358"/>
    <cellStyle name="Comma 2 7 4 2 5 2" xfId="16359"/>
    <cellStyle name="Comma 2 7 4 2 6" xfId="16360"/>
    <cellStyle name="Comma 2 7 4 2 7" xfId="16361"/>
    <cellStyle name="Comma 2 7 4 2 8" xfId="16362"/>
    <cellStyle name="Comma 2 7 4 2 9" xfId="16363"/>
    <cellStyle name="Comma 2 7 4 3" xfId="16364"/>
    <cellStyle name="Comma 2 7 4 3 2" xfId="16365"/>
    <cellStyle name="Comma 2 7 4 3 2 2" xfId="16366"/>
    <cellStyle name="Comma 2 7 4 3 2 2 2" xfId="16367"/>
    <cellStyle name="Comma 2 7 4 3 2 2 3" xfId="16368"/>
    <cellStyle name="Comma 2 7 4 3 2 3" xfId="16369"/>
    <cellStyle name="Comma 2 7 4 3 2 4" xfId="16370"/>
    <cellStyle name="Comma 2 7 4 3 2 5" xfId="16371"/>
    <cellStyle name="Comma 2 7 4 3 2 6" xfId="16372"/>
    <cellStyle name="Comma 2 7 4 3 3" xfId="16373"/>
    <cellStyle name="Comma 2 7 4 3 3 2" xfId="16374"/>
    <cellStyle name="Comma 2 7 4 3 3 2 2" xfId="16375"/>
    <cellStyle name="Comma 2 7 4 3 3 3" xfId="16376"/>
    <cellStyle name="Comma 2 7 4 3 3 4" xfId="16377"/>
    <cellStyle name="Comma 2 7 4 3 3 5" xfId="16378"/>
    <cellStyle name="Comma 2 7 4 3 4" xfId="16379"/>
    <cellStyle name="Comma 2 7 4 3 4 2" xfId="16380"/>
    <cellStyle name="Comma 2 7 4 3 4 3" xfId="16381"/>
    <cellStyle name="Comma 2 7 4 3 4 4" xfId="16382"/>
    <cellStyle name="Comma 2 7 4 3 5" xfId="16383"/>
    <cellStyle name="Comma 2 7 4 3 5 2" xfId="16384"/>
    <cellStyle name="Comma 2 7 4 3 6" xfId="16385"/>
    <cellStyle name="Comma 2 7 4 3 7" xfId="16386"/>
    <cellStyle name="Comma 2 7 4 3 8" xfId="16387"/>
    <cellStyle name="Comma 2 7 4 3 9" xfId="16388"/>
    <cellStyle name="Comma 2 7 4 4" xfId="16389"/>
    <cellStyle name="Comma 2 7 4 4 2" xfId="16390"/>
    <cellStyle name="Comma 2 7 4 4 2 2" xfId="16391"/>
    <cellStyle name="Comma 2 7 4 4 2 3" xfId="16392"/>
    <cellStyle name="Comma 2 7 4 4 3" xfId="16393"/>
    <cellStyle name="Comma 2 7 4 4 4" xfId="16394"/>
    <cellStyle name="Comma 2 7 4 4 5" xfId="16395"/>
    <cellStyle name="Comma 2 7 4 4 6" xfId="16396"/>
    <cellStyle name="Comma 2 7 4 5" xfId="16397"/>
    <cellStyle name="Comma 2 7 4 5 2" xfId="16398"/>
    <cellStyle name="Comma 2 7 4 5 2 2" xfId="16399"/>
    <cellStyle name="Comma 2 7 4 5 3" xfId="16400"/>
    <cellStyle name="Comma 2 7 4 5 4" xfId="16401"/>
    <cellStyle name="Comma 2 7 4 5 5" xfId="16402"/>
    <cellStyle name="Comma 2 7 4 6" xfId="16403"/>
    <cellStyle name="Comma 2 7 4 6 2" xfId="16404"/>
    <cellStyle name="Comma 2 7 4 6 3" xfId="16405"/>
    <cellStyle name="Comma 2 7 4 6 4" xfId="16406"/>
    <cellStyle name="Comma 2 7 4 7" xfId="16407"/>
    <cellStyle name="Comma 2 7 4 7 2" xfId="16408"/>
    <cellStyle name="Comma 2 7 4 8" xfId="16409"/>
    <cellStyle name="Comma 2 7 4 9" xfId="16410"/>
    <cellStyle name="Comma 2 7 5" xfId="16411"/>
    <cellStyle name="Comma 2 7 5 10" xfId="16412"/>
    <cellStyle name="Comma 2 7 5 11" xfId="16413"/>
    <cellStyle name="Comma 2 7 5 2" xfId="16414"/>
    <cellStyle name="Comma 2 7 5 2 2" xfId="16415"/>
    <cellStyle name="Comma 2 7 5 2 2 2" xfId="16416"/>
    <cellStyle name="Comma 2 7 5 2 2 2 2" xfId="16417"/>
    <cellStyle name="Comma 2 7 5 2 2 2 3" xfId="16418"/>
    <cellStyle name="Comma 2 7 5 2 2 3" xfId="16419"/>
    <cellStyle name="Comma 2 7 5 2 2 4" xfId="16420"/>
    <cellStyle name="Comma 2 7 5 2 2 5" xfId="16421"/>
    <cellStyle name="Comma 2 7 5 2 2 6" xfId="16422"/>
    <cellStyle name="Comma 2 7 5 2 3" xfId="16423"/>
    <cellStyle name="Comma 2 7 5 2 3 2" xfId="16424"/>
    <cellStyle name="Comma 2 7 5 2 3 2 2" xfId="16425"/>
    <cellStyle name="Comma 2 7 5 2 3 3" xfId="16426"/>
    <cellStyle name="Comma 2 7 5 2 3 4" xfId="16427"/>
    <cellStyle name="Comma 2 7 5 2 3 5" xfId="16428"/>
    <cellStyle name="Comma 2 7 5 2 4" xfId="16429"/>
    <cellStyle name="Comma 2 7 5 2 4 2" xfId="16430"/>
    <cellStyle name="Comma 2 7 5 2 4 3" xfId="16431"/>
    <cellStyle name="Comma 2 7 5 2 4 4" xfId="16432"/>
    <cellStyle name="Comma 2 7 5 2 5" xfId="16433"/>
    <cellStyle name="Comma 2 7 5 2 5 2" xfId="16434"/>
    <cellStyle name="Comma 2 7 5 2 6" xfId="16435"/>
    <cellStyle name="Comma 2 7 5 2 7" xfId="16436"/>
    <cellStyle name="Comma 2 7 5 2 8" xfId="16437"/>
    <cellStyle name="Comma 2 7 5 2 9" xfId="16438"/>
    <cellStyle name="Comma 2 7 5 3" xfId="16439"/>
    <cellStyle name="Comma 2 7 5 3 2" xfId="16440"/>
    <cellStyle name="Comma 2 7 5 3 2 2" xfId="16441"/>
    <cellStyle name="Comma 2 7 5 3 2 2 2" xfId="16442"/>
    <cellStyle name="Comma 2 7 5 3 2 2 3" xfId="16443"/>
    <cellStyle name="Comma 2 7 5 3 2 3" xfId="16444"/>
    <cellStyle name="Comma 2 7 5 3 2 4" xfId="16445"/>
    <cellStyle name="Comma 2 7 5 3 2 5" xfId="16446"/>
    <cellStyle name="Comma 2 7 5 3 2 6" xfId="16447"/>
    <cellStyle name="Comma 2 7 5 3 3" xfId="16448"/>
    <cellStyle name="Comma 2 7 5 3 3 2" xfId="16449"/>
    <cellStyle name="Comma 2 7 5 3 3 2 2" xfId="16450"/>
    <cellStyle name="Comma 2 7 5 3 3 3" xfId="16451"/>
    <cellStyle name="Comma 2 7 5 3 3 4" xfId="16452"/>
    <cellStyle name="Comma 2 7 5 3 3 5" xfId="16453"/>
    <cellStyle name="Comma 2 7 5 3 4" xfId="16454"/>
    <cellStyle name="Comma 2 7 5 3 4 2" xfId="16455"/>
    <cellStyle name="Comma 2 7 5 3 4 3" xfId="16456"/>
    <cellStyle name="Comma 2 7 5 3 4 4" xfId="16457"/>
    <cellStyle name="Comma 2 7 5 3 5" xfId="16458"/>
    <cellStyle name="Comma 2 7 5 3 5 2" xfId="16459"/>
    <cellStyle name="Comma 2 7 5 3 6" xfId="16460"/>
    <cellStyle name="Comma 2 7 5 3 7" xfId="16461"/>
    <cellStyle name="Comma 2 7 5 3 8" xfId="16462"/>
    <cellStyle name="Comma 2 7 5 3 9" xfId="16463"/>
    <cellStyle name="Comma 2 7 5 4" xfId="16464"/>
    <cellStyle name="Comma 2 7 5 4 2" xfId="16465"/>
    <cellStyle name="Comma 2 7 5 4 2 2" xfId="16466"/>
    <cellStyle name="Comma 2 7 5 4 2 3" xfId="16467"/>
    <cellStyle name="Comma 2 7 5 4 3" xfId="16468"/>
    <cellStyle name="Comma 2 7 5 4 4" xfId="16469"/>
    <cellStyle name="Comma 2 7 5 4 5" xfId="16470"/>
    <cellStyle name="Comma 2 7 5 4 6" xfId="16471"/>
    <cellStyle name="Comma 2 7 5 5" xfId="16472"/>
    <cellStyle name="Comma 2 7 5 5 2" xfId="16473"/>
    <cellStyle name="Comma 2 7 5 5 2 2" xfId="16474"/>
    <cellStyle name="Comma 2 7 5 5 3" xfId="16475"/>
    <cellStyle name="Comma 2 7 5 5 4" xfId="16476"/>
    <cellStyle name="Comma 2 7 5 5 5" xfId="16477"/>
    <cellStyle name="Comma 2 7 5 6" xfId="16478"/>
    <cellStyle name="Comma 2 7 5 6 2" xfId="16479"/>
    <cellStyle name="Comma 2 7 5 6 3" xfId="16480"/>
    <cellStyle name="Comma 2 7 5 6 4" xfId="16481"/>
    <cellStyle name="Comma 2 7 5 7" xfId="16482"/>
    <cellStyle name="Comma 2 7 5 7 2" xfId="16483"/>
    <cellStyle name="Comma 2 7 5 8" xfId="16484"/>
    <cellStyle name="Comma 2 7 5 9" xfId="16485"/>
    <cellStyle name="Comma 2 7 6" xfId="16486"/>
    <cellStyle name="Comma 2 7 6 10" xfId="16487"/>
    <cellStyle name="Comma 2 7 6 11" xfId="16488"/>
    <cellStyle name="Comma 2 7 6 2" xfId="16489"/>
    <cellStyle name="Comma 2 7 6 2 2" xfId="16490"/>
    <cellStyle name="Comma 2 7 6 2 2 2" xfId="16491"/>
    <cellStyle name="Comma 2 7 6 2 2 2 2" xfId="16492"/>
    <cellStyle name="Comma 2 7 6 2 2 2 3" xfId="16493"/>
    <cellStyle name="Comma 2 7 6 2 2 3" xfId="16494"/>
    <cellStyle name="Comma 2 7 6 2 2 4" xfId="16495"/>
    <cellStyle name="Comma 2 7 6 2 2 5" xfId="16496"/>
    <cellStyle name="Comma 2 7 6 2 2 6" xfId="16497"/>
    <cellStyle name="Comma 2 7 6 2 3" xfId="16498"/>
    <cellStyle name="Comma 2 7 6 2 3 2" xfId="16499"/>
    <cellStyle name="Comma 2 7 6 2 3 2 2" xfId="16500"/>
    <cellStyle name="Comma 2 7 6 2 3 3" xfId="16501"/>
    <cellStyle name="Comma 2 7 6 2 3 4" xfId="16502"/>
    <cellStyle name="Comma 2 7 6 2 3 5" xfId="16503"/>
    <cellStyle name="Comma 2 7 6 2 4" xfId="16504"/>
    <cellStyle name="Comma 2 7 6 2 4 2" xfId="16505"/>
    <cellStyle name="Comma 2 7 6 2 4 3" xfId="16506"/>
    <cellStyle name="Comma 2 7 6 2 4 4" xfId="16507"/>
    <cellStyle name="Comma 2 7 6 2 5" xfId="16508"/>
    <cellStyle name="Comma 2 7 6 2 5 2" xfId="16509"/>
    <cellStyle name="Comma 2 7 6 2 6" xfId="16510"/>
    <cellStyle name="Comma 2 7 6 2 7" xfId="16511"/>
    <cellStyle name="Comma 2 7 6 2 8" xfId="16512"/>
    <cellStyle name="Comma 2 7 6 2 9" xfId="16513"/>
    <cellStyle name="Comma 2 7 6 3" xfId="16514"/>
    <cellStyle name="Comma 2 7 6 3 2" xfId="16515"/>
    <cellStyle name="Comma 2 7 6 3 2 2" xfId="16516"/>
    <cellStyle name="Comma 2 7 6 3 2 2 2" xfId="16517"/>
    <cellStyle name="Comma 2 7 6 3 2 2 3" xfId="16518"/>
    <cellStyle name="Comma 2 7 6 3 2 3" xfId="16519"/>
    <cellStyle name="Comma 2 7 6 3 2 4" xfId="16520"/>
    <cellStyle name="Comma 2 7 6 3 2 5" xfId="16521"/>
    <cellStyle name="Comma 2 7 6 3 2 6" xfId="16522"/>
    <cellStyle name="Comma 2 7 6 3 3" xfId="16523"/>
    <cellStyle name="Comma 2 7 6 3 3 2" xfId="16524"/>
    <cellStyle name="Comma 2 7 6 3 3 2 2" xfId="16525"/>
    <cellStyle name="Comma 2 7 6 3 3 3" xfId="16526"/>
    <cellStyle name="Comma 2 7 6 3 3 4" xfId="16527"/>
    <cellStyle name="Comma 2 7 6 3 3 5" xfId="16528"/>
    <cellStyle name="Comma 2 7 6 3 4" xfId="16529"/>
    <cellStyle name="Comma 2 7 6 3 4 2" xfId="16530"/>
    <cellStyle name="Comma 2 7 6 3 4 3" xfId="16531"/>
    <cellStyle name="Comma 2 7 6 3 4 4" xfId="16532"/>
    <cellStyle name="Comma 2 7 6 3 5" xfId="16533"/>
    <cellStyle name="Comma 2 7 6 3 5 2" xfId="16534"/>
    <cellStyle name="Comma 2 7 6 3 6" xfId="16535"/>
    <cellStyle name="Comma 2 7 6 3 7" xfId="16536"/>
    <cellStyle name="Comma 2 7 6 3 8" xfId="16537"/>
    <cellStyle name="Comma 2 7 6 3 9" xfId="16538"/>
    <cellStyle name="Comma 2 7 6 4" xfId="16539"/>
    <cellStyle name="Comma 2 7 6 4 2" xfId="16540"/>
    <cellStyle name="Comma 2 7 6 4 2 2" xfId="16541"/>
    <cellStyle name="Comma 2 7 6 4 2 3" xfId="16542"/>
    <cellStyle name="Comma 2 7 6 4 3" xfId="16543"/>
    <cellStyle name="Comma 2 7 6 4 4" xfId="16544"/>
    <cellStyle name="Comma 2 7 6 4 5" xfId="16545"/>
    <cellStyle name="Comma 2 7 6 4 6" xfId="16546"/>
    <cellStyle name="Comma 2 7 6 5" xfId="16547"/>
    <cellStyle name="Comma 2 7 6 5 2" xfId="16548"/>
    <cellStyle name="Comma 2 7 6 5 2 2" xfId="16549"/>
    <cellStyle name="Comma 2 7 6 5 3" xfId="16550"/>
    <cellStyle name="Comma 2 7 6 5 4" xfId="16551"/>
    <cellStyle name="Comma 2 7 6 5 5" xfId="16552"/>
    <cellStyle name="Comma 2 7 6 6" xfId="16553"/>
    <cellStyle name="Comma 2 7 6 6 2" xfId="16554"/>
    <cellStyle name="Comma 2 7 6 6 3" xfId="16555"/>
    <cellStyle name="Comma 2 7 6 6 4" xfId="16556"/>
    <cellStyle name="Comma 2 7 6 7" xfId="16557"/>
    <cellStyle name="Comma 2 7 6 7 2" xfId="16558"/>
    <cellStyle name="Comma 2 7 6 8" xfId="16559"/>
    <cellStyle name="Comma 2 7 6 9" xfId="16560"/>
    <cellStyle name="Comma 2 7 7" xfId="16561"/>
    <cellStyle name="Comma 2 7 7 10" xfId="16562"/>
    <cellStyle name="Comma 2 7 7 11" xfId="16563"/>
    <cellStyle name="Comma 2 7 7 2" xfId="16564"/>
    <cellStyle name="Comma 2 7 7 2 2" xfId="16565"/>
    <cellStyle name="Comma 2 7 7 2 2 2" xfId="16566"/>
    <cellStyle name="Comma 2 7 7 2 2 2 2" xfId="16567"/>
    <cellStyle name="Comma 2 7 7 2 2 2 3" xfId="16568"/>
    <cellStyle name="Comma 2 7 7 2 2 3" xfId="16569"/>
    <cellStyle name="Comma 2 7 7 2 2 4" xfId="16570"/>
    <cellStyle name="Comma 2 7 7 2 2 5" xfId="16571"/>
    <cellStyle name="Comma 2 7 7 2 2 6" xfId="16572"/>
    <cellStyle name="Comma 2 7 7 2 3" xfId="16573"/>
    <cellStyle name="Comma 2 7 7 2 3 2" xfId="16574"/>
    <cellStyle name="Comma 2 7 7 2 3 2 2" xfId="16575"/>
    <cellStyle name="Comma 2 7 7 2 3 3" xfId="16576"/>
    <cellStyle name="Comma 2 7 7 2 3 4" xfId="16577"/>
    <cellStyle name="Comma 2 7 7 2 3 5" xfId="16578"/>
    <cellStyle name="Comma 2 7 7 2 4" xfId="16579"/>
    <cellStyle name="Comma 2 7 7 2 4 2" xfId="16580"/>
    <cellStyle name="Comma 2 7 7 2 4 3" xfId="16581"/>
    <cellStyle name="Comma 2 7 7 2 4 4" xfId="16582"/>
    <cellStyle name="Comma 2 7 7 2 5" xfId="16583"/>
    <cellStyle name="Comma 2 7 7 2 5 2" xfId="16584"/>
    <cellStyle name="Comma 2 7 7 2 6" xfId="16585"/>
    <cellStyle name="Comma 2 7 7 2 7" xfId="16586"/>
    <cellStyle name="Comma 2 7 7 2 8" xfId="16587"/>
    <cellStyle name="Comma 2 7 7 2 9" xfId="16588"/>
    <cellStyle name="Comma 2 7 7 3" xfId="16589"/>
    <cellStyle name="Comma 2 7 7 3 2" xfId="16590"/>
    <cellStyle name="Comma 2 7 7 3 2 2" xfId="16591"/>
    <cellStyle name="Comma 2 7 7 3 2 2 2" xfId="16592"/>
    <cellStyle name="Comma 2 7 7 3 2 2 3" xfId="16593"/>
    <cellStyle name="Comma 2 7 7 3 2 3" xfId="16594"/>
    <cellStyle name="Comma 2 7 7 3 2 4" xfId="16595"/>
    <cellStyle name="Comma 2 7 7 3 2 5" xfId="16596"/>
    <cellStyle name="Comma 2 7 7 3 2 6" xfId="16597"/>
    <cellStyle name="Comma 2 7 7 3 3" xfId="16598"/>
    <cellStyle name="Comma 2 7 7 3 3 2" xfId="16599"/>
    <cellStyle name="Comma 2 7 7 3 3 2 2" xfId="16600"/>
    <cellStyle name="Comma 2 7 7 3 3 3" xfId="16601"/>
    <cellStyle name="Comma 2 7 7 3 3 4" xfId="16602"/>
    <cellStyle name="Comma 2 7 7 3 3 5" xfId="16603"/>
    <cellStyle name="Comma 2 7 7 3 4" xfId="16604"/>
    <cellStyle name="Comma 2 7 7 3 4 2" xfId="16605"/>
    <cellStyle name="Comma 2 7 7 3 4 3" xfId="16606"/>
    <cellStyle name="Comma 2 7 7 3 4 4" xfId="16607"/>
    <cellStyle name="Comma 2 7 7 3 5" xfId="16608"/>
    <cellStyle name="Comma 2 7 7 3 5 2" xfId="16609"/>
    <cellStyle name="Comma 2 7 7 3 6" xfId="16610"/>
    <cellStyle name="Comma 2 7 7 3 7" xfId="16611"/>
    <cellStyle name="Comma 2 7 7 3 8" xfId="16612"/>
    <cellStyle name="Comma 2 7 7 3 9" xfId="16613"/>
    <cellStyle name="Comma 2 7 7 4" xfId="16614"/>
    <cellStyle name="Comma 2 7 7 4 2" xfId="16615"/>
    <cellStyle name="Comma 2 7 7 4 2 2" xfId="16616"/>
    <cellStyle name="Comma 2 7 7 4 2 3" xfId="16617"/>
    <cellStyle name="Comma 2 7 7 4 3" xfId="16618"/>
    <cellStyle name="Comma 2 7 7 4 4" xfId="16619"/>
    <cellStyle name="Comma 2 7 7 4 5" xfId="16620"/>
    <cellStyle name="Comma 2 7 7 4 6" xfId="16621"/>
    <cellStyle name="Comma 2 7 7 5" xfId="16622"/>
    <cellStyle name="Comma 2 7 7 5 2" xfId="16623"/>
    <cellStyle name="Comma 2 7 7 5 2 2" xfId="16624"/>
    <cellStyle name="Comma 2 7 7 5 3" xfId="16625"/>
    <cellStyle name="Comma 2 7 7 5 4" xfId="16626"/>
    <cellStyle name="Comma 2 7 7 5 5" xfId="16627"/>
    <cellStyle name="Comma 2 7 7 6" xfId="16628"/>
    <cellStyle name="Comma 2 7 7 6 2" xfId="16629"/>
    <cellStyle name="Comma 2 7 7 6 3" xfId="16630"/>
    <cellStyle name="Comma 2 7 7 6 4" xfId="16631"/>
    <cellStyle name="Comma 2 7 7 7" xfId="16632"/>
    <cellStyle name="Comma 2 7 7 7 2" xfId="16633"/>
    <cellStyle name="Comma 2 7 7 8" xfId="16634"/>
    <cellStyle name="Comma 2 7 7 9" xfId="16635"/>
    <cellStyle name="Comma 2 7 8" xfId="16636"/>
    <cellStyle name="Comma 2 7 8 10" xfId="16637"/>
    <cellStyle name="Comma 2 7 8 2" xfId="16638"/>
    <cellStyle name="Comma 2 7 8 2 2" xfId="16639"/>
    <cellStyle name="Comma 2 7 8 2 2 2" xfId="16640"/>
    <cellStyle name="Comma 2 7 8 2 2 3" xfId="16641"/>
    <cellStyle name="Comma 2 7 8 2 3" xfId="16642"/>
    <cellStyle name="Comma 2 7 8 2 4" xfId="16643"/>
    <cellStyle name="Comma 2 7 8 2 5" xfId="16644"/>
    <cellStyle name="Comma 2 7 8 2 6" xfId="16645"/>
    <cellStyle name="Comma 2 7 8 3" xfId="16646"/>
    <cellStyle name="Comma 2 7 8 3 2" xfId="16647"/>
    <cellStyle name="Comma 2 7 8 3 2 2" xfId="16648"/>
    <cellStyle name="Comma 2 7 8 3 2 3" xfId="16649"/>
    <cellStyle name="Comma 2 7 8 3 3" xfId="16650"/>
    <cellStyle name="Comma 2 7 8 3 4" xfId="16651"/>
    <cellStyle name="Comma 2 7 8 3 5" xfId="16652"/>
    <cellStyle name="Comma 2 7 8 3 6" xfId="16653"/>
    <cellStyle name="Comma 2 7 8 4" xfId="16654"/>
    <cellStyle name="Comma 2 7 8 4 2" xfId="16655"/>
    <cellStyle name="Comma 2 7 8 4 2 2" xfId="16656"/>
    <cellStyle name="Comma 2 7 8 4 3" xfId="16657"/>
    <cellStyle name="Comma 2 7 8 4 4" xfId="16658"/>
    <cellStyle name="Comma 2 7 8 4 5" xfId="16659"/>
    <cellStyle name="Comma 2 7 8 5" xfId="16660"/>
    <cellStyle name="Comma 2 7 8 5 2" xfId="16661"/>
    <cellStyle name="Comma 2 7 8 5 3" xfId="16662"/>
    <cellStyle name="Comma 2 7 8 5 4" xfId="16663"/>
    <cellStyle name="Comma 2 7 8 6" xfId="16664"/>
    <cellStyle name="Comma 2 7 8 6 2" xfId="16665"/>
    <cellStyle name="Comma 2 7 8 7" xfId="16666"/>
    <cellStyle name="Comma 2 7 8 8" xfId="16667"/>
    <cellStyle name="Comma 2 7 8 9" xfId="16668"/>
    <cellStyle name="Comma 2 7 9" xfId="16669"/>
    <cellStyle name="Comma 2 7 9 10" xfId="16670"/>
    <cellStyle name="Comma 2 7 9 2" xfId="16671"/>
    <cellStyle name="Comma 2 7 9 2 2" xfId="16672"/>
    <cellStyle name="Comma 2 7 9 2 2 2" xfId="16673"/>
    <cellStyle name="Comma 2 7 9 2 2 3" xfId="16674"/>
    <cellStyle name="Comma 2 7 9 2 3" xfId="16675"/>
    <cellStyle name="Comma 2 7 9 2 4" xfId="16676"/>
    <cellStyle name="Comma 2 7 9 2 5" xfId="16677"/>
    <cellStyle name="Comma 2 7 9 2 6" xfId="16678"/>
    <cellStyle name="Comma 2 7 9 3" xfId="16679"/>
    <cellStyle name="Comma 2 7 9 3 2" xfId="16680"/>
    <cellStyle name="Comma 2 7 9 3 2 2" xfId="16681"/>
    <cellStyle name="Comma 2 7 9 3 2 3" xfId="16682"/>
    <cellStyle name="Comma 2 7 9 3 3" xfId="16683"/>
    <cellStyle name="Comma 2 7 9 3 4" xfId="16684"/>
    <cellStyle name="Comma 2 7 9 3 5" xfId="16685"/>
    <cellStyle name="Comma 2 7 9 3 6" xfId="16686"/>
    <cellStyle name="Comma 2 7 9 4" xfId="16687"/>
    <cellStyle name="Comma 2 7 9 4 2" xfId="16688"/>
    <cellStyle name="Comma 2 7 9 4 2 2" xfId="16689"/>
    <cellStyle name="Comma 2 7 9 4 3" xfId="16690"/>
    <cellStyle name="Comma 2 7 9 4 4" xfId="16691"/>
    <cellStyle name="Comma 2 7 9 4 5" xfId="16692"/>
    <cellStyle name="Comma 2 7 9 5" xfId="16693"/>
    <cellStyle name="Comma 2 7 9 5 2" xfId="16694"/>
    <cellStyle name="Comma 2 7 9 5 3" xfId="16695"/>
    <cellStyle name="Comma 2 7 9 5 4" xfId="16696"/>
    <cellStyle name="Comma 2 7 9 6" xfId="16697"/>
    <cellStyle name="Comma 2 7 9 6 2" xfId="16698"/>
    <cellStyle name="Comma 2 7 9 7" xfId="16699"/>
    <cellStyle name="Comma 2 7 9 8" xfId="16700"/>
    <cellStyle name="Comma 2 7 9 9" xfId="16701"/>
    <cellStyle name="Comma 2 8" xfId="16702"/>
    <cellStyle name="Comma 2 8 10" xfId="16703"/>
    <cellStyle name="Comma 2 8 10 10" xfId="16704"/>
    <cellStyle name="Comma 2 8 10 2" xfId="16705"/>
    <cellStyle name="Comma 2 8 10 2 2" xfId="16706"/>
    <cellStyle name="Comma 2 8 10 2 2 2" xfId="16707"/>
    <cellStyle name="Comma 2 8 10 2 2 3" xfId="16708"/>
    <cellStyle name="Comma 2 8 10 2 3" xfId="16709"/>
    <cellStyle name="Comma 2 8 10 2 4" xfId="16710"/>
    <cellStyle name="Comma 2 8 10 2 5" xfId="16711"/>
    <cellStyle name="Comma 2 8 10 2 6" xfId="16712"/>
    <cellStyle name="Comma 2 8 10 3" xfId="16713"/>
    <cellStyle name="Comma 2 8 10 3 2" xfId="16714"/>
    <cellStyle name="Comma 2 8 10 3 2 2" xfId="16715"/>
    <cellStyle name="Comma 2 8 10 3 2 3" xfId="16716"/>
    <cellStyle name="Comma 2 8 10 3 3" xfId="16717"/>
    <cellStyle name="Comma 2 8 10 3 4" xfId="16718"/>
    <cellStyle name="Comma 2 8 10 3 5" xfId="16719"/>
    <cellStyle name="Comma 2 8 10 3 6" xfId="16720"/>
    <cellStyle name="Comma 2 8 10 4" xfId="16721"/>
    <cellStyle name="Comma 2 8 10 4 2" xfId="16722"/>
    <cellStyle name="Comma 2 8 10 4 2 2" xfId="16723"/>
    <cellStyle name="Comma 2 8 10 4 3" xfId="16724"/>
    <cellStyle name="Comma 2 8 10 4 4" xfId="16725"/>
    <cellStyle name="Comma 2 8 10 4 5" xfId="16726"/>
    <cellStyle name="Comma 2 8 10 5" xfId="16727"/>
    <cellStyle name="Comma 2 8 10 5 2" xfId="16728"/>
    <cellStyle name="Comma 2 8 10 5 3" xfId="16729"/>
    <cellStyle name="Comma 2 8 10 5 4" xfId="16730"/>
    <cellStyle name="Comma 2 8 10 6" xfId="16731"/>
    <cellStyle name="Comma 2 8 10 6 2" xfId="16732"/>
    <cellStyle name="Comma 2 8 10 7" xfId="16733"/>
    <cellStyle name="Comma 2 8 10 8" xfId="16734"/>
    <cellStyle name="Comma 2 8 10 9" xfId="16735"/>
    <cellStyle name="Comma 2 8 11" xfId="16736"/>
    <cellStyle name="Comma 2 8 11 10" xfId="16737"/>
    <cellStyle name="Comma 2 8 11 2" xfId="16738"/>
    <cellStyle name="Comma 2 8 11 2 2" xfId="16739"/>
    <cellStyle name="Comma 2 8 11 2 2 2" xfId="16740"/>
    <cellStyle name="Comma 2 8 11 2 2 3" xfId="16741"/>
    <cellStyle name="Comma 2 8 11 2 3" xfId="16742"/>
    <cellStyle name="Comma 2 8 11 2 4" xfId="16743"/>
    <cellStyle name="Comma 2 8 11 2 5" xfId="16744"/>
    <cellStyle name="Comma 2 8 11 2 6" xfId="16745"/>
    <cellStyle name="Comma 2 8 11 3" xfId="16746"/>
    <cellStyle name="Comma 2 8 11 3 2" xfId="16747"/>
    <cellStyle name="Comma 2 8 11 3 2 2" xfId="16748"/>
    <cellStyle name="Comma 2 8 11 3 2 3" xfId="16749"/>
    <cellStyle name="Comma 2 8 11 3 3" xfId="16750"/>
    <cellStyle name="Comma 2 8 11 3 4" xfId="16751"/>
    <cellStyle name="Comma 2 8 11 3 5" xfId="16752"/>
    <cellStyle name="Comma 2 8 11 3 6" xfId="16753"/>
    <cellStyle name="Comma 2 8 11 4" xfId="16754"/>
    <cellStyle name="Comma 2 8 11 4 2" xfId="16755"/>
    <cellStyle name="Comma 2 8 11 4 2 2" xfId="16756"/>
    <cellStyle name="Comma 2 8 11 4 3" xfId="16757"/>
    <cellStyle name="Comma 2 8 11 4 4" xfId="16758"/>
    <cellStyle name="Comma 2 8 11 4 5" xfId="16759"/>
    <cellStyle name="Comma 2 8 11 5" xfId="16760"/>
    <cellStyle name="Comma 2 8 11 5 2" xfId="16761"/>
    <cellStyle name="Comma 2 8 11 5 3" xfId="16762"/>
    <cellStyle name="Comma 2 8 11 5 4" xfId="16763"/>
    <cellStyle name="Comma 2 8 11 6" xfId="16764"/>
    <cellStyle name="Comma 2 8 11 6 2" xfId="16765"/>
    <cellStyle name="Comma 2 8 11 7" xfId="16766"/>
    <cellStyle name="Comma 2 8 11 8" xfId="16767"/>
    <cellStyle name="Comma 2 8 11 9" xfId="16768"/>
    <cellStyle name="Comma 2 8 12" xfId="16769"/>
    <cellStyle name="Comma 2 8 12 10" xfId="16770"/>
    <cellStyle name="Comma 2 8 12 2" xfId="16771"/>
    <cellStyle name="Comma 2 8 12 2 2" xfId="16772"/>
    <cellStyle name="Comma 2 8 12 2 2 2" xfId="16773"/>
    <cellStyle name="Comma 2 8 12 2 2 3" xfId="16774"/>
    <cellStyle name="Comma 2 8 12 2 3" xfId="16775"/>
    <cellStyle name="Comma 2 8 12 2 4" xfId="16776"/>
    <cellStyle name="Comma 2 8 12 2 5" xfId="16777"/>
    <cellStyle name="Comma 2 8 12 2 6" xfId="16778"/>
    <cellStyle name="Comma 2 8 12 3" xfId="16779"/>
    <cellStyle name="Comma 2 8 12 3 2" xfId="16780"/>
    <cellStyle name="Comma 2 8 12 3 2 2" xfId="16781"/>
    <cellStyle name="Comma 2 8 12 3 2 3" xfId="16782"/>
    <cellStyle name="Comma 2 8 12 3 3" xfId="16783"/>
    <cellStyle name="Comma 2 8 12 3 4" xfId="16784"/>
    <cellStyle name="Comma 2 8 12 3 5" xfId="16785"/>
    <cellStyle name="Comma 2 8 12 3 6" xfId="16786"/>
    <cellStyle name="Comma 2 8 12 4" xfId="16787"/>
    <cellStyle name="Comma 2 8 12 4 2" xfId="16788"/>
    <cellStyle name="Comma 2 8 12 4 2 2" xfId="16789"/>
    <cellStyle name="Comma 2 8 12 4 3" xfId="16790"/>
    <cellStyle name="Comma 2 8 12 4 4" xfId="16791"/>
    <cellStyle name="Comma 2 8 12 4 5" xfId="16792"/>
    <cellStyle name="Comma 2 8 12 5" xfId="16793"/>
    <cellStyle name="Comma 2 8 12 5 2" xfId="16794"/>
    <cellStyle name="Comma 2 8 12 5 3" xfId="16795"/>
    <cellStyle name="Comma 2 8 12 5 4" xfId="16796"/>
    <cellStyle name="Comma 2 8 12 6" xfId="16797"/>
    <cellStyle name="Comma 2 8 12 6 2" xfId="16798"/>
    <cellStyle name="Comma 2 8 12 7" xfId="16799"/>
    <cellStyle name="Comma 2 8 12 8" xfId="16800"/>
    <cellStyle name="Comma 2 8 12 9" xfId="16801"/>
    <cellStyle name="Comma 2 8 13" xfId="16802"/>
    <cellStyle name="Comma 2 8 13 2" xfId="16803"/>
    <cellStyle name="Comma 2 8 13 2 2" xfId="16804"/>
    <cellStyle name="Comma 2 8 13 2 2 2" xfId="16805"/>
    <cellStyle name="Comma 2 8 13 2 2 3" xfId="16806"/>
    <cellStyle name="Comma 2 8 13 2 3" xfId="16807"/>
    <cellStyle name="Comma 2 8 13 2 4" xfId="16808"/>
    <cellStyle name="Comma 2 8 13 2 5" xfId="16809"/>
    <cellStyle name="Comma 2 8 13 2 6" xfId="16810"/>
    <cellStyle name="Comma 2 8 13 3" xfId="16811"/>
    <cellStyle name="Comma 2 8 13 3 2" xfId="16812"/>
    <cellStyle name="Comma 2 8 13 3 2 2" xfId="16813"/>
    <cellStyle name="Comma 2 8 13 3 3" xfId="16814"/>
    <cellStyle name="Comma 2 8 13 3 4" xfId="16815"/>
    <cellStyle name="Comma 2 8 13 3 5" xfId="16816"/>
    <cellStyle name="Comma 2 8 13 4" xfId="16817"/>
    <cellStyle name="Comma 2 8 13 4 2" xfId="16818"/>
    <cellStyle name="Comma 2 8 13 4 3" xfId="16819"/>
    <cellStyle name="Comma 2 8 13 4 4" xfId="16820"/>
    <cellStyle name="Comma 2 8 13 5" xfId="16821"/>
    <cellStyle name="Comma 2 8 13 5 2" xfId="16822"/>
    <cellStyle name="Comma 2 8 13 6" xfId="16823"/>
    <cellStyle name="Comma 2 8 13 7" xfId="16824"/>
    <cellStyle name="Comma 2 8 13 8" xfId="16825"/>
    <cellStyle name="Comma 2 8 13 9" xfId="16826"/>
    <cellStyle name="Comma 2 8 14" xfId="16827"/>
    <cellStyle name="Comma 2 8 14 2" xfId="16828"/>
    <cellStyle name="Comma 2 8 14 2 2" xfId="16829"/>
    <cellStyle name="Comma 2 8 14 2 2 2" xfId="16830"/>
    <cellStyle name="Comma 2 8 14 2 2 3" xfId="16831"/>
    <cellStyle name="Comma 2 8 14 2 3" xfId="16832"/>
    <cellStyle name="Comma 2 8 14 2 4" xfId="16833"/>
    <cellStyle name="Comma 2 8 14 2 5" xfId="16834"/>
    <cellStyle name="Comma 2 8 14 2 6" xfId="16835"/>
    <cellStyle name="Comma 2 8 14 3" xfId="16836"/>
    <cellStyle name="Comma 2 8 14 3 2" xfId="16837"/>
    <cellStyle name="Comma 2 8 14 3 2 2" xfId="16838"/>
    <cellStyle name="Comma 2 8 14 3 3" xfId="16839"/>
    <cellStyle name="Comma 2 8 14 3 4" xfId="16840"/>
    <cellStyle name="Comma 2 8 14 3 5" xfId="16841"/>
    <cellStyle name="Comma 2 8 14 4" xfId="16842"/>
    <cellStyle name="Comma 2 8 14 4 2" xfId="16843"/>
    <cellStyle name="Comma 2 8 14 4 3" xfId="16844"/>
    <cellStyle name="Comma 2 8 14 4 4" xfId="16845"/>
    <cellStyle name="Comma 2 8 14 5" xfId="16846"/>
    <cellStyle name="Comma 2 8 14 5 2" xfId="16847"/>
    <cellStyle name="Comma 2 8 14 6" xfId="16848"/>
    <cellStyle name="Comma 2 8 14 7" xfId="16849"/>
    <cellStyle name="Comma 2 8 14 8" xfId="16850"/>
    <cellStyle name="Comma 2 8 14 9" xfId="16851"/>
    <cellStyle name="Comma 2 8 15" xfId="16852"/>
    <cellStyle name="Comma 2 8 15 2" xfId="16853"/>
    <cellStyle name="Comma 2 8 15 2 2" xfId="16854"/>
    <cellStyle name="Comma 2 8 15 2 3" xfId="16855"/>
    <cellStyle name="Comma 2 8 15 3" xfId="16856"/>
    <cellStyle name="Comma 2 8 15 4" xfId="16857"/>
    <cellStyle name="Comma 2 8 15 5" xfId="16858"/>
    <cellStyle name="Comma 2 8 15 6" xfId="16859"/>
    <cellStyle name="Comma 2 8 16" xfId="16860"/>
    <cellStyle name="Comma 2 8 16 2" xfId="16861"/>
    <cellStyle name="Comma 2 8 16 2 2" xfId="16862"/>
    <cellStyle name="Comma 2 8 16 3" xfId="16863"/>
    <cellStyle name="Comma 2 8 16 4" xfId="16864"/>
    <cellStyle name="Comma 2 8 16 5" xfId="16865"/>
    <cellStyle name="Comma 2 8 17" xfId="16866"/>
    <cellStyle name="Comma 2 8 17 2" xfId="16867"/>
    <cellStyle name="Comma 2 8 17 2 2" xfId="16868"/>
    <cellStyle name="Comma 2 8 17 3" xfId="16869"/>
    <cellStyle name="Comma 2 8 17 4" xfId="16870"/>
    <cellStyle name="Comma 2 8 17 5" xfId="16871"/>
    <cellStyle name="Comma 2 8 18" xfId="16872"/>
    <cellStyle name="Comma 2 8 18 2" xfId="16873"/>
    <cellStyle name="Comma 2 8 19" xfId="16874"/>
    <cellStyle name="Comma 2 8 2" xfId="16875"/>
    <cellStyle name="Comma 2 8 2 10" xfId="16876"/>
    <cellStyle name="Comma 2 8 2 11" xfId="16877"/>
    <cellStyle name="Comma 2 8 2 2" xfId="16878"/>
    <cellStyle name="Comma 2 8 2 2 2" xfId="16879"/>
    <cellStyle name="Comma 2 8 2 2 2 2" xfId="16880"/>
    <cellStyle name="Comma 2 8 2 2 2 2 2" xfId="16881"/>
    <cellStyle name="Comma 2 8 2 2 2 2 3" xfId="16882"/>
    <cellStyle name="Comma 2 8 2 2 2 3" xfId="16883"/>
    <cellStyle name="Comma 2 8 2 2 2 4" xfId="16884"/>
    <cellStyle name="Comma 2 8 2 2 2 5" xfId="16885"/>
    <cellStyle name="Comma 2 8 2 2 2 6" xfId="16886"/>
    <cellStyle name="Comma 2 8 2 2 3" xfId="16887"/>
    <cellStyle name="Comma 2 8 2 2 3 2" xfId="16888"/>
    <cellStyle name="Comma 2 8 2 2 3 2 2" xfId="16889"/>
    <cellStyle name="Comma 2 8 2 2 3 3" xfId="16890"/>
    <cellStyle name="Comma 2 8 2 2 3 4" xfId="16891"/>
    <cellStyle name="Comma 2 8 2 2 3 5" xfId="16892"/>
    <cellStyle name="Comma 2 8 2 2 4" xfId="16893"/>
    <cellStyle name="Comma 2 8 2 2 4 2" xfId="16894"/>
    <cellStyle name="Comma 2 8 2 2 4 3" xfId="16895"/>
    <cellStyle name="Comma 2 8 2 2 4 4" xfId="16896"/>
    <cellStyle name="Comma 2 8 2 2 5" xfId="16897"/>
    <cellStyle name="Comma 2 8 2 2 5 2" xfId="16898"/>
    <cellStyle name="Comma 2 8 2 2 6" xfId="16899"/>
    <cellStyle name="Comma 2 8 2 2 7" xfId="16900"/>
    <cellStyle name="Comma 2 8 2 2 8" xfId="16901"/>
    <cellStyle name="Comma 2 8 2 2 9" xfId="16902"/>
    <cellStyle name="Comma 2 8 2 3" xfId="16903"/>
    <cellStyle name="Comma 2 8 2 3 2" xfId="16904"/>
    <cellStyle name="Comma 2 8 2 3 2 2" xfId="16905"/>
    <cellStyle name="Comma 2 8 2 3 2 2 2" xfId="16906"/>
    <cellStyle name="Comma 2 8 2 3 2 2 3" xfId="16907"/>
    <cellStyle name="Comma 2 8 2 3 2 3" xfId="16908"/>
    <cellStyle name="Comma 2 8 2 3 2 4" xfId="16909"/>
    <cellStyle name="Comma 2 8 2 3 2 5" xfId="16910"/>
    <cellStyle name="Comma 2 8 2 3 2 6" xfId="16911"/>
    <cellStyle name="Comma 2 8 2 3 3" xfId="16912"/>
    <cellStyle name="Comma 2 8 2 3 3 2" xfId="16913"/>
    <cellStyle name="Comma 2 8 2 3 3 2 2" xfId="16914"/>
    <cellStyle name="Comma 2 8 2 3 3 3" xfId="16915"/>
    <cellStyle name="Comma 2 8 2 3 3 4" xfId="16916"/>
    <cellStyle name="Comma 2 8 2 3 3 5" xfId="16917"/>
    <cellStyle name="Comma 2 8 2 3 4" xfId="16918"/>
    <cellStyle name="Comma 2 8 2 3 4 2" xfId="16919"/>
    <cellStyle name="Comma 2 8 2 3 4 3" xfId="16920"/>
    <cellStyle name="Comma 2 8 2 3 4 4" xfId="16921"/>
    <cellStyle name="Comma 2 8 2 3 5" xfId="16922"/>
    <cellStyle name="Comma 2 8 2 3 5 2" xfId="16923"/>
    <cellStyle name="Comma 2 8 2 3 6" xfId="16924"/>
    <cellStyle name="Comma 2 8 2 3 7" xfId="16925"/>
    <cellStyle name="Comma 2 8 2 3 8" xfId="16926"/>
    <cellStyle name="Comma 2 8 2 3 9" xfId="16927"/>
    <cellStyle name="Comma 2 8 2 4" xfId="16928"/>
    <cellStyle name="Comma 2 8 2 4 2" xfId="16929"/>
    <cellStyle name="Comma 2 8 2 4 2 2" xfId="16930"/>
    <cellStyle name="Comma 2 8 2 4 2 3" xfId="16931"/>
    <cellStyle name="Comma 2 8 2 4 3" xfId="16932"/>
    <cellStyle name="Comma 2 8 2 4 4" xfId="16933"/>
    <cellStyle name="Comma 2 8 2 4 5" xfId="16934"/>
    <cellStyle name="Comma 2 8 2 4 6" xfId="16935"/>
    <cellStyle name="Comma 2 8 2 5" xfId="16936"/>
    <cellStyle name="Comma 2 8 2 5 2" xfId="16937"/>
    <cellStyle name="Comma 2 8 2 5 2 2" xfId="16938"/>
    <cellStyle name="Comma 2 8 2 5 3" xfId="16939"/>
    <cellStyle name="Comma 2 8 2 5 4" xfId="16940"/>
    <cellStyle name="Comma 2 8 2 5 5" xfId="16941"/>
    <cellStyle name="Comma 2 8 2 6" xfId="16942"/>
    <cellStyle name="Comma 2 8 2 6 2" xfId="16943"/>
    <cellStyle name="Comma 2 8 2 6 3" xfId="16944"/>
    <cellStyle name="Comma 2 8 2 6 4" xfId="16945"/>
    <cellStyle name="Comma 2 8 2 7" xfId="16946"/>
    <cellStyle name="Comma 2 8 2 7 2" xfId="16947"/>
    <cellStyle name="Comma 2 8 2 8" xfId="16948"/>
    <cellStyle name="Comma 2 8 2 9" xfId="16949"/>
    <cellStyle name="Comma 2 8 20" xfId="16950"/>
    <cellStyle name="Comma 2 8 21" xfId="16951"/>
    <cellStyle name="Comma 2 8 22" xfId="16952"/>
    <cellStyle name="Comma 2 8 3" xfId="16953"/>
    <cellStyle name="Comma 2 8 3 10" xfId="16954"/>
    <cellStyle name="Comma 2 8 3 11" xfId="16955"/>
    <cellStyle name="Comma 2 8 3 2" xfId="16956"/>
    <cellStyle name="Comma 2 8 3 2 2" xfId="16957"/>
    <cellStyle name="Comma 2 8 3 2 2 2" xfId="16958"/>
    <cellStyle name="Comma 2 8 3 2 2 2 2" xfId="16959"/>
    <cellStyle name="Comma 2 8 3 2 2 2 3" xfId="16960"/>
    <cellStyle name="Comma 2 8 3 2 2 3" xfId="16961"/>
    <cellStyle name="Comma 2 8 3 2 2 4" xfId="16962"/>
    <cellStyle name="Comma 2 8 3 2 2 5" xfId="16963"/>
    <cellStyle name="Comma 2 8 3 2 2 6" xfId="16964"/>
    <cellStyle name="Comma 2 8 3 2 3" xfId="16965"/>
    <cellStyle name="Comma 2 8 3 2 3 2" xfId="16966"/>
    <cellStyle name="Comma 2 8 3 2 3 2 2" xfId="16967"/>
    <cellStyle name="Comma 2 8 3 2 3 3" xfId="16968"/>
    <cellStyle name="Comma 2 8 3 2 3 4" xfId="16969"/>
    <cellStyle name="Comma 2 8 3 2 3 5" xfId="16970"/>
    <cellStyle name="Comma 2 8 3 2 4" xfId="16971"/>
    <cellStyle name="Comma 2 8 3 2 4 2" xfId="16972"/>
    <cellStyle name="Comma 2 8 3 2 4 3" xfId="16973"/>
    <cellStyle name="Comma 2 8 3 2 4 4" xfId="16974"/>
    <cellStyle name="Comma 2 8 3 2 5" xfId="16975"/>
    <cellStyle name="Comma 2 8 3 2 5 2" xfId="16976"/>
    <cellStyle name="Comma 2 8 3 2 6" xfId="16977"/>
    <cellStyle name="Comma 2 8 3 2 7" xfId="16978"/>
    <cellStyle name="Comma 2 8 3 2 8" xfId="16979"/>
    <cellStyle name="Comma 2 8 3 2 9" xfId="16980"/>
    <cellStyle name="Comma 2 8 3 3" xfId="16981"/>
    <cellStyle name="Comma 2 8 3 3 2" xfId="16982"/>
    <cellStyle name="Comma 2 8 3 3 2 2" xfId="16983"/>
    <cellStyle name="Comma 2 8 3 3 2 2 2" xfId="16984"/>
    <cellStyle name="Comma 2 8 3 3 2 2 3" xfId="16985"/>
    <cellStyle name="Comma 2 8 3 3 2 3" xfId="16986"/>
    <cellStyle name="Comma 2 8 3 3 2 4" xfId="16987"/>
    <cellStyle name="Comma 2 8 3 3 2 5" xfId="16988"/>
    <cellStyle name="Comma 2 8 3 3 2 6" xfId="16989"/>
    <cellStyle name="Comma 2 8 3 3 3" xfId="16990"/>
    <cellStyle name="Comma 2 8 3 3 3 2" xfId="16991"/>
    <cellStyle name="Comma 2 8 3 3 3 2 2" xfId="16992"/>
    <cellStyle name="Comma 2 8 3 3 3 3" xfId="16993"/>
    <cellStyle name="Comma 2 8 3 3 3 4" xfId="16994"/>
    <cellStyle name="Comma 2 8 3 3 3 5" xfId="16995"/>
    <cellStyle name="Comma 2 8 3 3 4" xfId="16996"/>
    <cellStyle name="Comma 2 8 3 3 4 2" xfId="16997"/>
    <cellStyle name="Comma 2 8 3 3 4 3" xfId="16998"/>
    <cellStyle name="Comma 2 8 3 3 4 4" xfId="16999"/>
    <cellStyle name="Comma 2 8 3 3 5" xfId="17000"/>
    <cellStyle name="Comma 2 8 3 3 5 2" xfId="17001"/>
    <cellStyle name="Comma 2 8 3 3 6" xfId="17002"/>
    <cellStyle name="Comma 2 8 3 3 7" xfId="17003"/>
    <cellStyle name="Comma 2 8 3 3 8" xfId="17004"/>
    <cellStyle name="Comma 2 8 3 3 9" xfId="17005"/>
    <cellStyle name="Comma 2 8 3 4" xfId="17006"/>
    <cellStyle name="Comma 2 8 3 4 2" xfId="17007"/>
    <cellStyle name="Comma 2 8 3 4 2 2" xfId="17008"/>
    <cellStyle name="Comma 2 8 3 4 2 3" xfId="17009"/>
    <cellStyle name="Comma 2 8 3 4 3" xfId="17010"/>
    <cellStyle name="Comma 2 8 3 4 4" xfId="17011"/>
    <cellStyle name="Comma 2 8 3 4 5" xfId="17012"/>
    <cellStyle name="Comma 2 8 3 4 6" xfId="17013"/>
    <cellStyle name="Comma 2 8 3 5" xfId="17014"/>
    <cellStyle name="Comma 2 8 3 5 2" xfId="17015"/>
    <cellStyle name="Comma 2 8 3 5 2 2" xfId="17016"/>
    <cellStyle name="Comma 2 8 3 5 3" xfId="17017"/>
    <cellStyle name="Comma 2 8 3 5 4" xfId="17018"/>
    <cellStyle name="Comma 2 8 3 5 5" xfId="17019"/>
    <cellStyle name="Comma 2 8 3 6" xfId="17020"/>
    <cellStyle name="Comma 2 8 3 6 2" xfId="17021"/>
    <cellStyle name="Comma 2 8 3 6 3" xfId="17022"/>
    <cellStyle name="Comma 2 8 3 6 4" xfId="17023"/>
    <cellStyle name="Comma 2 8 3 7" xfId="17024"/>
    <cellStyle name="Comma 2 8 3 7 2" xfId="17025"/>
    <cellStyle name="Comma 2 8 3 8" xfId="17026"/>
    <cellStyle name="Comma 2 8 3 9" xfId="17027"/>
    <cellStyle name="Comma 2 8 4" xfId="17028"/>
    <cellStyle name="Comma 2 8 4 10" xfId="17029"/>
    <cellStyle name="Comma 2 8 4 11" xfId="17030"/>
    <cellStyle name="Comma 2 8 4 2" xfId="17031"/>
    <cellStyle name="Comma 2 8 4 2 2" xfId="17032"/>
    <cellStyle name="Comma 2 8 4 2 2 2" xfId="17033"/>
    <cellStyle name="Comma 2 8 4 2 2 2 2" xfId="17034"/>
    <cellStyle name="Comma 2 8 4 2 2 2 3" xfId="17035"/>
    <cellStyle name="Comma 2 8 4 2 2 3" xfId="17036"/>
    <cellStyle name="Comma 2 8 4 2 2 4" xfId="17037"/>
    <cellStyle name="Comma 2 8 4 2 2 5" xfId="17038"/>
    <cellStyle name="Comma 2 8 4 2 2 6" xfId="17039"/>
    <cellStyle name="Comma 2 8 4 2 3" xfId="17040"/>
    <cellStyle name="Comma 2 8 4 2 3 2" xfId="17041"/>
    <cellStyle name="Comma 2 8 4 2 3 2 2" xfId="17042"/>
    <cellStyle name="Comma 2 8 4 2 3 3" xfId="17043"/>
    <cellStyle name="Comma 2 8 4 2 3 4" xfId="17044"/>
    <cellStyle name="Comma 2 8 4 2 3 5" xfId="17045"/>
    <cellStyle name="Comma 2 8 4 2 4" xfId="17046"/>
    <cellStyle name="Comma 2 8 4 2 4 2" xfId="17047"/>
    <cellStyle name="Comma 2 8 4 2 4 3" xfId="17048"/>
    <cellStyle name="Comma 2 8 4 2 4 4" xfId="17049"/>
    <cellStyle name="Comma 2 8 4 2 5" xfId="17050"/>
    <cellStyle name="Comma 2 8 4 2 5 2" xfId="17051"/>
    <cellStyle name="Comma 2 8 4 2 6" xfId="17052"/>
    <cellStyle name="Comma 2 8 4 2 7" xfId="17053"/>
    <cellStyle name="Comma 2 8 4 2 8" xfId="17054"/>
    <cellStyle name="Comma 2 8 4 2 9" xfId="17055"/>
    <cellStyle name="Comma 2 8 4 3" xfId="17056"/>
    <cellStyle name="Comma 2 8 4 3 2" xfId="17057"/>
    <cellStyle name="Comma 2 8 4 3 2 2" xfId="17058"/>
    <cellStyle name="Comma 2 8 4 3 2 2 2" xfId="17059"/>
    <cellStyle name="Comma 2 8 4 3 2 2 3" xfId="17060"/>
    <cellStyle name="Comma 2 8 4 3 2 3" xfId="17061"/>
    <cellStyle name="Comma 2 8 4 3 2 4" xfId="17062"/>
    <cellStyle name="Comma 2 8 4 3 2 5" xfId="17063"/>
    <cellStyle name="Comma 2 8 4 3 2 6" xfId="17064"/>
    <cellStyle name="Comma 2 8 4 3 3" xfId="17065"/>
    <cellStyle name="Comma 2 8 4 3 3 2" xfId="17066"/>
    <cellStyle name="Comma 2 8 4 3 3 2 2" xfId="17067"/>
    <cellStyle name="Comma 2 8 4 3 3 3" xfId="17068"/>
    <cellStyle name="Comma 2 8 4 3 3 4" xfId="17069"/>
    <cellStyle name="Comma 2 8 4 3 3 5" xfId="17070"/>
    <cellStyle name="Comma 2 8 4 3 4" xfId="17071"/>
    <cellStyle name="Comma 2 8 4 3 4 2" xfId="17072"/>
    <cellStyle name="Comma 2 8 4 3 4 3" xfId="17073"/>
    <cellStyle name="Comma 2 8 4 3 4 4" xfId="17074"/>
    <cellStyle name="Comma 2 8 4 3 5" xfId="17075"/>
    <cellStyle name="Comma 2 8 4 3 5 2" xfId="17076"/>
    <cellStyle name="Comma 2 8 4 3 6" xfId="17077"/>
    <cellStyle name="Comma 2 8 4 3 7" xfId="17078"/>
    <cellStyle name="Comma 2 8 4 3 8" xfId="17079"/>
    <cellStyle name="Comma 2 8 4 3 9" xfId="17080"/>
    <cellStyle name="Comma 2 8 4 4" xfId="17081"/>
    <cellStyle name="Comma 2 8 4 4 2" xfId="17082"/>
    <cellStyle name="Comma 2 8 4 4 2 2" xfId="17083"/>
    <cellStyle name="Comma 2 8 4 4 2 3" xfId="17084"/>
    <cellStyle name="Comma 2 8 4 4 3" xfId="17085"/>
    <cellStyle name="Comma 2 8 4 4 4" xfId="17086"/>
    <cellStyle name="Comma 2 8 4 4 5" xfId="17087"/>
    <cellStyle name="Comma 2 8 4 4 6" xfId="17088"/>
    <cellStyle name="Comma 2 8 4 5" xfId="17089"/>
    <cellStyle name="Comma 2 8 4 5 2" xfId="17090"/>
    <cellStyle name="Comma 2 8 4 5 2 2" xfId="17091"/>
    <cellStyle name="Comma 2 8 4 5 3" xfId="17092"/>
    <cellStyle name="Comma 2 8 4 5 4" xfId="17093"/>
    <cellStyle name="Comma 2 8 4 5 5" xfId="17094"/>
    <cellStyle name="Comma 2 8 4 6" xfId="17095"/>
    <cellStyle name="Comma 2 8 4 6 2" xfId="17096"/>
    <cellStyle name="Comma 2 8 4 6 3" xfId="17097"/>
    <cellStyle name="Comma 2 8 4 6 4" xfId="17098"/>
    <cellStyle name="Comma 2 8 4 7" xfId="17099"/>
    <cellStyle name="Comma 2 8 4 7 2" xfId="17100"/>
    <cellStyle name="Comma 2 8 4 8" xfId="17101"/>
    <cellStyle name="Comma 2 8 4 9" xfId="17102"/>
    <cellStyle name="Comma 2 8 5" xfId="17103"/>
    <cellStyle name="Comma 2 8 5 10" xfId="17104"/>
    <cellStyle name="Comma 2 8 5 11" xfId="17105"/>
    <cellStyle name="Comma 2 8 5 2" xfId="17106"/>
    <cellStyle name="Comma 2 8 5 2 2" xfId="17107"/>
    <cellStyle name="Comma 2 8 5 2 2 2" xfId="17108"/>
    <cellStyle name="Comma 2 8 5 2 2 2 2" xfId="17109"/>
    <cellStyle name="Comma 2 8 5 2 2 2 3" xfId="17110"/>
    <cellStyle name="Comma 2 8 5 2 2 3" xfId="17111"/>
    <cellStyle name="Comma 2 8 5 2 2 4" xfId="17112"/>
    <cellStyle name="Comma 2 8 5 2 2 5" xfId="17113"/>
    <cellStyle name="Comma 2 8 5 2 2 6" xfId="17114"/>
    <cellStyle name="Comma 2 8 5 2 3" xfId="17115"/>
    <cellStyle name="Comma 2 8 5 2 3 2" xfId="17116"/>
    <cellStyle name="Comma 2 8 5 2 3 2 2" xfId="17117"/>
    <cellStyle name="Comma 2 8 5 2 3 3" xfId="17118"/>
    <cellStyle name="Comma 2 8 5 2 3 4" xfId="17119"/>
    <cellStyle name="Comma 2 8 5 2 3 5" xfId="17120"/>
    <cellStyle name="Comma 2 8 5 2 4" xfId="17121"/>
    <cellStyle name="Comma 2 8 5 2 4 2" xfId="17122"/>
    <cellStyle name="Comma 2 8 5 2 4 3" xfId="17123"/>
    <cellStyle name="Comma 2 8 5 2 4 4" xfId="17124"/>
    <cellStyle name="Comma 2 8 5 2 5" xfId="17125"/>
    <cellStyle name="Comma 2 8 5 2 5 2" xfId="17126"/>
    <cellStyle name="Comma 2 8 5 2 6" xfId="17127"/>
    <cellStyle name="Comma 2 8 5 2 7" xfId="17128"/>
    <cellStyle name="Comma 2 8 5 2 8" xfId="17129"/>
    <cellStyle name="Comma 2 8 5 2 9" xfId="17130"/>
    <cellStyle name="Comma 2 8 5 3" xfId="17131"/>
    <cellStyle name="Comma 2 8 5 3 2" xfId="17132"/>
    <cellStyle name="Comma 2 8 5 3 2 2" xfId="17133"/>
    <cellStyle name="Comma 2 8 5 3 2 2 2" xfId="17134"/>
    <cellStyle name="Comma 2 8 5 3 2 2 3" xfId="17135"/>
    <cellStyle name="Comma 2 8 5 3 2 3" xfId="17136"/>
    <cellStyle name="Comma 2 8 5 3 2 4" xfId="17137"/>
    <cellStyle name="Comma 2 8 5 3 2 5" xfId="17138"/>
    <cellStyle name="Comma 2 8 5 3 2 6" xfId="17139"/>
    <cellStyle name="Comma 2 8 5 3 3" xfId="17140"/>
    <cellStyle name="Comma 2 8 5 3 3 2" xfId="17141"/>
    <cellStyle name="Comma 2 8 5 3 3 2 2" xfId="17142"/>
    <cellStyle name="Comma 2 8 5 3 3 3" xfId="17143"/>
    <cellStyle name="Comma 2 8 5 3 3 4" xfId="17144"/>
    <cellStyle name="Comma 2 8 5 3 3 5" xfId="17145"/>
    <cellStyle name="Comma 2 8 5 3 4" xfId="17146"/>
    <cellStyle name="Comma 2 8 5 3 4 2" xfId="17147"/>
    <cellStyle name="Comma 2 8 5 3 4 3" xfId="17148"/>
    <cellStyle name="Comma 2 8 5 3 4 4" xfId="17149"/>
    <cellStyle name="Comma 2 8 5 3 5" xfId="17150"/>
    <cellStyle name="Comma 2 8 5 3 5 2" xfId="17151"/>
    <cellStyle name="Comma 2 8 5 3 6" xfId="17152"/>
    <cellStyle name="Comma 2 8 5 3 7" xfId="17153"/>
    <cellStyle name="Comma 2 8 5 3 8" xfId="17154"/>
    <cellStyle name="Comma 2 8 5 3 9" xfId="17155"/>
    <cellStyle name="Comma 2 8 5 4" xfId="17156"/>
    <cellStyle name="Comma 2 8 5 4 2" xfId="17157"/>
    <cellStyle name="Comma 2 8 5 4 2 2" xfId="17158"/>
    <cellStyle name="Comma 2 8 5 4 2 3" xfId="17159"/>
    <cellStyle name="Comma 2 8 5 4 3" xfId="17160"/>
    <cellStyle name="Comma 2 8 5 4 4" xfId="17161"/>
    <cellStyle name="Comma 2 8 5 4 5" xfId="17162"/>
    <cellStyle name="Comma 2 8 5 4 6" xfId="17163"/>
    <cellStyle name="Comma 2 8 5 5" xfId="17164"/>
    <cellStyle name="Comma 2 8 5 5 2" xfId="17165"/>
    <cellStyle name="Comma 2 8 5 5 2 2" xfId="17166"/>
    <cellStyle name="Comma 2 8 5 5 3" xfId="17167"/>
    <cellStyle name="Comma 2 8 5 5 4" xfId="17168"/>
    <cellStyle name="Comma 2 8 5 5 5" xfId="17169"/>
    <cellStyle name="Comma 2 8 5 6" xfId="17170"/>
    <cellStyle name="Comma 2 8 5 6 2" xfId="17171"/>
    <cellStyle name="Comma 2 8 5 6 3" xfId="17172"/>
    <cellStyle name="Comma 2 8 5 6 4" xfId="17173"/>
    <cellStyle name="Comma 2 8 5 7" xfId="17174"/>
    <cellStyle name="Comma 2 8 5 7 2" xfId="17175"/>
    <cellStyle name="Comma 2 8 5 8" xfId="17176"/>
    <cellStyle name="Comma 2 8 5 9" xfId="17177"/>
    <cellStyle name="Comma 2 8 6" xfId="17178"/>
    <cellStyle name="Comma 2 8 6 10" xfId="17179"/>
    <cellStyle name="Comma 2 8 6 11" xfId="17180"/>
    <cellStyle name="Comma 2 8 6 2" xfId="17181"/>
    <cellStyle name="Comma 2 8 6 2 2" xfId="17182"/>
    <cellStyle name="Comma 2 8 6 2 2 2" xfId="17183"/>
    <cellStyle name="Comma 2 8 6 2 2 2 2" xfId="17184"/>
    <cellStyle name="Comma 2 8 6 2 2 2 3" xfId="17185"/>
    <cellStyle name="Comma 2 8 6 2 2 3" xfId="17186"/>
    <cellStyle name="Comma 2 8 6 2 2 4" xfId="17187"/>
    <cellStyle name="Comma 2 8 6 2 2 5" xfId="17188"/>
    <cellStyle name="Comma 2 8 6 2 2 6" xfId="17189"/>
    <cellStyle name="Comma 2 8 6 2 3" xfId="17190"/>
    <cellStyle name="Comma 2 8 6 2 3 2" xfId="17191"/>
    <cellStyle name="Comma 2 8 6 2 3 2 2" xfId="17192"/>
    <cellStyle name="Comma 2 8 6 2 3 3" xfId="17193"/>
    <cellStyle name="Comma 2 8 6 2 3 4" xfId="17194"/>
    <cellStyle name="Comma 2 8 6 2 3 5" xfId="17195"/>
    <cellStyle name="Comma 2 8 6 2 4" xfId="17196"/>
    <cellStyle name="Comma 2 8 6 2 4 2" xfId="17197"/>
    <cellStyle name="Comma 2 8 6 2 4 3" xfId="17198"/>
    <cellStyle name="Comma 2 8 6 2 4 4" xfId="17199"/>
    <cellStyle name="Comma 2 8 6 2 5" xfId="17200"/>
    <cellStyle name="Comma 2 8 6 2 5 2" xfId="17201"/>
    <cellStyle name="Comma 2 8 6 2 6" xfId="17202"/>
    <cellStyle name="Comma 2 8 6 2 7" xfId="17203"/>
    <cellStyle name="Comma 2 8 6 2 8" xfId="17204"/>
    <cellStyle name="Comma 2 8 6 2 9" xfId="17205"/>
    <cellStyle name="Comma 2 8 6 3" xfId="17206"/>
    <cellStyle name="Comma 2 8 6 3 2" xfId="17207"/>
    <cellStyle name="Comma 2 8 6 3 2 2" xfId="17208"/>
    <cellStyle name="Comma 2 8 6 3 2 2 2" xfId="17209"/>
    <cellStyle name="Comma 2 8 6 3 2 2 3" xfId="17210"/>
    <cellStyle name="Comma 2 8 6 3 2 3" xfId="17211"/>
    <cellStyle name="Comma 2 8 6 3 2 4" xfId="17212"/>
    <cellStyle name="Comma 2 8 6 3 2 5" xfId="17213"/>
    <cellStyle name="Comma 2 8 6 3 2 6" xfId="17214"/>
    <cellStyle name="Comma 2 8 6 3 3" xfId="17215"/>
    <cellStyle name="Comma 2 8 6 3 3 2" xfId="17216"/>
    <cellStyle name="Comma 2 8 6 3 3 2 2" xfId="17217"/>
    <cellStyle name="Comma 2 8 6 3 3 3" xfId="17218"/>
    <cellStyle name="Comma 2 8 6 3 3 4" xfId="17219"/>
    <cellStyle name="Comma 2 8 6 3 3 5" xfId="17220"/>
    <cellStyle name="Comma 2 8 6 3 4" xfId="17221"/>
    <cellStyle name="Comma 2 8 6 3 4 2" xfId="17222"/>
    <cellStyle name="Comma 2 8 6 3 4 3" xfId="17223"/>
    <cellStyle name="Comma 2 8 6 3 4 4" xfId="17224"/>
    <cellStyle name="Comma 2 8 6 3 5" xfId="17225"/>
    <cellStyle name="Comma 2 8 6 3 5 2" xfId="17226"/>
    <cellStyle name="Comma 2 8 6 3 6" xfId="17227"/>
    <cellStyle name="Comma 2 8 6 3 7" xfId="17228"/>
    <cellStyle name="Comma 2 8 6 3 8" xfId="17229"/>
    <cellStyle name="Comma 2 8 6 3 9" xfId="17230"/>
    <cellStyle name="Comma 2 8 6 4" xfId="17231"/>
    <cellStyle name="Comma 2 8 6 4 2" xfId="17232"/>
    <cellStyle name="Comma 2 8 6 4 2 2" xfId="17233"/>
    <cellStyle name="Comma 2 8 6 4 2 3" xfId="17234"/>
    <cellStyle name="Comma 2 8 6 4 3" xfId="17235"/>
    <cellStyle name="Comma 2 8 6 4 4" xfId="17236"/>
    <cellStyle name="Comma 2 8 6 4 5" xfId="17237"/>
    <cellStyle name="Comma 2 8 6 4 6" xfId="17238"/>
    <cellStyle name="Comma 2 8 6 5" xfId="17239"/>
    <cellStyle name="Comma 2 8 6 5 2" xfId="17240"/>
    <cellStyle name="Comma 2 8 6 5 2 2" xfId="17241"/>
    <cellStyle name="Comma 2 8 6 5 3" xfId="17242"/>
    <cellStyle name="Comma 2 8 6 5 4" xfId="17243"/>
    <cellStyle name="Comma 2 8 6 5 5" xfId="17244"/>
    <cellStyle name="Comma 2 8 6 6" xfId="17245"/>
    <cellStyle name="Comma 2 8 6 6 2" xfId="17246"/>
    <cellStyle name="Comma 2 8 6 6 3" xfId="17247"/>
    <cellStyle name="Comma 2 8 6 6 4" xfId="17248"/>
    <cellStyle name="Comma 2 8 6 7" xfId="17249"/>
    <cellStyle name="Comma 2 8 6 7 2" xfId="17250"/>
    <cellStyle name="Comma 2 8 6 8" xfId="17251"/>
    <cellStyle name="Comma 2 8 6 9" xfId="17252"/>
    <cellStyle name="Comma 2 8 7" xfId="17253"/>
    <cellStyle name="Comma 2 8 7 10" xfId="17254"/>
    <cellStyle name="Comma 2 8 7 11" xfId="17255"/>
    <cellStyle name="Comma 2 8 7 2" xfId="17256"/>
    <cellStyle name="Comma 2 8 7 2 2" xfId="17257"/>
    <cellStyle name="Comma 2 8 7 2 2 2" xfId="17258"/>
    <cellStyle name="Comma 2 8 7 2 2 2 2" xfId="17259"/>
    <cellStyle name="Comma 2 8 7 2 2 2 3" xfId="17260"/>
    <cellStyle name="Comma 2 8 7 2 2 3" xfId="17261"/>
    <cellStyle name="Comma 2 8 7 2 2 4" xfId="17262"/>
    <cellStyle name="Comma 2 8 7 2 2 5" xfId="17263"/>
    <cellStyle name="Comma 2 8 7 2 2 6" xfId="17264"/>
    <cellStyle name="Comma 2 8 7 2 3" xfId="17265"/>
    <cellStyle name="Comma 2 8 7 2 3 2" xfId="17266"/>
    <cellStyle name="Comma 2 8 7 2 3 2 2" xfId="17267"/>
    <cellStyle name="Comma 2 8 7 2 3 3" xfId="17268"/>
    <cellStyle name="Comma 2 8 7 2 3 4" xfId="17269"/>
    <cellStyle name="Comma 2 8 7 2 3 5" xfId="17270"/>
    <cellStyle name="Comma 2 8 7 2 4" xfId="17271"/>
    <cellStyle name="Comma 2 8 7 2 4 2" xfId="17272"/>
    <cellStyle name="Comma 2 8 7 2 4 3" xfId="17273"/>
    <cellStyle name="Comma 2 8 7 2 4 4" xfId="17274"/>
    <cellStyle name="Comma 2 8 7 2 5" xfId="17275"/>
    <cellStyle name="Comma 2 8 7 2 5 2" xfId="17276"/>
    <cellStyle name="Comma 2 8 7 2 6" xfId="17277"/>
    <cellStyle name="Comma 2 8 7 2 7" xfId="17278"/>
    <cellStyle name="Comma 2 8 7 2 8" xfId="17279"/>
    <cellStyle name="Comma 2 8 7 2 9" xfId="17280"/>
    <cellStyle name="Comma 2 8 7 3" xfId="17281"/>
    <cellStyle name="Comma 2 8 7 3 2" xfId="17282"/>
    <cellStyle name="Comma 2 8 7 3 2 2" xfId="17283"/>
    <cellStyle name="Comma 2 8 7 3 2 2 2" xfId="17284"/>
    <cellStyle name="Comma 2 8 7 3 2 2 3" xfId="17285"/>
    <cellStyle name="Comma 2 8 7 3 2 3" xfId="17286"/>
    <cellStyle name="Comma 2 8 7 3 2 4" xfId="17287"/>
    <cellStyle name="Comma 2 8 7 3 2 5" xfId="17288"/>
    <cellStyle name="Comma 2 8 7 3 2 6" xfId="17289"/>
    <cellStyle name="Comma 2 8 7 3 3" xfId="17290"/>
    <cellStyle name="Comma 2 8 7 3 3 2" xfId="17291"/>
    <cellStyle name="Comma 2 8 7 3 3 2 2" xfId="17292"/>
    <cellStyle name="Comma 2 8 7 3 3 3" xfId="17293"/>
    <cellStyle name="Comma 2 8 7 3 3 4" xfId="17294"/>
    <cellStyle name="Comma 2 8 7 3 3 5" xfId="17295"/>
    <cellStyle name="Comma 2 8 7 3 4" xfId="17296"/>
    <cellStyle name="Comma 2 8 7 3 4 2" xfId="17297"/>
    <cellStyle name="Comma 2 8 7 3 4 3" xfId="17298"/>
    <cellStyle name="Comma 2 8 7 3 4 4" xfId="17299"/>
    <cellStyle name="Comma 2 8 7 3 5" xfId="17300"/>
    <cellStyle name="Comma 2 8 7 3 5 2" xfId="17301"/>
    <cellStyle name="Comma 2 8 7 3 6" xfId="17302"/>
    <cellStyle name="Comma 2 8 7 3 7" xfId="17303"/>
    <cellStyle name="Comma 2 8 7 3 8" xfId="17304"/>
    <cellStyle name="Comma 2 8 7 3 9" xfId="17305"/>
    <cellStyle name="Comma 2 8 7 4" xfId="17306"/>
    <cellStyle name="Comma 2 8 7 4 2" xfId="17307"/>
    <cellStyle name="Comma 2 8 7 4 2 2" xfId="17308"/>
    <cellStyle name="Comma 2 8 7 4 2 3" xfId="17309"/>
    <cellStyle name="Comma 2 8 7 4 3" xfId="17310"/>
    <cellStyle name="Comma 2 8 7 4 4" xfId="17311"/>
    <cellStyle name="Comma 2 8 7 4 5" xfId="17312"/>
    <cellStyle name="Comma 2 8 7 4 6" xfId="17313"/>
    <cellStyle name="Comma 2 8 7 5" xfId="17314"/>
    <cellStyle name="Comma 2 8 7 5 2" xfId="17315"/>
    <cellStyle name="Comma 2 8 7 5 2 2" xfId="17316"/>
    <cellStyle name="Comma 2 8 7 5 3" xfId="17317"/>
    <cellStyle name="Comma 2 8 7 5 4" xfId="17318"/>
    <cellStyle name="Comma 2 8 7 5 5" xfId="17319"/>
    <cellStyle name="Comma 2 8 7 6" xfId="17320"/>
    <cellStyle name="Comma 2 8 7 6 2" xfId="17321"/>
    <cellStyle name="Comma 2 8 7 6 3" xfId="17322"/>
    <cellStyle name="Comma 2 8 7 6 4" xfId="17323"/>
    <cellStyle name="Comma 2 8 7 7" xfId="17324"/>
    <cellStyle name="Comma 2 8 7 7 2" xfId="17325"/>
    <cellStyle name="Comma 2 8 7 8" xfId="17326"/>
    <cellStyle name="Comma 2 8 7 9" xfId="17327"/>
    <cellStyle name="Comma 2 8 8" xfId="17328"/>
    <cellStyle name="Comma 2 8 8 10" xfId="17329"/>
    <cellStyle name="Comma 2 8 8 2" xfId="17330"/>
    <cellStyle name="Comma 2 8 8 2 2" xfId="17331"/>
    <cellStyle name="Comma 2 8 8 2 2 2" xfId="17332"/>
    <cellStyle name="Comma 2 8 8 2 2 3" xfId="17333"/>
    <cellStyle name="Comma 2 8 8 2 3" xfId="17334"/>
    <cellStyle name="Comma 2 8 8 2 4" xfId="17335"/>
    <cellStyle name="Comma 2 8 8 2 5" xfId="17336"/>
    <cellStyle name="Comma 2 8 8 2 6" xfId="17337"/>
    <cellStyle name="Comma 2 8 8 3" xfId="17338"/>
    <cellStyle name="Comma 2 8 8 3 2" xfId="17339"/>
    <cellStyle name="Comma 2 8 8 3 2 2" xfId="17340"/>
    <cellStyle name="Comma 2 8 8 3 2 3" xfId="17341"/>
    <cellStyle name="Comma 2 8 8 3 3" xfId="17342"/>
    <cellStyle name="Comma 2 8 8 3 4" xfId="17343"/>
    <cellStyle name="Comma 2 8 8 3 5" xfId="17344"/>
    <cellStyle name="Comma 2 8 8 3 6" xfId="17345"/>
    <cellStyle name="Comma 2 8 8 4" xfId="17346"/>
    <cellStyle name="Comma 2 8 8 4 2" xfId="17347"/>
    <cellStyle name="Comma 2 8 8 4 2 2" xfId="17348"/>
    <cellStyle name="Comma 2 8 8 4 3" xfId="17349"/>
    <cellStyle name="Comma 2 8 8 4 4" xfId="17350"/>
    <cellStyle name="Comma 2 8 8 4 5" xfId="17351"/>
    <cellStyle name="Comma 2 8 8 5" xfId="17352"/>
    <cellStyle name="Comma 2 8 8 5 2" xfId="17353"/>
    <cellStyle name="Comma 2 8 8 5 3" xfId="17354"/>
    <cellStyle name="Comma 2 8 8 5 4" xfId="17355"/>
    <cellStyle name="Comma 2 8 8 6" xfId="17356"/>
    <cellStyle name="Comma 2 8 8 6 2" xfId="17357"/>
    <cellStyle name="Comma 2 8 8 7" xfId="17358"/>
    <cellStyle name="Comma 2 8 8 8" xfId="17359"/>
    <cellStyle name="Comma 2 8 8 9" xfId="17360"/>
    <cellStyle name="Comma 2 8 9" xfId="17361"/>
    <cellStyle name="Comma 2 8 9 10" xfId="17362"/>
    <cellStyle name="Comma 2 8 9 2" xfId="17363"/>
    <cellStyle name="Comma 2 8 9 2 2" xfId="17364"/>
    <cellStyle name="Comma 2 8 9 2 2 2" xfId="17365"/>
    <cellStyle name="Comma 2 8 9 2 2 3" xfId="17366"/>
    <cellStyle name="Comma 2 8 9 2 3" xfId="17367"/>
    <cellStyle name="Comma 2 8 9 2 4" xfId="17368"/>
    <cellStyle name="Comma 2 8 9 2 5" xfId="17369"/>
    <cellStyle name="Comma 2 8 9 2 6" xfId="17370"/>
    <cellStyle name="Comma 2 8 9 3" xfId="17371"/>
    <cellStyle name="Comma 2 8 9 3 2" xfId="17372"/>
    <cellStyle name="Comma 2 8 9 3 2 2" xfId="17373"/>
    <cellStyle name="Comma 2 8 9 3 2 3" xfId="17374"/>
    <cellStyle name="Comma 2 8 9 3 3" xfId="17375"/>
    <cellStyle name="Comma 2 8 9 3 4" xfId="17376"/>
    <cellStyle name="Comma 2 8 9 3 5" xfId="17377"/>
    <cellStyle name="Comma 2 8 9 3 6" xfId="17378"/>
    <cellStyle name="Comma 2 8 9 4" xfId="17379"/>
    <cellStyle name="Comma 2 8 9 4 2" xfId="17380"/>
    <cellStyle name="Comma 2 8 9 4 2 2" xfId="17381"/>
    <cellStyle name="Comma 2 8 9 4 3" xfId="17382"/>
    <cellStyle name="Comma 2 8 9 4 4" xfId="17383"/>
    <cellStyle name="Comma 2 8 9 4 5" xfId="17384"/>
    <cellStyle name="Comma 2 8 9 5" xfId="17385"/>
    <cellStyle name="Comma 2 8 9 5 2" xfId="17386"/>
    <cellStyle name="Comma 2 8 9 5 3" xfId="17387"/>
    <cellStyle name="Comma 2 8 9 5 4" xfId="17388"/>
    <cellStyle name="Comma 2 8 9 6" xfId="17389"/>
    <cellStyle name="Comma 2 8 9 6 2" xfId="17390"/>
    <cellStyle name="Comma 2 8 9 7" xfId="17391"/>
    <cellStyle name="Comma 2 8 9 8" xfId="17392"/>
    <cellStyle name="Comma 2 8 9 9" xfId="17393"/>
    <cellStyle name="Comma 2 9" xfId="17394"/>
    <cellStyle name="Comma 2 9 10" xfId="17395"/>
    <cellStyle name="Comma 2 9 10 10" xfId="17396"/>
    <cellStyle name="Comma 2 9 10 2" xfId="17397"/>
    <cellStyle name="Comma 2 9 10 2 2" xfId="17398"/>
    <cellStyle name="Comma 2 9 10 2 2 2" xfId="17399"/>
    <cellStyle name="Comma 2 9 10 2 2 3" xfId="17400"/>
    <cellStyle name="Comma 2 9 10 2 3" xfId="17401"/>
    <cellStyle name="Comma 2 9 10 2 4" xfId="17402"/>
    <cellStyle name="Comma 2 9 10 2 5" xfId="17403"/>
    <cellStyle name="Comma 2 9 10 2 6" xfId="17404"/>
    <cellStyle name="Comma 2 9 10 3" xfId="17405"/>
    <cellStyle name="Comma 2 9 10 3 2" xfId="17406"/>
    <cellStyle name="Comma 2 9 10 3 2 2" xfId="17407"/>
    <cellStyle name="Comma 2 9 10 3 2 3" xfId="17408"/>
    <cellStyle name="Comma 2 9 10 3 3" xfId="17409"/>
    <cellStyle name="Comma 2 9 10 3 4" xfId="17410"/>
    <cellStyle name="Comma 2 9 10 3 5" xfId="17411"/>
    <cellStyle name="Comma 2 9 10 3 6" xfId="17412"/>
    <cellStyle name="Comma 2 9 10 4" xfId="17413"/>
    <cellStyle name="Comma 2 9 10 4 2" xfId="17414"/>
    <cellStyle name="Comma 2 9 10 4 2 2" xfId="17415"/>
    <cellStyle name="Comma 2 9 10 4 3" xfId="17416"/>
    <cellStyle name="Comma 2 9 10 4 4" xfId="17417"/>
    <cellStyle name="Comma 2 9 10 4 5" xfId="17418"/>
    <cellStyle name="Comma 2 9 10 5" xfId="17419"/>
    <cellStyle name="Comma 2 9 10 5 2" xfId="17420"/>
    <cellStyle name="Comma 2 9 10 5 3" xfId="17421"/>
    <cellStyle name="Comma 2 9 10 5 4" xfId="17422"/>
    <cellStyle name="Comma 2 9 10 6" xfId="17423"/>
    <cellStyle name="Comma 2 9 10 6 2" xfId="17424"/>
    <cellStyle name="Comma 2 9 10 7" xfId="17425"/>
    <cellStyle name="Comma 2 9 10 8" xfId="17426"/>
    <cellStyle name="Comma 2 9 10 9" xfId="17427"/>
    <cellStyle name="Comma 2 9 11" xfId="17428"/>
    <cellStyle name="Comma 2 9 11 10" xfId="17429"/>
    <cellStyle name="Comma 2 9 11 2" xfId="17430"/>
    <cellStyle name="Comma 2 9 11 2 2" xfId="17431"/>
    <cellStyle name="Comma 2 9 11 2 2 2" xfId="17432"/>
    <cellStyle name="Comma 2 9 11 2 2 3" xfId="17433"/>
    <cellStyle name="Comma 2 9 11 2 3" xfId="17434"/>
    <cellStyle name="Comma 2 9 11 2 4" xfId="17435"/>
    <cellStyle name="Comma 2 9 11 2 5" xfId="17436"/>
    <cellStyle name="Comma 2 9 11 2 6" xfId="17437"/>
    <cellStyle name="Comma 2 9 11 3" xfId="17438"/>
    <cellStyle name="Comma 2 9 11 3 2" xfId="17439"/>
    <cellStyle name="Comma 2 9 11 3 2 2" xfId="17440"/>
    <cellStyle name="Comma 2 9 11 3 2 3" xfId="17441"/>
    <cellStyle name="Comma 2 9 11 3 3" xfId="17442"/>
    <cellStyle name="Comma 2 9 11 3 4" xfId="17443"/>
    <cellStyle name="Comma 2 9 11 3 5" xfId="17444"/>
    <cellStyle name="Comma 2 9 11 3 6" xfId="17445"/>
    <cellStyle name="Comma 2 9 11 4" xfId="17446"/>
    <cellStyle name="Comma 2 9 11 4 2" xfId="17447"/>
    <cellStyle name="Comma 2 9 11 4 2 2" xfId="17448"/>
    <cellStyle name="Comma 2 9 11 4 3" xfId="17449"/>
    <cellStyle name="Comma 2 9 11 4 4" xfId="17450"/>
    <cellStyle name="Comma 2 9 11 4 5" xfId="17451"/>
    <cellStyle name="Comma 2 9 11 5" xfId="17452"/>
    <cellStyle name="Comma 2 9 11 5 2" xfId="17453"/>
    <cellStyle name="Comma 2 9 11 5 3" xfId="17454"/>
    <cellStyle name="Comma 2 9 11 5 4" xfId="17455"/>
    <cellStyle name="Comma 2 9 11 6" xfId="17456"/>
    <cellStyle name="Comma 2 9 11 6 2" xfId="17457"/>
    <cellStyle name="Comma 2 9 11 7" xfId="17458"/>
    <cellStyle name="Comma 2 9 11 8" xfId="17459"/>
    <cellStyle name="Comma 2 9 11 9" xfId="17460"/>
    <cellStyle name="Comma 2 9 12" xfId="17461"/>
    <cellStyle name="Comma 2 9 12 10" xfId="17462"/>
    <cellStyle name="Comma 2 9 12 2" xfId="17463"/>
    <cellStyle name="Comma 2 9 12 2 2" xfId="17464"/>
    <cellStyle name="Comma 2 9 12 2 2 2" xfId="17465"/>
    <cellStyle name="Comma 2 9 12 2 2 3" xfId="17466"/>
    <cellStyle name="Comma 2 9 12 2 3" xfId="17467"/>
    <cellStyle name="Comma 2 9 12 2 4" xfId="17468"/>
    <cellStyle name="Comma 2 9 12 2 5" xfId="17469"/>
    <cellStyle name="Comma 2 9 12 2 6" xfId="17470"/>
    <cellStyle name="Comma 2 9 12 3" xfId="17471"/>
    <cellStyle name="Comma 2 9 12 3 2" xfId="17472"/>
    <cellStyle name="Comma 2 9 12 3 2 2" xfId="17473"/>
    <cellStyle name="Comma 2 9 12 3 2 3" xfId="17474"/>
    <cellStyle name="Comma 2 9 12 3 3" xfId="17475"/>
    <cellStyle name="Comma 2 9 12 3 4" xfId="17476"/>
    <cellStyle name="Comma 2 9 12 3 5" xfId="17477"/>
    <cellStyle name="Comma 2 9 12 3 6" xfId="17478"/>
    <cellStyle name="Comma 2 9 12 4" xfId="17479"/>
    <cellStyle name="Comma 2 9 12 4 2" xfId="17480"/>
    <cellStyle name="Comma 2 9 12 4 2 2" xfId="17481"/>
    <cellStyle name="Comma 2 9 12 4 3" xfId="17482"/>
    <cellStyle name="Comma 2 9 12 4 4" xfId="17483"/>
    <cellStyle name="Comma 2 9 12 4 5" xfId="17484"/>
    <cellStyle name="Comma 2 9 12 5" xfId="17485"/>
    <cellStyle name="Comma 2 9 12 5 2" xfId="17486"/>
    <cellStyle name="Comma 2 9 12 5 3" xfId="17487"/>
    <cellStyle name="Comma 2 9 12 5 4" xfId="17488"/>
    <cellStyle name="Comma 2 9 12 6" xfId="17489"/>
    <cellStyle name="Comma 2 9 12 6 2" xfId="17490"/>
    <cellStyle name="Comma 2 9 12 7" xfId="17491"/>
    <cellStyle name="Comma 2 9 12 8" xfId="17492"/>
    <cellStyle name="Comma 2 9 12 9" xfId="17493"/>
    <cellStyle name="Comma 2 9 13" xfId="17494"/>
    <cellStyle name="Comma 2 9 13 2" xfId="17495"/>
    <cellStyle name="Comma 2 9 13 2 2" xfId="17496"/>
    <cellStyle name="Comma 2 9 13 2 2 2" xfId="17497"/>
    <cellStyle name="Comma 2 9 13 2 2 3" xfId="17498"/>
    <cellStyle name="Comma 2 9 13 2 3" xfId="17499"/>
    <cellStyle name="Comma 2 9 13 2 4" xfId="17500"/>
    <cellStyle name="Comma 2 9 13 2 5" xfId="17501"/>
    <cellStyle name="Comma 2 9 13 2 6" xfId="17502"/>
    <cellStyle name="Comma 2 9 13 3" xfId="17503"/>
    <cellStyle name="Comma 2 9 13 3 2" xfId="17504"/>
    <cellStyle name="Comma 2 9 13 3 2 2" xfId="17505"/>
    <cellStyle name="Comma 2 9 13 3 3" xfId="17506"/>
    <cellStyle name="Comma 2 9 13 3 4" xfId="17507"/>
    <cellStyle name="Comma 2 9 13 3 5" xfId="17508"/>
    <cellStyle name="Comma 2 9 13 4" xfId="17509"/>
    <cellStyle name="Comma 2 9 13 4 2" xfId="17510"/>
    <cellStyle name="Comma 2 9 13 4 3" xfId="17511"/>
    <cellStyle name="Comma 2 9 13 4 4" xfId="17512"/>
    <cellStyle name="Comma 2 9 13 5" xfId="17513"/>
    <cellStyle name="Comma 2 9 13 5 2" xfId="17514"/>
    <cellStyle name="Comma 2 9 13 6" xfId="17515"/>
    <cellStyle name="Comma 2 9 13 7" xfId="17516"/>
    <cellStyle name="Comma 2 9 13 8" xfId="17517"/>
    <cellStyle name="Comma 2 9 13 9" xfId="17518"/>
    <cellStyle name="Comma 2 9 14" xfId="17519"/>
    <cellStyle name="Comma 2 9 14 2" xfId="17520"/>
    <cellStyle name="Comma 2 9 14 2 2" xfId="17521"/>
    <cellStyle name="Comma 2 9 14 2 2 2" xfId="17522"/>
    <cellStyle name="Comma 2 9 14 2 2 3" xfId="17523"/>
    <cellStyle name="Comma 2 9 14 2 3" xfId="17524"/>
    <cellStyle name="Comma 2 9 14 2 4" xfId="17525"/>
    <cellStyle name="Comma 2 9 14 2 5" xfId="17526"/>
    <cellStyle name="Comma 2 9 14 2 6" xfId="17527"/>
    <cellStyle name="Comma 2 9 14 3" xfId="17528"/>
    <cellStyle name="Comma 2 9 14 3 2" xfId="17529"/>
    <cellStyle name="Comma 2 9 14 3 2 2" xfId="17530"/>
    <cellStyle name="Comma 2 9 14 3 3" xfId="17531"/>
    <cellStyle name="Comma 2 9 14 3 4" xfId="17532"/>
    <cellStyle name="Comma 2 9 14 3 5" xfId="17533"/>
    <cellStyle name="Comma 2 9 14 4" xfId="17534"/>
    <cellStyle name="Comma 2 9 14 4 2" xfId="17535"/>
    <cellStyle name="Comma 2 9 14 4 3" xfId="17536"/>
    <cellStyle name="Comma 2 9 14 4 4" xfId="17537"/>
    <cellStyle name="Comma 2 9 14 5" xfId="17538"/>
    <cellStyle name="Comma 2 9 14 5 2" xfId="17539"/>
    <cellStyle name="Comma 2 9 14 6" xfId="17540"/>
    <cellStyle name="Comma 2 9 14 7" xfId="17541"/>
    <cellStyle name="Comma 2 9 14 8" xfId="17542"/>
    <cellStyle name="Comma 2 9 14 9" xfId="17543"/>
    <cellStyle name="Comma 2 9 15" xfId="17544"/>
    <cellStyle name="Comma 2 9 15 2" xfId="17545"/>
    <cellStyle name="Comma 2 9 15 2 2" xfId="17546"/>
    <cellStyle name="Comma 2 9 15 2 3" xfId="17547"/>
    <cellStyle name="Comma 2 9 15 3" xfId="17548"/>
    <cellStyle name="Comma 2 9 15 4" xfId="17549"/>
    <cellStyle name="Comma 2 9 15 5" xfId="17550"/>
    <cellStyle name="Comma 2 9 15 6" xfId="17551"/>
    <cellStyle name="Comma 2 9 16" xfId="17552"/>
    <cellStyle name="Comma 2 9 16 2" xfId="17553"/>
    <cellStyle name="Comma 2 9 16 2 2" xfId="17554"/>
    <cellStyle name="Comma 2 9 16 3" xfId="17555"/>
    <cellStyle name="Comma 2 9 16 4" xfId="17556"/>
    <cellStyle name="Comma 2 9 16 5" xfId="17557"/>
    <cellStyle name="Comma 2 9 17" xfId="17558"/>
    <cellStyle name="Comma 2 9 17 2" xfId="17559"/>
    <cellStyle name="Comma 2 9 17 2 2" xfId="17560"/>
    <cellStyle name="Comma 2 9 17 3" xfId="17561"/>
    <cellStyle name="Comma 2 9 17 4" xfId="17562"/>
    <cellStyle name="Comma 2 9 17 5" xfId="17563"/>
    <cellStyle name="Comma 2 9 18" xfId="17564"/>
    <cellStyle name="Comma 2 9 18 2" xfId="17565"/>
    <cellStyle name="Comma 2 9 19" xfId="17566"/>
    <cellStyle name="Comma 2 9 2" xfId="17567"/>
    <cellStyle name="Comma 2 9 2 10" xfId="17568"/>
    <cellStyle name="Comma 2 9 2 11" xfId="17569"/>
    <cellStyle name="Comma 2 9 2 2" xfId="17570"/>
    <cellStyle name="Comma 2 9 2 2 2" xfId="17571"/>
    <cellStyle name="Comma 2 9 2 2 2 2" xfId="17572"/>
    <cellStyle name="Comma 2 9 2 2 2 2 2" xfId="17573"/>
    <cellStyle name="Comma 2 9 2 2 2 2 3" xfId="17574"/>
    <cellStyle name="Comma 2 9 2 2 2 3" xfId="17575"/>
    <cellStyle name="Comma 2 9 2 2 2 4" xfId="17576"/>
    <cellStyle name="Comma 2 9 2 2 2 5" xfId="17577"/>
    <cellStyle name="Comma 2 9 2 2 2 6" xfId="17578"/>
    <cellStyle name="Comma 2 9 2 2 3" xfId="17579"/>
    <cellStyle name="Comma 2 9 2 2 3 2" xfId="17580"/>
    <cellStyle name="Comma 2 9 2 2 3 2 2" xfId="17581"/>
    <cellStyle name="Comma 2 9 2 2 3 3" xfId="17582"/>
    <cellStyle name="Comma 2 9 2 2 3 4" xfId="17583"/>
    <cellStyle name="Comma 2 9 2 2 3 5" xfId="17584"/>
    <cellStyle name="Comma 2 9 2 2 4" xfId="17585"/>
    <cellStyle name="Comma 2 9 2 2 4 2" xfId="17586"/>
    <cellStyle name="Comma 2 9 2 2 4 3" xfId="17587"/>
    <cellStyle name="Comma 2 9 2 2 4 4" xfId="17588"/>
    <cellStyle name="Comma 2 9 2 2 5" xfId="17589"/>
    <cellStyle name="Comma 2 9 2 2 5 2" xfId="17590"/>
    <cellStyle name="Comma 2 9 2 2 6" xfId="17591"/>
    <cellStyle name="Comma 2 9 2 2 7" xfId="17592"/>
    <cellStyle name="Comma 2 9 2 2 8" xfId="17593"/>
    <cellStyle name="Comma 2 9 2 2 9" xfId="17594"/>
    <cellStyle name="Comma 2 9 2 3" xfId="17595"/>
    <cellStyle name="Comma 2 9 2 3 2" xfId="17596"/>
    <cellStyle name="Comma 2 9 2 3 2 2" xfId="17597"/>
    <cellStyle name="Comma 2 9 2 3 2 2 2" xfId="17598"/>
    <cellStyle name="Comma 2 9 2 3 2 2 3" xfId="17599"/>
    <cellStyle name="Comma 2 9 2 3 2 3" xfId="17600"/>
    <cellStyle name="Comma 2 9 2 3 2 4" xfId="17601"/>
    <cellStyle name="Comma 2 9 2 3 2 5" xfId="17602"/>
    <cellStyle name="Comma 2 9 2 3 2 6" xfId="17603"/>
    <cellStyle name="Comma 2 9 2 3 3" xfId="17604"/>
    <cellStyle name="Comma 2 9 2 3 3 2" xfId="17605"/>
    <cellStyle name="Comma 2 9 2 3 3 2 2" xfId="17606"/>
    <cellStyle name="Comma 2 9 2 3 3 3" xfId="17607"/>
    <cellStyle name="Comma 2 9 2 3 3 4" xfId="17608"/>
    <cellStyle name="Comma 2 9 2 3 3 5" xfId="17609"/>
    <cellStyle name="Comma 2 9 2 3 4" xfId="17610"/>
    <cellStyle name="Comma 2 9 2 3 4 2" xfId="17611"/>
    <cellStyle name="Comma 2 9 2 3 4 3" xfId="17612"/>
    <cellStyle name="Comma 2 9 2 3 4 4" xfId="17613"/>
    <cellStyle name="Comma 2 9 2 3 5" xfId="17614"/>
    <cellStyle name="Comma 2 9 2 3 5 2" xfId="17615"/>
    <cellStyle name="Comma 2 9 2 3 6" xfId="17616"/>
    <cellStyle name="Comma 2 9 2 3 7" xfId="17617"/>
    <cellStyle name="Comma 2 9 2 3 8" xfId="17618"/>
    <cellStyle name="Comma 2 9 2 3 9" xfId="17619"/>
    <cellStyle name="Comma 2 9 2 4" xfId="17620"/>
    <cellStyle name="Comma 2 9 2 4 2" xfId="17621"/>
    <cellStyle name="Comma 2 9 2 4 2 2" xfId="17622"/>
    <cellStyle name="Comma 2 9 2 4 2 3" xfId="17623"/>
    <cellStyle name="Comma 2 9 2 4 3" xfId="17624"/>
    <cellStyle name="Comma 2 9 2 4 4" xfId="17625"/>
    <cellStyle name="Comma 2 9 2 4 5" xfId="17626"/>
    <cellStyle name="Comma 2 9 2 4 6" xfId="17627"/>
    <cellStyle name="Comma 2 9 2 5" xfId="17628"/>
    <cellStyle name="Comma 2 9 2 5 2" xfId="17629"/>
    <cellStyle name="Comma 2 9 2 5 2 2" xfId="17630"/>
    <cellStyle name="Comma 2 9 2 5 3" xfId="17631"/>
    <cellStyle name="Comma 2 9 2 5 4" xfId="17632"/>
    <cellStyle name="Comma 2 9 2 5 5" xfId="17633"/>
    <cellStyle name="Comma 2 9 2 6" xfId="17634"/>
    <cellStyle name="Comma 2 9 2 6 2" xfId="17635"/>
    <cellStyle name="Comma 2 9 2 6 3" xfId="17636"/>
    <cellStyle name="Comma 2 9 2 6 4" xfId="17637"/>
    <cellStyle name="Comma 2 9 2 7" xfId="17638"/>
    <cellStyle name="Comma 2 9 2 7 2" xfId="17639"/>
    <cellStyle name="Comma 2 9 2 8" xfId="17640"/>
    <cellStyle name="Comma 2 9 2 9" xfId="17641"/>
    <cellStyle name="Comma 2 9 20" xfId="17642"/>
    <cellStyle name="Comma 2 9 21" xfId="17643"/>
    <cellStyle name="Comma 2 9 22" xfId="17644"/>
    <cellStyle name="Comma 2 9 3" xfId="17645"/>
    <cellStyle name="Comma 2 9 3 10" xfId="17646"/>
    <cellStyle name="Comma 2 9 3 11" xfId="17647"/>
    <cellStyle name="Comma 2 9 3 2" xfId="17648"/>
    <cellStyle name="Comma 2 9 3 2 2" xfId="17649"/>
    <cellStyle name="Comma 2 9 3 2 2 2" xfId="17650"/>
    <cellStyle name="Comma 2 9 3 2 2 2 2" xfId="17651"/>
    <cellStyle name="Comma 2 9 3 2 2 2 3" xfId="17652"/>
    <cellStyle name="Comma 2 9 3 2 2 3" xfId="17653"/>
    <cellStyle name="Comma 2 9 3 2 2 4" xfId="17654"/>
    <cellStyle name="Comma 2 9 3 2 2 5" xfId="17655"/>
    <cellStyle name="Comma 2 9 3 2 2 6" xfId="17656"/>
    <cellStyle name="Comma 2 9 3 2 3" xfId="17657"/>
    <cellStyle name="Comma 2 9 3 2 3 2" xfId="17658"/>
    <cellStyle name="Comma 2 9 3 2 3 2 2" xfId="17659"/>
    <cellStyle name="Comma 2 9 3 2 3 3" xfId="17660"/>
    <cellStyle name="Comma 2 9 3 2 3 4" xfId="17661"/>
    <cellStyle name="Comma 2 9 3 2 3 5" xfId="17662"/>
    <cellStyle name="Comma 2 9 3 2 4" xfId="17663"/>
    <cellStyle name="Comma 2 9 3 2 4 2" xfId="17664"/>
    <cellStyle name="Comma 2 9 3 2 4 3" xfId="17665"/>
    <cellStyle name="Comma 2 9 3 2 4 4" xfId="17666"/>
    <cellStyle name="Comma 2 9 3 2 5" xfId="17667"/>
    <cellStyle name="Comma 2 9 3 2 5 2" xfId="17668"/>
    <cellStyle name="Comma 2 9 3 2 6" xfId="17669"/>
    <cellStyle name="Comma 2 9 3 2 7" xfId="17670"/>
    <cellStyle name="Comma 2 9 3 2 8" xfId="17671"/>
    <cellStyle name="Comma 2 9 3 2 9" xfId="17672"/>
    <cellStyle name="Comma 2 9 3 3" xfId="17673"/>
    <cellStyle name="Comma 2 9 3 3 2" xfId="17674"/>
    <cellStyle name="Comma 2 9 3 3 2 2" xfId="17675"/>
    <cellStyle name="Comma 2 9 3 3 2 2 2" xfId="17676"/>
    <cellStyle name="Comma 2 9 3 3 2 2 3" xfId="17677"/>
    <cellStyle name="Comma 2 9 3 3 2 3" xfId="17678"/>
    <cellStyle name="Comma 2 9 3 3 2 4" xfId="17679"/>
    <cellStyle name="Comma 2 9 3 3 2 5" xfId="17680"/>
    <cellStyle name="Comma 2 9 3 3 2 6" xfId="17681"/>
    <cellStyle name="Comma 2 9 3 3 3" xfId="17682"/>
    <cellStyle name="Comma 2 9 3 3 3 2" xfId="17683"/>
    <cellStyle name="Comma 2 9 3 3 3 2 2" xfId="17684"/>
    <cellStyle name="Comma 2 9 3 3 3 3" xfId="17685"/>
    <cellStyle name="Comma 2 9 3 3 3 4" xfId="17686"/>
    <cellStyle name="Comma 2 9 3 3 3 5" xfId="17687"/>
    <cellStyle name="Comma 2 9 3 3 4" xfId="17688"/>
    <cellStyle name="Comma 2 9 3 3 4 2" xfId="17689"/>
    <cellStyle name="Comma 2 9 3 3 4 3" xfId="17690"/>
    <cellStyle name="Comma 2 9 3 3 4 4" xfId="17691"/>
    <cellStyle name="Comma 2 9 3 3 5" xfId="17692"/>
    <cellStyle name="Comma 2 9 3 3 5 2" xfId="17693"/>
    <cellStyle name="Comma 2 9 3 3 6" xfId="17694"/>
    <cellStyle name="Comma 2 9 3 3 7" xfId="17695"/>
    <cellStyle name="Comma 2 9 3 3 8" xfId="17696"/>
    <cellStyle name="Comma 2 9 3 3 9" xfId="17697"/>
    <cellStyle name="Comma 2 9 3 4" xfId="17698"/>
    <cellStyle name="Comma 2 9 3 4 2" xfId="17699"/>
    <cellStyle name="Comma 2 9 3 4 2 2" xfId="17700"/>
    <cellStyle name="Comma 2 9 3 4 2 3" xfId="17701"/>
    <cellStyle name="Comma 2 9 3 4 3" xfId="17702"/>
    <cellStyle name="Comma 2 9 3 4 4" xfId="17703"/>
    <cellStyle name="Comma 2 9 3 4 5" xfId="17704"/>
    <cellStyle name="Comma 2 9 3 4 6" xfId="17705"/>
    <cellStyle name="Comma 2 9 3 5" xfId="17706"/>
    <cellStyle name="Comma 2 9 3 5 2" xfId="17707"/>
    <cellStyle name="Comma 2 9 3 5 2 2" xfId="17708"/>
    <cellStyle name="Comma 2 9 3 5 3" xfId="17709"/>
    <cellStyle name="Comma 2 9 3 5 4" xfId="17710"/>
    <cellStyle name="Comma 2 9 3 5 5" xfId="17711"/>
    <cellStyle name="Comma 2 9 3 6" xfId="17712"/>
    <cellStyle name="Comma 2 9 3 6 2" xfId="17713"/>
    <cellStyle name="Comma 2 9 3 6 3" xfId="17714"/>
    <cellStyle name="Comma 2 9 3 6 4" xfId="17715"/>
    <cellStyle name="Comma 2 9 3 7" xfId="17716"/>
    <cellStyle name="Comma 2 9 3 7 2" xfId="17717"/>
    <cellStyle name="Comma 2 9 3 8" xfId="17718"/>
    <cellStyle name="Comma 2 9 3 9" xfId="17719"/>
    <cellStyle name="Comma 2 9 4" xfId="17720"/>
    <cellStyle name="Comma 2 9 4 10" xfId="17721"/>
    <cellStyle name="Comma 2 9 4 11" xfId="17722"/>
    <cellStyle name="Comma 2 9 4 2" xfId="17723"/>
    <cellStyle name="Comma 2 9 4 2 2" xfId="17724"/>
    <cellStyle name="Comma 2 9 4 2 2 2" xfId="17725"/>
    <cellStyle name="Comma 2 9 4 2 2 2 2" xfId="17726"/>
    <cellStyle name="Comma 2 9 4 2 2 2 3" xfId="17727"/>
    <cellStyle name="Comma 2 9 4 2 2 3" xfId="17728"/>
    <cellStyle name="Comma 2 9 4 2 2 4" xfId="17729"/>
    <cellStyle name="Comma 2 9 4 2 2 5" xfId="17730"/>
    <cellStyle name="Comma 2 9 4 2 2 6" xfId="17731"/>
    <cellStyle name="Comma 2 9 4 2 3" xfId="17732"/>
    <cellStyle name="Comma 2 9 4 2 3 2" xfId="17733"/>
    <cellStyle name="Comma 2 9 4 2 3 2 2" xfId="17734"/>
    <cellStyle name="Comma 2 9 4 2 3 3" xfId="17735"/>
    <cellStyle name="Comma 2 9 4 2 3 4" xfId="17736"/>
    <cellStyle name="Comma 2 9 4 2 3 5" xfId="17737"/>
    <cellStyle name="Comma 2 9 4 2 4" xfId="17738"/>
    <cellStyle name="Comma 2 9 4 2 4 2" xfId="17739"/>
    <cellStyle name="Comma 2 9 4 2 4 3" xfId="17740"/>
    <cellStyle name="Comma 2 9 4 2 4 4" xfId="17741"/>
    <cellStyle name="Comma 2 9 4 2 5" xfId="17742"/>
    <cellStyle name="Comma 2 9 4 2 5 2" xfId="17743"/>
    <cellStyle name="Comma 2 9 4 2 6" xfId="17744"/>
    <cellStyle name="Comma 2 9 4 2 7" xfId="17745"/>
    <cellStyle name="Comma 2 9 4 2 8" xfId="17746"/>
    <cellStyle name="Comma 2 9 4 2 9" xfId="17747"/>
    <cellStyle name="Comma 2 9 4 3" xfId="17748"/>
    <cellStyle name="Comma 2 9 4 3 2" xfId="17749"/>
    <cellStyle name="Comma 2 9 4 3 2 2" xfId="17750"/>
    <cellStyle name="Comma 2 9 4 3 2 2 2" xfId="17751"/>
    <cellStyle name="Comma 2 9 4 3 2 2 3" xfId="17752"/>
    <cellStyle name="Comma 2 9 4 3 2 3" xfId="17753"/>
    <cellStyle name="Comma 2 9 4 3 2 4" xfId="17754"/>
    <cellStyle name="Comma 2 9 4 3 2 5" xfId="17755"/>
    <cellStyle name="Comma 2 9 4 3 2 6" xfId="17756"/>
    <cellStyle name="Comma 2 9 4 3 3" xfId="17757"/>
    <cellStyle name="Comma 2 9 4 3 3 2" xfId="17758"/>
    <cellStyle name="Comma 2 9 4 3 3 2 2" xfId="17759"/>
    <cellStyle name="Comma 2 9 4 3 3 3" xfId="17760"/>
    <cellStyle name="Comma 2 9 4 3 3 4" xfId="17761"/>
    <cellStyle name="Comma 2 9 4 3 3 5" xfId="17762"/>
    <cellStyle name="Comma 2 9 4 3 4" xfId="17763"/>
    <cellStyle name="Comma 2 9 4 3 4 2" xfId="17764"/>
    <cellStyle name="Comma 2 9 4 3 4 3" xfId="17765"/>
    <cellStyle name="Comma 2 9 4 3 4 4" xfId="17766"/>
    <cellStyle name="Comma 2 9 4 3 5" xfId="17767"/>
    <cellStyle name="Comma 2 9 4 3 5 2" xfId="17768"/>
    <cellStyle name="Comma 2 9 4 3 6" xfId="17769"/>
    <cellStyle name="Comma 2 9 4 3 7" xfId="17770"/>
    <cellStyle name="Comma 2 9 4 3 8" xfId="17771"/>
    <cellStyle name="Comma 2 9 4 3 9" xfId="17772"/>
    <cellStyle name="Comma 2 9 4 4" xfId="17773"/>
    <cellStyle name="Comma 2 9 4 4 2" xfId="17774"/>
    <cellStyle name="Comma 2 9 4 4 2 2" xfId="17775"/>
    <cellStyle name="Comma 2 9 4 4 2 3" xfId="17776"/>
    <cellStyle name="Comma 2 9 4 4 3" xfId="17777"/>
    <cellStyle name="Comma 2 9 4 4 4" xfId="17778"/>
    <cellStyle name="Comma 2 9 4 4 5" xfId="17779"/>
    <cellStyle name="Comma 2 9 4 4 6" xfId="17780"/>
    <cellStyle name="Comma 2 9 4 5" xfId="17781"/>
    <cellStyle name="Comma 2 9 4 5 2" xfId="17782"/>
    <cellStyle name="Comma 2 9 4 5 2 2" xfId="17783"/>
    <cellStyle name="Comma 2 9 4 5 3" xfId="17784"/>
    <cellStyle name="Comma 2 9 4 5 4" xfId="17785"/>
    <cellStyle name="Comma 2 9 4 5 5" xfId="17786"/>
    <cellStyle name="Comma 2 9 4 6" xfId="17787"/>
    <cellStyle name="Comma 2 9 4 6 2" xfId="17788"/>
    <cellStyle name="Comma 2 9 4 6 3" xfId="17789"/>
    <cellStyle name="Comma 2 9 4 6 4" xfId="17790"/>
    <cellStyle name="Comma 2 9 4 7" xfId="17791"/>
    <cellStyle name="Comma 2 9 4 7 2" xfId="17792"/>
    <cellStyle name="Comma 2 9 4 8" xfId="17793"/>
    <cellStyle name="Comma 2 9 4 9" xfId="17794"/>
    <cellStyle name="Comma 2 9 5" xfId="17795"/>
    <cellStyle name="Comma 2 9 5 10" xfId="17796"/>
    <cellStyle name="Comma 2 9 5 11" xfId="17797"/>
    <cellStyle name="Comma 2 9 5 2" xfId="17798"/>
    <cellStyle name="Comma 2 9 5 2 2" xfId="17799"/>
    <cellStyle name="Comma 2 9 5 2 2 2" xfId="17800"/>
    <cellStyle name="Comma 2 9 5 2 2 2 2" xfId="17801"/>
    <cellStyle name="Comma 2 9 5 2 2 2 3" xfId="17802"/>
    <cellStyle name="Comma 2 9 5 2 2 3" xfId="17803"/>
    <cellStyle name="Comma 2 9 5 2 2 4" xfId="17804"/>
    <cellStyle name="Comma 2 9 5 2 2 5" xfId="17805"/>
    <cellStyle name="Comma 2 9 5 2 2 6" xfId="17806"/>
    <cellStyle name="Comma 2 9 5 2 3" xfId="17807"/>
    <cellStyle name="Comma 2 9 5 2 3 2" xfId="17808"/>
    <cellStyle name="Comma 2 9 5 2 3 2 2" xfId="17809"/>
    <cellStyle name="Comma 2 9 5 2 3 3" xfId="17810"/>
    <cellStyle name="Comma 2 9 5 2 3 4" xfId="17811"/>
    <cellStyle name="Comma 2 9 5 2 3 5" xfId="17812"/>
    <cellStyle name="Comma 2 9 5 2 4" xfId="17813"/>
    <cellStyle name="Comma 2 9 5 2 4 2" xfId="17814"/>
    <cellStyle name="Comma 2 9 5 2 4 3" xfId="17815"/>
    <cellStyle name="Comma 2 9 5 2 4 4" xfId="17816"/>
    <cellStyle name="Comma 2 9 5 2 5" xfId="17817"/>
    <cellStyle name="Comma 2 9 5 2 5 2" xfId="17818"/>
    <cellStyle name="Comma 2 9 5 2 6" xfId="17819"/>
    <cellStyle name="Comma 2 9 5 2 7" xfId="17820"/>
    <cellStyle name="Comma 2 9 5 2 8" xfId="17821"/>
    <cellStyle name="Comma 2 9 5 2 9" xfId="17822"/>
    <cellStyle name="Comma 2 9 5 3" xfId="17823"/>
    <cellStyle name="Comma 2 9 5 3 2" xfId="17824"/>
    <cellStyle name="Comma 2 9 5 3 2 2" xfId="17825"/>
    <cellStyle name="Comma 2 9 5 3 2 2 2" xfId="17826"/>
    <cellStyle name="Comma 2 9 5 3 2 2 3" xfId="17827"/>
    <cellStyle name="Comma 2 9 5 3 2 3" xfId="17828"/>
    <cellStyle name="Comma 2 9 5 3 2 4" xfId="17829"/>
    <cellStyle name="Comma 2 9 5 3 2 5" xfId="17830"/>
    <cellStyle name="Comma 2 9 5 3 2 6" xfId="17831"/>
    <cellStyle name="Comma 2 9 5 3 3" xfId="17832"/>
    <cellStyle name="Comma 2 9 5 3 3 2" xfId="17833"/>
    <cellStyle name="Comma 2 9 5 3 3 2 2" xfId="17834"/>
    <cellStyle name="Comma 2 9 5 3 3 3" xfId="17835"/>
    <cellStyle name="Comma 2 9 5 3 3 4" xfId="17836"/>
    <cellStyle name="Comma 2 9 5 3 3 5" xfId="17837"/>
    <cellStyle name="Comma 2 9 5 3 4" xfId="17838"/>
    <cellStyle name="Comma 2 9 5 3 4 2" xfId="17839"/>
    <cellStyle name="Comma 2 9 5 3 4 3" xfId="17840"/>
    <cellStyle name="Comma 2 9 5 3 4 4" xfId="17841"/>
    <cellStyle name="Comma 2 9 5 3 5" xfId="17842"/>
    <cellStyle name="Comma 2 9 5 3 5 2" xfId="17843"/>
    <cellStyle name="Comma 2 9 5 3 6" xfId="17844"/>
    <cellStyle name="Comma 2 9 5 3 7" xfId="17845"/>
    <cellStyle name="Comma 2 9 5 3 8" xfId="17846"/>
    <cellStyle name="Comma 2 9 5 3 9" xfId="17847"/>
    <cellStyle name="Comma 2 9 5 4" xfId="17848"/>
    <cellStyle name="Comma 2 9 5 4 2" xfId="17849"/>
    <cellStyle name="Comma 2 9 5 4 2 2" xfId="17850"/>
    <cellStyle name="Comma 2 9 5 4 2 3" xfId="17851"/>
    <cellStyle name="Comma 2 9 5 4 3" xfId="17852"/>
    <cellStyle name="Comma 2 9 5 4 4" xfId="17853"/>
    <cellStyle name="Comma 2 9 5 4 5" xfId="17854"/>
    <cellStyle name="Comma 2 9 5 4 6" xfId="17855"/>
    <cellStyle name="Comma 2 9 5 5" xfId="17856"/>
    <cellStyle name="Comma 2 9 5 5 2" xfId="17857"/>
    <cellStyle name="Comma 2 9 5 5 2 2" xfId="17858"/>
    <cellStyle name="Comma 2 9 5 5 3" xfId="17859"/>
    <cellStyle name="Comma 2 9 5 5 4" xfId="17860"/>
    <cellStyle name="Comma 2 9 5 5 5" xfId="17861"/>
    <cellStyle name="Comma 2 9 5 6" xfId="17862"/>
    <cellStyle name="Comma 2 9 5 6 2" xfId="17863"/>
    <cellStyle name="Comma 2 9 5 6 3" xfId="17864"/>
    <cellStyle name="Comma 2 9 5 6 4" xfId="17865"/>
    <cellStyle name="Comma 2 9 5 7" xfId="17866"/>
    <cellStyle name="Comma 2 9 5 7 2" xfId="17867"/>
    <cellStyle name="Comma 2 9 5 8" xfId="17868"/>
    <cellStyle name="Comma 2 9 5 9" xfId="17869"/>
    <cellStyle name="Comma 2 9 6" xfId="17870"/>
    <cellStyle name="Comma 2 9 6 10" xfId="17871"/>
    <cellStyle name="Comma 2 9 6 11" xfId="17872"/>
    <cellStyle name="Comma 2 9 6 2" xfId="17873"/>
    <cellStyle name="Comma 2 9 6 2 2" xfId="17874"/>
    <cellStyle name="Comma 2 9 6 2 2 2" xfId="17875"/>
    <cellStyle name="Comma 2 9 6 2 2 2 2" xfId="17876"/>
    <cellStyle name="Comma 2 9 6 2 2 2 3" xfId="17877"/>
    <cellStyle name="Comma 2 9 6 2 2 3" xfId="17878"/>
    <cellStyle name="Comma 2 9 6 2 2 4" xfId="17879"/>
    <cellStyle name="Comma 2 9 6 2 2 5" xfId="17880"/>
    <cellStyle name="Comma 2 9 6 2 2 6" xfId="17881"/>
    <cellStyle name="Comma 2 9 6 2 3" xfId="17882"/>
    <cellStyle name="Comma 2 9 6 2 3 2" xfId="17883"/>
    <cellStyle name="Comma 2 9 6 2 3 2 2" xfId="17884"/>
    <cellStyle name="Comma 2 9 6 2 3 3" xfId="17885"/>
    <cellStyle name="Comma 2 9 6 2 3 4" xfId="17886"/>
    <cellStyle name="Comma 2 9 6 2 3 5" xfId="17887"/>
    <cellStyle name="Comma 2 9 6 2 4" xfId="17888"/>
    <cellStyle name="Comma 2 9 6 2 4 2" xfId="17889"/>
    <cellStyle name="Comma 2 9 6 2 4 3" xfId="17890"/>
    <cellStyle name="Comma 2 9 6 2 4 4" xfId="17891"/>
    <cellStyle name="Comma 2 9 6 2 5" xfId="17892"/>
    <cellStyle name="Comma 2 9 6 2 5 2" xfId="17893"/>
    <cellStyle name="Comma 2 9 6 2 6" xfId="17894"/>
    <cellStyle name="Comma 2 9 6 2 7" xfId="17895"/>
    <cellStyle name="Comma 2 9 6 2 8" xfId="17896"/>
    <cellStyle name="Comma 2 9 6 2 9" xfId="17897"/>
    <cellStyle name="Comma 2 9 6 3" xfId="17898"/>
    <cellStyle name="Comma 2 9 6 3 2" xfId="17899"/>
    <cellStyle name="Comma 2 9 6 3 2 2" xfId="17900"/>
    <cellStyle name="Comma 2 9 6 3 2 2 2" xfId="17901"/>
    <cellStyle name="Comma 2 9 6 3 2 2 3" xfId="17902"/>
    <cellStyle name="Comma 2 9 6 3 2 3" xfId="17903"/>
    <cellStyle name="Comma 2 9 6 3 2 4" xfId="17904"/>
    <cellStyle name="Comma 2 9 6 3 2 5" xfId="17905"/>
    <cellStyle name="Comma 2 9 6 3 2 6" xfId="17906"/>
    <cellStyle name="Comma 2 9 6 3 3" xfId="17907"/>
    <cellStyle name="Comma 2 9 6 3 3 2" xfId="17908"/>
    <cellStyle name="Comma 2 9 6 3 3 2 2" xfId="17909"/>
    <cellStyle name="Comma 2 9 6 3 3 3" xfId="17910"/>
    <cellStyle name="Comma 2 9 6 3 3 4" xfId="17911"/>
    <cellStyle name="Comma 2 9 6 3 3 5" xfId="17912"/>
    <cellStyle name="Comma 2 9 6 3 4" xfId="17913"/>
    <cellStyle name="Comma 2 9 6 3 4 2" xfId="17914"/>
    <cellStyle name="Comma 2 9 6 3 4 3" xfId="17915"/>
    <cellStyle name="Comma 2 9 6 3 4 4" xfId="17916"/>
    <cellStyle name="Comma 2 9 6 3 5" xfId="17917"/>
    <cellStyle name="Comma 2 9 6 3 5 2" xfId="17918"/>
    <cellStyle name="Comma 2 9 6 3 6" xfId="17919"/>
    <cellStyle name="Comma 2 9 6 3 7" xfId="17920"/>
    <cellStyle name="Comma 2 9 6 3 8" xfId="17921"/>
    <cellStyle name="Comma 2 9 6 3 9" xfId="17922"/>
    <cellStyle name="Comma 2 9 6 4" xfId="17923"/>
    <cellStyle name="Comma 2 9 6 4 2" xfId="17924"/>
    <cellStyle name="Comma 2 9 6 4 2 2" xfId="17925"/>
    <cellStyle name="Comma 2 9 6 4 2 3" xfId="17926"/>
    <cellStyle name="Comma 2 9 6 4 3" xfId="17927"/>
    <cellStyle name="Comma 2 9 6 4 4" xfId="17928"/>
    <cellStyle name="Comma 2 9 6 4 5" xfId="17929"/>
    <cellStyle name="Comma 2 9 6 4 6" xfId="17930"/>
    <cellStyle name="Comma 2 9 6 5" xfId="17931"/>
    <cellStyle name="Comma 2 9 6 5 2" xfId="17932"/>
    <cellStyle name="Comma 2 9 6 5 2 2" xfId="17933"/>
    <cellStyle name="Comma 2 9 6 5 3" xfId="17934"/>
    <cellStyle name="Comma 2 9 6 5 4" xfId="17935"/>
    <cellStyle name="Comma 2 9 6 5 5" xfId="17936"/>
    <cellStyle name="Comma 2 9 6 6" xfId="17937"/>
    <cellStyle name="Comma 2 9 6 6 2" xfId="17938"/>
    <cellStyle name="Comma 2 9 6 6 3" xfId="17939"/>
    <cellStyle name="Comma 2 9 6 6 4" xfId="17940"/>
    <cellStyle name="Comma 2 9 6 7" xfId="17941"/>
    <cellStyle name="Comma 2 9 6 7 2" xfId="17942"/>
    <cellStyle name="Comma 2 9 6 8" xfId="17943"/>
    <cellStyle name="Comma 2 9 6 9" xfId="17944"/>
    <cellStyle name="Comma 2 9 7" xfId="17945"/>
    <cellStyle name="Comma 2 9 7 10" xfId="17946"/>
    <cellStyle name="Comma 2 9 7 11" xfId="17947"/>
    <cellStyle name="Comma 2 9 7 2" xfId="17948"/>
    <cellStyle name="Comma 2 9 7 2 2" xfId="17949"/>
    <cellStyle name="Comma 2 9 7 2 2 2" xfId="17950"/>
    <cellStyle name="Comma 2 9 7 2 2 2 2" xfId="17951"/>
    <cellStyle name="Comma 2 9 7 2 2 2 3" xfId="17952"/>
    <cellStyle name="Comma 2 9 7 2 2 3" xfId="17953"/>
    <cellStyle name="Comma 2 9 7 2 2 4" xfId="17954"/>
    <cellStyle name="Comma 2 9 7 2 2 5" xfId="17955"/>
    <cellStyle name="Comma 2 9 7 2 2 6" xfId="17956"/>
    <cellStyle name="Comma 2 9 7 2 3" xfId="17957"/>
    <cellStyle name="Comma 2 9 7 2 3 2" xfId="17958"/>
    <cellStyle name="Comma 2 9 7 2 3 2 2" xfId="17959"/>
    <cellStyle name="Comma 2 9 7 2 3 3" xfId="17960"/>
    <cellStyle name="Comma 2 9 7 2 3 4" xfId="17961"/>
    <cellStyle name="Comma 2 9 7 2 3 5" xfId="17962"/>
    <cellStyle name="Comma 2 9 7 2 4" xfId="17963"/>
    <cellStyle name="Comma 2 9 7 2 4 2" xfId="17964"/>
    <cellStyle name="Comma 2 9 7 2 4 3" xfId="17965"/>
    <cellStyle name="Comma 2 9 7 2 4 4" xfId="17966"/>
    <cellStyle name="Comma 2 9 7 2 5" xfId="17967"/>
    <cellStyle name="Comma 2 9 7 2 5 2" xfId="17968"/>
    <cellStyle name="Comma 2 9 7 2 6" xfId="17969"/>
    <cellStyle name="Comma 2 9 7 2 7" xfId="17970"/>
    <cellStyle name="Comma 2 9 7 2 8" xfId="17971"/>
    <cellStyle name="Comma 2 9 7 2 9" xfId="17972"/>
    <cellStyle name="Comma 2 9 7 3" xfId="17973"/>
    <cellStyle name="Comma 2 9 7 3 2" xfId="17974"/>
    <cellStyle name="Comma 2 9 7 3 2 2" xfId="17975"/>
    <cellStyle name="Comma 2 9 7 3 2 2 2" xfId="17976"/>
    <cellStyle name="Comma 2 9 7 3 2 2 3" xfId="17977"/>
    <cellStyle name="Comma 2 9 7 3 2 3" xfId="17978"/>
    <cellStyle name="Comma 2 9 7 3 2 4" xfId="17979"/>
    <cellStyle name="Comma 2 9 7 3 2 5" xfId="17980"/>
    <cellStyle name="Comma 2 9 7 3 2 6" xfId="17981"/>
    <cellStyle name="Comma 2 9 7 3 3" xfId="17982"/>
    <cellStyle name="Comma 2 9 7 3 3 2" xfId="17983"/>
    <cellStyle name="Comma 2 9 7 3 3 2 2" xfId="17984"/>
    <cellStyle name="Comma 2 9 7 3 3 3" xfId="17985"/>
    <cellStyle name="Comma 2 9 7 3 3 4" xfId="17986"/>
    <cellStyle name="Comma 2 9 7 3 3 5" xfId="17987"/>
    <cellStyle name="Comma 2 9 7 3 4" xfId="17988"/>
    <cellStyle name="Comma 2 9 7 3 4 2" xfId="17989"/>
    <cellStyle name="Comma 2 9 7 3 4 3" xfId="17990"/>
    <cellStyle name="Comma 2 9 7 3 4 4" xfId="17991"/>
    <cellStyle name="Comma 2 9 7 3 5" xfId="17992"/>
    <cellStyle name="Comma 2 9 7 3 5 2" xfId="17993"/>
    <cellStyle name="Comma 2 9 7 3 6" xfId="17994"/>
    <cellStyle name="Comma 2 9 7 3 7" xfId="17995"/>
    <cellStyle name="Comma 2 9 7 3 8" xfId="17996"/>
    <cellStyle name="Comma 2 9 7 3 9" xfId="17997"/>
    <cellStyle name="Comma 2 9 7 4" xfId="17998"/>
    <cellStyle name="Comma 2 9 7 4 2" xfId="17999"/>
    <cellStyle name="Comma 2 9 7 4 2 2" xfId="18000"/>
    <cellStyle name="Comma 2 9 7 4 2 3" xfId="18001"/>
    <cellStyle name="Comma 2 9 7 4 3" xfId="18002"/>
    <cellStyle name="Comma 2 9 7 4 4" xfId="18003"/>
    <cellStyle name="Comma 2 9 7 4 5" xfId="18004"/>
    <cellStyle name="Comma 2 9 7 4 6" xfId="18005"/>
    <cellStyle name="Comma 2 9 7 5" xfId="18006"/>
    <cellStyle name="Comma 2 9 7 5 2" xfId="18007"/>
    <cellStyle name="Comma 2 9 7 5 2 2" xfId="18008"/>
    <cellStyle name="Comma 2 9 7 5 3" xfId="18009"/>
    <cellStyle name="Comma 2 9 7 5 4" xfId="18010"/>
    <cellStyle name="Comma 2 9 7 5 5" xfId="18011"/>
    <cellStyle name="Comma 2 9 7 6" xfId="18012"/>
    <cellStyle name="Comma 2 9 7 6 2" xfId="18013"/>
    <cellStyle name="Comma 2 9 7 6 3" xfId="18014"/>
    <cellStyle name="Comma 2 9 7 6 4" xfId="18015"/>
    <cellStyle name="Comma 2 9 7 7" xfId="18016"/>
    <cellStyle name="Comma 2 9 7 7 2" xfId="18017"/>
    <cellStyle name="Comma 2 9 7 8" xfId="18018"/>
    <cellStyle name="Comma 2 9 7 9" xfId="18019"/>
    <cellStyle name="Comma 2 9 8" xfId="18020"/>
    <cellStyle name="Comma 2 9 8 10" xfId="18021"/>
    <cellStyle name="Comma 2 9 8 2" xfId="18022"/>
    <cellStyle name="Comma 2 9 8 2 2" xfId="18023"/>
    <cellStyle name="Comma 2 9 8 2 2 2" xfId="18024"/>
    <cellStyle name="Comma 2 9 8 2 2 3" xfId="18025"/>
    <cellStyle name="Comma 2 9 8 2 3" xfId="18026"/>
    <cellStyle name="Comma 2 9 8 2 4" xfId="18027"/>
    <cellStyle name="Comma 2 9 8 2 5" xfId="18028"/>
    <cellStyle name="Comma 2 9 8 2 6" xfId="18029"/>
    <cellStyle name="Comma 2 9 8 3" xfId="18030"/>
    <cellStyle name="Comma 2 9 8 3 2" xfId="18031"/>
    <cellStyle name="Comma 2 9 8 3 2 2" xfId="18032"/>
    <cellStyle name="Comma 2 9 8 3 2 3" xfId="18033"/>
    <cellStyle name="Comma 2 9 8 3 3" xfId="18034"/>
    <cellStyle name="Comma 2 9 8 3 4" xfId="18035"/>
    <cellStyle name="Comma 2 9 8 3 5" xfId="18036"/>
    <cellStyle name="Comma 2 9 8 3 6" xfId="18037"/>
    <cellStyle name="Comma 2 9 8 4" xfId="18038"/>
    <cellStyle name="Comma 2 9 8 4 2" xfId="18039"/>
    <cellStyle name="Comma 2 9 8 4 2 2" xfId="18040"/>
    <cellStyle name="Comma 2 9 8 4 3" xfId="18041"/>
    <cellStyle name="Comma 2 9 8 4 4" xfId="18042"/>
    <cellStyle name="Comma 2 9 8 4 5" xfId="18043"/>
    <cellStyle name="Comma 2 9 8 5" xfId="18044"/>
    <cellStyle name="Comma 2 9 8 5 2" xfId="18045"/>
    <cellStyle name="Comma 2 9 8 5 3" xfId="18046"/>
    <cellStyle name="Comma 2 9 8 5 4" xfId="18047"/>
    <cellStyle name="Comma 2 9 8 6" xfId="18048"/>
    <cellStyle name="Comma 2 9 8 6 2" xfId="18049"/>
    <cellStyle name="Comma 2 9 8 7" xfId="18050"/>
    <cellStyle name="Comma 2 9 8 8" xfId="18051"/>
    <cellStyle name="Comma 2 9 8 9" xfId="18052"/>
    <cellStyle name="Comma 2 9 9" xfId="18053"/>
    <cellStyle name="Comma 2 9 9 10" xfId="18054"/>
    <cellStyle name="Comma 2 9 9 2" xfId="18055"/>
    <cellStyle name="Comma 2 9 9 2 2" xfId="18056"/>
    <cellStyle name="Comma 2 9 9 2 2 2" xfId="18057"/>
    <cellStyle name="Comma 2 9 9 2 2 3" xfId="18058"/>
    <cellStyle name="Comma 2 9 9 2 3" xfId="18059"/>
    <cellStyle name="Comma 2 9 9 2 4" xfId="18060"/>
    <cellStyle name="Comma 2 9 9 2 5" xfId="18061"/>
    <cellStyle name="Comma 2 9 9 2 6" xfId="18062"/>
    <cellStyle name="Comma 2 9 9 3" xfId="18063"/>
    <cellStyle name="Comma 2 9 9 3 2" xfId="18064"/>
    <cellStyle name="Comma 2 9 9 3 2 2" xfId="18065"/>
    <cellStyle name="Comma 2 9 9 3 2 3" xfId="18066"/>
    <cellStyle name="Comma 2 9 9 3 3" xfId="18067"/>
    <cellStyle name="Comma 2 9 9 3 4" xfId="18068"/>
    <cellStyle name="Comma 2 9 9 3 5" xfId="18069"/>
    <cellStyle name="Comma 2 9 9 3 6" xfId="18070"/>
    <cellStyle name="Comma 2 9 9 4" xfId="18071"/>
    <cellStyle name="Comma 2 9 9 4 2" xfId="18072"/>
    <cellStyle name="Comma 2 9 9 4 2 2" xfId="18073"/>
    <cellStyle name="Comma 2 9 9 4 3" xfId="18074"/>
    <cellStyle name="Comma 2 9 9 4 4" xfId="18075"/>
    <cellStyle name="Comma 2 9 9 4 5" xfId="18076"/>
    <cellStyle name="Comma 2 9 9 5" xfId="18077"/>
    <cellStyle name="Comma 2 9 9 5 2" xfId="18078"/>
    <cellStyle name="Comma 2 9 9 5 3" xfId="18079"/>
    <cellStyle name="Comma 2 9 9 5 4" xfId="18080"/>
    <cellStyle name="Comma 2 9 9 6" xfId="18081"/>
    <cellStyle name="Comma 2 9 9 6 2" xfId="18082"/>
    <cellStyle name="Comma 2 9 9 7" xfId="18083"/>
    <cellStyle name="Comma 2 9 9 8" xfId="18084"/>
    <cellStyle name="Comma 2 9 9 9" xfId="18085"/>
    <cellStyle name="Comma 20" xfId="18086"/>
    <cellStyle name="Comma 21" xfId="18087"/>
    <cellStyle name="Comma 22" xfId="18088"/>
    <cellStyle name="Comma 23" xfId="42322"/>
    <cellStyle name="Comma 25" xfId="18089"/>
    <cellStyle name="Comma 3" xfId="18090"/>
    <cellStyle name="Comma 3 10" xfId="18091"/>
    <cellStyle name="Comma 3 11" xfId="18092"/>
    <cellStyle name="Comma 3 12" xfId="18093"/>
    <cellStyle name="Comma 3 13" xfId="18094"/>
    <cellStyle name="Comma 3 14" xfId="18095"/>
    <cellStyle name="Comma 3 15" xfId="18096"/>
    <cellStyle name="Comma 3 16" xfId="18097"/>
    <cellStyle name="Comma 3 17" xfId="18098"/>
    <cellStyle name="Comma 3 18" xfId="18099"/>
    <cellStyle name="Comma 3 19" xfId="18100"/>
    <cellStyle name="Comma 3 2" xfId="18101"/>
    <cellStyle name="Comma 3 2 2" xfId="18102"/>
    <cellStyle name="Comma 3 2 2 2" xfId="18103"/>
    <cellStyle name="Comma 3 2 3" xfId="18104"/>
    <cellStyle name="Comma 3 2 3 2" xfId="18105"/>
    <cellStyle name="Comma 3 2 4" xfId="18106"/>
    <cellStyle name="Comma 3 2 5" xfId="18107"/>
    <cellStyle name="Comma 3 20" xfId="18108"/>
    <cellStyle name="Comma 3 21" xfId="18109"/>
    <cellStyle name="Comma 3 22" xfId="18110"/>
    <cellStyle name="Comma 3 23" xfId="18111"/>
    <cellStyle name="Comma 3 24" xfId="18112"/>
    <cellStyle name="Comma 3 25" xfId="18113"/>
    <cellStyle name="Comma 3 26" xfId="18114"/>
    <cellStyle name="Comma 3 27" xfId="18115"/>
    <cellStyle name="Comma 3 28" xfId="18116"/>
    <cellStyle name="Comma 3 29" xfId="18117"/>
    <cellStyle name="Comma 3 3" xfId="18118"/>
    <cellStyle name="Comma 3 3 2" xfId="18119"/>
    <cellStyle name="Comma 3 3 2 2" xfId="18120"/>
    <cellStyle name="Comma 3 3 3" xfId="18121"/>
    <cellStyle name="Comma 3 3 4" xfId="18122"/>
    <cellStyle name="Comma 3 30" xfId="18123"/>
    <cellStyle name="Comma 3 31" xfId="18124"/>
    <cellStyle name="Comma 3 32" xfId="18125"/>
    <cellStyle name="Comma 3 33" xfId="18126"/>
    <cellStyle name="Comma 3 34" xfId="18127"/>
    <cellStyle name="Comma 3 35" xfId="18128"/>
    <cellStyle name="Comma 3 36" xfId="18129"/>
    <cellStyle name="Comma 3 37" xfId="18130"/>
    <cellStyle name="Comma 3 38" xfId="18131"/>
    <cellStyle name="Comma 3 39" xfId="18132"/>
    <cellStyle name="Comma 3 4" xfId="18133"/>
    <cellStyle name="Comma 3 4 2" xfId="18134"/>
    <cellStyle name="Comma 3 40" xfId="18135"/>
    <cellStyle name="Comma 3 5" xfId="18136"/>
    <cellStyle name="Comma 3 6" xfId="18137"/>
    <cellStyle name="Comma 3 7" xfId="18138"/>
    <cellStyle name="Comma 3 8" xfId="18139"/>
    <cellStyle name="Comma 3 9" xfId="18140"/>
    <cellStyle name="Comma 31" xfId="18141"/>
    <cellStyle name="Comma 32" xfId="18142"/>
    <cellStyle name="Comma 4" xfId="18143"/>
    <cellStyle name="Comma 4 10" xfId="18144"/>
    <cellStyle name="Comma 4 11" xfId="18145"/>
    <cellStyle name="Comma 4 12" xfId="18146"/>
    <cellStyle name="Comma 4 13" xfId="18147"/>
    <cellStyle name="Comma 4 14" xfId="18148"/>
    <cellStyle name="Comma 4 15" xfId="18149"/>
    <cellStyle name="Comma 4 16" xfId="18150"/>
    <cellStyle name="Comma 4 17" xfId="18151"/>
    <cellStyle name="Comma 4 18" xfId="18152"/>
    <cellStyle name="Comma 4 18 2" xfId="18153"/>
    <cellStyle name="Comma 4 19" xfId="18154"/>
    <cellStyle name="Comma 4 2" xfId="18155"/>
    <cellStyle name="Comma 4 2 2" xfId="18156"/>
    <cellStyle name="Comma 4 2 2 2" xfId="18157"/>
    <cellStyle name="Comma 4 2 2 2 2" xfId="18158"/>
    <cellStyle name="Comma 4 2 2 2 3" xfId="18159"/>
    <cellStyle name="Comma 4 2 2 3" xfId="18160"/>
    <cellStyle name="Comma 4 2 2 4" xfId="18161"/>
    <cellStyle name="Comma 4 2 2 5" xfId="18162"/>
    <cellStyle name="Comma 4 2 2 6" xfId="18163"/>
    <cellStyle name="Comma 4 2 3" xfId="18164"/>
    <cellStyle name="Comma 4 2 3 2" xfId="18165"/>
    <cellStyle name="Comma 4 2 3 2 2" xfId="18166"/>
    <cellStyle name="Comma 4 2 3 3" xfId="18167"/>
    <cellStyle name="Comma 4 2 3 4" xfId="18168"/>
    <cellStyle name="Comma 4 2 3 5" xfId="18169"/>
    <cellStyle name="Comma 4 2 3 6" xfId="18170"/>
    <cellStyle name="Comma 4 2 4" xfId="18171"/>
    <cellStyle name="Comma 4 2 4 2" xfId="18172"/>
    <cellStyle name="Comma 4 2 4 3" xfId="18173"/>
    <cellStyle name="Comma 4 2 4 4" xfId="18174"/>
    <cellStyle name="Comma 4 2 5" xfId="18175"/>
    <cellStyle name="Comma 4 2 5 2" xfId="18176"/>
    <cellStyle name="Comma 4 2 6" xfId="18177"/>
    <cellStyle name="Comma 4 2 7" xfId="18178"/>
    <cellStyle name="Comma 4 2 8" xfId="18179"/>
    <cellStyle name="Comma 4 2 9" xfId="18180"/>
    <cellStyle name="Comma 4 20" xfId="18181"/>
    <cellStyle name="Comma 4 21" xfId="18182"/>
    <cellStyle name="Comma 4 3" xfId="18183"/>
    <cellStyle name="Comma 4 3 2" xfId="18184"/>
    <cellStyle name="Comma 4 3 2 2" xfId="18185"/>
    <cellStyle name="Comma 4 3 2 2 2" xfId="18186"/>
    <cellStyle name="Comma 4 3 2 3" xfId="18187"/>
    <cellStyle name="Comma 4 3 2 4" xfId="18188"/>
    <cellStyle name="Comma 4 3 2 5" xfId="18189"/>
    <cellStyle name="Comma 4 3 2 6" xfId="18190"/>
    <cellStyle name="Comma 4 3 3" xfId="18191"/>
    <cellStyle name="Comma 4 3 3 2" xfId="18192"/>
    <cellStyle name="Comma 4 3 3 3" xfId="18193"/>
    <cellStyle name="Comma 4 3 3 4" xfId="18194"/>
    <cellStyle name="Comma 4 3 4" xfId="18195"/>
    <cellStyle name="Comma 4 3 4 2" xfId="18196"/>
    <cellStyle name="Comma 4 3 5" xfId="18197"/>
    <cellStyle name="Comma 4 3 6" xfId="18198"/>
    <cellStyle name="Comma 4 3 7" xfId="18199"/>
    <cellStyle name="Comma 4 3 8" xfId="18200"/>
    <cellStyle name="Comma 4 4" xfId="18201"/>
    <cellStyle name="Comma 4 4 2" xfId="18202"/>
    <cellStyle name="Comma 4 4 2 2" xfId="18203"/>
    <cellStyle name="Comma 4 4 2 3" xfId="18204"/>
    <cellStyle name="Comma 4 4 3" xfId="18205"/>
    <cellStyle name="Comma 4 4 4" xfId="18206"/>
    <cellStyle name="Comma 4 4 5" xfId="18207"/>
    <cellStyle name="Comma 4 4 6" xfId="18208"/>
    <cellStyle name="Comma 4 5" xfId="18209"/>
    <cellStyle name="Comma 4 5 2" xfId="18210"/>
    <cellStyle name="Comma 4 5 2 2" xfId="18211"/>
    <cellStyle name="Comma 4 5 3" xfId="18212"/>
    <cellStyle name="Comma 4 5 4" xfId="18213"/>
    <cellStyle name="Comma 4 5 5" xfId="18214"/>
    <cellStyle name="Comma 4 5 6" xfId="18215"/>
    <cellStyle name="Comma 4 6" xfId="18216"/>
    <cellStyle name="Comma 4 6 2" xfId="18217"/>
    <cellStyle name="Comma 4 6 3" xfId="18218"/>
    <cellStyle name="Comma 4 6 4" xfId="18219"/>
    <cellStyle name="Comma 4 6 5" xfId="18220"/>
    <cellStyle name="Comma 4 7" xfId="18221"/>
    <cellStyle name="Comma 4 7 2" xfId="18222"/>
    <cellStyle name="Comma 4 7 3" xfId="18223"/>
    <cellStyle name="Comma 4 8" xfId="18224"/>
    <cellStyle name="Comma 4 8 2" xfId="18225"/>
    <cellStyle name="Comma 4 8 3" xfId="18226"/>
    <cellStyle name="Comma 4 9" xfId="18227"/>
    <cellStyle name="Comma 5" xfId="18228"/>
    <cellStyle name="Comma 5 10" xfId="18229"/>
    <cellStyle name="Comma 5 11" xfId="42323"/>
    <cellStyle name="Comma 5 2" xfId="18230"/>
    <cellStyle name="Comma 5 2 2" xfId="18231"/>
    <cellStyle name="Comma 5 2 2 2" xfId="18232"/>
    <cellStyle name="Comma 5 2 2 2 2" xfId="18233"/>
    <cellStyle name="Comma 5 2 2 2 3" xfId="18234"/>
    <cellStyle name="Comma 5 2 2 3" xfId="18235"/>
    <cellStyle name="Comma 5 2 2 4" xfId="18236"/>
    <cellStyle name="Comma 5 2 2 5" xfId="18237"/>
    <cellStyle name="Comma 5 2 2 6" xfId="18238"/>
    <cellStyle name="Comma 5 2 3" xfId="18239"/>
    <cellStyle name="Comma 5 2 3 2" xfId="18240"/>
    <cellStyle name="Comma 5 2 3 2 2" xfId="18241"/>
    <cellStyle name="Comma 5 2 3 3" xfId="18242"/>
    <cellStyle name="Comma 5 2 3 4" xfId="18243"/>
    <cellStyle name="Comma 5 2 3 5" xfId="18244"/>
    <cellStyle name="Comma 5 2 4" xfId="18245"/>
    <cellStyle name="Comma 5 2 4 2" xfId="18246"/>
    <cellStyle name="Comma 5 2 4 3" xfId="18247"/>
    <cellStyle name="Comma 5 2 4 4" xfId="18248"/>
    <cellStyle name="Comma 5 2 5" xfId="18249"/>
    <cellStyle name="Comma 5 2 5 2" xfId="18250"/>
    <cellStyle name="Comma 5 2 6" xfId="18251"/>
    <cellStyle name="Comma 5 2 7" xfId="18252"/>
    <cellStyle name="Comma 5 2 8" xfId="18253"/>
    <cellStyle name="Comma 5 2 9" xfId="18254"/>
    <cellStyle name="Comma 5 3" xfId="18255"/>
    <cellStyle name="Comma 5 3 2" xfId="18256"/>
    <cellStyle name="Comma 5 3 2 2" xfId="18257"/>
    <cellStyle name="Comma 5 3 2 3" xfId="18258"/>
    <cellStyle name="Comma 5 3 3" xfId="18259"/>
    <cellStyle name="Comma 5 3 4" xfId="18260"/>
    <cellStyle name="Comma 5 3 5" xfId="18261"/>
    <cellStyle name="Comma 5 3 6" xfId="18262"/>
    <cellStyle name="Comma 5 4" xfId="18263"/>
    <cellStyle name="Comma 5 4 2" xfId="18264"/>
    <cellStyle name="Comma 5 4 2 2" xfId="18265"/>
    <cellStyle name="Comma 5 4 3" xfId="18266"/>
    <cellStyle name="Comma 5 4 4" xfId="18267"/>
    <cellStyle name="Comma 5 4 5" xfId="18268"/>
    <cellStyle name="Comma 5 5" xfId="18269"/>
    <cellStyle name="Comma 5 5 2" xfId="18270"/>
    <cellStyle name="Comma 5 5 3" xfId="18271"/>
    <cellStyle name="Comma 5 5 4" xfId="18272"/>
    <cellStyle name="Comma 5 6" xfId="18273"/>
    <cellStyle name="Comma 5 6 2" xfId="18274"/>
    <cellStyle name="Comma 5 7" xfId="18275"/>
    <cellStyle name="Comma 5 8" xfId="18276"/>
    <cellStyle name="Comma 5 9" xfId="18277"/>
    <cellStyle name="Comma 6" xfId="18278"/>
    <cellStyle name="Comma 6 2" xfId="18279"/>
    <cellStyle name="Comma 6 2 2" xfId="18280"/>
    <cellStyle name="Comma 6 2 2 2" xfId="18281"/>
    <cellStyle name="Comma 6 2 2 3" xfId="18282"/>
    <cellStyle name="Comma 6 2 3" xfId="18283"/>
    <cellStyle name="Comma 6 2 4" xfId="18284"/>
    <cellStyle name="Comma 6 2 5" xfId="18285"/>
    <cellStyle name="Comma 6 2 6" xfId="18286"/>
    <cellStyle name="Comma 6 3" xfId="18287"/>
    <cellStyle name="Comma 6 3 2" xfId="18288"/>
    <cellStyle name="Comma 6 3 2 2" xfId="18289"/>
    <cellStyle name="Comma 6 3 3" xfId="18290"/>
    <cellStyle name="Comma 6 3 4" xfId="18291"/>
    <cellStyle name="Comma 6 3 5" xfId="18292"/>
    <cellStyle name="Comma 6 3 6" xfId="18293"/>
    <cellStyle name="Comma 6 4" xfId="18294"/>
    <cellStyle name="Comma 6 4 2" xfId="18295"/>
    <cellStyle name="Comma 6 4 3" xfId="18296"/>
    <cellStyle name="Comma 6 4 4" xfId="18297"/>
    <cellStyle name="Comma 6 5" xfId="18298"/>
    <cellStyle name="Comma 6 5 2" xfId="18299"/>
    <cellStyle name="Comma 6 6" xfId="18300"/>
    <cellStyle name="Comma 6 7" xfId="18301"/>
    <cellStyle name="Comma 6 8" xfId="18302"/>
    <cellStyle name="Comma 6 9" xfId="18303"/>
    <cellStyle name="Comma 7" xfId="18304"/>
    <cellStyle name="Comma 7 2" xfId="18305"/>
    <cellStyle name="Comma 7 2 2" xfId="18306"/>
    <cellStyle name="Comma 7 2 2 2" xfId="18307"/>
    <cellStyle name="Comma 7 2 3" xfId="18308"/>
    <cellStyle name="Comma 7 2 4" xfId="18309"/>
    <cellStyle name="Comma 7 2 5" xfId="18310"/>
    <cellStyle name="Comma 7 2 6" xfId="18311"/>
    <cellStyle name="Comma 7 3" xfId="18312"/>
    <cellStyle name="Comma 7 3 2" xfId="18313"/>
    <cellStyle name="Comma 7 3 3" xfId="18314"/>
    <cellStyle name="Comma 7 3 4" xfId="18315"/>
    <cellStyle name="Comma 7 4" xfId="18316"/>
    <cellStyle name="Comma 7 4 2" xfId="18317"/>
    <cellStyle name="Comma 7 5" xfId="18318"/>
    <cellStyle name="Comma 7 6" xfId="18319"/>
    <cellStyle name="Comma 7 7" xfId="18320"/>
    <cellStyle name="Comma 7 8" xfId="18321"/>
    <cellStyle name="Comma 8" xfId="18322"/>
    <cellStyle name="Comma 8 2" xfId="18323"/>
    <cellStyle name="Comma 8 2 2" xfId="18324"/>
    <cellStyle name="Comma 8 2 2 2" xfId="18325"/>
    <cellStyle name="Comma 8 2 3" xfId="18326"/>
    <cellStyle name="Comma 8 2 4" xfId="18327"/>
    <cellStyle name="Comma 8 2 5" xfId="18328"/>
    <cellStyle name="Comma 8 3" xfId="18329"/>
    <cellStyle name="Comma 8 3 2" xfId="18330"/>
    <cellStyle name="Comma 8 3 3" xfId="18331"/>
    <cellStyle name="Comma 8 3 4" xfId="18332"/>
    <cellStyle name="Comma 8 4" xfId="18333"/>
    <cellStyle name="Comma 8 4 2" xfId="18334"/>
    <cellStyle name="Comma 8 5" xfId="18335"/>
    <cellStyle name="Comma 8 6" xfId="18336"/>
    <cellStyle name="Comma 8 7" xfId="18337"/>
    <cellStyle name="Comma 8 8" xfId="18338"/>
    <cellStyle name="Comma 9" xfId="18339"/>
    <cellStyle name="Comma 9 2" xfId="18340"/>
    <cellStyle name="Comma 9 3" xfId="18341"/>
    <cellStyle name="Comma0" xfId="18342"/>
    <cellStyle name="Currency" xfId="2" builtinId="4"/>
    <cellStyle name="Currency 10" xfId="18343"/>
    <cellStyle name="Currency 10 2" xfId="18344"/>
    <cellStyle name="Currency 10 2 2" xfId="18345"/>
    <cellStyle name="Currency 10 2 3" xfId="18346"/>
    <cellStyle name="Currency 10 2 4" xfId="18347"/>
    <cellStyle name="Currency 10 3" xfId="18348"/>
    <cellStyle name="Currency 10 3 2" xfId="18349"/>
    <cellStyle name="Currency 10 4" xfId="18350"/>
    <cellStyle name="Currency 10 5" xfId="18351"/>
    <cellStyle name="Currency 10 6" xfId="18352"/>
    <cellStyle name="Currency 11" xfId="18353"/>
    <cellStyle name="Currency 11 2" xfId="18354"/>
    <cellStyle name="Currency 11 2 2" xfId="18355"/>
    <cellStyle name="Currency 11 2 3" xfId="18356"/>
    <cellStyle name="Currency 11 3" xfId="18357"/>
    <cellStyle name="Currency 12" xfId="18358"/>
    <cellStyle name="Currency 13" xfId="42324"/>
    <cellStyle name="Currency 2" xfId="18359"/>
    <cellStyle name="Currency 2 10" xfId="18360"/>
    <cellStyle name="Currency 2 10 2" xfId="18361"/>
    <cellStyle name="Currency 2 10 3" xfId="18362"/>
    <cellStyle name="Currency 2 10 4" xfId="18363"/>
    <cellStyle name="Currency 2 10 5" xfId="18364"/>
    <cellStyle name="Currency 2 10 6" xfId="18365"/>
    <cellStyle name="Currency 2 10 7" xfId="18366"/>
    <cellStyle name="Currency 2 11" xfId="18367"/>
    <cellStyle name="Currency 2 11 2" xfId="18368"/>
    <cellStyle name="Currency 2 11 3" xfId="18369"/>
    <cellStyle name="Currency 2 11 4" xfId="18370"/>
    <cellStyle name="Currency 2 11 5" xfId="18371"/>
    <cellStyle name="Currency 2 11 6" xfId="18372"/>
    <cellStyle name="Currency 2 11 7" xfId="18373"/>
    <cellStyle name="Currency 2 12" xfId="18374"/>
    <cellStyle name="Currency 2 12 2" xfId="18375"/>
    <cellStyle name="Currency 2 12 3" xfId="18376"/>
    <cellStyle name="Currency 2 12 4" xfId="18377"/>
    <cellStyle name="Currency 2 12 5" xfId="18378"/>
    <cellStyle name="Currency 2 12 6" xfId="18379"/>
    <cellStyle name="Currency 2 12 7" xfId="18380"/>
    <cellStyle name="Currency 2 13" xfId="18381"/>
    <cellStyle name="Currency 2 13 2" xfId="18382"/>
    <cellStyle name="Currency 2 13 3" xfId="18383"/>
    <cellStyle name="Currency 2 13 4" xfId="18384"/>
    <cellStyle name="Currency 2 13 5" xfId="18385"/>
    <cellStyle name="Currency 2 13 6" xfId="18386"/>
    <cellStyle name="Currency 2 13 7" xfId="18387"/>
    <cellStyle name="Currency 2 14" xfId="18388"/>
    <cellStyle name="Currency 2 14 2" xfId="18389"/>
    <cellStyle name="Currency 2 14 3" xfId="18390"/>
    <cellStyle name="Currency 2 14 4" xfId="18391"/>
    <cellStyle name="Currency 2 14 5" xfId="18392"/>
    <cellStyle name="Currency 2 14 6" xfId="18393"/>
    <cellStyle name="Currency 2 14 7" xfId="18394"/>
    <cellStyle name="Currency 2 15" xfId="18395"/>
    <cellStyle name="Currency 2 15 2" xfId="18396"/>
    <cellStyle name="Currency 2 15 3" xfId="18397"/>
    <cellStyle name="Currency 2 15 4" xfId="18398"/>
    <cellStyle name="Currency 2 15 5" xfId="18399"/>
    <cellStyle name="Currency 2 15 6" xfId="18400"/>
    <cellStyle name="Currency 2 15 7" xfId="18401"/>
    <cellStyle name="Currency 2 16" xfId="18402"/>
    <cellStyle name="Currency 2 16 2" xfId="18403"/>
    <cellStyle name="Currency 2 16 3" xfId="18404"/>
    <cellStyle name="Currency 2 16 4" xfId="18405"/>
    <cellStyle name="Currency 2 16 5" xfId="18406"/>
    <cellStyle name="Currency 2 16 6" xfId="18407"/>
    <cellStyle name="Currency 2 16 7" xfId="18408"/>
    <cellStyle name="Currency 2 17" xfId="18409"/>
    <cellStyle name="Currency 2 17 2" xfId="18410"/>
    <cellStyle name="Currency 2 17 2 2" xfId="18411"/>
    <cellStyle name="Currency 2 17 3" xfId="18412"/>
    <cellStyle name="Currency 2 17 4" xfId="18413"/>
    <cellStyle name="Currency 2 17 5" xfId="18414"/>
    <cellStyle name="Currency 2 17 6" xfId="18415"/>
    <cellStyle name="Currency 2 17 7" xfId="18416"/>
    <cellStyle name="Currency 2 18" xfId="18417"/>
    <cellStyle name="Currency 2 18 2" xfId="18418"/>
    <cellStyle name="Currency 2 18 3" xfId="18419"/>
    <cellStyle name="Currency 2 18 4" xfId="18420"/>
    <cellStyle name="Currency 2 18 5" xfId="18421"/>
    <cellStyle name="Currency 2 18 6" xfId="18422"/>
    <cellStyle name="Currency 2 18 7" xfId="18423"/>
    <cellStyle name="Currency 2 19" xfId="18424"/>
    <cellStyle name="Currency 2 19 2" xfId="18425"/>
    <cellStyle name="Currency 2 19 3" xfId="18426"/>
    <cellStyle name="Currency 2 19 4" xfId="18427"/>
    <cellStyle name="Currency 2 19 5" xfId="18428"/>
    <cellStyle name="Currency 2 19 6" xfId="18429"/>
    <cellStyle name="Currency 2 19 7" xfId="18430"/>
    <cellStyle name="Currency 2 2" xfId="18431"/>
    <cellStyle name="Currency 2 2 10" xfId="18432"/>
    <cellStyle name="Currency 2 2 10 2" xfId="18433"/>
    <cellStyle name="Currency 2 2 11" xfId="18434"/>
    <cellStyle name="Currency 2 2 11 2" xfId="18435"/>
    <cellStyle name="Currency 2 2 12" xfId="18436"/>
    <cellStyle name="Currency 2 2 12 2" xfId="18437"/>
    <cellStyle name="Currency 2 2 13" xfId="18438"/>
    <cellStyle name="Currency 2 2 13 2" xfId="18439"/>
    <cellStyle name="Currency 2 2 14" xfId="18440"/>
    <cellStyle name="Currency 2 2 14 2" xfId="18441"/>
    <cellStyle name="Currency 2 2 15" xfId="18442"/>
    <cellStyle name="Currency 2 2 15 2" xfId="18443"/>
    <cellStyle name="Currency 2 2 16" xfId="18444"/>
    <cellStyle name="Currency 2 2 16 2" xfId="18445"/>
    <cellStyle name="Currency 2 2 17" xfId="18446"/>
    <cellStyle name="Currency 2 2 18" xfId="18447"/>
    <cellStyle name="Currency 2 2 19" xfId="18448"/>
    <cellStyle name="Currency 2 2 2" xfId="18449"/>
    <cellStyle name="Currency 2 2 2 2" xfId="18450"/>
    <cellStyle name="Currency 2 2 2 3" xfId="18451"/>
    <cellStyle name="Currency 2 2 2 4" xfId="18452"/>
    <cellStyle name="Currency 2 2 20" xfId="18453"/>
    <cellStyle name="Currency 2 2 21" xfId="18454"/>
    <cellStyle name="Currency 2 2 22" xfId="18455"/>
    <cellStyle name="Currency 2 2 23" xfId="18456"/>
    <cellStyle name="Currency 2 2 24" xfId="18457"/>
    <cellStyle name="Currency 2 2 25" xfId="18458"/>
    <cellStyle name="Currency 2 2 26" xfId="18459"/>
    <cellStyle name="Currency 2 2 27" xfId="18460"/>
    <cellStyle name="Currency 2 2 28" xfId="18461"/>
    <cellStyle name="Currency 2 2 29" xfId="18462"/>
    <cellStyle name="Currency 2 2 3" xfId="18463"/>
    <cellStyle name="Currency 2 2 3 2" xfId="18464"/>
    <cellStyle name="Currency 2 2 3 3" xfId="18465"/>
    <cellStyle name="Currency 2 2 3 4" xfId="18466"/>
    <cellStyle name="Currency 2 2 3 4 2" xfId="18467"/>
    <cellStyle name="Currency 2 2 3 5" xfId="18468"/>
    <cellStyle name="Currency 2 2 3 6" xfId="18469"/>
    <cellStyle name="Currency 2 2 30" xfId="18470"/>
    <cellStyle name="Currency 2 2 31" xfId="18471"/>
    <cellStyle name="Currency 2 2 32" xfId="18472"/>
    <cellStyle name="Currency 2 2 33" xfId="18473"/>
    <cellStyle name="Currency 2 2 34" xfId="18474"/>
    <cellStyle name="Currency 2 2 35" xfId="18475"/>
    <cellStyle name="Currency 2 2 36" xfId="18476"/>
    <cellStyle name="Currency 2 2 37" xfId="18477"/>
    <cellStyle name="Currency 2 2 38" xfId="18478"/>
    <cellStyle name="Currency 2 2 39" xfId="18479"/>
    <cellStyle name="Currency 2 2 4" xfId="18480"/>
    <cellStyle name="Currency 2 2 4 2" xfId="18481"/>
    <cellStyle name="Currency 2 2 4 3" xfId="18482"/>
    <cellStyle name="Currency 2 2 40" xfId="18483"/>
    <cellStyle name="Currency 2 2 41" xfId="18484"/>
    <cellStyle name="Currency 2 2 42" xfId="18485"/>
    <cellStyle name="Currency 2 2 43" xfId="18486"/>
    <cellStyle name="Currency 2 2 44" xfId="18487"/>
    <cellStyle name="Currency 2 2 45" xfId="18488"/>
    <cellStyle name="Currency 2 2 46" xfId="18489"/>
    <cellStyle name="Currency 2 2 47" xfId="18490"/>
    <cellStyle name="Currency 2 2 48" xfId="18491"/>
    <cellStyle name="Currency 2 2 49" xfId="18492"/>
    <cellStyle name="Currency 2 2 5" xfId="18493"/>
    <cellStyle name="Currency 2 2 5 2" xfId="18494"/>
    <cellStyle name="Currency 2 2 5 3" xfId="18495"/>
    <cellStyle name="Currency 2 2 50" xfId="18496"/>
    <cellStyle name="Currency 2 2 51" xfId="18497"/>
    <cellStyle name="Currency 2 2 52" xfId="18498"/>
    <cellStyle name="Currency 2 2 6" xfId="18499"/>
    <cellStyle name="Currency 2 2 6 2" xfId="18500"/>
    <cellStyle name="Currency 2 2 6 3" xfId="18501"/>
    <cellStyle name="Currency 2 2 7" xfId="18502"/>
    <cellStyle name="Currency 2 2 7 2" xfId="18503"/>
    <cellStyle name="Currency 2 2 7 3" xfId="18504"/>
    <cellStyle name="Currency 2 2 8" xfId="18505"/>
    <cellStyle name="Currency 2 2 8 2" xfId="18506"/>
    <cellStyle name="Currency 2 2 8 3" xfId="18507"/>
    <cellStyle name="Currency 2 2 9" xfId="18508"/>
    <cellStyle name="Currency 2 2 9 2" xfId="18509"/>
    <cellStyle name="Currency 2 20" xfId="18510"/>
    <cellStyle name="Currency 2 20 2" xfId="18511"/>
    <cellStyle name="Currency 2 20 3" xfId="18512"/>
    <cellStyle name="Currency 2 20 4" xfId="18513"/>
    <cellStyle name="Currency 2 20 5" xfId="18514"/>
    <cellStyle name="Currency 2 20 6" xfId="18515"/>
    <cellStyle name="Currency 2 20 7" xfId="18516"/>
    <cellStyle name="Currency 2 21" xfId="18517"/>
    <cellStyle name="Currency 2 21 2" xfId="18518"/>
    <cellStyle name="Currency 2 21 3" xfId="18519"/>
    <cellStyle name="Currency 2 21 4" xfId="18520"/>
    <cellStyle name="Currency 2 21 5" xfId="18521"/>
    <cellStyle name="Currency 2 21 6" xfId="18522"/>
    <cellStyle name="Currency 2 22" xfId="18523"/>
    <cellStyle name="Currency 2 22 2" xfId="18524"/>
    <cellStyle name="Currency 2 22 3" xfId="18525"/>
    <cellStyle name="Currency 2 22 4" xfId="18526"/>
    <cellStyle name="Currency 2 22 5" xfId="18527"/>
    <cellStyle name="Currency 2 22 6" xfId="18528"/>
    <cellStyle name="Currency 2 23" xfId="18529"/>
    <cellStyle name="Currency 2 23 2" xfId="18530"/>
    <cellStyle name="Currency 2 23 3" xfId="18531"/>
    <cellStyle name="Currency 2 23 4" xfId="18532"/>
    <cellStyle name="Currency 2 23 5" xfId="18533"/>
    <cellStyle name="Currency 2 23 6" xfId="18534"/>
    <cellStyle name="Currency 2 24" xfId="18535"/>
    <cellStyle name="Currency 2 24 2" xfId="18536"/>
    <cellStyle name="Currency 2 24 3" xfId="18537"/>
    <cellStyle name="Currency 2 24 4" xfId="18538"/>
    <cellStyle name="Currency 2 24 5" xfId="18539"/>
    <cellStyle name="Currency 2 24 6" xfId="18540"/>
    <cellStyle name="Currency 2 25" xfId="18541"/>
    <cellStyle name="Currency 2 25 2" xfId="18542"/>
    <cellStyle name="Currency 2 25 3" xfId="18543"/>
    <cellStyle name="Currency 2 25 4" xfId="18544"/>
    <cellStyle name="Currency 2 25 5" xfId="18545"/>
    <cellStyle name="Currency 2 25 6" xfId="18546"/>
    <cellStyle name="Currency 2 26" xfId="18547"/>
    <cellStyle name="Currency 2 26 2" xfId="18548"/>
    <cellStyle name="Currency 2 26 3" xfId="18549"/>
    <cellStyle name="Currency 2 26 4" xfId="18550"/>
    <cellStyle name="Currency 2 26 5" xfId="18551"/>
    <cellStyle name="Currency 2 26 6" xfId="18552"/>
    <cellStyle name="Currency 2 27" xfId="18553"/>
    <cellStyle name="Currency 2 27 2" xfId="18554"/>
    <cellStyle name="Currency 2 27 3" xfId="18555"/>
    <cellStyle name="Currency 2 27 4" xfId="18556"/>
    <cellStyle name="Currency 2 27 5" xfId="18557"/>
    <cellStyle name="Currency 2 27 6" xfId="18558"/>
    <cellStyle name="Currency 2 28" xfId="18559"/>
    <cellStyle name="Currency 2 28 2" xfId="18560"/>
    <cellStyle name="Currency 2 28 3" xfId="18561"/>
    <cellStyle name="Currency 2 28 4" xfId="18562"/>
    <cellStyle name="Currency 2 28 5" xfId="18563"/>
    <cellStyle name="Currency 2 28 6" xfId="18564"/>
    <cellStyle name="Currency 2 29" xfId="18565"/>
    <cellStyle name="Currency 2 29 2" xfId="18566"/>
    <cellStyle name="Currency 2 29 3" xfId="18567"/>
    <cellStyle name="Currency 2 29 4" xfId="18568"/>
    <cellStyle name="Currency 2 29 5" xfId="18569"/>
    <cellStyle name="Currency 2 29 6" xfId="18570"/>
    <cellStyle name="Currency 2 3" xfId="18571"/>
    <cellStyle name="Currency 2 3 2" xfId="18572"/>
    <cellStyle name="Currency 2 3 2 2" xfId="18573"/>
    <cellStyle name="Currency 2 3 3" xfId="18574"/>
    <cellStyle name="Currency 2 3 4" xfId="18575"/>
    <cellStyle name="Currency 2 3 5" xfId="18576"/>
    <cellStyle name="Currency 2 3 6" xfId="18577"/>
    <cellStyle name="Currency 2 3 7" xfId="18578"/>
    <cellStyle name="Currency 2 30" xfId="18579"/>
    <cellStyle name="Currency 2 30 2" xfId="18580"/>
    <cellStyle name="Currency 2 30 3" xfId="18581"/>
    <cellStyle name="Currency 2 30 4" xfId="18582"/>
    <cellStyle name="Currency 2 30 5" xfId="18583"/>
    <cellStyle name="Currency 2 30 6" xfId="18584"/>
    <cellStyle name="Currency 2 31" xfId="18585"/>
    <cellStyle name="Currency 2 31 2" xfId="18586"/>
    <cellStyle name="Currency 2 31 3" xfId="18587"/>
    <cellStyle name="Currency 2 31 4" xfId="18588"/>
    <cellStyle name="Currency 2 31 5" xfId="18589"/>
    <cellStyle name="Currency 2 31 6" xfId="18590"/>
    <cellStyle name="Currency 2 32" xfId="18591"/>
    <cellStyle name="Currency 2 32 2" xfId="18592"/>
    <cellStyle name="Currency 2 32 3" xfId="18593"/>
    <cellStyle name="Currency 2 32 4" xfId="18594"/>
    <cellStyle name="Currency 2 32 5" xfId="18595"/>
    <cellStyle name="Currency 2 32 6" xfId="18596"/>
    <cellStyle name="Currency 2 33" xfId="18597"/>
    <cellStyle name="Currency 2 33 2" xfId="18598"/>
    <cellStyle name="Currency 2 33 3" xfId="18599"/>
    <cellStyle name="Currency 2 33 4" xfId="18600"/>
    <cellStyle name="Currency 2 33 5" xfId="18601"/>
    <cellStyle name="Currency 2 33 6" xfId="18602"/>
    <cellStyle name="Currency 2 34" xfId="18603"/>
    <cellStyle name="Currency 2 34 2" xfId="18604"/>
    <cellStyle name="Currency 2 34 3" xfId="18605"/>
    <cellStyle name="Currency 2 34 4" xfId="18606"/>
    <cellStyle name="Currency 2 34 5" xfId="18607"/>
    <cellStyle name="Currency 2 34 6" xfId="18608"/>
    <cellStyle name="Currency 2 35" xfId="18609"/>
    <cellStyle name="Currency 2 35 2" xfId="18610"/>
    <cellStyle name="Currency 2 35 3" xfId="18611"/>
    <cellStyle name="Currency 2 35 4" xfId="18612"/>
    <cellStyle name="Currency 2 35 5" xfId="18613"/>
    <cellStyle name="Currency 2 35 6" xfId="18614"/>
    <cellStyle name="Currency 2 36" xfId="18615"/>
    <cellStyle name="Currency 2 36 2" xfId="18616"/>
    <cellStyle name="Currency 2 36 3" xfId="18617"/>
    <cellStyle name="Currency 2 36 4" xfId="18618"/>
    <cellStyle name="Currency 2 36 5" xfId="18619"/>
    <cellStyle name="Currency 2 36 6" xfId="18620"/>
    <cellStyle name="Currency 2 37" xfId="18621"/>
    <cellStyle name="Currency 2 37 2" xfId="18622"/>
    <cellStyle name="Currency 2 37 3" xfId="18623"/>
    <cellStyle name="Currency 2 37 4" xfId="18624"/>
    <cellStyle name="Currency 2 37 5" xfId="18625"/>
    <cellStyle name="Currency 2 37 6" xfId="18626"/>
    <cellStyle name="Currency 2 38" xfId="18627"/>
    <cellStyle name="Currency 2 38 2" xfId="18628"/>
    <cellStyle name="Currency 2 38 3" xfId="18629"/>
    <cellStyle name="Currency 2 38 4" xfId="18630"/>
    <cellStyle name="Currency 2 38 5" xfId="18631"/>
    <cellStyle name="Currency 2 38 6" xfId="18632"/>
    <cellStyle name="Currency 2 39" xfId="18633"/>
    <cellStyle name="Currency 2 39 2" xfId="18634"/>
    <cellStyle name="Currency 2 39 3" xfId="18635"/>
    <cellStyle name="Currency 2 39 4" xfId="18636"/>
    <cellStyle name="Currency 2 39 5" xfId="18637"/>
    <cellStyle name="Currency 2 39 6" xfId="18638"/>
    <cellStyle name="Currency 2 4" xfId="18639"/>
    <cellStyle name="Currency 2 4 2" xfId="18640"/>
    <cellStyle name="Currency 2 4 3" xfId="18641"/>
    <cellStyle name="Currency 2 4 4" xfId="18642"/>
    <cellStyle name="Currency 2 4 5" xfId="18643"/>
    <cellStyle name="Currency 2 4 6" xfId="18644"/>
    <cellStyle name="Currency 2 4 7" xfId="18645"/>
    <cellStyle name="Currency 2 40" xfId="18646"/>
    <cellStyle name="Currency 2 40 2" xfId="18647"/>
    <cellStyle name="Currency 2 40 3" xfId="18648"/>
    <cellStyle name="Currency 2 40 4" xfId="18649"/>
    <cellStyle name="Currency 2 40 5" xfId="18650"/>
    <cellStyle name="Currency 2 40 6" xfId="18651"/>
    <cellStyle name="Currency 2 41" xfId="18652"/>
    <cellStyle name="Currency 2 41 2" xfId="18653"/>
    <cellStyle name="Currency 2 41 3" xfId="18654"/>
    <cellStyle name="Currency 2 41 4" xfId="18655"/>
    <cellStyle name="Currency 2 41 5" xfId="18656"/>
    <cellStyle name="Currency 2 41 6" xfId="18657"/>
    <cellStyle name="Currency 2 42" xfId="18658"/>
    <cellStyle name="Currency 2 42 2" xfId="18659"/>
    <cellStyle name="Currency 2 42 3" xfId="18660"/>
    <cellStyle name="Currency 2 42 4" xfId="18661"/>
    <cellStyle name="Currency 2 42 5" xfId="18662"/>
    <cellStyle name="Currency 2 42 6" xfId="18663"/>
    <cellStyle name="Currency 2 43" xfId="18664"/>
    <cellStyle name="Currency 2 43 2" xfId="18665"/>
    <cellStyle name="Currency 2 43 3" xfId="18666"/>
    <cellStyle name="Currency 2 43 4" xfId="18667"/>
    <cellStyle name="Currency 2 43 5" xfId="18668"/>
    <cellStyle name="Currency 2 43 6" xfId="18669"/>
    <cellStyle name="Currency 2 44" xfId="18670"/>
    <cellStyle name="Currency 2 44 2" xfId="18671"/>
    <cellStyle name="Currency 2 44 3" xfId="18672"/>
    <cellStyle name="Currency 2 44 4" xfId="18673"/>
    <cellStyle name="Currency 2 44 5" xfId="18674"/>
    <cellStyle name="Currency 2 44 6" xfId="18675"/>
    <cellStyle name="Currency 2 45" xfId="18676"/>
    <cellStyle name="Currency 2 45 2" xfId="18677"/>
    <cellStyle name="Currency 2 45 3" xfId="18678"/>
    <cellStyle name="Currency 2 45 4" xfId="18679"/>
    <cellStyle name="Currency 2 45 5" xfId="18680"/>
    <cellStyle name="Currency 2 45 6" xfId="18681"/>
    <cellStyle name="Currency 2 46" xfId="18682"/>
    <cellStyle name="Currency 2 46 2" xfId="18683"/>
    <cellStyle name="Currency 2 46 3" xfId="18684"/>
    <cellStyle name="Currency 2 46 4" xfId="18685"/>
    <cellStyle name="Currency 2 46 5" xfId="18686"/>
    <cellStyle name="Currency 2 46 6" xfId="18687"/>
    <cellStyle name="Currency 2 47" xfId="18688"/>
    <cellStyle name="Currency 2 47 2" xfId="18689"/>
    <cellStyle name="Currency 2 47 3" xfId="18690"/>
    <cellStyle name="Currency 2 47 4" xfId="18691"/>
    <cellStyle name="Currency 2 47 5" xfId="18692"/>
    <cellStyle name="Currency 2 47 6" xfId="18693"/>
    <cellStyle name="Currency 2 48" xfId="18694"/>
    <cellStyle name="Currency 2 48 2" xfId="18695"/>
    <cellStyle name="Currency 2 48 3" xfId="18696"/>
    <cellStyle name="Currency 2 48 4" xfId="18697"/>
    <cellStyle name="Currency 2 48 5" xfId="18698"/>
    <cellStyle name="Currency 2 48 6" xfId="18699"/>
    <cellStyle name="Currency 2 49" xfId="18700"/>
    <cellStyle name="Currency 2 49 2" xfId="18701"/>
    <cellStyle name="Currency 2 49 3" xfId="18702"/>
    <cellStyle name="Currency 2 49 4" xfId="18703"/>
    <cellStyle name="Currency 2 49 5" xfId="18704"/>
    <cellStyle name="Currency 2 49 6" xfId="18705"/>
    <cellStyle name="Currency 2 5" xfId="18706"/>
    <cellStyle name="Currency 2 5 2" xfId="18707"/>
    <cellStyle name="Currency 2 5 3" xfId="18708"/>
    <cellStyle name="Currency 2 5 4" xfId="18709"/>
    <cellStyle name="Currency 2 5 5" xfId="18710"/>
    <cellStyle name="Currency 2 5 6" xfId="18711"/>
    <cellStyle name="Currency 2 5 7" xfId="18712"/>
    <cellStyle name="Currency 2 50" xfId="18713"/>
    <cellStyle name="Currency 2 50 2" xfId="18714"/>
    <cellStyle name="Currency 2 50 3" xfId="18715"/>
    <cellStyle name="Currency 2 50 4" xfId="18716"/>
    <cellStyle name="Currency 2 50 5" xfId="18717"/>
    <cellStyle name="Currency 2 50 6" xfId="18718"/>
    <cellStyle name="Currency 2 51" xfId="18719"/>
    <cellStyle name="Currency 2 51 2" xfId="18720"/>
    <cellStyle name="Currency 2 51 3" xfId="18721"/>
    <cellStyle name="Currency 2 51 4" xfId="18722"/>
    <cellStyle name="Currency 2 51 5" xfId="18723"/>
    <cellStyle name="Currency 2 51 6" xfId="18724"/>
    <cellStyle name="Currency 2 52" xfId="18725"/>
    <cellStyle name="Currency 2 52 2" xfId="18726"/>
    <cellStyle name="Currency 2 52 3" xfId="18727"/>
    <cellStyle name="Currency 2 52 4" xfId="18728"/>
    <cellStyle name="Currency 2 52 5" xfId="18729"/>
    <cellStyle name="Currency 2 52 6" xfId="18730"/>
    <cellStyle name="Currency 2 53" xfId="18731"/>
    <cellStyle name="Currency 2 53 2" xfId="18732"/>
    <cellStyle name="Currency 2 53 3" xfId="18733"/>
    <cellStyle name="Currency 2 53 4" xfId="18734"/>
    <cellStyle name="Currency 2 53 5" xfId="18735"/>
    <cellStyle name="Currency 2 53 6" xfId="18736"/>
    <cellStyle name="Currency 2 54" xfId="18737"/>
    <cellStyle name="Currency 2 54 2" xfId="18738"/>
    <cellStyle name="Currency 2 54 3" xfId="18739"/>
    <cellStyle name="Currency 2 54 4" xfId="18740"/>
    <cellStyle name="Currency 2 54 5" xfId="18741"/>
    <cellStyle name="Currency 2 54 6" xfId="18742"/>
    <cellStyle name="Currency 2 55" xfId="18743"/>
    <cellStyle name="Currency 2 55 2" xfId="18744"/>
    <cellStyle name="Currency 2 55 3" xfId="18745"/>
    <cellStyle name="Currency 2 55 4" xfId="18746"/>
    <cellStyle name="Currency 2 55 5" xfId="18747"/>
    <cellStyle name="Currency 2 55 6" xfId="18748"/>
    <cellStyle name="Currency 2 56" xfId="18749"/>
    <cellStyle name="Currency 2 6" xfId="18750"/>
    <cellStyle name="Currency 2 6 2" xfId="18751"/>
    <cellStyle name="Currency 2 6 3" xfId="18752"/>
    <cellStyle name="Currency 2 6 4" xfId="18753"/>
    <cellStyle name="Currency 2 6 5" xfId="18754"/>
    <cellStyle name="Currency 2 6 6" xfId="18755"/>
    <cellStyle name="Currency 2 6 7" xfId="18756"/>
    <cellStyle name="Currency 2 7" xfId="18757"/>
    <cellStyle name="Currency 2 7 10" xfId="18758"/>
    <cellStyle name="Currency 2 7 2" xfId="18759"/>
    <cellStyle name="Currency 2 7 2 2" xfId="18760"/>
    <cellStyle name="Currency 2 7 2 2 2" xfId="18761"/>
    <cellStyle name="Currency 2 7 2 3" xfId="18762"/>
    <cellStyle name="Currency 2 7 2 4" xfId="18763"/>
    <cellStyle name="Currency 2 7 2 5" xfId="18764"/>
    <cellStyle name="Currency 2 7 2 6" xfId="18765"/>
    <cellStyle name="Currency 2 7 3" xfId="18766"/>
    <cellStyle name="Currency 2 7 3 2" xfId="18767"/>
    <cellStyle name="Currency 2 7 3 3" xfId="18768"/>
    <cellStyle name="Currency 2 7 3 4" xfId="18769"/>
    <cellStyle name="Currency 2 7 3 5" xfId="18770"/>
    <cellStyle name="Currency 2 7 4" xfId="18771"/>
    <cellStyle name="Currency 2 7 4 2" xfId="18772"/>
    <cellStyle name="Currency 2 7 4 3" xfId="18773"/>
    <cellStyle name="Currency 2 7 5" xfId="18774"/>
    <cellStyle name="Currency 2 7 5 2" xfId="18775"/>
    <cellStyle name="Currency 2 7 6" xfId="18776"/>
    <cellStyle name="Currency 2 7 6 2" xfId="18777"/>
    <cellStyle name="Currency 2 7 7" xfId="18778"/>
    <cellStyle name="Currency 2 7 7 2" xfId="18779"/>
    <cellStyle name="Currency 2 7 8" xfId="18780"/>
    <cellStyle name="Currency 2 7 9" xfId="18781"/>
    <cellStyle name="Currency 2 8" xfId="18782"/>
    <cellStyle name="Currency 2 8 2" xfId="18783"/>
    <cellStyle name="Currency 2 8 2 2" xfId="18784"/>
    <cellStyle name="Currency 2 8 3" xfId="18785"/>
    <cellStyle name="Currency 2 8 3 2" xfId="18786"/>
    <cellStyle name="Currency 2 8 4" xfId="18787"/>
    <cellStyle name="Currency 2 8 5" xfId="18788"/>
    <cellStyle name="Currency 2 8 6" xfId="18789"/>
    <cellStyle name="Currency 2 8 7" xfId="18790"/>
    <cellStyle name="Currency 2 9" xfId="18791"/>
    <cellStyle name="Currency 2 9 2" xfId="18792"/>
    <cellStyle name="Currency 2 9 3" xfId="18793"/>
    <cellStyle name="Currency 2 9 4" xfId="18794"/>
    <cellStyle name="Currency 2 9 5" xfId="18795"/>
    <cellStyle name="Currency 2 9 6" xfId="18796"/>
    <cellStyle name="Currency 2 9 7" xfId="18797"/>
    <cellStyle name="Currency 3" xfId="18798"/>
    <cellStyle name="Currency 3 10" xfId="18799"/>
    <cellStyle name="Currency 3 11" xfId="18800"/>
    <cellStyle name="Currency 3 12" xfId="18801"/>
    <cellStyle name="Currency 3 13" xfId="18802"/>
    <cellStyle name="Currency 3 14" xfId="18803"/>
    <cellStyle name="Currency 3 15" xfId="18804"/>
    <cellStyle name="Currency 3 16" xfId="18805"/>
    <cellStyle name="Currency 3 17" xfId="18806"/>
    <cellStyle name="Currency 3 18" xfId="18807"/>
    <cellStyle name="Currency 3 19" xfId="18808"/>
    <cellStyle name="Currency 3 2" xfId="18809"/>
    <cellStyle name="Currency 3 2 2" xfId="18810"/>
    <cellStyle name="Currency 3 20" xfId="18811"/>
    <cellStyle name="Currency 3 21" xfId="18812"/>
    <cellStyle name="Currency 3 22" xfId="18813"/>
    <cellStyle name="Currency 3 23" xfId="18814"/>
    <cellStyle name="Currency 3 24" xfId="18815"/>
    <cellStyle name="Currency 3 25" xfId="18816"/>
    <cellStyle name="Currency 3 26" xfId="18817"/>
    <cellStyle name="Currency 3 27" xfId="18818"/>
    <cellStyle name="Currency 3 28" xfId="18819"/>
    <cellStyle name="Currency 3 29" xfId="18820"/>
    <cellStyle name="Currency 3 3" xfId="18821"/>
    <cellStyle name="Currency 3 30" xfId="18822"/>
    <cellStyle name="Currency 3 31" xfId="18823"/>
    <cellStyle name="Currency 3 32" xfId="18824"/>
    <cellStyle name="Currency 3 33" xfId="18825"/>
    <cellStyle name="Currency 3 34" xfId="18826"/>
    <cellStyle name="Currency 3 35" xfId="18827"/>
    <cellStyle name="Currency 3 36" xfId="18828"/>
    <cellStyle name="Currency 3 37" xfId="18829"/>
    <cellStyle name="Currency 3 38" xfId="18830"/>
    <cellStyle name="Currency 3 39" xfId="18831"/>
    <cellStyle name="Currency 3 4" xfId="18832"/>
    <cellStyle name="Currency 3 40" xfId="18833"/>
    <cellStyle name="Currency 3 5" xfId="18834"/>
    <cellStyle name="Currency 3 6" xfId="18835"/>
    <cellStyle name="Currency 3 7" xfId="18836"/>
    <cellStyle name="Currency 3 8" xfId="18837"/>
    <cellStyle name="Currency 3 9" xfId="18838"/>
    <cellStyle name="Currency 4" xfId="18839"/>
    <cellStyle name="Currency 4 10" xfId="18840"/>
    <cellStyle name="Currency 4 10 2" xfId="18841"/>
    <cellStyle name="Currency 4 10 2 2" xfId="18842"/>
    <cellStyle name="Currency 4 10 2 3" xfId="18843"/>
    <cellStyle name="Currency 4 10 3" xfId="18844"/>
    <cellStyle name="Currency 4 10 4" xfId="18845"/>
    <cellStyle name="Currency 4 10 5" xfId="18846"/>
    <cellStyle name="Currency 4 10 6" xfId="18847"/>
    <cellStyle name="Currency 4 11" xfId="18848"/>
    <cellStyle name="Currency 4 11 2" xfId="18849"/>
    <cellStyle name="Currency 4 11 2 2" xfId="18850"/>
    <cellStyle name="Currency 4 11 3" xfId="18851"/>
    <cellStyle name="Currency 4 11 4" xfId="18852"/>
    <cellStyle name="Currency 4 11 5" xfId="18853"/>
    <cellStyle name="Currency 4 12" xfId="18854"/>
    <cellStyle name="Currency 4 12 2" xfId="18855"/>
    <cellStyle name="Currency 4 12 3" xfId="18856"/>
    <cellStyle name="Currency 4 12 4" xfId="18857"/>
    <cellStyle name="Currency 4 13" xfId="18858"/>
    <cellStyle name="Currency 4 14" xfId="18859"/>
    <cellStyle name="Currency 4 15" xfId="18860"/>
    <cellStyle name="Currency 4 16" xfId="18861"/>
    <cellStyle name="Currency 4 2" xfId="18862"/>
    <cellStyle name="Currency 4 2 10" xfId="18863"/>
    <cellStyle name="Currency 4 2 2" xfId="18864"/>
    <cellStyle name="Currency 4 2 2 2" xfId="18865"/>
    <cellStyle name="Currency 4 2 2 2 2" xfId="18866"/>
    <cellStyle name="Currency 4 2 2 2 2 2" xfId="18867"/>
    <cellStyle name="Currency 4 2 2 2 2 3" xfId="18868"/>
    <cellStyle name="Currency 4 2 2 2 3" xfId="18869"/>
    <cellStyle name="Currency 4 2 2 2 4" xfId="18870"/>
    <cellStyle name="Currency 4 2 2 2 5" xfId="18871"/>
    <cellStyle name="Currency 4 2 2 2 6" xfId="18872"/>
    <cellStyle name="Currency 4 2 2 3" xfId="18873"/>
    <cellStyle name="Currency 4 2 2 3 2" xfId="18874"/>
    <cellStyle name="Currency 4 2 2 3 2 2" xfId="18875"/>
    <cellStyle name="Currency 4 2 2 3 3" xfId="18876"/>
    <cellStyle name="Currency 4 2 2 3 4" xfId="18877"/>
    <cellStyle name="Currency 4 2 2 3 5" xfId="18878"/>
    <cellStyle name="Currency 4 2 2 4" xfId="18879"/>
    <cellStyle name="Currency 4 2 2 4 2" xfId="18880"/>
    <cellStyle name="Currency 4 2 2 4 3" xfId="18881"/>
    <cellStyle name="Currency 4 2 2 4 4" xfId="18882"/>
    <cellStyle name="Currency 4 2 2 5" xfId="18883"/>
    <cellStyle name="Currency 4 2 2 5 2" xfId="18884"/>
    <cellStyle name="Currency 4 2 2 6" xfId="18885"/>
    <cellStyle name="Currency 4 2 2 7" xfId="18886"/>
    <cellStyle name="Currency 4 2 2 8" xfId="18887"/>
    <cellStyle name="Currency 4 2 2 9" xfId="18888"/>
    <cellStyle name="Currency 4 2 3" xfId="18889"/>
    <cellStyle name="Currency 4 2 3 2" xfId="18890"/>
    <cellStyle name="Currency 4 2 3 2 2" xfId="18891"/>
    <cellStyle name="Currency 4 2 3 2 3" xfId="18892"/>
    <cellStyle name="Currency 4 2 3 3" xfId="18893"/>
    <cellStyle name="Currency 4 2 3 4" xfId="18894"/>
    <cellStyle name="Currency 4 2 3 5" xfId="18895"/>
    <cellStyle name="Currency 4 2 3 6" xfId="18896"/>
    <cellStyle name="Currency 4 2 4" xfId="18897"/>
    <cellStyle name="Currency 4 2 4 2" xfId="18898"/>
    <cellStyle name="Currency 4 2 4 2 2" xfId="18899"/>
    <cellStyle name="Currency 4 2 4 3" xfId="18900"/>
    <cellStyle name="Currency 4 2 4 4" xfId="18901"/>
    <cellStyle name="Currency 4 2 4 5" xfId="18902"/>
    <cellStyle name="Currency 4 2 5" xfId="18903"/>
    <cellStyle name="Currency 4 2 5 2" xfId="18904"/>
    <cellStyle name="Currency 4 2 5 2 2" xfId="18905"/>
    <cellStyle name="Currency 4 2 5 3" xfId="18906"/>
    <cellStyle name="Currency 4 2 5 4" xfId="18907"/>
    <cellStyle name="Currency 4 2 5 5" xfId="18908"/>
    <cellStyle name="Currency 4 2 6" xfId="18909"/>
    <cellStyle name="Currency 4 2 6 2" xfId="18910"/>
    <cellStyle name="Currency 4 2 7" xfId="18911"/>
    <cellStyle name="Currency 4 2 8" xfId="18912"/>
    <cellStyle name="Currency 4 2 9" xfId="18913"/>
    <cellStyle name="Currency 4 3" xfId="18914"/>
    <cellStyle name="Currency 4 3 10" xfId="18915"/>
    <cellStyle name="Currency 4 3 2" xfId="18916"/>
    <cellStyle name="Currency 4 3 2 2" xfId="18917"/>
    <cellStyle name="Currency 4 3 2 2 2" xfId="18918"/>
    <cellStyle name="Currency 4 3 2 2 2 2" xfId="18919"/>
    <cellStyle name="Currency 4 3 2 2 2 3" xfId="18920"/>
    <cellStyle name="Currency 4 3 2 2 3" xfId="18921"/>
    <cellStyle name="Currency 4 3 2 2 4" xfId="18922"/>
    <cellStyle name="Currency 4 3 2 2 5" xfId="18923"/>
    <cellStyle name="Currency 4 3 2 2 6" xfId="18924"/>
    <cellStyle name="Currency 4 3 2 3" xfId="18925"/>
    <cellStyle name="Currency 4 3 2 3 2" xfId="18926"/>
    <cellStyle name="Currency 4 3 2 3 2 2" xfId="18927"/>
    <cellStyle name="Currency 4 3 2 3 3" xfId="18928"/>
    <cellStyle name="Currency 4 3 2 3 4" xfId="18929"/>
    <cellStyle name="Currency 4 3 2 3 5" xfId="18930"/>
    <cellStyle name="Currency 4 3 2 4" xfId="18931"/>
    <cellStyle name="Currency 4 3 2 4 2" xfId="18932"/>
    <cellStyle name="Currency 4 3 2 4 3" xfId="18933"/>
    <cellStyle name="Currency 4 3 2 4 4" xfId="18934"/>
    <cellStyle name="Currency 4 3 2 5" xfId="18935"/>
    <cellStyle name="Currency 4 3 2 5 2" xfId="18936"/>
    <cellStyle name="Currency 4 3 2 6" xfId="18937"/>
    <cellStyle name="Currency 4 3 2 7" xfId="18938"/>
    <cellStyle name="Currency 4 3 2 8" xfId="18939"/>
    <cellStyle name="Currency 4 3 2 9" xfId="18940"/>
    <cellStyle name="Currency 4 3 3" xfId="18941"/>
    <cellStyle name="Currency 4 3 3 2" xfId="18942"/>
    <cellStyle name="Currency 4 3 3 2 2" xfId="18943"/>
    <cellStyle name="Currency 4 3 3 2 3" xfId="18944"/>
    <cellStyle name="Currency 4 3 3 3" xfId="18945"/>
    <cellStyle name="Currency 4 3 3 4" xfId="18946"/>
    <cellStyle name="Currency 4 3 3 5" xfId="18947"/>
    <cellStyle name="Currency 4 3 3 6" xfId="18948"/>
    <cellStyle name="Currency 4 3 4" xfId="18949"/>
    <cellStyle name="Currency 4 3 4 2" xfId="18950"/>
    <cellStyle name="Currency 4 3 4 2 2" xfId="18951"/>
    <cellStyle name="Currency 4 3 4 3" xfId="18952"/>
    <cellStyle name="Currency 4 3 4 4" xfId="18953"/>
    <cellStyle name="Currency 4 3 4 5" xfId="18954"/>
    <cellStyle name="Currency 4 3 5" xfId="18955"/>
    <cellStyle name="Currency 4 3 5 2" xfId="18956"/>
    <cellStyle name="Currency 4 3 5 2 2" xfId="18957"/>
    <cellStyle name="Currency 4 3 5 3" xfId="18958"/>
    <cellStyle name="Currency 4 3 5 4" xfId="18959"/>
    <cellStyle name="Currency 4 3 5 5" xfId="18960"/>
    <cellStyle name="Currency 4 3 6" xfId="18961"/>
    <cellStyle name="Currency 4 3 6 2" xfId="18962"/>
    <cellStyle name="Currency 4 3 7" xfId="18963"/>
    <cellStyle name="Currency 4 3 8" xfId="18964"/>
    <cellStyle name="Currency 4 3 9" xfId="18965"/>
    <cellStyle name="Currency 4 4" xfId="18966"/>
    <cellStyle name="Currency 4 4 10" xfId="18967"/>
    <cellStyle name="Currency 4 4 2" xfId="18968"/>
    <cellStyle name="Currency 4 4 2 2" xfId="18969"/>
    <cellStyle name="Currency 4 4 2 2 2" xfId="18970"/>
    <cellStyle name="Currency 4 4 2 2 2 2" xfId="18971"/>
    <cellStyle name="Currency 4 4 2 2 2 3" xfId="18972"/>
    <cellStyle name="Currency 4 4 2 2 3" xfId="18973"/>
    <cellStyle name="Currency 4 4 2 2 4" xfId="18974"/>
    <cellStyle name="Currency 4 4 2 2 5" xfId="18975"/>
    <cellStyle name="Currency 4 4 2 2 6" xfId="18976"/>
    <cellStyle name="Currency 4 4 2 3" xfId="18977"/>
    <cellStyle name="Currency 4 4 2 3 2" xfId="18978"/>
    <cellStyle name="Currency 4 4 2 3 2 2" xfId="18979"/>
    <cellStyle name="Currency 4 4 2 3 3" xfId="18980"/>
    <cellStyle name="Currency 4 4 2 3 4" xfId="18981"/>
    <cellStyle name="Currency 4 4 2 3 5" xfId="18982"/>
    <cellStyle name="Currency 4 4 2 4" xfId="18983"/>
    <cellStyle name="Currency 4 4 2 4 2" xfId="18984"/>
    <cellStyle name="Currency 4 4 2 4 3" xfId="18985"/>
    <cellStyle name="Currency 4 4 2 4 4" xfId="18986"/>
    <cellStyle name="Currency 4 4 2 5" xfId="18987"/>
    <cellStyle name="Currency 4 4 2 5 2" xfId="18988"/>
    <cellStyle name="Currency 4 4 2 6" xfId="18989"/>
    <cellStyle name="Currency 4 4 2 7" xfId="18990"/>
    <cellStyle name="Currency 4 4 2 8" xfId="18991"/>
    <cellStyle name="Currency 4 4 2 9" xfId="18992"/>
    <cellStyle name="Currency 4 4 3" xfId="18993"/>
    <cellStyle name="Currency 4 4 3 2" xfId="18994"/>
    <cellStyle name="Currency 4 4 3 2 2" xfId="18995"/>
    <cellStyle name="Currency 4 4 3 2 3" xfId="18996"/>
    <cellStyle name="Currency 4 4 3 3" xfId="18997"/>
    <cellStyle name="Currency 4 4 3 4" xfId="18998"/>
    <cellStyle name="Currency 4 4 3 5" xfId="18999"/>
    <cellStyle name="Currency 4 4 3 6" xfId="19000"/>
    <cellStyle name="Currency 4 4 4" xfId="19001"/>
    <cellStyle name="Currency 4 4 4 2" xfId="19002"/>
    <cellStyle name="Currency 4 4 4 2 2" xfId="19003"/>
    <cellStyle name="Currency 4 4 4 3" xfId="19004"/>
    <cellStyle name="Currency 4 4 4 4" xfId="19005"/>
    <cellStyle name="Currency 4 4 4 5" xfId="19006"/>
    <cellStyle name="Currency 4 4 5" xfId="19007"/>
    <cellStyle name="Currency 4 4 5 2" xfId="19008"/>
    <cellStyle name="Currency 4 4 5 2 2" xfId="19009"/>
    <cellStyle name="Currency 4 4 5 3" xfId="19010"/>
    <cellStyle name="Currency 4 4 5 4" xfId="19011"/>
    <cellStyle name="Currency 4 4 5 5" xfId="19012"/>
    <cellStyle name="Currency 4 4 6" xfId="19013"/>
    <cellStyle name="Currency 4 4 6 2" xfId="19014"/>
    <cellStyle name="Currency 4 4 7" xfId="19015"/>
    <cellStyle name="Currency 4 4 8" xfId="19016"/>
    <cellStyle name="Currency 4 4 9" xfId="19017"/>
    <cellStyle name="Currency 4 5" xfId="19018"/>
    <cellStyle name="Currency 4 5 10" xfId="19019"/>
    <cellStyle name="Currency 4 5 2" xfId="19020"/>
    <cellStyle name="Currency 4 5 2 2" xfId="19021"/>
    <cellStyle name="Currency 4 5 2 2 2" xfId="19022"/>
    <cellStyle name="Currency 4 5 2 2 2 2" xfId="19023"/>
    <cellStyle name="Currency 4 5 2 2 2 3" xfId="19024"/>
    <cellStyle name="Currency 4 5 2 2 3" xfId="19025"/>
    <cellStyle name="Currency 4 5 2 2 4" xfId="19026"/>
    <cellStyle name="Currency 4 5 2 2 5" xfId="19027"/>
    <cellStyle name="Currency 4 5 2 2 6" xfId="19028"/>
    <cellStyle name="Currency 4 5 2 3" xfId="19029"/>
    <cellStyle name="Currency 4 5 2 3 2" xfId="19030"/>
    <cellStyle name="Currency 4 5 2 3 2 2" xfId="19031"/>
    <cellStyle name="Currency 4 5 2 3 3" xfId="19032"/>
    <cellStyle name="Currency 4 5 2 3 4" xfId="19033"/>
    <cellStyle name="Currency 4 5 2 3 5" xfId="19034"/>
    <cellStyle name="Currency 4 5 2 4" xfId="19035"/>
    <cellStyle name="Currency 4 5 2 4 2" xfId="19036"/>
    <cellStyle name="Currency 4 5 2 4 3" xfId="19037"/>
    <cellStyle name="Currency 4 5 2 4 4" xfId="19038"/>
    <cellStyle name="Currency 4 5 2 5" xfId="19039"/>
    <cellStyle name="Currency 4 5 2 5 2" xfId="19040"/>
    <cellStyle name="Currency 4 5 2 6" xfId="19041"/>
    <cellStyle name="Currency 4 5 2 7" xfId="19042"/>
    <cellStyle name="Currency 4 5 2 8" xfId="19043"/>
    <cellStyle name="Currency 4 5 2 9" xfId="19044"/>
    <cellStyle name="Currency 4 5 3" xfId="19045"/>
    <cellStyle name="Currency 4 5 3 2" xfId="19046"/>
    <cellStyle name="Currency 4 5 3 2 2" xfId="19047"/>
    <cellStyle name="Currency 4 5 3 2 3" xfId="19048"/>
    <cellStyle name="Currency 4 5 3 3" xfId="19049"/>
    <cellStyle name="Currency 4 5 3 4" xfId="19050"/>
    <cellStyle name="Currency 4 5 3 5" xfId="19051"/>
    <cellStyle name="Currency 4 5 3 6" xfId="19052"/>
    <cellStyle name="Currency 4 5 4" xfId="19053"/>
    <cellStyle name="Currency 4 5 4 2" xfId="19054"/>
    <cellStyle name="Currency 4 5 4 2 2" xfId="19055"/>
    <cellStyle name="Currency 4 5 4 3" xfId="19056"/>
    <cellStyle name="Currency 4 5 4 4" xfId="19057"/>
    <cellStyle name="Currency 4 5 4 5" xfId="19058"/>
    <cellStyle name="Currency 4 5 5" xfId="19059"/>
    <cellStyle name="Currency 4 5 5 2" xfId="19060"/>
    <cellStyle name="Currency 4 5 5 2 2" xfId="19061"/>
    <cellStyle name="Currency 4 5 5 3" xfId="19062"/>
    <cellStyle name="Currency 4 5 5 4" xfId="19063"/>
    <cellStyle name="Currency 4 5 5 5" xfId="19064"/>
    <cellStyle name="Currency 4 5 6" xfId="19065"/>
    <cellStyle name="Currency 4 5 6 2" xfId="19066"/>
    <cellStyle name="Currency 4 5 7" xfId="19067"/>
    <cellStyle name="Currency 4 5 8" xfId="19068"/>
    <cellStyle name="Currency 4 5 9" xfId="19069"/>
    <cellStyle name="Currency 4 6" xfId="19070"/>
    <cellStyle name="Currency 4 6 10" xfId="19071"/>
    <cellStyle name="Currency 4 6 2" xfId="19072"/>
    <cellStyle name="Currency 4 6 2 2" xfId="19073"/>
    <cellStyle name="Currency 4 6 2 2 2" xfId="19074"/>
    <cellStyle name="Currency 4 6 2 2 2 2" xfId="19075"/>
    <cellStyle name="Currency 4 6 2 2 2 3" xfId="19076"/>
    <cellStyle name="Currency 4 6 2 2 3" xfId="19077"/>
    <cellStyle name="Currency 4 6 2 2 4" xfId="19078"/>
    <cellStyle name="Currency 4 6 2 2 5" xfId="19079"/>
    <cellStyle name="Currency 4 6 2 2 6" xfId="19080"/>
    <cellStyle name="Currency 4 6 2 3" xfId="19081"/>
    <cellStyle name="Currency 4 6 2 3 2" xfId="19082"/>
    <cellStyle name="Currency 4 6 2 3 2 2" xfId="19083"/>
    <cellStyle name="Currency 4 6 2 3 3" xfId="19084"/>
    <cellStyle name="Currency 4 6 2 3 4" xfId="19085"/>
    <cellStyle name="Currency 4 6 2 3 5" xfId="19086"/>
    <cellStyle name="Currency 4 6 2 4" xfId="19087"/>
    <cellStyle name="Currency 4 6 2 4 2" xfId="19088"/>
    <cellStyle name="Currency 4 6 2 4 3" xfId="19089"/>
    <cellStyle name="Currency 4 6 2 4 4" xfId="19090"/>
    <cellStyle name="Currency 4 6 2 5" xfId="19091"/>
    <cellStyle name="Currency 4 6 2 5 2" xfId="19092"/>
    <cellStyle name="Currency 4 6 2 6" xfId="19093"/>
    <cellStyle name="Currency 4 6 2 7" xfId="19094"/>
    <cellStyle name="Currency 4 6 2 8" xfId="19095"/>
    <cellStyle name="Currency 4 6 2 9" xfId="19096"/>
    <cellStyle name="Currency 4 6 3" xfId="19097"/>
    <cellStyle name="Currency 4 6 3 2" xfId="19098"/>
    <cellStyle name="Currency 4 6 3 2 2" xfId="19099"/>
    <cellStyle name="Currency 4 6 3 2 3" xfId="19100"/>
    <cellStyle name="Currency 4 6 3 3" xfId="19101"/>
    <cellStyle name="Currency 4 6 3 4" xfId="19102"/>
    <cellStyle name="Currency 4 6 3 5" xfId="19103"/>
    <cellStyle name="Currency 4 6 3 6" xfId="19104"/>
    <cellStyle name="Currency 4 6 4" xfId="19105"/>
    <cellStyle name="Currency 4 6 4 2" xfId="19106"/>
    <cellStyle name="Currency 4 6 4 2 2" xfId="19107"/>
    <cellStyle name="Currency 4 6 4 3" xfId="19108"/>
    <cellStyle name="Currency 4 6 4 4" xfId="19109"/>
    <cellStyle name="Currency 4 6 4 5" xfId="19110"/>
    <cellStyle name="Currency 4 6 5" xfId="19111"/>
    <cellStyle name="Currency 4 6 5 2" xfId="19112"/>
    <cellStyle name="Currency 4 6 5 2 2" xfId="19113"/>
    <cellStyle name="Currency 4 6 5 3" xfId="19114"/>
    <cellStyle name="Currency 4 6 5 4" xfId="19115"/>
    <cellStyle name="Currency 4 6 5 5" xfId="19116"/>
    <cellStyle name="Currency 4 6 6" xfId="19117"/>
    <cellStyle name="Currency 4 6 6 2" xfId="19118"/>
    <cellStyle name="Currency 4 6 7" xfId="19119"/>
    <cellStyle name="Currency 4 6 8" xfId="19120"/>
    <cellStyle name="Currency 4 6 9" xfId="19121"/>
    <cellStyle name="Currency 4 7" xfId="19122"/>
    <cellStyle name="Currency 4 7 10" xfId="19123"/>
    <cellStyle name="Currency 4 7 2" xfId="19124"/>
    <cellStyle name="Currency 4 7 2 2" xfId="19125"/>
    <cellStyle name="Currency 4 7 2 2 2" xfId="19126"/>
    <cellStyle name="Currency 4 7 2 2 2 2" xfId="19127"/>
    <cellStyle name="Currency 4 7 2 2 2 3" xfId="19128"/>
    <cellStyle name="Currency 4 7 2 2 3" xfId="19129"/>
    <cellStyle name="Currency 4 7 2 2 4" xfId="19130"/>
    <cellStyle name="Currency 4 7 2 2 5" xfId="19131"/>
    <cellStyle name="Currency 4 7 2 2 6" xfId="19132"/>
    <cellStyle name="Currency 4 7 2 3" xfId="19133"/>
    <cellStyle name="Currency 4 7 2 3 2" xfId="19134"/>
    <cellStyle name="Currency 4 7 2 3 2 2" xfId="19135"/>
    <cellStyle name="Currency 4 7 2 3 3" xfId="19136"/>
    <cellStyle name="Currency 4 7 2 3 4" xfId="19137"/>
    <cellStyle name="Currency 4 7 2 3 5" xfId="19138"/>
    <cellStyle name="Currency 4 7 2 4" xfId="19139"/>
    <cellStyle name="Currency 4 7 2 4 2" xfId="19140"/>
    <cellStyle name="Currency 4 7 2 4 3" xfId="19141"/>
    <cellStyle name="Currency 4 7 2 4 4" xfId="19142"/>
    <cellStyle name="Currency 4 7 2 5" xfId="19143"/>
    <cellStyle name="Currency 4 7 2 5 2" xfId="19144"/>
    <cellStyle name="Currency 4 7 2 6" xfId="19145"/>
    <cellStyle name="Currency 4 7 2 7" xfId="19146"/>
    <cellStyle name="Currency 4 7 2 8" xfId="19147"/>
    <cellStyle name="Currency 4 7 2 9" xfId="19148"/>
    <cellStyle name="Currency 4 7 3" xfId="19149"/>
    <cellStyle name="Currency 4 7 3 2" xfId="19150"/>
    <cellStyle name="Currency 4 7 3 2 2" xfId="19151"/>
    <cellStyle name="Currency 4 7 3 2 3" xfId="19152"/>
    <cellStyle name="Currency 4 7 3 3" xfId="19153"/>
    <cellStyle name="Currency 4 7 3 4" xfId="19154"/>
    <cellStyle name="Currency 4 7 3 5" xfId="19155"/>
    <cellStyle name="Currency 4 7 3 6" xfId="19156"/>
    <cellStyle name="Currency 4 7 4" xfId="19157"/>
    <cellStyle name="Currency 4 7 4 2" xfId="19158"/>
    <cellStyle name="Currency 4 7 4 2 2" xfId="19159"/>
    <cellStyle name="Currency 4 7 4 3" xfId="19160"/>
    <cellStyle name="Currency 4 7 4 4" xfId="19161"/>
    <cellStyle name="Currency 4 7 4 5" xfId="19162"/>
    <cellStyle name="Currency 4 7 5" xfId="19163"/>
    <cellStyle name="Currency 4 7 5 2" xfId="19164"/>
    <cellStyle name="Currency 4 7 5 2 2" xfId="19165"/>
    <cellStyle name="Currency 4 7 5 3" xfId="19166"/>
    <cellStyle name="Currency 4 7 5 4" xfId="19167"/>
    <cellStyle name="Currency 4 7 5 5" xfId="19168"/>
    <cellStyle name="Currency 4 7 6" xfId="19169"/>
    <cellStyle name="Currency 4 7 6 2" xfId="19170"/>
    <cellStyle name="Currency 4 7 7" xfId="19171"/>
    <cellStyle name="Currency 4 7 8" xfId="19172"/>
    <cellStyle name="Currency 4 7 9" xfId="19173"/>
    <cellStyle name="Currency 4 8" xfId="19174"/>
    <cellStyle name="Currency 4 8 10" xfId="19175"/>
    <cellStyle name="Currency 4 8 2" xfId="19176"/>
    <cellStyle name="Currency 4 8 2 2" xfId="19177"/>
    <cellStyle name="Currency 4 8 2 2 2" xfId="19178"/>
    <cellStyle name="Currency 4 8 2 2 2 2" xfId="19179"/>
    <cellStyle name="Currency 4 8 2 2 2 3" xfId="19180"/>
    <cellStyle name="Currency 4 8 2 2 3" xfId="19181"/>
    <cellStyle name="Currency 4 8 2 2 4" xfId="19182"/>
    <cellStyle name="Currency 4 8 2 2 5" xfId="19183"/>
    <cellStyle name="Currency 4 8 2 2 6" xfId="19184"/>
    <cellStyle name="Currency 4 8 2 3" xfId="19185"/>
    <cellStyle name="Currency 4 8 2 3 2" xfId="19186"/>
    <cellStyle name="Currency 4 8 2 3 2 2" xfId="19187"/>
    <cellStyle name="Currency 4 8 2 3 3" xfId="19188"/>
    <cellStyle name="Currency 4 8 2 3 4" xfId="19189"/>
    <cellStyle name="Currency 4 8 2 3 5" xfId="19190"/>
    <cellStyle name="Currency 4 8 2 4" xfId="19191"/>
    <cellStyle name="Currency 4 8 2 4 2" xfId="19192"/>
    <cellStyle name="Currency 4 8 2 4 3" xfId="19193"/>
    <cellStyle name="Currency 4 8 2 4 4" xfId="19194"/>
    <cellStyle name="Currency 4 8 2 5" xfId="19195"/>
    <cellStyle name="Currency 4 8 2 5 2" xfId="19196"/>
    <cellStyle name="Currency 4 8 2 6" xfId="19197"/>
    <cellStyle name="Currency 4 8 2 7" xfId="19198"/>
    <cellStyle name="Currency 4 8 2 8" xfId="19199"/>
    <cellStyle name="Currency 4 8 2 9" xfId="19200"/>
    <cellStyle name="Currency 4 8 3" xfId="19201"/>
    <cellStyle name="Currency 4 8 3 2" xfId="19202"/>
    <cellStyle name="Currency 4 8 3 2 2" xfId="19203"/>
    <cellStyle name="Currency 4 8 3 2 3" xfId="19204"/>
    <cellStyle name="Currency 4 8 3 3" xfId="19205"/>
    <cellStyle name="Currency 4 8 3 4" xfId="19206"/>
    <cellStyle name="Currency 4 8 3 5" xfId="19207"/>
    <cellStyle name="Currency 4 8 3 6" xfId="19208"/>
    <cellStyle name="Currency 4 8 4" xfId="19209"/>
    <cellStyle name="Currency 4 8 4 2" xfId="19210"/>
    <cellStyle name="Currency 4 8 4 2 2" xfId="19211"/>
    <cellStyle name="Currency 4 8 4 3" xfId="19212"/>
    <cellStyle name="Currency 4 8 4 4" xfId="19213"/>
    <cellStyle name="Currency 4 8 4 5" xfId="19214"/>
    <cellStyle name="Currency 4 8 5" xfId="19215"/>
    <cellStyle name="Currency 4 8 5 2" xfId="19216"/>
    <cellStyle name="Currency 4 8 5 2 2" xfId="19217"/>
    <cellStyle name="Currency 4 8 5 3" xfId="19218"/>
    <cellStyle name="Currency 4 8 5 4" xfId="19219"/>
    <cellStyle name="Currency 4 8 5 5" xfId="19220"/>
    <cellStyle name="Currency 4 8 6" xfId="19221"/>
    <cellStyle name="Currency 4 8 6 2" xfId="19222"/>
    <cellStyle name="Currency 4 8 7" xfId="19223"/>
    <cellStyle name="Currency 4 8 8" xfId="19224"/>
    <cellStyle name="Currency 4 8 9" xfId="19225"/>
    <cellStyle name="Currency 4 9" xfId="19226"/>
    <cellStyle name="Currency 4 9 2" xfId="19227"/>
    <cellStyle name="Currency 4 9 2 2" xfId="19228"/>
    <cellStyle name="Currency 4 9 2 2 2" xfId="19229"/>
    <cellStyle name="Currency 4 9 2 2 3" xfId="19230"/>
    <cellStyle name="Currency 4 9 2 3" xfId="19231"/>
    <cellStyle name="Currency 4 9 2 4" xfId="19232"/>
    <cellStyle name="Currency 4 9 2 5" xfId="19233"/>
    <cellStyle name="Currency 4 9 2 6" xfId="19234"/>
    <cellStyle name="Currency 4 9 3" xfId="19235"/>
    <cellStyle name="Currency 4 9 3 2" xfId="19236"/>
    <cellStyle name="Currency 4 9 3 2 2" xfId="19237"/>
    <cellStyle name="Currency 4 9 3 3" xfId="19238"/>
    <cellStyle name="Currency 4 9 3 4" xfId="19239"/>
    <cellStyle name="Currency 4 9 3 5" xfId="19240"/>
    <cellStyle name="Currency 4 9 4" xfId="19241"/>
    <cellStyle name="Currency 4 9 4 2" xfId="19242"/>
    <cellStyle name="Currency 4 9 4 3" xfId="19243"/>
    <cellStyle name="Currency 4 9 4 4" xfId="19244"/>
    <cellStyle name="Currency 4 9 5" xfId="19245"/>
    <cellStyle name="Currency 4 9 5 2" xfId="19246"/>
    <cellStyle name="Currency 4 9 6" xfId="19247"/>
    <cellStyle name="Currency 4 9 7" xfId="19248"/>
    <cellStyle name="Currency 4 9 8" xfId="19249"/>
    <cellStyle name="Currency 4 9 9" xfId="19250"/>
    <cellStyle name="Currency 5" xfId="19251"/>
    <cellStyle name="Currency 5 10" xfId="19252"/>
    <cellStyle name="Currency 5 2" xfId="19253"/>
    <cellStyle name="Currency 5 2 2" xfId="19254"/>
    <cellStyle name="Currency 5 2 2 2" xfId="19255"/>
    <cellStyle name="Currency 5 2 2 2 2" xfId="19256"/>
    <cellStyle name="Currency 5 2 2 2 3" xfId="19257"/>
    <cellStyle name="Currency 5 2 2 3" xfId="19258"/>
    <cellStyle name="Currency 5 2 2 4" xfId="19259"/>
    <cellStyle name="Currency 5 2 2 5" xfId="19260"/>
    <cellStyle name="Currency 5 2 2 6" xfId="19261"/>
    <cellStyle name="Currency 5 2 3" xfId="19262"/>
    <cellStyle name="Currency 5 2 3 2" xfId="19263"/>
    <cellStyle name="Currency 5 2 3 2 2" xfId="19264"/>
    <cellStyle name="Currency 5 2 3 3" xfId="19265"/>
    <cellStyle name="Currency 5 2 3 4" xfId="19266"/>
    <cellStyle name="Currency 5 2 3 5" xfId="19267"/>
    <cellStyle name="Currency 5 2 4" xfId="19268"/>
    <cellStyle name="Currency 5 2 4 2" xfId="19269"/>
    <cellStyle name="Currency 5 2 4 3" xfId="19270"/>
    <cellStyle name="Currency 5 2 4 4" xfId="19271"/>
    <cellStyle name="Currency 5 2 5" xfId="19272"/>
    <cellStyle name="Currency 5 2 5 2" xfId="19273"/>
    <cellStyle name="Currency 5 2 6" xfId="19274"/>
    <cellStyle name="Currency 5 2 7" xfId="19275"/>
    <cellStyle name="Currency 5 2 8" xfId="19276"/>
    <cellStyle name="Currency 5 2 9" xfId="19277"/>
    <cellStyle name="Currency 5 3" xfId="19278"/>
    <cellStyle name="Currency 5 3 2" xfId="19279"/>
    <cellStyle name="Currency 5 3 2 2" xfId="19280"/>
    <cellStyle name="Currency 5 3 2 3" xfId="19281"/>
    <cellStyle name="Currency 5 3 3" xfId="19282"/>
    <cellStyle name="Currency 5 3 4" xfId="19283"/>
    <cellStyle name="Currency 5 3 5" xfId="19284"/>
    <cellStyle name="Currency 5 3 6" xfId="19285"/>
    <cellStyle name="Currency 5 4" xfId="19286"/>
    <cellStyle name="Currency 5 4 2" xfId="19287"/>
    <cellStyle name="Currency 5 4 2 2" xfId="19288"/>
    <cellStyle name="Currency 5 4 3" xfId="19289"/>
    <cellStyle name="Currency 5 4 4" xfId="19290"/>
    <cellStyle name="Currency 5 4 5" xfId="19291"/>
    <cellStyle name="Currency 5 5" xfId="19292"/>
    <cellStyle name="Currency 5 5 2" xfId="19293"/>
    <cellStyle name="Currency 5 5 3" xfId="19294"/>
    <cellStyle name="Currency 5 5 4" xfId="19295"/>
    <cellStyle name="Currency 5 6" xfId="19296"/>
    <cellStyle name="Currency 5 6 2" xfId="19297"/>
    <cellStyle name="Currency 5 7" xfId="19298"/>
    <cellStyle name="Currency 5 8" xfId="19299"/>
    <cellStyle name="Currency 5 9" xfId="19300"/>
    <cellStyle name="Currency 6" xfId="19301"/>
    <cellStyle name="Currency 6 2" xfId="19302"/>
    <cellStyle name="Currency 6 2 2" xfId="19303"/>
    <cellStyle name="Currency 6 2 2 2" xfId="19304"/>
    <cellStyle name="Currency 6 2 2 3" xfId="19305"/>
    <cellStyle name="Currency 6 2 3" xfId="19306"/>
    <cellStyle name="Currency 6 2 4" xfId="19307"/>
    <cellStyle name="Currency 6 2 5" xfId="19308"/>
    <cellStyle name="Currency 6 2 6" xfId="19309"/>
    <cellStyle name="Currency 6 3" xfId="19310"/>
    <cellStyle name="Currency 6 3 2" xfId="19311"/>
    <cellStyle name="Currency 6 3 2 2" xfId="19312"/>
    <cellStyle name="Currency 6 3 3" xfId="19313"/>
    <cellStyle name="Currency 6 3 4" xfId="19314"/>
    <cellStyle name="Currency 6 3 5" xfId="19315"/>
    <cellStyle name="Currency 6 4" xfId="19316"/>
    <cellStyle name="Currency 6 4 2" xfId="19317"/>
    <cellStyle name="Currency 6 4 3" xfId="19318"/>
    <cellStyle name="Currency 6 4 4" xfId="19319"/>
    <cellStyle name="Currency 6 5" xfId="19320"/>
    <cellStyle name="Currency 6 5 2" xfId="19321"/>
    <cellStyle name="Currency 6 6" xfId="19322"/>
    <cellStyle name="Currency 6 7" xfId="19323"/>
    <cellStyle name="Currency 6 8" xfId="19324"/>
    <cellStyle name="Currency 6 9" xfId="19325"/>
    <cellStyle name="Currency 7" xfId="19326"/>
    <cellStyle name="Currency 7 2" xfId="19327"/>
    <cellStyle name="Currency 7 2 2" xfId="19328"/>
    <cellStyle name="Currency 7 2 2 2" xfId="19329"/>
    <cellStyle name="Currency 7 2 3" xfId="19330"/>
    <cellStyle name="Currency 7 2 4" xfId="19331"/>
    <cellStyle name="Currency 7 2 5" xfId="19332"/>
    <cellStyle name="Currency 7 3" xfId="19333"/>
    <cellStyle name="Currency 7 3 2" xfId="19334"/>
    <cellStyle name="Currency 7 3 3" xfId="19335"/>
    <cellStyle name="Currency 7 3 4" xfId="19336"/>
    <cellStyle name="Currency 7 4" xfId="19337"/>
    <cellStyle name="Currency 7 4 2" xfId="19338"/>
    <cellStyle name="Currency 7 5" xfId="19339"/>
    <cellStyle name="Currency 7 6" xfId="19340"/>
    <cellStyle name="Currency 7 7" xfId="19341"/>
    <cellStyle name="Currency 7 8" xfId="19342"/>
    <cellStyle name="Currency 8" xfId="19343"/>
    <cellStyle name="Currency 8 2" xfId="19344"/>
    <cellStyle name="Currency 8 2 2" xfId="19345"/>
    <cellStyle name="Currency 8 2 2 2" xfId="19346"/>
    <cellStyle name="Currency 8 2 3" xfId="19347"/>
    <cellStyle name="Currency 8 2 4" xfId="19348"/>
    <cellStyle name="Currency 8 2 5" xfId="19349"/>
    <cellStyle name="Currency 8 3" xfId="19350"/>
    <cellStyle name="Currency 8 3 2" xfId="19351"/>
    <cellStyle name="Currency 8 3 3" xfId="19352"/>
    <cellStyle name="Currency 8 3 4" xfId="19353"/>
    <cellStyle name="Currency 8 4" xfId="19354"/>
    <cellStyle name="Currency 8 4 2" xfId="19355"/>
    <cellStyle name="Currency 8 5" xfId="19356"/>
    <cellStyle name="Currency 8 6" xfId="19357"/>
    <cellStyle name="Currency 8 7" xfId="19358"/>
    <cellStyle name="Currency 8 8" xfId="19359"/>
    <cellStyle name="Currency 9" xfId="19360"/>
    <cellStyle name="Currency 9 2" xfId="19361"/>
    <cellStyle name="Currency 9 2 2" xfId="19362"/>
    <cellStyle name="Currency 9 2 3" xfId="19363"/>
    <cellStyle name="Currency 9 2 4" xfId="19364"/>
    <cellStyle name="Currency 9 3" xfId="19365"/>
    <cellStyle name="Currency 9 3 2" xfId="19366"/>
    <cellStyle name="Currency 9 4" xfId="19367"/>
    <cellStyle name="Currency 9 5" xfId="19368"/>
    <cellStyle name="Currency 9 6" xfId="19369"/>
    <cellStyle name="Currency0" xfId="19370"/>
    <cellStyle name="Date" xfId="19371"/>
    <cellStyle name="Fixed" xfId="19372"/>
    <cellStyle name="govt_labor" xfId="19373"/>
    <cellStyle name="Grey" xfId="19374"/>
    <cellStyle name="Heading 1 2" xfId="19375"/>
    <cellStyle name="Heading 2 2" xfId="19376"/>
    <cellStyle name="Heading1" xfId="19377"/>
    <cellStyle name="Heading2" xfId="19378"/>
    <cellStyle name="Hyperlink" xfId="42329" builtinId="8"/>
    <cellStyle name="Hyperlink 2" xfId="19379"/>
    <cellStyle name="Input [yellow]" xfId="19380"/>
    <cellStyle name="Normal" xfId="0" builtinId="0"/>
    <cellStyle name="Normal - Style1" xfId="19381"/>
    <cellStyle name="Normal 10" xfId="19382"/>
    <cellStyle name="Normal 10 2" xfId="19383"/>
    <cellStyle name="Normal 10 2 2" xfId="19384"/>
    <cellStyle name="Normal 10 3" xfId="19385"/>
    <cellStyle name="Normal 11" xfId="19386"/>
    <cellStyle name="Normal 11 2" xfId="19387"/>
    <cellStyle name="Normal 11 2 2" xfId="19388"/>
    <cellStyle name="Normal 11 3" xfId="19389"/>
    <cellStyle name="Normal 11 4" xfId="19390"/>
    <cellStyle name="Normal 11 5" xfId="19391"/>
    <cellStyle name="Normal 12" xfId="19392"/>
    <cellStyle name="Normal 12 10" xfId="19393"/>
    <cellStyle name="Normal 12 2" xfId="19394"/>
    <cellStyle name="Normal 12 2 2" xfId="19395"/>
    <cellStyle name="Normal 12 2 2 2" xfId="19396"/>
    <cellStyle name="Normal 12 2 2 2 2" xfId="19397"/>
    <cellStyle name="Normal 12 2 2 2 3" xfId="19398"/>
    <cellStyle name="Normal 12 2 2 3" xfId="19399"/>
    <cellStyle name="Normal 12 2 2 4" xfId="19400"/>
    <cellStyle name="Normal 12 2 2 5" xfId="19401"/>
    <cellStyle name="Normal 12 2 2 6" xfId="19402"/>
    <cellStyle name="Normal 12 2 3" xfId="19403"/>
    <cellStyle name="Normal 12 2 3 2" xfId="19404"/>
    <cellStyle name="Normal 12 2 3 2 2" xfId="19405"/>
    <cellStyle name="Normal 12 2 3 3" xfId="19406"/>
    <cellStyle name="Normal 12 2 3 4" xfId="19407"/>
    <cellStyle name="Normal 12 2 3 5" xfId="19408"/>
    <cellStyle name="Normal 12 2 4" xfId="19409"/>
    <cellStyle name="Normal 12 2 4 2" xfId="19410"/>
    <cellStyle name="Normal 12 2 4 3" xfId="19411"/>
    <cellStyle name="Normal 12 2 4 4" xfId="19412"/>
    <cellStyle name="Normal 12 2 5" xfId="19413"/>
    <cellStyle name="Normal 12 2 5 2" xfId="19414"/>
    <cellStyle name="Normal 12 2 6" xfId="19415"/>
    <cellStyle name="Normal 12 2 7" xfId="19416"/>
    <cellStyle name="Normal 12 2 8" xfId="19417"/>
    <cellStyle name="Normal 12 2 9" xfId="19418"/>
    <cellStyle name="Normal 12 3" xfId="19419"/>
    <cellStyle name="Normal 12 3 2" xfId="19420"/>
    <cellStyle name="Normal 12 3 2 2" xfId="19421"/>
    <cellStyle name="Normal 12 3 2 3" xfId="19422"/>
    <cellStyle name="Normal 12 3 3" xfId="19423"/>
    <cellStyle name="Normal 12 3 4" xfId="19424"/>
    <cellStyle name="Normal 12 3 5" xfId="19425"/>
    <cellStyle name="Normal 12 3 6" xfId="19426"/>
    <cellStyle name="Normal 12 4" xfId="19427"/>
    <cellStyle name="Normal 12 4 2" xfId="19428"/>
    <cellStyle name="Normal 12 4 2 2" xfId="19429"/>
    <cellStyle name="Normal 12 4 3" xfId="19430"/>
    <cellStyle name="Normal 12 4 4" xfId="19431"/>
    <cellStyle name="Normal 12 4 5" xfId="19432"/>
    <cellStyle name="Normal 12 5" xfId="19433"/>
    <cellStyle name="Normal 12 5 2" xfId="19434"/>
    <cellStyle name="Normal 12 5 2 2" xfId="19435"/>
    <cellStyle name="Normal 12 5 3" xfId="19436"/>
    <cellStyle name="Normal 12 5 4" xfId="19437"/>
    <cellStyle name="Normal 12 5 5" xfId="19438"/>
    <cellStyle name="Normal 12 6" xfId="19439"/>
    <cellStyle name="Normal 12 6 2" xfId="19440"/>
    <cellStyle name="Normal 12 7" xfId="19441"/>
    <cellStyle name="Normal 12 8" xfId="19442"/>
    <cellStyle name="Normal 12 9" xfId="19443"/>
    <cellStyle name="Normal 13" xfId="19444"/>
    <cellStyle name="Normal 13 10" xfId="19445"/>
    <cellStyle name="Normal 13 2" xfId="19446"/>
    <cellStyle name="Normal 13 2 2" xfId="19447"/>
    <cellStyle name="Normal 13 2 2 2" xfId="19448"/>
    <cellStyle name="Normal 13 2 2 2 2" xfId="19449"/>
    <cellStyle name="Normal 13 2 2 2 3" xfId="19450"/>
    <cellStyle name="Normal 13 2 2 3" xfId="19451"/>
    <cellStyle name="Normal 13 2 2 4" xfId="19452"/>
    <cellStyle name="Normal 13 2 2 5" xfId="19453"/>
    <cellStyle name="Normal 13 2 2 6" xfId="19454"/>
    <cellStyle name="Normal 13 2 3" xfId="19455"/>
    <cellStyle name="Normal 13 2 3 2" xfId="19456"/>
    <cellStyle name="Normal 13 2 3 2 2" xfId="19457"/>
    <cellStyle name="Normal 13 2 3 3" xfId="19458"/>
    <cellStyle name="Normal 13 2 3 4" xfId="19459"/>
    <cellStyle name="Normal 13 2 3 5" xfId="19460"/>
    <cellStyle name="Normal 13 2 4" xfId="19461"/>
    <cellStyle name="Normal 13 2 4 2" xfId="19462"/>
    <cellStyle name="Normal 13 2 4 3" xfId="19463"/>
    <cellStyle name="Normal 13 2 4 4" xfId="19464"/>
    <cellStyle name="Normal 13 2 5" xfId="19465"/>
    <cellStyle name="Normal 13 2 5 2" xfId="19466"/>
    <cellStyle name="Normal 13 2 6" xfId="19467"/>
    <cellStyle name="Normal 13 2 7" xfId="19468"/>
    <cellStyle name="Normal 13 2 8" xfId="19469"/>
    <cellStyle name="Normal 13 2 9" xfId="19470"/>
    <cellStyle name="Normal 13 3" xfId="19471"/>
    <cellStyle name="Normal 13 3 2" xfId="19472"/>
    <cellStyle name="Normal 13 3 2 2" xfId="19473"/>
    <cellStyle name="Normal 13 3 2 3" xfId="19474"/>
    <cellStyle name="Normal 13 3 3" xfId="19475"/>
    <cellStyle name="Normal 13 3 4" xfId="19476"/>
    <cellStyle name="Normal 13 3 5" xfId="19477"/>
    <cellStyle name="Normal 13 3 6" xfId="19478"/>
    <cellStyle name="Normal 13 4" xfId="19479"/>
    <cellStyle name="Normal 13 4 2" xfId="19480"/>
    <cellStyle name="Normal 13 4 2 2" xfId="19481"/>
    <cellStyle name="Normal 13 4 3" xfId="19482"/>
    <cellStyle name="Normal 13 4 4" xfId="19483"/>
    <cellStyle name="Normal 13 4 5" xfId="19484"/>
    <cellStyle name="Normal 13 5" xfId="19485"/>
    <cellStyle name="Normal 13 5 2" xfId="19486"/>
    <cellStyle name="Normal 13 5 2 2" xfId="19487"/>
    <cellStyle name="Normal 13 5 3" xfId="19488"/>
    <cellStyle name="Normal 13 5 4" xfId="19489"/>
    <cellStyle name="Normal 13 5 5" xfId="19490"/>
    <cellStyle name="Normal 13 6" xfId="19491"/>
    <cellStyle name="Normal 13 6 2" xfId="19492"/>
    <cellStyle name="Normal 13 7" xfId="19493"/>
    <cellStyle name="Normal 13 8" xfId="19494"/>
    <cellStyle name="Normal 13 9" xfId="19495"/>
    <cellStyle name="Normal 14" xfId="19496"/>
    <cellStyle name="Normal 14 10" xfId="19497"/>
    <cellStyle name="Normal 14 2" xfId="19498"/>
    <cellStyle name="Normal 14 2 2" xfId="19499"/>
    <cellStyle name="Normal 14 2 2 2" xfId="19500"/>
    <cellStyle name="Normal 14 2 2 2 2" xfId="19501"/>
    <cellStyle name="Normal 14 2 2 2 3" xfId="19502"/>
    <cellStyle name="Normal 14 2 2 3" xfId="19503"/>
    <cellStyle name="Normal 14 2 2 4" xfId="19504"/>
    <cellStyle name="Normal 14 2 2 5" xfId="19505"/>
    <cellStyle name="Normal 14 2 2 6" xfId="19506"/>
    <cellStyle name="Normal 14 2 3" xfId="19507"/>
    <cellStyle name="Normal 14 2 3 2" xfId="19508"/>
    <cellStyle name="Normal 14 2 3 2 2" xfId="19509"/>
    <cellStyle name="Normal 14 2 3 3" xfId="19510"/>
    <cellStyle name="Normal 14 2 3 4" xfId="19511"/>
    <cellStyle name="Normal 14 2 3 5" xfId="19512"/>
    <cellStyle name="Normal 14 2 4" xfId="19513"/>
    <cellStyle name="Normal 14 2 4 2" xfId="19514"/>
    <cellStyle name="Normal 14 2 4 3" xfId="19515"/>
    <cellStyle name="Normal 14 2 4 4" xfId="19516"/>
    <cellStyle name="Normal 14 2 5" xfId="19517"/>
    <cellStyle name="Normal 14 2 5 2" xfId="19518"/>
    <cellStyle name="Normal 14 2 6" xfId="19519"/>
    <cellStyle name="Normal 14 2 7" xfId="19520"/>
    <cellStyle name="Normal 14 2 8" xfId="19521"/>
    <cellStyle name="Normal 14 2 9" xfId="19522"/>
    <cellStyle name="Normal 14 3" xfId="19523"/>
    <cellStyle name="Normal 14 3 2" xfId="19524"/>
    <cellStyle name="Normal 14 3 2 2" xfId="19525"/>
    <cellStyle name="Normal 14 3 2 3" xfId="19526"/>
    <cellStyle name="Normal 14 3 3" xfId="19527"/>
    <cellStyle name="Normal 14 3 4" xfId="19528"/>
    <cellStyle name="Normal 14 3 5" xfId="19529"/>
    <cellStyle name="Normal 14 3 6" xfId="19530"/>
    <cellStyle name="Normal 14 4" xfId="19531"/>
    <cellStyle name="Normal 14 4 2" xfId="19532"/>
    <cellStyle name="Normal 14 4 2 2" xfId="19533"/>
    <cellStyle name="Normal 14 4 3" xfId="19534"/>
    <cellStyle name="Normal 14 4 4" xfId="19535"/>
    <cellStyle name="Normal 14 4 5" xfId="19536"/>
    <cellStyle name="Normal 14 5" xfId="19537"/>
    <cellStyle name="Normal 14 5 2" xfId="19538"/>
    <cellStyle name="Normal 14 5 3" xfId="19539"/>
    <cellStyle name="Normal 14 5 4" xfId="19540"/>
    <cellStyle name="Normal 14 6" xfId="19541"/>
    <cellStyle name="Normal 14 6 2" xfId="19542"/>
    <cellStyle name="Normal 14 7" xfId="19543"/>
    <cellStyle name="Normal 14 8" xfId="19544"/>
    <cellStyle name="Normal 14 9" xfId="19545"/>
    <cellStyle name="Normal 15" xfId="19546"/>
    <cellStyle name="Normal 15 2" xfId="19547"/>
    <cellStyle name="Normal 15 2 2" xfId="19548"/>
    <cellStyle name="Normal 15 2 2 2" xfId="19549"/>
    <cellStyle name="Normal 15 2 2 3" xfId="19550"/>
    <cellStyle name="Normal 15 2 3" xfId="19551"/>
    <cellStyle name="Normal 15 2 4" xfId="19552"/>
    <cellStyle name="Normal 15 2 5" xfId="19553"/>
    <cellStyle name="Normal 15 2 6" xfId="19554"/>
    <cellStyle name="Normal 15 3" xfId="19555"/>
    <cellStyle name="Normal 15 3 2" xfId="19556"/>
    <cellStyle name="Normal 15 3 2 2" xfId="19557"/>
    <cellStyle name="Normal 15 3 3" xfId="19558"/>
    <cellStyle name="Normal 15 3 4" xfId="19559"/>
    <cellStyle name="Normal 15 3 5" xfId="19560"/>
    <cellStyle name="Normal 15 4" xfId="19561"/>
    <cellStyle name="Normal 15 4 2" xfId="19562"/>
    <cellStyle name="Normal 15 4 3" xfId="19563"/>
    <cellStyle name="Normal 15 4 4" xfId="19564"/>
    <cellStyle name="Normal 15 5" xfId="19565"/>
    <cellStyle name="Normal 15 5 2" xfId="19566"/>
    <cellStyle name="Normal 15 6" xfId="19567"/>
    <cellStyle name="Normal 15 7" xfId="19568"/>
    <cellStyle name="Normal 15 8" xfId="19569"/>
    <cellStyle name="Normal 15 9" xfId="19570"/>
    <cellStyle name="Normal 16" xfId="19571"/>
    <cellStyle name="Normal 16 2" xfId="19572"/>
    <cellStyle name="Normal 16 2 2" xfId="19573"/>
    <cellStyle name="Normal 16 2 2 2" xfId="19574"/>
    <cellStyle name="Normal 16 2 3" xfId="19575"/>
    <cellStyle name="Normal 16 2 4" xfId="19576"/>
    <cellStyle name="Normal 16 2 5" xfId="19577"/>
    <cellStyle name="Normal 16 2 6" xfId="19578"/>
    <cellStyle name="Normal 16 3" xfId="19579"/>
    <cellStyle name="Normal 16 3 2" xfId="19580"/>
    <cellStyle name="Normal 16 3 3" xfId="19581"/>
    <cellStyle name="Normal 16 3 4" xfId="19582"/>
    <cellStyle name="Normal 16 4" xfId="19583"/>
    <cellStyle name="Normal 16 4 2" xfId="19584"/>
    <cellStyle name="Normal 16 5" xfId="19585"/>
    <cellStyle name="Normal 16 6" xfId="19586"/>
    <cellStyle name="Normal 16 7" xfId="19587"/>
    <cellStyle name="Normal 16 8" xfId="19588"/>
    <cellStyle name="Normal 17" xfId="19589"/>
    <cellStyle name="Normal 17 2" xfId="19590"/>
    <cellStyle name="Normal 17 2 2" xfId="19591"/>
    <cellStyle name="Normal 17 2 2 2" xfId="19592"/>
    <cellStyle name="Normal 17 2 3" xfId="19593"/>
    <cellStyle name="Normal 17 2 4" xfId="19594"/>
    <cellStyle name="Normal 17 2 5" xfId="19595"/>
    <cellStyle name="Normal 17 2 6" xfId="19596"/>
    <cellStyle name="Normal 17 3" xfId="19597"/>
    <cellStyle name="Normal 17 3 2" xfId="19598"/>
    <cellStyle name="Normal 17 3 3" xfId="19599"/>
    <cellStyle name="Normal 17 3 4" xfId="19600"/>
    <cellStyle name="Normal 17 4" xfId="19601"/>
    <cellStyle name="Normal 17 4 2" xfId="19602"/>
    <cellStyle name="Normal 17 5" xfId="19603"/>
    <cellStyle name="Normal 17 6" xfId="19604"/>
    <cellStyle name="Normal 17 7" xfId="19605"/>
    <cellStyle name="Normal 17 8" xfId="19606"/>
    <cellStyle name="Normal 18" xfId="19607"/>
    <cellStyle name="Normal 18 2" xfId="19608"/>
    <cellStyle name="Normal 18 2 2" xfId="19609"/>
    <cellStyle name="Normal 18 2 3" xfId="19610"/>
    <cellStyle name="Normal 18 2 4" xfId="19611"/>
    <cellStyle name="Normal 18 2 5" xfId="19612"/>
    <cellStyle name="Normal 18 3" xfId="19613"/>
    <cellStyle name="Normal 18 3 2" xfId="19614"/>
    <cellStyle name="Normal 18 4" xfId="19615"/>
    <cellStyle name="Normal 18 5" xfId="19616"/>
    <cellStyle name="Normal 18 6" xfId="19617"/>
    <cellStyle name="Normal 18 7" xfId="19618"/>
    <cellStyle name="Normal 19" xfId="19619"/>
    <cellStyle name="Normal 19 2" xfId="19620"/>
    <cellStyle name="Normal 19 2 2" xfId="19621"/>
    <cellStyle name="Normal 19 2 3" xfId="19622"/>
    <cellStyle name="Normal 19 2 4" xfId="19623"/>
    <cellStyle name="Normal 19 2 5" xfId="19624"/>
    <cellStyle name="Normal 19 3" xfId="19625"/>
    <cellStyle name="Normal 19 3 2" xfId="19626"/>
    <cellStyle name="Normal 19 4" xfId="19627"/>
    <cellStyle name="Normal 19 5" xfId="19628"/>
    <cellStyle name="Normal 19 6" xfId="19629"/>
    <cellStyle name="Normal 19 7" xfId="19630"/>
    <cellStyle name="Normal 2" xfId="19631"/>
    <cellStyle name="Normal 2 10" xfId="19632"/>
    <cellStyle name="Normal 2 10 2" xfId="19633"/>
    <cellStyle name="Normal 2 10 2 2" xfId="19634"/>
    <cellStyle name="Normal 2 10 3" xfId="19635"/>
    <cellStyle name="Normal 2 10 3 2" xfId="19636"/>
    <cellStyle name="Normal 2 10 4" xfId="19637"/>
    <cellStyle name="Normal 2 10 5" xfId="19638"/>
    <cellStyle name="Normal 2 10 6" xfId="19639"/>
    <cellStyle name="Normal 2 10 7" xfId="19640"/>
    <cellStyle name="Normal 2 10 8" xfId="19641"/>
    <cellStyle name="Normal 2 11" xfId="19642"/>
    <cellStyle name="Normal 2 11 10" xfId="19643"/>
    <cellStyle name="Normal 2 11 10 10" xfId="19644"/>
    <cellStyle name="Normal 2 11 10 2" xfId="19645"/>
    <cellStyle name="Normal 2 11 10 2 2" xfId="19646"/>
    <cellStyle name="Normal 2 11 10 2 2 2" xfId="19647"/>
    <cellStyle name="Normal 2 11 10 2 2 3" xfId="19648"/>
    <cellStyle name="Normal 2 11 10 2 3" xfId="19649"/>
    <cellStyle name="Normal 2 11 10 2 4" xfId="19650"/>
    <cellStyle name="Normal 2 11 10 2 5" xfId="19651"/>
    <cellStyle name="Normal 2 11 10 2 6" xfId="19652"/>
    <cellStyle name="Normal 2 11 10 3" xfId="19653"/>
    <cellStyle name="Normal 2 11 10 3 2" xfId="19654"/>
    <cellStyle name="Normal 2 11 10 3 2 2" xfId="19655"/>
    <cellStyle name="Normal 2 11 10 3 2 3" xfId="19656"/>
    <cellStyle name="Normal 2 11 10 3 3" xfId="19657"/>
    <cellStyle name="Normal 2 11 10 3 4" xfId="19658"/>
    <cellStyle name="Normal 2 11 10 3 5" xfId="19659"/>
    <cellStyle name="Normal 2 11 10 3 6" xfId="19660"/>
    <cellStyle name="Normal 2 11 10 4" xfId="19661"/>
    <cellStyle name="Normal 2 11 10 4 2" xfId="19662"/>
    <cellStyle name="Normal 2 11 10 4 2 2" xfId="19663"/>
    <cellStyle name="Normal 2 11 10 4 3" xfId="19664"/>
    <cellStyle name="Normal 2 11 10 4 4" xfId="19665"/>
    <cellStyle name="Normal 2 11 10 4 5" xfId="19666"/>
    <cellStyle name="Normal 2 11 10 5" xfId="19667"/>
    <cellStyle name="Normal 2 11 10 5 2" xfId="19668"/>
    <cellStyle name="Normal 2 11 10 5 3" xfId="19669"/>
    <cellStyle name="Normal 2 11 10 5 4" xfId="19670"/>
    <cellStyle name="Normal 2 11 10 6" xfId="19671"/>
    <cellStyle name="Normal 2 11 10 6 2" xfId="19672"/>
    <cellStyle name="Normal 2 11 10 7" xfId="19673"/>
    <cellStyle name="Normal 2 11 10 8" xfId="19674"/>
    <cellStyle name="Normal 2 11 10 9" xfId="19675"/>
    <cellStyle name="Normal 2 11 11" xfId="19676"/>
    <cellStyle name="Normal 2 11 11 10" xfId="19677"/>
    <cellStyle name="Normal 2 11 11 2" xfId="19678"/>
    <cellStyle name="Normal 2 11 11 2 2" xfId="19679"/>
    <cellStyle name="Normal 2 11 11 2 2 2" xfId="19680"/>
    <cellStyle name="Normal 2 11 11 2 2 3" xfId="19681"/>
    <cellStyle name="Normal 2 11 11 2 3" xfId="19682"/>
    <cellStyle name="Normal 2 11 11 2 4" xfId="19683"/>
    <cellStyle name="Normal 2 11 11 2 5" xfId="19684"/>
    <cellStyle name="Normal 2 11 11 2 6" xfId="19685"/>
    <cellStyle name="Normal 2 11 11 3" xfId="19686"/>
    <cellStyle name="Normal 2 11 11 3 2" xfId="19687"/>
    <cellStyle name="Normal 2 11 11 3 2 2" xfId="19688"/>
    <cellStyle name="Normal 2 11 11 3 2 3" xfId="19689"/>
    <cellStyle name="Normal 2 11 11 3 3" xfId="19690"/>
    <cellStyle name="Normal 2 11 11 3 4" xfId="19691"/>
    <cellStyle name="Normal 2 11 11 3 5" xfId="19692"/>
    <cellStyle name="Normal 2 11 11 3 6" xfId="19693"/>
    <cellStyle name="Normal 2 11 11 4" xfId="19694"/>
    <cellStyle name="Normal 2 11 11 4 2" xfId="19695"/>
    <cellStyle name="Normal 2 11 11 4 2 2" xfId="19696"/>
    <cellStyle name="Normal 2 11 11 4 3" xfId="19697"/>
    <cellStyle name="Normal 2 11 11 4 4" xfId="19698"/>
    <cellStyle name="Normal 2 11 11 4 5" xfId="19699"/>
    <cellStyle name="Normal 2 11 11 5" xfId="19700"/>
    <cellStyle name="Normal 2 11 11 5 2" xfId="19701"/>
    <cellStyle name="Normal 2 11 11 5 3" xfId="19702"/>
    <cellStyle name="Normal 2 11 11 5 4" xfId="19703"/>
    <cellStyle name="Normal 2 11 11 6" xfId="19704"/>
    <cellStyle name="Normal 2 11 11 6 2" xfId="19705"/>
    <cellStyle name="Normal 2 11 11 7" xfId="19706"/>
    <cellStyle name="Normal 2 11 11 8" xfId="19707"/>
    <cellStyle name="Normal 2 11 11 9" xfId="19708"/>
    <cellStyle name="Normal 2 11 12" xfId="19709"/>
    <cellStyle name="Normal 2 11 12 10" xfId="19710"/>
    <cellStyle name="Normal 2 11 12 2" xfId="19711"/>
    <cellStyle name="Normal 2 11 12 2 2" xfId="19712"/>
    <cellStyle name="Normal 2 11 12 2 2 2" xfId="19713"/>
    <cellStyle name="Normal 2 11 12 2 2 3" xfId="19714"/>
    <cellStyle name="Normal 2 11 12 2 3" xfId="19715"/>
    <cellStyle name="Normal 2 11 12 2 4" xfId="19716"/>
    <cellStyle name="Normal 2 11 12 2 5" xfId="19717"/>
    <cellStyle name="Normal 2 11 12 2 6" xfId="19718"/>
    <cellStyle name="Normal 2 11 12 3" xfId="19719"/>
    <cellStyle name="Normal 2 11 12 3 2" xfId="19720"/>
    <cellStyle name="Normal 2 11 12 3 2 2" xfId="19721"/>
    <cellStyle name="Normal 2 11 12 3 2 3" xfId="19722"/>
    <cellStyle name="Normal 2 11 12 3 3" xfId="19723"/>
    <cellStyle name="Normal 2 11 12 3 4" xfId="19724"/>
    <cellStyle name="Normal 2 11 12 3 5" xfId="19725"/>
    <cellStyle name="Normal 2 11 12 3 6" xfId="19726"/>
    <cellStyle name="Normal 2 11 12 4" xfId="19727"/>
    <cellStyle name="Normal 2 11 12 4 2" xfId="19728"/>
    <cellStyle name="Normal 2 11 12 4 2 2" xfId="19729"/>
    <cellStyle name="Normal 2 11 12 4 3" xfId="19730"/>
    <cellStyle name="Normal 2 11 12 4 4" xfId="19731"/>
    <cellStyle name="Normal 2 11 12 4 5" xfId="19732"/>
    <cellStyle name="Normal 2 11 12 5" xfId="19733"/>
    <cellStyle name="Normal 2 11 12 5 2" xfId="19734"/>
    <cellStyle name="Normal 2 11 12 5 3" xfId="19735"/>
    <cellStyle name="Normal 2 11 12 5 4" xfId="19736"/>
    <cellStyle name="Normal 2 11 12 6" xfId="19737"/>
    <cellStyle name="Normal 2 11 12 6 2" xfId="19738"/>
    <cellStyle name="Normal 2 11 12 7" xfId="19739"/>
    <cellStyle name="Normal 2 11 12 8" xfId="19740"/>
    <cellStyle name="Normal 2 11 12 9" xfId="19741"/>
    <cellStyle name="Normal 2 11 13" xfId="19742"/>
    <cellStyle name="Normal 2 11 13 2" xfId="19743"/>
    <cellStyle name="Normal 2 11 13 2 2" xfId="19744"/>
    <cellStyle name="Normal 2 11 13 2 2 2" xfId="19745"/>
    <cellStyle name="Normal 2 11 13 2 2 3" xfId="19746"/>
    <cellStyle name="Normal 2 11 13 2 3" xfId="19747"/>
    <cellStyle name="Normal 2 11 13 2 4" xfId="19748"/>
    <cellStyle name="Normal 2 11 13 2 5" xfId="19749"/>
    <cellStyle name="Normal 2 11 13 2 6" xfId="19750"/>
    <cellStyle name="Normal 2 11 13 3" xfId="19751"/>
    <cellStyle name="Normal 2 11 13 3 2" xfId="19752"/>
    <cellStyle name="Normal 2 11 13 3 2 2" xfId="19753"/>
    <cellStyle name="Normal 2 11 13 3 3" xfId="19754"/>
    <cellStyle name="Normal 2 11 13 3 4" xfId="19755"/>
    <cellStyle name="Normal 2 11 13 3 5" xfId="19756"/>
    <cellStyle name="Normal 2 11 13 4" xfId="19757"/>
    <cellStyle name="Normal 2 11 13 4 2" xfId="19758"/>
    <cellStyle name="Normal 2 11 13 4 3" xfId="19759"/>
    <cellStyle name="Normal 2 11 13 4 4" xfId="19760"/>
    <cellStyle name="Normal 2 11 13 5" xfId="19761"/>
    <cellStyle name="Normal 2 11 13 5 2" xfId="19762"/>
    <cellStyle name="Normal 2 11 13 6" xfId="19763"/>
    <cellStyle name="Normal 2 11 13 7" xfId="19764"/>
    <cellStyle name="Normal 2 11 13 8" xfId="19765"/>
    <cellStyle name="Normal 2 11 13 9" xfId="19766"/>
    <cellStyle name="Normal 2 11 14" xfId="19767"/>
    <cellStyle name="Normal 2 11 14 2" xfId="19768"/>
    <cellStyle name="Normal 2 11 14 2 2" xfId="19769"/>
    <cellStyle name="Normal 2 11 14 2 2 2" xfId="19770"/>
    <cellStyle name="Normal 2 11 14 2 2 3" xfId="19771"/>
    <cellStyle name="Normal 2 11 14 2 3" xfId="19772"/>
    <cellStyle name="Normal 2 11 14 2 4" xfId="19773"/>
    <cellStyle name="Normal 2 11 14 2 5" xfId="19774"/>
    <cellStyle name="Normal 2 11 14 2 6" xfId="19775"/>
    <cellStyle name="Normal 2 11 14 3" xfId="19776"/>
    <cellStyle name="Normal 2 11 14 3 2" xfId="19777"/>
    <cellStyle name="Normal 2 11 14 3 2 2" xfId="19778"/>
    <cellStyle name="Normal 2 11 14 3 3" xfId="19779"/>
    <cellStyle name="Normal 2 11 14 3 4" xfId="19780"/>
    <cellStyle name="Normal 2 11 14 3 5" xfId="19781"/>
    <cellStyle name="Normal 2 11 14 4" xfId="19782"/>
    <cellStyle name="Normal 2 11 14 4 2" xfId="19783"/>
    <cellStyle name="Normal 2 11 14 4 3" xfId="19784"/>
    <cellStyle name="Normal 2 11 14 4 4" xfId="19785"/>
    <cellStyle name="Normal 2 11 14 5" xfId="19786"/>
    <cellStyle name="Normal 2 11 14 5 2" xfId="19787"/>
    <cellStyle name="Normal 2 11 14 6" xfId="19788"/>
    <cellStyle name="Normal 2 11 14 7" xfId="19789"/>
    <cellStyle name="Normal 2 11 14 8" xfId="19790"/>
    <cellStyle name="Normal 2 11 14 9" xfId="19791"/>
    <cellStyle name="Normal 2 11 15" xfId="19792"/>
    <cellStyle name="Normal 2 11 15 2" xfId="19793"/>
    <cellStyle name="Normal 2 11 15 2 2" xfId="19794"/>
    <cellStyle name="Normal 2 11 15 2 3" xfId="19795"/>
    <cellStyle name="Normal 2 11 15 3" xfId="19796"/>
    <cellStyle name="Normal 2 11 15 4" xfId="19797"/>
    <cellStyle name="Normal 2 11 15 5" xfId="19798"/>
    <cellStyle name="Normal 2 11 15 6" xfId="19799"/>
    <cellStyle name="Normal 2 11 16" xfId="19800"/>
    <cellStyle name="Normal 2 11 16 2" xfId="19801"/>
    <cellStyle name="Normal 2 11 16 2 2" xfId="19802"/>
    <cellStyle name="Normal 2 11 16 3" xfId="19803"/>
    <cellStyle name="Normal 2 11 16 4" xfId="19804"/>
    <cellStyle name="Normal 2 11 16 5" xfId="19805"/>
    <cellStyle name="Normal 2 11 17" xfId="19806"/>
    <cellStyle name="Normal 2 11 17 2" xfId="19807"/>
    <cellStyle name="Normal 2 11 17 2 2" xfId="19808"/>
    <cellStyle name="Normal 2 11 17 3" xfId="19809"/>
    <cellStyle name="Normal 2 11 17 4" xfId="19810"/>
    <cellStyle name="Normal 2 11 17 5" xfId="19811"/>
    <cellStyle name="Normal 2 11 18" xfId="19812"/>
    <cellStyle name="Normal 2 11 18 2" xfId="19813"/>
    <cellStyle name="Normal 2 11 19" xfId="19814"/>
    <cellStyle name="Normal 2 11 2" xfId="19815"/>
    <cellStyle name="Normal 2 11 2 10" xfId="19816"/>
    <cellStyle name="Normal 2 11 2 11" xfId="19817"/>
    <cellStyle name="Normal 2 11 2 2" xfId="19818"/>
    <cellStyle name="Normal 2 11 2 2 2" xfId="19819"/>
    <cellStyle name="Normal 2 11 2 2 2 2" xfId="19820"/>
    <cellStyle name="Normal 2 11 2 2 2 2 2" xfId="19821"/>
    <cellStyle name="Normal 2 11 2 2 2 2 3" xfId="19822"/>
    <cellStyle name="Normal 2 11 2 2 2 3" xfId="19823"/>
    <cellStyle name="Normal 2 11 2 2 2 4" xfId="19824"/>
    <cellStyle name="Normal 2 11 2 2 2 5" xfId="19825"/>
    <cellStyle name="Normal 2 11 2 2 2 6" xfId="19826"/>
    <cellStyle name="Normal 2 11 2 2 3" xfId="19827"/>
    <cellStyle name="Normal 2 11 2 2 3 2" xfId="19828"/>
    <cellStyle name="Normal 2 11 2 2 3 2 2" xfId="19829"/>
    <cellStyle name="Normal 2 11 2 2 3 3" xfId="19830"/>
    <cellStyle name="Normal 2 11 2 2 3 4" xfId="19831"/>
    <cellStyle name="Normal 2 11 2 2 3 5" xfId="19832"/>
    <cellStyle name="Normal 2 11 2 2 4" xfId="19833"/>
    <cellStyle name="Normal 2 11 2 2 4 2" xfId="19834"/>
    <cellStyle name="Normal 2 11 2 2 4 3" xfId="19835"/>
    <cellStyle name="Normal 2 11 2 2 4 4" xfId="19836"/>
    <cellStyle name="Normal 2 11 2 2 5" xfId="19837"/>
    <cellStyle name="Normal 2 11 2 2 5 2" xfId="19838"/>
    <cellStyle name="Normal 2 11 2 2 6" xfId="19839"/>
    <cellStyle name="Normal 2 11 2 2 7" xfId="19840"/>
    <cellStyle name="Normal 2 11 2 2 8" xfId="19841"/>
    <cellStyle name="Normal 2 11 2 2 9" xfId="19842"/>
    <cellStyle name="Normal 2 11 2 3" xfId="19843"/>
    <cellStyle name="Normal 2 11 2 3 2" xfId="19844"/>
    <cellStyle name="Normal 2 11 2 3 2 2" xfId="19845"/>
    <cellStyle name="Normal 2 11 2 3 2 2 2" xfId="19846"/>
    <cellStyle name="Normal 2 11 2 3 2 2 3" xfId="19847"/>
    <cellStyle name="Normal 2 11 2 3 2 3" xfId="19848"/>
    <cellStyle name="Normal 2 11 2 3 2 4" xfId="19849"/>
    <cellStyle name="Normal 2 11 2 3 2 5" xfId="19850"/>
    <cellStyle name="Normal 2 11 2 3 2 6" xfId="19851"/>
    <cellStyle name="Normal 2 11 2 3 3" xfId="19852"/>
    <cellStyle name="Normal 2 11 2 3 3 2" xfId="19853"/>
    <cellStyle name="Normal 2 11 2 3 3 2 2" xfId="19854"/>
    <cellStyle name="Normal 2 11 2 3 3 3" xfId="19855"/>
    <cellStyle name="Normal 2 11 2 3 3 4" xfId="19856"/>
    <cellStyle name="Normal 2 11 2 3 3 5" xfId="19857"/>
    <cellStyle name="Normal 2 11 2 3 4" xfId="19858"/>
    <cellStyle name="Normal 2 11 2 3 4 2" xfId="19859"/>
    <cellStyle name="Normal 2 11 2 3 4 3" xfId="19860"/>
    <cellStyle name="Normal 2 11 2 3 4 4" xfId="19861"/>
    <cellStyle name="Normal 2 11 2 3 5" xfId="19862"/>
    <cellStyle name="Normal 2 11 2 3 5 2" xfId="19863"/>
    <cellStyle name="Normal 2 11 2 3 6" xfId="19864"/>
    <cellStyle name="Normal 2 11 2 3 7" xfId="19865"/>
    <cellStyle name="Normal 2 11 2 3 8" xfId="19866"/>
    <cellStyle name="Normal 2 11 2 3 9" xfId="19867"/>
    <cellStyle name="Normal 2 11 2 4" xfId="19868"/>
    <cellStyle name="Normal 2 11 2 4 2" xfId="19869"/>
    <cellStyle name="Normal 2 11 2 4 2 2" xfId="19870"/>
    <cellStyle name="Normal 2 11 2 4 2 3" xfId="19871"/>
    <cellStyle name="Normal 2 11 2 4 3" xfId="19872"/>
    <cellStyle name="Normal 2 11 2 4 4" xfId="19873"/>
    <cellStyle name="Normal 2 11 2 4 5" xfId="19874"/>
    <cellStyle name="Normal 2 11 2 4 6" xfId="19875"/>
    <cellStyle name="Normal 2 11 2 5" xfId="19876"/>
    <cellStyle name="Normal 2 11 2 5 2" xfId="19877"/>
    <cellStyle name="Normal 2 11 2 5 2 2" xfId="19878"/>
    <cellStyle name="Normal 2 11 2 5 3" xfId="19879"/>
    <cellStyle name="Normal 2 11 2 5 4" xfId="19880"/>
    <cellStyle name="Normal 2 11 2 5 5" xfId="19881"/>
    <cellStyle name="Normal 2 11 2 6" xfId="19882"/>
    <cellStyle name="Normal 2 11 2 6 2" xfId="19883"/>
    <cellStyle name="Normal 2 11 2 6 3" xfId="19884"/>
    <cellStyle name="Normal 2 11 2 6 4" xfId="19885"/>
    <cellStyle name="Normal 2 11 2 7" xfId="19886"/>
    <cellStyle name="Normal 2 11 2 7 2" xfId="19887"/>
    <cellStyle name="Normal 2 11 2 8" xfId="19888"/>
    <cellStyle name="Normal 2 11 2 9" xfId="19889"/>
    <cellStyle name="Normal 2 11 20" xfId="19890"/>
    <cellStyle name="Normal 2 11 21" xfId="19891"/>
    <cellStyle name="Normal 2 11 22" xfId="19892"/>
    <cellStyle name="Normal 2 11 3" xfId="19893"/>
    <cellStyle name="Normal 2 11 3 10" xfId="19894"/>
    <cellStyle name="Normal 2 11 3 11" xfId="19895"/>
    <cellStyle name="Normal 2 11 3 2" xfId="19896"/>
    <cellStyle name="Normal 2 11 3 2 2" xfId="19897"/>
    <cellStyle name="Normal 2 11 3 2 2 2" xfId="19898"/>
    <cellStyle name="Normal 2 11 3 2 2 2 2" xfId="19899"/>
    <cellStyle name="Normal 2 11 3 2 2 2 3" xfId="19900"/>
    <cellStyle name="Normal 2 11 3 2 2 3" xfId="19901"/>
    <cellStyle name="Normal 2 11 3 2 2 4" xfId="19902"/>
    <cellStyle name="Normal 2 11 3 2 2 5" xfId="19903"/>
    <cellStyle name="Normal 2 11 3 2 2 6" xfId="19904"/>
    <cellStyle name="Normal 2 11 3 2 3" xfId="19905"/>
    <cellStyle name="Normal 2 11 3 2 3 2" xfId="19906"/>
    <cellStyle name="Normal 2 11 3 2 3 2 2" xfId="19907"/>
    <cellStyle name="Normal 2 11 3 2 3 3" xfId="19908"/>
    <cellStyle name="Normal 2 11 3 2 3 4" xfId="19909"/>
    <cellStyle name="Normal 2 11 3 2 3 5" xfId="19910"/>
    <cellStyle name="Normal 2 11 3 2 4" xfId="19911"/>
    <cellStyle name="Normal 2 11 3 2 4 2" xfId="19912"/>
    <cellStyle name="Normal 2 11 3 2 4 3" xfId="19913"/>
    <cellStyle name="Normal 2 11 3 2 4 4" xfId="19914"/>
    <cellStyle name="Normal 2 11 3 2 5" xfId="19915"/>
    <cellStyle name="Normal 2 11 3 2 5 2" xfId="19916"/>
    <cellStyle name="Normal 2 11 3 2 6" xfId="19917"/>
    <cellStyle name="Normal 2 11 3 2 7" xfId="19918"/>
    <cellStyle name="Normal 2 11 3 2 8" xfId="19919"/>
    <cellStyle name="Normal 2 11 3 2 9" xfId="19920"/>
    <cellStyle name="Normal 2 11 3 3" xfId="19921"/>
    <cellStyle name="Normal 2 11 3 3 2" xfId="19922"/>
    <cellStyle name="Normal 2 11 3 3 2 2" xfId="19923"/>
    <cellStyle name="Normal 2 11 3 3 2 2 2" xfId="19924"/>
    <cellStyle name="Normal 2 11 3 3 2 2 3" xfId="19925"/>
    <cellStyle name="Normal 2 11 3 3 2 3" xfId="19926"/>
    <cellStyle name="Normal 2 11 3 3 2 4" xfId="19927"/>
    <cellStyle name="Normal 2 11 3 3 2 5" xfId="19928"/>
    <cellStyle name="Normal 2 11 3 3 2 6" xfId="19929"/>
    <cellStyle name="Normal 2 11 3 3 3" xfId="19930"/>
    <cellStyle name="Normal 2 11 3 3 3 2" xfId="19931"/>
    <cellStyle name="Normal 2 11 3 3 3 2 2" xfId="19932"/>
    <cellStyle name="Normal 2 11 3 3 3 3" xfId="19933"/>
    <cellStyle name="Normal 2 11 3 3 3 4" xfId="19934"/>
    <cellStyle name="Normal 2 11 3 3 3 5" xfId="19935"/>
    <cellStyle name="Normal 2 11 3 3 4" xfId="19936"/>
    <cellStyle name="Normal 2 11 3 3 4 2" xfId="19937"/>
    <cellStyle name="Normal 2 11 3 3 4 3" xfId="19938"/>
    <cellStyle name="Normal 2 11 3 3 4 4" xfId="19939"/>
    <cellStyle name="Normal 2 11 3 3 5" xfId="19940"/>
    <cellStyle name="Normal 2 11 3 3 5 2" xfId="19941"/>
    <cellStyle name="Normal 2 11 3 3 6" xfId="19942"/>
    <cellStyle name="Normal 2 11 3 3 7" xfId="19943"/>
    <cellStyle name="Normal 2 11 3 3 8" xfId="19944"/>
    <cellStyle name="Normal 2 11 3 3 9" xfId="19945"/>
    <cellStyle name="Normal 2 11 3 4" xfId="19946"/>
    <cellStyle name="Normal 2 11 3 4 2" xfId="19947"/>
    <cellStyle name="Normal 2 11 3 4 2 2" xfId="19948"/>
    <cellStyle name="Normal 2 11 3 4 2 3" xfId="19949"/>
    <cellStyle name="Normal 2 11 3 4 3" xfId="19950"/>
    <cellStyle name="Normal 2 11 3 4 4" xfId="19951"/>
    <cellStyle name="Normal 2 11 3 4 5" xfId="19952"/>
    <cellStyle name="Normal 2 11 3 4 6" xfId="19953"/>
    <cellStyle name="Normal 2 11 3 5" xfId="19954"/>
    <cellStyle name="Normal 2 11 3 5 2" xfId="19955"/>
    <cellStyle name="Normal 2 11 3 5 2 2" xfId="19956"/>
    <cellStyle name="Normal 2 11 3 5 3" xfId="19957"/>
    <cellStyle name="Normal 2 11 3 5 4" xfId="19958"/>
    <cellStyle name="Normal 2 11 3 5 5" xfId="19959"/>
    <cellStyle name="Normal 2 11 3 6" xfId="19960"/>
    <cellStyle name="Normal 2 11 3 6 2" xfId="19961"/>
    <cellStyle name="Normal 2 11 3 6 3" xfId="19962"/>
    <cellStyle name="Normal 2 11 3 6 4" xfId="19963"/>
    <cellStyle name="Normal 2 11 3 7" xfId="19964"/>
    <cellStyle name="Normal 2 11 3 7 2" xfId="19965"/>
    <cellStyle name="Normal 2 11 3 8" xfId="19966"/>
    <cellStyle name="Normal 2 11 3 9" xfId="19967"/>
    <cellStyle name="Normal 2 11 4" xfId="19968"/>
    <cellStyle name="Normal 2 11 4 10" xfId="19969"/>
    <cellStyle name="Normal 2 11 4 11" xfId="19970"/>
    <cellStyle name="Normal 2 11 4 2" xfId="19971"/>
    <cellStyle name="Normal 2 11 4 2 2" xfId="19972"/>
    <cellStyle name="Normal 2 11 4 2 2 2" xfId="19973"/>
    <cellStyle name="Normal 2 11 4 2 2 2 2" xfId="19974"/>
    <cellStyle name="Normal 2 11 4 2 2 2 3" xfId="19975"/>
    <cellStyle name="Normal 2 11 4 2 2 3" xfId="19976"/>
    <cellStyle name="Normal 2 11 4 2 2 4" xfId="19977"/>
    <cellStyle name="Normal 2 11 4 2 2 5" xfId="19978"/>
    <cellStyle name="Normal 2 11 4 2 2 6" xfId="19979"/>
    <cellStyle name="Normal 2 11 4 2 3" xfId="19980"/>
    <cellStyle name="Normal 2 11 4 2 3 2" xfId="19981"/>
    <cellStyle name="Normal 2 11 4 2 3 2 2" xfId="19982"/>
    <cellStyle name="Normal 2 11 4 2 3 3" xfId="19983"/>
    <cellStyle name="Normal 2 11 4 2 3 4" xfId="19984"/>
    <cellStyle name="Normal 2 11 4 2 3 5" xfId="19985"/>
    <cellStyle name="Normal 2 11 4 2 4" xfId="19986"/>
    <cellStyle name="Normal 2 11 4 2 4 2" xfId="19987"/>
    <cellStyle name="Normal 2 11 4 2 4 3" xfId="19988"/>
    <cellStyle name="Normal 2 11 4 2 4 4" xfId="19989"/>
    <cellStyle name="Normal 2 11 4 2 5" xfId="19990"/>
    <cellStyle name="Normal 2 11 4 2 5 2" xfId="19991"/>
    <cellStyle name="Normal 2 11 4 2 6" xfId="19992"/>
    <cellStyle name="Normal 2 11 4 2 7" xfId="19993"/>
    <cellStyle name="Normal 2 11 4 2 8" xfId="19994"/>
    <cellStyle name="Normal 2 11 4 2 9" xfId="19995"/>
    <cellStyle name="Normal 2 11 4 3" xfId="19996"/>
    <cellStyle name="Normal 2 11 4 3 2" xfId="19997"/>
    <cellStyle name="Normal 2 11 4 3 2 2" xfId="19998"/>
    <cellStyle name="Normal 2 11 4 3 2 2 2" xfId="19999"/>
    <cellStyle name="Normal 2 11 4 3 2 2 3" xfId="20000"/>
    <cellStyle name="Normal 2 11 4 3 2 3" xfId="20001"/>
    <cellStyle name="Normal 2 11 4 3 2 4" xfId="20002"/>
    <cellStyle name="Normal 2 11 4 3 2 5" xfId="20003"/>
    <cellStyle name="Normal 2 11 4 3 2 6" xfId="20004"/>
    <cellStyle name="Normal 2 11 4 3 3" xfId="20005"/>
    <cellStyle name="Normal 2 11 4 3 3 2" xfId="20006"/>
    <cellStyle name="Normal 2 11 4 3 3 2 2" xfId="20007"/>
    <cellStyle name="Normal 2 11 4 3 3 3" xfId="20008"/>
    <cellStyle name="Normal 2 11 4 3 3 4" xfId="20009"/>
    <cellStyle name="Normal 2 11 4 3 3 5" xfId="20010"/>
    <cellStyle name="Normal 2 11 4 3 4" xfId="20011"/>
    <cellStyle name="Normal 2 11 4 3 4 2" xfId="20012"/>
    <cellStyle name="Normal 2 11 4 3 4 3" xfId="20013"/>
    <cellStyle name="Normal 2 11 4 3 4 4" xfId="20014"/>
    <cellStyle name="Normal 2 11 4 3 5" xfId="20015"/>
    <cellStyle name="Normal 2 11 4 3 5 2" xfId="20016"/>
    <cellStyle name="Normal 2 11 4 3 6" xfId="20017"/>
    <cellStyle name="Normal 2 11 4 3 7" xfId="20018"/>
    <cellStyle name="Normal 2 11 4 3 8" xfId="20019"/>
    <cellStyle name="Normal 2 11 4 3 9" xfId="20020"/>
    <cellStyle name="Normal 2 11 4 4" xfId="20021"/>
    <cellStyle name="Normal 2 11 4 4 2" xfId="20022"/>
    <cellStyle name="Normal 2 11 4 4 2 2" xfId="20023"/>
    <cellStyle name="Normal 2 11 4 4 2 3" xfId="20024"/>
    <cellStyle name="Normal 2 11 4 4 3" xfId="20025"/>
    <cellStyle name="Normal 2 11 4 4 4" xfId="20026"/>
    <cellStyle name="Normal 2 11 4 4 5" xfId="20027"/>
    <cellStyle name="Normal 2 11 4 4 6" xfId="20028"/>
    <cellStyle name="Normal 2 11 4 5" xfId="20029"/>
    <cellStyle name="Normal 2 11 4 5 2" xfId="20030"/>
    <cellStyle name="Normal 2 11 4 5 2 2" xfId="20031"/>
    <cellStyle name="Normal 2 11 4 5 3" xfId="20032"/>
    <cellStyle name="Normal 2 11 4 5 4" xfId="20033"/>
    <cellStyle name="Normal 2 11 4 5 5" xfId="20034"/>
    <cellStyle name="Normal 2 11 4 6" xfId="20035"/>
    <cellStyle name="Normal 2 11 4 6 2" xfId="20036"/>
    <cellStyle name="Normal 2 11 4 6 3" xfId="20037"/>
    <cellStyle name="Normal 2 11 4 6 4" xfId="20038"/>
    <cellStyle name="Normal 2 11 4 7" xfId="20039"/>
    <cellStyle name="Normal 2 11 4 7 2" xfId="20040"/>
    <cellStyle name="Normal 2 11 4 8" xfId="20041"/>
    <cellStyle name="Normal 2 11 4 9" xfId="20042"/>
    <cellStyle name="Normal 2 11 5" xfId="20043"/>
    <cellStyle name="Normal 2 11 5 10" xfId="20044"/>
    <cellStyle name="Normal 2 11 5 11" xfId="20045"/>
    <cellStyle name="Normal 2 11 5 2" xfId="20046"/>
    <cellStyle name="Normal 2 11 5 2 2" xfId="20047"/>
    <cellStyle name="Normal 2 11 5 2 2 2" xfId="20048"/>
    <cellStyle name="Normal 2 11 5 2 2 2 2" xfId="20049"/>
    <cellStyle name="Normal 2 11 5 2 2 2 3" xfId="20050"/>
    <cellStyle name="Normal 2 11 5 2 2 3" xfId="20051"/>
    <cellStyle name="Normal 2 11 5 2 2 4" xfId="20052"/>
    <cellStyle name="Normal 2 11 5 2 2 5" xfId="20053"/>
    <cellStyle name="Normal 2 11 5 2 2 6" xfId="20054"/>
    <cellStyle name="Normal 2 11 5 2 3" xfId="20055"/>
    <cellStyle name="Normal 2 11 5 2 3 2" xfId="20056"/>
    <cellStyle name="Normal 2 11 5 2 3 2 2" xfId="20057"/>
    <cellStyle name="Normal 2 11 5 2 3 3" xfId="20058"/>
    <cellStyle name="Normal 2 11 5 2 3 4" xfId="20059"/>
    <cellStyle name="Normal 2 11 5 2 3 5" xfId="20060"/>
    <cellStyle name="Normal 2 11 5 2 4" xfId="20061"/>
    <cellStyle name="Normal 2 11 5 2 4 2" xfId="20062"/>
    <cellStyle name="Normal 2 11 5 2 4 3" xfId="20063"/>
    <cellStyle name="Normal 2 11 5 2 4 4" xfId="20064"/>
    <cellStyle name="Normal 2 11 5 2 5" xfId="20065"/>
    <cellStyle name="Normal 2 11 5 2 5 2" xfId="20066"/>
    <cellStyle name="Normal 2 11 5 2 6" xfId="20067"/>
    <cellStyle name="Normal 2 11 5 2 7" xfId="20068"/>
    <cellStyle name="Normal 2 11 5 2 8" xfId="20069"/>
    <cellStyle name="Normal 2 11 5 2 9" xfId="20070"/>
    <cellStyle name="Normal 2 11 5 3" xfId="20071"/>
    <cellStyle name="Normal 2 11 5 3 2" xfId="20072"/>
    <cellStyle name="Normal 2 11 5 3 2 2" xfId="20073"/>
    <cellStyle name="Normal 2 11 5 3 2 2 2" xfId="20074"/>
    <cellStyle name="Normal 2 11 5 3 2 2 3" xfId="20075"/>
    <cellStyle name="Normal 2 11 5 3 2 3" xfId="20076"/>
    <cellStyle name="Normal 2 11 5 3 2 4" xfId="20077"/>
    <cellStyle name="Normal 2 11 5 3 2 5" xfId="20078"/>
    <cellStyle name="Normal 2 11 5 3 2 6" xfId="20079"/>
    <cellStyle name="Normal 2 11 5 3 3" xfId="20080"/>
    <cellStyle name="Normal 2 11 5 3 3 2" xfId="20081"/>
    <cellStyle name="Normal 2 11 5 3 3 2 2" xfId="20082"/>
    <cellStyle name="Normal 2 11 5 3 3 3" xfId="20083"/>
    <cellStyle name="Normal 2 11 5 3 3 4" xfId="20084"/>
    <cellStyle name="Normal 2 11 5 3 3 5" xfId="20085"/>
    <cellStyle name="Normal 2 11 5 3 4" xfId="20086"/>
    <cellStyle name="Normal 2 11 5 3 4 2" xfId="20087"/>
    <cellStyle name="Normal 2 11 5 3 4 3" xfId="20088"/>
    <cellStyle name="Normal 2 11 5 3 4 4" xfId="20089"/>
    <cellStyle name="Normal 2 11 5 3 5" xfId="20090"/>
    <cellStyle name="Normal 2 11 5 3 5 2" xfId="20091"/>
    <cellStyle name="Normal 2 11 5 3 6" xfId="20092"/>
    <cellStyle name="Normal 2 11 5 3 7" xfId="20093"/>
    <cellStyle name="Normal 2 11 5 3 8" xfId="20094"/>
    <cellStyle name="Normal 2 11 5 3 9" xfId="20095"/>
    <cellStyle name="Normal 2 11 5 4" xfId="20096"/>
    <cellStyle name="Normal 2 11 5 4 2" xfId="20097"/>
    <cellStyle name="Normal 2 11 5 4 2 2" xfId="20098"/>
    <cellStyle name="Normal 2 11 5 4 2 3" xfId="20099"/>
    <cellStyle name="Normal 2 11 5 4 3" xfId="20100"/>
    <cellStyle name="Normal 2 11 5 4 4" xfId="20101"/>
    <cellStyle name="Normal 2 11 5 4 5" xfId="20102"/>
    <cellStyle name="Normal 2 11 5 4 6" xfId="20103"/>
    <cellStyle name="Normal 2 11 5 5" xfId="20104"/>
    <cellStyle name="Normal 2 11 5 5 2" xfId="20105"/>
    <cellStyle name="Normal 2 11 5 5 2 2" xfId="20106"/>
    <cellStyle name="Normal 2 11 5 5 3" xfId="20107"/>
    <cellStyle name="Normal 2 11 5 5 4" xfId="20108"/>
    <cellStyle name="Normal 2 11 5 5 5" xfId="20109"/>
    <cellStyle name="Normal 2 11 5 6" xfId="20110"/>
    <cellStyle name="Normal 2 11 5 6 2" xfId="20111"/>
    <cellStyle name="Normal 2 11 5 6 3" xfId="20112"/>
    <cellStyle name="Normal 2 11 5 6 4" xfId="20113"/>
    <cellStyle name="Normal 2 11 5 7" xfId="20114"/>
    <cellStyle name="Normal 2 11 5 7 2" xfId="20115"/>
    <cellStyle name="Normal 2 11 5 8" xfId="20116"/>
    <cellStyle name="Normal 2 11 5 9" xfId="20117"/>
    <cellStyle name="Normal 2 11 6" xfId="20118"/>
    <cellStyle name="Normal 2 11 6 10" xfId="20119"/>
    <cellStyle name="Normal 2 11 6 11" xfId="20120"/>
    <cellStyle name="Normal 2 11 6 2" xfId="20121"/>
    <cellStyle name="Normal 2 11 6 2 2" xfId="20122"/>
    <cellStyle name="Normal 2 11 6 2 2 2" xfId="20123"/>
    <cellStyle name="Normal 2 11 6 2 2 2 2" xfId="20124"/>
    <cellStyle name="Normal 2 11 6 2 2 2 3" xfId="20125"/>
    <cellStyle name="Normal 2 11 6 2 2 3" xfId="20126"/>
    <cellStyle name="Normal 2 11 6 2 2 4" xfId="20127"/>
    <cellStyle name="Normal 2 11 6 2 2 5" xfId="20128"/>
    <cellStyle name="Normal 2 11 6 2 2 6" xfId="20129"/>
    <cellStyle name="Normal 2 11 6 2 3" xfId="20130"/>
    <cellStyle name="Normal 2 11 6 2 3 2" xfId="20131"/>
    <cellStyle name="Normal 2 11 6 2 3 2 2" xfId="20132"/>
    <cellStyle name="Normal 2 11 6 2 3 3" xfId="20133"/>
    <cellStyle name="Normal 2 11 6 2 3 4" xfId="20134"/>
    <cellStyle name="Normal 2 11 6 2 3 5" xfId="20135"/>
    <cellStyle name="Normal 2 11 6 2 4" xfId="20136"/>
    <cellStyle name="Normal 2 11 6 2 4 2" xfId="20137"/>
    <cellStyle name="Normal 2 11 6 2 4 3" xfId="20138"/>
    <cellStyle name="Normal 2 11 6 2 4 4" xfId="20139"/>
    <cellStyle name="Normal 2 11 6 2 5" xfId="20140"/>
    <cellStyle name="Normal 2 11 6 2 5 2" xfId="20141"/>
    <cellStyle name="Normal 2 11 6 2 6" xfId="20142"/>
    <cellStyle name="Normal 2 11 6 2 7" xfId="20143"/>
    <cellStyle name="Normal 2 11 6 2 8" xfId="20144"/>
    <cellStyle name="Normal 2 11 6 2 9" xfId="20145"/>
    <cellStyle name="Normal 2 11 6 3" xfId="20146"/>
    <cellStyle name="Normal 2 11 6 3 2" xfId="20147"/>
    <cellStyle name="Normal 2 11 6 3 2 2" xfId="20148"/>
    <cellStyle name="Normal 2 11 6 3 2 2 2" xfId="20149"/>
    <cellStyle name="Normal 2 11 6 3 2 2 3" xfId="20150"/>
    <cellStyle name="Normal 2 11 6 3 2 3" xfId="20151"/>
    <cellStyle name="Normal 2 11 6 3 2 4" xfId="20152"/>
    <cellStyle name="Normal 2 11 6 3 2 5" xfId="20153"/>
    <cellStyle name="Normal 2 11 6 3 2 6" xfId="20154"/>
    <cellStyle name="Normal 2 11 6 3 3" xfId="20155"/>
    <cellStyle name="Normal 2 11 6 3 3 2" xfId="20156"/>
    <cellStyle name="Normal 2 11 6 3 3 2 2" xfId="20157"/>
    <cellStyle name="Normal 2 11 6 3 3 3" xfId="20158"/>
    <cellStyle name="Normal 2 11 6 3 3 4" xfId="20159"/>
    <cellStyle name="Normal 2 11 6 3 3 5" xfId="20160"/>
    <cellStyle name="Normal 2 11 6 3 4" xfId="20161"/>
    <cellStyle name="Normal 2 11 6 3 4 2" xfId="20162"/>
    <cellStyle name="Normal 2 11 6 3 4 3" xfId="20163"/>
    <cellStyle name="Normal 2 11 6 3 4 4" xfId="20164"/>
    <cellStyle name="Normal 2 11 6 3 5" xfId="20165"/>
    <cellStyle name="Normal 2 11 6 3 5 2" xfId="20166"/>
    <cellStyle name="Normal 2 11 6 3 6" xfId="20167"/>
    <cellStyle name="Normal 2 11 6 3 7" xfId="20168"/>
    <cellStyle name="Normal 2 11 6 3 8" xfId="20169"/>
    <cellStyle name="Normal 2 11 6 3 9" xfId="20170"/>
    <cellStyle name="Normal 2 11 6 4" xfId="20171"/>
    <cellStyle name="Normal 2 11 6 4 2" xfId="20172"/>
    <cellStyle name="Normal 2 11 6 4 2 2" xfId="20173"/>
    <cellStyle name="Normal 2 11 6 4 2 3" xfId="20174"/>
    <cellStyle name="Normal 2 11 6 4 3" xfId="20175"/>
    <cellStyle name="Normal 2 11 6 4 4" xfId="20176"/>
    <cellStyle name="Normal 2 11 6 4 5" xfId="20177"/>
    <cellStyle name="Normal 2 11 6 4 6" xfId="20178"/>
    <cellStyle name="Normal 2 11 6 5" xfId="20179"/>
    <cellStyle name="Normal 2 11 6 5 2" xfId="20180"/>
    <cellStyle name="Normal 2 11 6 5 2 2" xfId="20181"/>
    <cellStyle name="Normal 2 11 6 5 3" xfId="20182"/>
    <cellStyle name="Normal 2 11 6 5 4" xfId="20183"/>
    <cellStyle name="Normal 2 11 6 5 5" xfId="20184"/>
    <cellStyle name="Normal 2 11 6 6" xfId="20185"/>
    <cellStyle name="Normal 2 11 6 6 2" xfId="20186"/>
    <cellStyle name="Normal 2 11 6 6 3" xfId="20187"/>
    <cellStyle name="Normal 2 11 6 6 4" xfId="20188"/>
    <cellStyle name="Normal 2 11 6 7" xfId="20189"/>
    <cellStyle name="Normal 2 11 6 7 2" xfId="20190"/>
    <cellStyle name="Normal 2 11 6 8" xfId="20191"/>
    <cellStyle name="Normal 2 11 6 9" xfId="20192"/>
    <cellStyle name="Normal 2 11 7" xfId="20193"/>
    <cellStyle name="Normal 2 11 7 10" xfId="20194"/>
    <cellStyle name="Normal 2 11 7 11" xfId="20195"/>
    <cellStyle name="Normal 2 11 7 2" xfId="20196"/>
    <cellStyle name="Normal 2 11 7 2 2" xfId="20197"/>
    <cellStyle name="Normal 2 11 7 2 2 2" xfId="20198"/>
    <cellStyle name="Normal 2 11 7 2 2 2 2" xfId="20199"/>
    <cellStyle name="Normal 2 11 7 2 2 2 3" xfId="20200"/>
    <cellStyle name="Normal 2 11 7 2 2 3" xfId="20201"/>
    <cellStyle name="Normal 2 11 7 2 2 4" xfId="20202"/>
    <cellStyle name="Normal 2 11 7 2 2 5" xfId="20203"/>
    <cellStyle name="Normal 2 11 7 2 2 6" xfId="20204"/>
    <cellStyle name="Normal 2 11 7 2 3" xfId="20205"/>
    <cellStyle name="Normal 2 11 7 2 3 2" xfId="20206"/>
    <cellStyle name="Normal 2 11 7 2 3 2 2" xfId="20207"/>
    <cellStyle name="Normal 2 11 7 2 3 3" xfId="20208"/>
    <cellStyle name="Normal 2 11 7 2 3 4" xfId="20209"/>
    <cellStyle name="Normal 2 11 7 2 3 5" xfId="20210"/>
    <cellStyle name="Normal 2 11 7 2 4" xfId="20211"/>
    <cellStyle name="Normal 2 11 7 2 4 2" xfId="20212"/>
    <cellStyle name="Normal 2 11 7 2 4 3" xfId="20213"/>
    <cellStyle name="Normal 2 11 7 2 4 4" xfId="20214"/>
    <cellStyle name="Normal 2 11 7 2 5" xfId="20215"/>
    <cellStyle name="Normal 2 11 7 2 5 2" xfId="20216"/>
    <cellStyle name="Normal 2 11 7 2 6" xfId="20217"/>
    <cellStyle name="Normal 2 11 7 2 7" xfId="20218"/>
    <cellStyle name="Normal 2 11 7 2 8" xfId="20219"/>
    <cellStyle name="Normal 2 11 7 2 9" xfId="20220"/>
    <cellStyle name="Normal 2 11 7 3" xfId="20221"/>
    <cellStyle name="Normal 2 11 7 3 2" xfId="20222"/>
    <cellStyle name="Normal 2 11 7 3 2 2" xfId="20223"/>
    <cellStyle name="Normal 2 11 7 3 2 2 2" xfId="20224"/>
    <cellStyle name="Normal 2 11 7 3 2 2 3" xfId="20225"/>
    <cellStyle name="Normal 2 11 7 3 2 3" xfId="20226"/>
    <cellStyle name="Normal 2 11 7 3 2 4" xfId="20227"/>
    <cellStyle name="Normal 2 11 7 3 2 5" xfId="20228"/>
    <cellStyle name="Normal 2 11 7 3 2 6" xfId="20229"/>
    <cellStyle name="Normal 2 11 7 3 3" xfId="20230"/>
    <cellStyle name="Normal 2 11 7 3 3 2" xfId="20231"/>
    <cellStyle name="Normal 2 11 7 3 3 2 2" xfId="20232"/>
    <cellStyle name="Normal 2 11 7 3 3 3" xfId="20233"/>
    <cellStyle name="Normal 2 11 7 3 3 4" xfId="20234"/>
    <cellStyle name="Normal 2 11 7 3 3 5" xfId="20235"/>
    <cellStyle name="Normal 2 11 7 3 4" xfId="20236"/>
    <cellStyle name="Normal 2 11 7 3 4 2" xfId="20237"/>
    <cellStyle name="Normal 2 11 7 3 4 3" xfId="20238"/>
    <cellStyle name="Normal 2 11 7 3 4 4" xfId="20239"/>
    <cellStyle name="Normal 2 11 7 3 5" xfId="20240"/>
    <cellStyle name="Normal 2 11 7 3 5 2" xfId="20241"/>
    <cellStyle name="Normal 2 11 7 3 6" xfId="20242"/>
    <cellStyle name="Normal 2 11 7 3 7" xfId="20243"/>
    <cellStyle name="Normal 2 11 7 3 8" xfId="20244"/>
    <cellStyle name="Normal 2 11 7 3 9" xfId="20245"/>
    <cellStyle name="Normal 2 11 7 4" xfId="20246"/>
    <cellStyle name="Normal 2 11 7 4 2" xfId="20247"/>
    <cellStyle name="Normal 2 11 7 4 2 2" xfId="20248"/>
    <cellStyle name="Normal 2 11 7 4 2 3" xfId="20249"/>
    <cellStyle name="Normal 2 11 7 4 3" xfId="20250"/>
    <cellStyle name="Normal 2 11 7 4 4" xfId="20251"/>
    <cellStyle name="Normal 2 11 7 4 5" xfId="20252"/>
    <cellStyle name="Normal 2 11 7 4 6" xfId="20253"/>
    <cellStyle name="Normal 2 11 7 5" xfId="20254"/>
    <cellStyle name="Normal 2 11 7 5 2" xfId="20255"/>
    <cellStyle name="Normal 2 11 7 5 2 2" xfId="20256"/>
    <cellStyle name="Normal 2 11 7 5 3" xfId="20257"/>
    <cellStyle name="Normal 2 11 7 5 4" xfId="20258"/>
    <cellStyle name="Normal 2 11 7 5 5" xfId="20259"/>
    <cellStyle name="Normal 2 11 7 6" xfId="20260"/>
    <cellStyle name="Normal 2 11 7 6 2" xfId="20261"/>
    <cellStyle name="Normal 2 11 7 6 3" xfId="20262"/>
    <cellStyle name="Normal 2 11 7 6 4" xfId="20263"/>
    <cellStyle name="Normal 2 11 7 7" xfId="20264"/>
    <cellStyle name="Normal 2 11 7 7 2" xfId="20265"/>
    <cellStyle name="Normal 2 11 7 8" xfId="20266"/>
    <cellStyle name="Normal 2 11 7 9" xfId="20267"/>
    <cellStyle name="Normal 2 11 8" xfId="20268"/>
    <cellStyle name="Normal 2 11 8 10" xfId="20269"/>
    <cellStyle name="Normal 2 11 8 2" xfId="20270"/>
    <cellStyle name="Normal 2 11 8 2 2" xfId="20271"/>
    <cellStyle name="Normal 2 11 8 2 2 2" xfId="20272"/>
    <cellStyle name="Normal 2 11 8 2 2 3" xfId="20273"/>
    <cellStyle name="Normal 2 11 8 2 3" xfId="20274"/>
    <cellStyle name="Normal 2 11 8 2 4" xfId="20275"/>
    <cellStyle name="Normal 2 11 8 2 5" xfId="20276"/>
    <cellStyle name="Normal 2 11 8 2 6" xfId="20277"/>
    <cellStyle name="Normal 2 11 8 3" xfId="20278"/>
    <cellStyle name="Normal 2 11 8 3 2" xfId="20279"/>
    <cellStyle name="Normal 2 11 8 3 2 2" xfId="20280"/>
    <cellStyle name="Normal 2 11 8 3 2 3" xfId="20281"/>
    <cellStyle name="Normal 2 11 8 3 3" xfId="20282"/>
    <cellStyle name="Normal 2 11 8 3 4" xfId="20283"/>
    <cellStyle name="Normal 2 11 8 3 5" xfId="20284"/>
    <cellStyle name="Normal 2 11 8 3 6" xfId="20285"/>
    <cellStyle name="Normal 2 11 8 4" xfId="20286"/>
    <cellStyle name="Normal 2 11 8 4 2" xfId="20287"/>
    <cellStyle name="Normal 2 11 8 4 2 2" xfId="20288"/>
    <cellStyle name="Normal 2 11 8 4 3" xfId="20289"/>
    <cellStyle name="Normal 2 11 8 4 4" xfId="20290"/>
    <cellStyle name="Normal 2 11 8 4 5" xfId="20291"/>
    <cellStyle name="Normal 2 11 8 5" xfId="20292"/>
    <cellStyle name="Normal 2 11 8 5 2" xfId="20293"/>
    <cellStyle name="Normal 2 11 8 5 3" xfId="20294"/>
    <cellStyle name="Normal 2 11 8 5 4" xfId="20295"/>
    <cellStyle name="Normal 2 11 8 6" xfId="20296"/>
    <cellStyle name="Normal 2 11 8 6 2" xfId="20297"/>
    <cellStyle name="Normal 2 11 8 7" xfId="20298"/>
    <cellStyle name="Normal 2 11 8 8" xfId="20299"/>
    <cellStyle name="Normal 2 11 8 9" xfId="20300"/>
    <cellStyle name="Normal 2 11 9" xfId="20301"/>
    <cellStyle name="Normal 2 11 9 10" xfId="20302"/>
    <cellStyle name="Normal 2 11 9 2" xfId="20303"/>
    <cellStyle name="Normal 2 11 9 2 2" xfId="20304"/>
    <cellStyle name="Normal 2 11 9 2 2 2" xfId="20305"/>
    <cellStyle name="Normal 2 11 9 2 2 3" xfId="20306"/>
    <cellStyle name="Normal 2 11 9 2 3" xfId="20307"/>
    <cellStyle name="Normal 2 11 9 2 4" xfId="20308"/>
    <cellStyle name="Normal 2 11 9 2 5" xfId="20309"/>
    <cellStyle name="Normal 2 11 9 2 6" xfId="20310"/>
    <cellStyle name="Normal 2 11 9 3" xfId="20311"/>
    <cellStyle name="Normal 2 11 9 3 2" xfId="20312"/>
    <cellStyle name="Normal 2 11 9 3 2 2" xfId="20313"/>
    <cellStyle name="Normal 2 11 9 3 2 3" xfId="20314"/>
    <cellStyle name="Normal 2 11 9 3 3" xfId="20315"/>
    <cellStyle name="Normal 2 11 9 3 4" xfId="20316"/>
    <cellStyle name="Normal 2 11 9 3 5" xfId="20317"/>
    <cellStyle name="Normal 2 11 9 3 6" xfId="20318"/>
    <cellStyle name="Normal 2 11 9 4" xfId="20319"/>
    <cellStyle name="Normal 2 11 9 4 2" xfId="20320"/>
    <cellStyle name="Normal 2 11 9 4 2 2" xfId="20321"/>
    <cellStyle name="Normal 2 11 9 4 3" xfId="20322"/>
    <cellStyle name="Normal 2 11 9 4 4" xfId="20323"/>
    <cellStyle name="Normal 2 11 9 4 5" xfId="20324"/>
    <cellStyle name="Normal 2 11 9 5" xfId="20325"/>
    <cellStyle name="Normal 2 11 9 5 2" xfId="20326"/>
    <cellStyle name="Normal 2 11 9 5 3" xfId="20327"/>
    <cellStyle name="Normal 2 11 9 5 4" xfId="20328"/>
    <cellStyle name="Normal 2 11 9 6" xfId="20329"/>
    <cellStyle name="Normal 2 11 9 6 2" xfId="20330"/>
    <cellStyle name="Normal 2 11 9 7" xfId="20331"/>
    <cellStyle name="Normal 2 11 9 8" xfId="20332"/>
    <cellStyle name="Normal 2 11 9 9" xfId="20333"/>
    <cellStyle name="Normal 2 12" xfId="20334"/>
    <cellStyle name="Normal 2 12 10" xfId="20335"/>
    <cellStyle name="Normal 2 12 10 10" xfId="20336"/>
    <cellStyle name="Normal 2 12 10 2" xfId="20337"/>
    <cellStyle name="Normal 2 12 10 2 2" xfId="20338"/>
    <cellStyle name="Normal 2 12 10 2 2 2" xfId="20339"/>
    <cellStyle name="Normal 2 12 10 2 2 3" xfId="20340"/>
    <cellStyle name="Normal 2 12 10 2 3" xfId="20341"/>
    <cellStyle name="Normal 2 12 10 2 4" xfId="20342"/>
    <cellStyle name="Normal 2 12 10 2 5" xfId="20343"/>
    <cellStyle name="Normal 2 12 10 2 6" xfId="20344"/>
    <cellStyle name="Normal 2 12 10 3" xfId="20345"/>
    <cellStyle name="Normal 2 12 10 3 2" xfId="20346"/>
    <cellStyle name="Normal 2 12 10 3 2 2" xfId="20347"/>
    <cellStyle name="Normal 2 12 10 3 2 3" xfId="20348"/>
    <cellStyle name="Normal 2 12 10 3 3" xfId="20349"/>
    <cellStyle name="Normal 2 12 10 3 4" xfId="20350"/>
    <cellStyle name="Normal 2 12 10 3 5" xfId="20351"/>
    <cellStyle name="Normal 2 12 10 3 6" xfId="20352"/>
    <cellStyle name="Normal 2 12 10 4" xfId="20353"/>
    <cellStyle name="Normal 2 12 10 4 2" xfId="20354"/>
    <cellStyle name="Normal 2 12 10 4 2 2" xfId="20355"/>
    <cellStyle name="Normal 2 12 10 4 3" xfId="20356"/>
    <cellStyle name="Normal 2 12 10 4 4" xfId="20357"/>
    <cellStyle name="Normal 2 12 10 4 5" xfId="20358"/>
    <cellStyle name="Normal 2 12 10 5" xfId="20359"/>
    <cellStyle name="Normal 2 12 10 5 2" xfId="20360"/>
    <cellStyle name="Normal 2 12 10 5 3" xfId="20361"/>
    <cellStyle name="Normal 2 12 10 5 4" xfId="20362"/>
    <cellStyle name="Normal 2 12 10 6" xfId="20363"/>
    <cellStyle name="Normal 2 12 10 6 2" xfId="20364"/>
    <cellStyle name="Normal 2 12 10 7" xfId="20365"/>
    <cellStyle name="Normal 2 12 10 8" xfId="20366"/>
    <cellStyle name="Normal 2 12 10 9" xfId="20367"/>
    <cellStyle name="Normal 2 12 11" xfId="20368"/>
    <cellStyle name="Normal 2 12 11 10" xfId="20369"/>
    <cellStyle name="Normal 2 12 11 2" xfId="20370"/>
    <cellStyle name="Normal 2 12 11 2 2" xfId="20371"/>
    <cellStyle name="Normal 2 12 11 2 2 2" xfId="20372"/>
    <cellStyle name="Normal 2 12 11 2 2 3" xfId="20373"/>
    <cellStyle name="Normal 2 12 11 2 3" xfId="20374"/>
    <cellStyle name="Normal 2 12 11 2 4" xfId="20375"/>
    <cellStyle name="Normal 2 12 11 2 5" xfId="20376"/>
    <cellStyle name="Normal 2 12 11 2 6" xfId="20377"/>
    <cellStyle name="Normal 2 12 11 3" xfId="20378"/>
    <cellStyle name="Normal 2 12 11 3 2" xfId="20379"/>
    <cellStyle name="Normal 2 12 11 3 2 2" xfId="20380"/>
    <cellStyle name="Normal 2 12 11 3 2 3" xfId="20381"/>
    <cellStyle name="Normal 2 12 11 3 3" xfId="20382"/>
    <cellStyle name="Normal 2 12 11 3 4" xfId="20383"/>
    <cellStyle name="Normal 2 12 11 3 5" xfId="20384"/>
    <cellStyle name="Normal 2 12 11 3 6" xfId="20385"/>
    <cellStyle name="Normal 2 12 11 4" xfId="20386"/>
    <cellStyle name="Normal 2 12 11 4 2" xfId="20387"/>
    <cellStyle name="Normal 2 12 11 4 2 2" xfId="20388"/>
    <cellStyle name="Normal 2 12 11 4 3" xfId="20389"/>
    <cellStyle name="Normal 2 12 11 4 4" xfId="20390"/>
    <cellStyle name="Normal 2 12 11 4 5" xfId="20391"/>
    <cellStyle name="Normal 2 12 11 5" xfId="20392"/>
    <cellStyle name="Normal 2 12 11 5 2" xfId="20393"/>
    <cellStyle name="Normal 2 12 11 5 3" xfId="20394"/>
    <cellStyle name="Normal 2 12 11 5 4" xfId="20395"/>
    <cellStyle name="Normal 2 12 11 6" xfId="20396"/>
    <cellStyle name="Normal 2 12 11 6 2" xfId="20397"/>
    <cellStyle name="Normal 2 12 11 7" xfId="20398"/>
    <cellStyle name="Normal 2 12 11 8" xfId="20399"/>
    <cellStyle name="Normal 2 12 11 9" xfId="20400"/>
    <cellStyle name="Normal 2 12 12" xfId="20401"/>
    <cellStyle name="Normal 2 12 12 10" xfId="20402"/>
    <cellStyle name="Normal 2 12 12 2" xfId="20403"/>
    <cellStyle name="Normal 2 12 12 2 2" xfId="20404"/>
    <cellStyle name="Normal 2 12 12 2 2 2" xfId="20405"/>
    <cellStyle name="Normal 2 12 12 2 2 3" xfId="20406"/>
    <cellStyle name="Normal 2 12 12 2 3" xfId="20407"/>
    <cellStyle name="Normal 2 12 12 2 4" xfId="20408"/>
    <cellStyle name="Normal 2 12 12 2 5" xfId="20409"/>
    <cellStyle name="Normal 2 12 12 2 6" xfId="20410"/>
    <cellStyle name="Normal 2 12 12 3" xfId="20411"/>
    <cellStyle name="Normal 2 12 12 3 2" xfId="20412"/>
    <cellStyle name="Normal 2 12 12 3 2 2" xfId="20413"/>
    <cellStyle name="Normal 2 12 12 3 2 3" xfId="20414"/>
    <cellStyle name="Normal 2 12 12 3 3" xfId="20415"/>
    <cellStyle name="Normal 2 12 12 3 4" xfId="20416"/>
    <cellStyle name="Normal 2 12 12 3 5" xfId="20417"/>
    <cellStyle name="Normal 2 12 12 3 6" xfId="20418"/>
    <cellStyle name="Normal 2 12 12 4" xfId="20419"/>
    <cellStyle name="Normal 2 12 12 4 2" xfId="20420"/>
    <cellStyle name="Normal 2 12 12 4 2 2" xfId="20421"/>
    <cellStyle name="Normal 2 12 12 4 3" xfId="20422"/>
    <cellStyle name="Normal 2 12 12 4 4" xfId="20423"/>
    <cellStyle name="Normal 2 12 12 4 5" xfId="20424"/>
    <cellStyle name="Normal 2 12 12 5" xfId="20425"/>
    <cellStyle name="Normal 2 12 12 5 2" xfId="20426"/>
    <cellStyle name="Normal 2 12 12 5 3" xfId="20427"/>
    <cellStyle name="Normal 2 12 12 5 4" xfId="20428"/>
    <cellStyle name="Normal 2 12 12 6" xfId="20429"/>
    <cellStyle name="Normal 2 12 12 6 2" xfId="20430"/>
    <cellStyle name="Normal 2 12 12 7" xfId="20431"/>
    <cellStyle name="Normal 2 12 12 8" xfId="20432"/>
    <cellStyle name="Normal 2 12 12 9" xfId="20433"/>
    <cellStyle name="Normal 2 12 13" xfId="20434"/>
    <cellStyle name="Normal 2 12 13 2" xfId="20435"/>
    <cellStyle name="Normal 2 12 13 2 2" xfId="20436"/>
    <cellStyle name="Normal 2 12 13 2 2 2" xfId="20437"/>
    <cellStyle name="Normal 2 12 13 2 2 3" xfId="20438"/>
    <cellStyle name="Normal 2 12 13 2 3" xfId="20439"/>
    <cellStyle name="Normal 2 12 13 2 4" xfId="20440"/>
    <cellStyle name="Normal 2 12 13 2 5" xfId="20441"/>
    <cellStyle name="Normal 2 12 13 2 6" xfId="20442"/>
    <cellStyle name="Normal 2 12 13 3" xfId="20443"/>
    <cellStyle name="Normal 2 12 13 3 2" xfId="20444"/>
    <cellStyle name="Normal 2 12 13 3 2 2" xfId="20445"/>
    <cellStyle name="Normal 2 12 13 3 3" xfId="20446"/>
    <cellStyle name="Normal 2 12 13 3 4" xfId="20447"/>
    <cellStyle name="Normal 2 12 13 3 5" xfId="20448"/>
    <cellStyle name="Normal 2 12 13 4" xfId="20449"/>
    <cellStyle name="Normal 2 12 13 4 2" xfId="20450"/>
    <cellStyle name="Normal 2 12 13 4 3" xfId="20451"/>
    <cellStyle name="Normal 2 12 13 4 4" xfId="20452"/>
    <cellStyle name="Normal 2 12 13 5" xfId="20453"/>
    <cellStyle name="Normal 2 12 13 5 2" xfId="20454"/>
    <cellStyle name="Normal 2 12 13 6" xfId="20455"/>
    <cellStyle name="Normal 2 12 13 7" xfId="20456"/>
    <cellStyle name="Normal 2 12 13 8" xfId="20457"/>
    <cellStyle name="Normal 2 12 13 9" xfId="20458"/>
    <cellStyle name="Normal 2 12 14" xfId="20459"/>
    <cellStyle name="Normal 2 12 14 2" xfId="20460"/>
    <cellStyle name="Normal 2 12 14 2 2" xfId="20461"/>
    <cellStyle name="Normal 2 12 14 2 2 2" xfId="20462"/>
    <cellStyle name="Normal 2 12 14 2 2 3" xfId="20463"/>
    <cellStyle name="Normal 2 12 14 2 3" xfId="20464"/>
    <cellStyle name="Normal 2 12 14 2 4" xfId="20465"/>
    <cellStyle name="Normal 2 12 14 2 5" xfId="20466"/>
    <cellStyle name="Normal 2 12 14 2 6" xfId="20467"/>
    <cellStyle name="Normal 2 12 14 3" xfId="20468"/>
    <cellStyle name="Normal 2 12 14 3 2" xfId="20469"/>
    <cellStyle name="Normal 2 12 14 3 2 2" xfId="20470"/>
    <cellStyle name="Normal 2 12 14 3 3" xfId="20471"/>
    <cellStyle name="Normal 2 12 14 3 4" xfId="20472"/>
    <cellStyle name="Normal 2 12 14 3 5" xfId="20473"/>
    <cellStyle name="Normal 2 12 14 4" xfId="20474"/>
    <cellStyle name="Normal 2 12 14 4 2" xfId="20475"/>
    <cellStyle name="Normal 2 12 14 4 3" xfId="20476"/>
    <cellStyle name="Normal 2 12 14 4 4" xfId="20477"/>
    <cellStyle name="Normal 2 12 14 5" xfId="20478"/>
    <cellStyle name="Normal 2 12 14 5 2" xfId="20479"/>
    <cellStyle name="Normal 2 12 14 6" xfId="20480"/>
    <cellStyle name="Normal 2 12 14 7" xfId="20481"/>
    <cellStyle name="Normal 2 12 14 8" xfId="20482"/>
    <cellStyle name="Normal 2 12 14 9" xfId="20483"/>
    <cellStyle name="Normal 2 12 15" xfId="20484"/>
    <cellStyle name="Normal 2 12 15 2" xfId="20485"/>
    <cellStyle name="Normal 2 12 15 2 2" xfId="20486"/>
    <cellStyle name="Normal 2 12 15 2 3" xfId="20487"/>
    <cellStyle name="Normal 2 12 15 3" xfId="20488"/>
    <cellStyle name="Normal 2 12 15 4" xfId="20489"/>
    <cellStyle name="Normal 2 12 15 5" xfId="20490"/>
    <cellStyle name="Normal 2 12 15 6" xfId="20491"/>
    <cellStyle name="Normal 2 12 16" xfId="20492"/>
    <cellStyle name="Normal 2 12 16 2" xfId="20493"/>
    <cellStyle name="Normal 2 12 16 2 2" xfId="20494"/>
    <cellStyle name="Normal 2 12 16 3" xfId="20495"/>
    <cellStyle name="Normal 2 12 16 4" xfId="20496"/>
    <cellStyle name="Normal 2 12 16 5" xfId="20497"/>
    <cellStyle name="Normal 2 12 17" xfId="20498"/>
    <cellStyle name="Normal 2 12 17 2" xfId="20499"/>
    <cellStyle name="Normal 2 12 17 2 2" xfId="20500"/>
    <cellStyle name="Normal 2 12 17 3" xfId="20501"/>
    <cellStyle name="Normal 2 12 17 4" xfId="20502"/>
    <cellStyle name="Normal 2 12 17 5" xfId="20503"/>
    <cellStyle name="Normal 2 12 18" xfId="20504"/>
    <cellStyle name="Normal 2 12 18 2" xfId="20505"/>
    <cellStyle name="Normal 2 12 19" xfId="20506"/>
    <cellStyle name="Normal 2 12 2" xfId="20507"/>
    <cellStyle name="Normal 2 12 2 10" xfId="20508"/>
    <cellStyle name="Normal 2 12 2 11" xfId="20509"/>
    <cellStyle name="Normal 2 12 2 2" xfId="20510"/>
    <cellStyle name="Normal 2 12 2 2 2" xfId="20511"/>
    <cellStyle name="Normal 2 12 2 2 2 2" xfId="20512"/>
    <cellStyle name="Normal 2 12 2 2 2 2 2" xfId="20513"/>
    <cellStyle name="Normal 2 12 2 2 2 2 3" xfId="20514"/>
    <cellStyle name="Normal 2 12 2 2 2 3" xfId="20515"/>
    <cellStyle name="Normal 2 12 2 2 2 4" xfId="20516"/>
    <cellStyle name="Normal 2 12 2 2 2 5" xfId="20517"/>
    <cellStyle name="Normal 2 12 2 2 2 6" xfId="20518"/>
    <cellStyle name="Normal 2 12 2 2 3" xfId="20519"/>
    <cellStyle name="Normal 2 12 2 2 3 2" xfId="20520"/>
    <cellStyle name="Normal 2 12 2 2 3 2 2" xfId="20521"/>
    <cellStyle name="Normal 2 12 2 2 3 3" xfId="20522"/>
    <cellStyle name="Normal 2 12 2 2 3 4" xfId="20523"/>
    <cellStyle name="Normal 2 12 2 2 3 5" xfId="20524"/>
    <cellStyle name="Normal 2 12 2 2 4" xfId="20525"/>
    <cellStyle name="Normal 2 12 2 2 4 2" xfId="20526"/>
    <cellStyle name="Normal 2 12 2 2 4 3" xfId="20527"/>
    <cellStyle name="Normal 2 12 2 2 4 4" xfId="20528"/>
    <cellStyle name="Normal 2 12 2 2 5" xfId="20529"/>
    <cellStyle name="Normal 2 12 2 2 5 2" xfId="20530"/>
    <cellStyle name="Normal 2 12 2 2 6" xfId="20531"/>
    <cellStyle name="Normal 2 12 2 2 7" xfId="20532"/>
    <cellStyle name="Normal 2 12 2 2 8" xfId="20533"/>
    <cellStyle name="Normal 2 12 2 2 9" xfId="20534"/>
    <cellStyle name="Normal 2 12 2 3" xfId="20535"/>
    <cellStyle name="Normal 2 12 2 3 2" xfId="20536"/>
    <cellStyle name="Normal 2 12 2 3 2 2" xfId="20537"/>
    <cellStyle name="Normal 2 12 2 3 2 2 2" xfId="20538"/>
    <cellStyle name="Normal 2 12 2 3 2 2 3" xfId="20539"/>
    <cellStyle name="Normal 2 12 2 3 2 3" xfId="20540"/>
    <cellStyle name="Normal 2 12 2 3 2 4" xfId="20541"/>
    <cellStyle name="Normal 2 12 2 3 2 5" xfId="20542"/>
    <cellStyle name="Normal 2 12 2 3 2 6" xfId="20543"/>
    <cellStyle name="Normal 2 12 2 3 3" xfId="20544"/>
    <cellStyle name="Normal 2 12 2 3 3 2" xfId="20545"/>
    <cellStyle name="Normal 2 12 2 3 3 2 2" xfId="20546"/>
    <cellStyle name="Normal 2 12 2 3 3 3" xfId="20547"/>
    <cellStyle name="Normal 2 12 2 3 3 4" xfId="20548"/>
    <cellStyle name="Normal 2 12 2 3 3 5" xfId="20549"/>
    <cellStyle name="Normal 2 12 2 3 4" xfId="20550"/>
    <cellStyle name="Normal 2 12 2 3 4 2" xfId="20551"/>
    <cellStyle name="Normal 2 12 2 3 4 3" xfId="20552"/>
    <cellStyle name="Normal 2 12 2 3 4 4" xfId="20553"/>
    <cellStyle name="Normal 2 12 2 3 5" xfId="20554"/>
    <cellStyle name="Normal 2 12 2 3 5 2" xfId="20555"/>
    <cellStyle name="Normal 2 12 2 3 6" xfId="20556"/>
    <cellStyle name="Normal 2 12 2 3 7" xfId="20557"/>
    <cellStyle name="Normal 2 12 2 3 8" xfId="20558"/>
    <cellStyle name="Normal 2 12 2 3 9" xfId="20559"/>
    <cellStyle name="Normal 2 12 2 4" xfId="20560"/>
    <cellStyle name="Normal 2 12 2 4 2" xfId="20561"/>
    <cellStyle name="Normal 2 12 2 4 2 2" xfId="20562"/>
    <cellStyle name="Normal 2 12 2 4 2 3" xfId="20563"/>
    <cellStyle name="Normal 2 12 2 4 3" xfId="20564"/>
    <cellStyle name="Normal 2 12 2 4 4" xfId="20565"/>
    <cellStyle name="Normal 2 12 2 4 5" xfId="20566"/>
    <cellStyle name="Normal 2 12 2 4 6" xfId="20567"/>
    <cellStyle name="Normal 2 12 2 5" xfId="20568"/>
    <cellStyle name="Normal 2 12 2 5 2" xfId="20569"/>
    <cellStyle name="Normal 2 12 2 5 2 2" xfId="20570"/>
    <cellStyle name="Normal 2 12 2 5 3" xfId="20571"/>
    <cellStyle name="Normal 2 12 2 5 4" xfId="20572"/>
    <cellStyle name="Normal 2 12 2 5 5" xfId="20573"/>
    <cellStyle name="Normal 2 12 2 6" xfId="20574"/>
    <cellStyle name="Normal 2 12 2 6 2" xfId="20575"/>
    <cellStyle name="Normal 2 12 2 6 3" xfId="20576"/>
    <cellStyle name="Normal 2 12 2 6 4" xfId="20577"/>
    <cellStyle name="Normal 2 12 2 7" xfId="20578"/>
    <cellStyle name="Normal 2 12 2 7 2" xfId="20579"/>
    <cellStyle name="Normal 2 12 2 8" xfId="20580"/>
    <cellStyle name="Normal 2 12 2 9" xfId="20581"/>
    <cellStyle name="Normal 2 12 20" xfId="20582"/>
    <cellStyle name="Normal 2 12 21" xfId="20583"/>
    <cellStyle name="Normal 2 12 22" xfId="20584"/>
    <cellStyle name="Normal 2 12 3" xfId="20585"/>
    <cellStyle name="Normal 2 12 3 10" xfId="20586"/>
    <cellStyle name="Normal 2 12 3 11" xfId="20587"/>
    <cellStyle name="Normal 2 12 3 2" xfId="20588"/>
    <cellStyle name="Normal 2 12 3 2 2" xfId="20589"/>
    <cellStyle name="Normal 2 12 3 2 2 2" xfId="20590"/>
    <cellStyle name="Normal 2 12 3 2 2 2 2" xfId="20591"/>
    <cellStyle name="Normal 2 12 3 2 2 2 3" xfId="20592"/>
    <cellStyle name="Normal 2 12 3 2 2 3" xfId="20593"/>
    <cellStyle name="Normal 2 12 3 2 2 4" xfId="20594"/>
    <cellStyle name="Normal 2 12 3 2 2 5" xfId="20595"/>
    <cellStyle name="Normal 2 12 3 2 2 6" xfId="20596"/>
    <cellStyle name="Normal 2 12 3 2 3" xfId="20597"/>
    <cellStyle name="Normal 2 12 3 2 3 2" xfId="20598"/>
    <cellStyle name="Normal 2 12 3 2 3 2 2" xfId="20599"/>
    <cellStyle name="Normal 2 12 3 2 3 3" xfId="20600"/>
    <cellStyle name="Normal 2 12 3 2 3 4" xfId="20601"/>
    <cellStyle name="Normal 2 12 3 2 3 5" xfId="20602"/>
    <cellStyle name="Normal 2 12 3 2 4" xfId="20603"/>
    <cellStyle name="Normal 2 12 3 2 4 2" xfId="20604"/>
    <cellStyle name="Normal 2 12 3 2 4 3" xfId="20605"/>
    <cellStyle name="Normal 2 12 3 2 4 4" xfId="20606"/>
    <cellStyle name="Normal 2 12 3 2 5" xfId="20607"/>
    <cellStyle name="Normal 2 12 3 2 5 2" xfId="20608"/>
    <cellStyle name="Normal 2 12 3 2 6" xfId="20609"/>
    <cellStyle name="Normal 2 12 3 2 7" xfId="20610"/>
    <cellStyle name="Normal 2 12 3 2 8" xfId="20611"/>
    <cellStyle name="Normal 2 12 3 2 9" xfId="20612"/>
    <cellStyle name="Normal 2 12 3 3" xfId="20613"/>
    <cellStyle name="Normal 2 12 3 3 2" xfId="20614"/>
    <cellStyle name="Normal 2 12 3 3 2 2" xfId="20615"/>
    <cellStyle name="Normal 2 12 3 3 2 2 2" xfId="20616"/>
    <cellStyle name="Normal 2 12 3 3 2 2 3" xfId="20617"/>
    <cellStyle name="Normal 2 12 3 3 2 3" xfId="20618"/>
    <cellStyle name="Normal 2 12 3 3 2 4" xfId="20619"/>
    <cellStyle name="Normal 2 12 3 3 2 5" xfId="20620"/>
    <cellStyle name="Normal 2 12 3 3 2 6" xfId="20621"/>
    <cellStyle name="Normal 2 12 3 3 3" xfId="20622"/>
    <cellStyle name="Normal 2 12 3 3 3 2" xfId="20623"/>
    <cellStyle name="Normal 2 12 3 3 3 2 2" xfId="20624"/>
    <cellStyle name="Normal 2 12 3 3 3 3" xfId="20625"/>
    <cellStyle name="Normal 2 12 3 3 3 4" xfId="20626"/>
    <cellStyle name="Normal 2 12 3 3 3 5" xfId="20627"/>
    <cellStyle name="Normal 2 12 3 3 4" xfId="20628"/>
    <cellStyle name="Normal 2 12 3 3 4 2" xfId="20629"/>
    <cellStyle name="Normal 2 12 3 3 4 3" xfId="20630"/>
    <cellStyle name="Normal 2 12 3 3 4 4" xfId="20631"/>
    <cellStyle name="Normal 2 12 3 3 5" xfId="20632"/>
    <cellStyle name="Normal 2 12 3 3 5 2" xfId="20633"/>
    <cellStyle name="Normal 2 12 3 3 6" xfId="20634"/>
    <cellStyle name="Normal 2 12 3 3 7" xfId="20635"/>
    <cellStyle name="Normal 2 12 3 3 8" xfId="20636"/>
    <cellStyle name="Normal 2 12 3 3 9" xfId="20637"/>
    <cellStyle name="Normal 2 12 3 4" xfId="20638"/>
    <cellStyle name="Normal 2 12 3 4 2" xfId="20639"/>
    <cellStyle name="Normal 2 12 3 4 2 2" xfId="20640"/>
    <cellStyle name="Normal 2 12 3 4 2 3" xfId="20641"/>
    <cellStyle name="Normal 2 12 3 4 3" xfId="20642"/>
    <cellStyle name="Normal 2 12 3 4 4" xfId="20643"/>
    <cellStyle name="Normal 2 12 3 4 5" xfId="20644"/>
    <cellStyle name="Normal 2 12 3 4 6" xfId="20645"/>
    <cellStyle name="Normal 2 12 3 5" xfId="20646"/>
    <cellStyle name="Normal 2 12 3 5 2" xfId="20647"/>
    <cellStyle name="Normal 2 12 3 5 2 2" xfId="20648"/>
    <cellStyle name="Normal 2 12 3 5 3" xfId="20649"/>
    <cellStyle name="Normal 2 12 3 5 4" xfId="20650"/>
    <cellStyle name="Normal 2 12 3 5 5" xfId="20651"/>
    <cellStyle name="Normal 2 12 3 6" xfId="20652"/>
    <cellStyle name="Normal 2 12 3 6 2" xfId="20653"/>
    <cellStyle name="Normal 2 12 3 6 3" xfId="20654"/>
    <cellStyle name="Normal 2 12 3 6 4" xfId="20655"/>
    <cellStyle name="Normal 2 12 3 7" xfId="20656"/>
    <cellStyle name="Normal 2 12 3 7 2" xfId="20657"/>
    <cellStyle name="Normal 2 12 3 8" xfId="20658"/>
    <cellStyle name="Normal 2 12 3 9" xfId="20659"/>
    <cellStyle name="Normal 2 12 4" xfId="20660"/>
    <cellStyle name="Normal 2 12 4 10" xfId="20661"/>
    <cellStyle name="Normal 2 12 4 11" xfId="20662"/>
    <cellStyle name="Normal 2 12 4 2" xfId="20663"/>
    <cellStyle name="Normal 2 12 4 2 2" xfId="20664"/>
    <cellStyle name="Normal 2 12 4 2 2 2" xfId="20665"/>
    <cellStyle name="Normal 2 12 4 2 2 2 2" xfId="20666"/>
    <cellStyle name="Normal 2 12 4 2 2 2 3" xfId="20667"/>
    <cellStyle name="Normal 2 12 4 2 2 3" xfId="20668"/>
    <cellStyle name="Normal 2 12 4 2 2 4" xfId="20669"/>
    <cellStyle name="Normal 2 12 4 2 2 5" xfId="20670"/>
    <cellStyle name="Normal 2 12 4 2 2 6" xfId="20671"/>
    <cellStyle name="Normal 2 12 4 2 3" xfId="20672"/>
    <cellStyle name="Normal 2 12 4 2 3 2" xfId="20673"/>
    <cellStyle name="Normal 2 12 4 2 3 2 2" xfId="20674"/>
    <cellStyle name="Normal 2 12 4 2 3 3" xfId="20675"/>
    <cellStyle name="Normal 2 12 4 2 3 4" xfId="20676"/>
    <cellStyle name="Normal 2 12 4 2 3 5" xfId="20677"/>
    <cellStyle name="Normal 2 12 4 2 4" xfId="20678"/>
    <cellStyle name="Normal 2 12 4 2 4 2" xfId="20679"/>
    <cellStyle name="Normal 2 12 4 2 4 3" xfId="20680"/>
    <cellStyle name="Normal 2 12 4 2 4 4" xfId="20681"/>
    <cellStyle name="Normal 2 12 4 2 5" xfId="20682"/>
    <cellStyle name="Normal 2 12 4 2 5 2" xfId="20683"/>
    <cellStyle name="Normal 2 12 4 2 6" xfId="20684"/>
    <cellStyle name="Normal 2 12 4 2 7" xfId="20685"/>
    <cellStyle name="Normal 2 12 4 2 8" xfId="20686"/>
    <cellStyle name="Normal 2 12 4 2 9" xfId="20687"/>
    <cellStyle name="Normal 2 12 4 3" xfId="20688"/>
    <cellStyle name="Normal 2 12 4 3 2" xfId="20689"/>
    <cellStyle name="Normal 2 12 4 3 2 2" xfId="20690"/>
    <cellStyle name="Normal 2 12 4 3 2 2 2" xfId="20691"/>
    <cellStyle name="Normal 2 12 4 3 2 2 3" xfId="20692"/>
    <cellStyle name="Normal 2 12 4 3 2 3" xfId="20693"/>
    <cellStyle name="Normal 2 12 4 3 2 4" xfId="20694"/>
    <cellStyle name="Normal 2 12 4 3 2 5" xfId="20695"/>
    <cellStyle name="Normal 2 12 4 3 2 6" xfId="20696"/>
    <cellStyle name="Normal 2 12 4 3 3" xfId="20697"/>
    <cellStyle name="Normal 2 12 4 3 3 2" xfId="20698"/>
    <cellStyle name="Normal 2 12 4 3 3 2 2" xfId="20699"/>
    <cellStyle name="Normal 2 12 4 3 3 3" xfId="20700"/>
    <cellStyle name="Normal 2 12 4 3 3 4" xfId="20701"/>
    <cellStyle name="Normal 2 12 4 3 3 5" xfId="20702"/>
    <cellStyle name="Normal 2 12 4 3 4" xfId="20703"/>
    <cellStyle name="Normal 2 12 4 3 4 2" xfId="20704"/>
    <cellStyle name="Normal 2 12 4 3 4 3" xfId="20705"/>
    <cellStyle name="Normal 2 12 4 3 4 4" xfId="20706"/>
    <cellStyle name="Normal 2 12 4 3 5" xfId="20707"/>
    <cellStyle name="Normal 2 12 4 3 5 2" xfId="20708"/>
    <cellStyle name="Normal 2 12 4 3 6" xfId="20709"/>
    <cellStyle name="Normal 2 12 4 3 7" xfId="20710"/>
    <cellStyle name="Normal 2 12 4 3 8" xfId="20711"/>
    <cellStyle name="Normal 2 12 4 3 9" xfId="20712"/>
    <cellStyle name="Normal 2 12 4 4" xfId="20713"/>
    <cellStyle name="Normal 2 12 4 4 2" xfId="20714"/>
    <cellStyle name="Normal 2 12 4 4 2 2" xfId="20715"/>
    <cellStyle name="Normal 2 12 4 4 2 3" xfId="20716"/>
    <cellStyle name="Normal 2 12 4 4 3" xfId="20717"/>
    <cellStyle name="Normal 2 12 4 4 4" xfId="20718"/>
    <cellStyle name="Normal 2 12 4 4 5" xfId="20719"/>
    <cellStyle name="Normal 2 12 4 4 6" xfId="20720"/>
    <cellStyle name="Normal 2 12 4 5" xfId="20721"/>
    <cellStyle name="Normal 2 12 4 5 2" xfId="20722"/>
    <cellStyle name="Normal 2 12 4 5 2 2" xfId="20723"/>
    <cellStyle name="Normal 2 12 4 5 3" xfId="20724"/>
    <cellStyle name="Normal 2 12 4 5 4" xfId="20725"/>
    <cellStyle name="Normal 2 12 4 5 5" xfId="20726"/>
    <cellStyle name="Normal 2 12 4 6" xfId="20727"/>
    <cellStyle name="Normal 2 12 4 6 2" xfId="20728"/>
    <cellStyle name="Normal 2 12 4 6 3" xfId="20729"/>
    <cellStyle name="Normal 2 12 4 6 4" xfId="20730"/>
    <cellStyle name="Normal 2 12 4 7" xfId="20731"/>
    <cellStyle name="Normal 2 12 4 7 2" xfId="20732"/>
    <cellStyle name="Normal 2 12 4 8" xfId="20733"/>
    <cellStyle name="Normal 2 12 4 9" xfId="20734"/>
    <cellStyle name="Normal 2 12 5" xfId="20735"/>
    <cellStyle name="Normal 2 12 5 10" xfId="20736"/>
    <cellStyle name="Normal 2 12 5 11" xfId="20737"/>
    <cellStyle name="Normal 2 12 5 2" xfId="20738"/>
    <cellStyle name="Normal 2 12 5 2 2" xfId="20739"/>
    <cellStyle name="Normal 2 12 5 2 2 2" xfId="20740"/>
    <cellStyle name="Normal 2 12 5 2 2 2 2" xfId="20741"/>
    <cellStyle name="Normal 2 12 5 2 2 2 3" xfId="20742"/>
    <cellStyle name="Normal 2 12 5 2 2 3" xfId="20743"/>
    <cellStyle name="Normal 2 12 5 2 2 4" xfId="20744"/>
    <cellStyle name="Normal 2 12 5 2 2 5" xfId="20745"/>
    <cellStyle name="Normal 2 12 5 2 2 6" xfId="20746"/>
    <cellStyle name="Normal 2 12 5 2 3" xfId="20747"/>
    <cellStyle name="Normal 2 12 5 2 3 2" xfId="20748"/>
    <cellStyle name="Normal 2 12 5 2 3 2 2" xfId="20749"/>
    <cellStyle name="Normal 2 12 5 2 3 3" xfId="20750"/>
    <cellStyle name="Normal 2 12 5 2 3 4" xfId="20751"/>
    <cellStyle name="Normal 2 12 5 2 3 5" xfId="20752"/>
    <cellStyle name="Normal 2 12 5 2 4" xfId="20753"/>
    <cellStyle name="Normal 2 12 5 2 4 2" xfId="20754"/>
    <cellStyle name="Normal 2 12 5 2 4 3" xfId="20755"/>
    <cellStyle name="Normal 2 12 5 2 4 4" xfId="20756"/>
    <cellStyle name="Normal 2 12 5 2 5" xfId="20757"/>
    <cellStyle name="Normal 2 12 5 2 5 2" xfId="20758"/>
    <cellStyle name="Normal 2 12 5 2 6" xfId="20759"/>
    <cellStyle name="Normal 2 12 5 2 7" xfId="20760"/>
    <cellStyle name="Normal 2 12 5 2 8" xfId="20761"/>
    <cellStyle name="Normal 2 12 5 2 9" xfId="20762"/>
    <cellStyle name="Normal 2 12 5 3" xfId="20763"/>
    <cellStyle name="Normal 2 12 5 3 2" xfId="20764"/>
    <cellStyle name="Normal 2 12 5 3 2 2" xfId="20765"/>
    <cellStyle name="Normal 2 12 5 3 2 2 2" xfId="20766"/>
    <cellStyle name="Normal 2 12 5 3 2 2 3" xfId="20767"/>
    <cellStyle name="Normal 2 12 5 3 2 3" xfId="20768"/>
    <cellStyle name="Normal 2 12 5 3 2 4" xfId="20769"/>
    <cellStyle name="Normal 2 12 5 3 2 5" xfId="20770"/>
    <cellStyle name="Normal 2 12 5 3 2 6" xfId="20771"/>
    <cellStyle name="Normal 2 12 5 3 3" xfId="20772"/>
    <cellStyle name="Normal 2 12 5 3 3 2" xfId="20773"/>
    <cellStyle name="Normal 2 12 5 3 3 2 2" xfId="20774"/>
    <cellStyle name="Normal 2 12 5 3 3 3" xfId="20775"/>
    <cellStyle name="Normal 2 12 5 3 3 4" xfId="20776"/>
    <cellStyle name="Normal 2 12 5 3 3 5" xfId="20777"/>
    <cellStyle name="Normal 2 12 5 3 4" xfId="20778"/>
    <cellStyle name="Normal 2 12 5 3 4 2" xfId="20779"/>
    <cellStyle name="Normal 2 12 5 3 4 3" xfId="20780"/>
    <cellStyle name="Normal 2 12 5 3 4 4" xfId="20781"/>
    <cellStyle name="Normal 2 12 5 3 5" xfId="20782"/>
    <cellStyle name="Normal 2 12 5 3 5 2" xfId="20783"/>
    <cellStyle name="Normal 2 12 5 3 6" xfId="20784"/>
    <cellStyle name="Normal 2 12 5 3 7" xfId="20785"/>
    <cellStyle name="Normal 2 12 5 3 8" xfId="20786"/>
    <cellStyle name="Normal 2 12 5 3 9" xfId="20787"/>
    <cellStyle name="Normal 2 12 5 4" xfId="20788"/>
    <cellStyle name="Normal 2 12 5 4 2" xfId="20789"/>
    <cellStyle name="Normal 2 12 5 4 2 2" xfId="20790"/>
    <cellStyle name="Normal 2 12 5 4 2 3" xfId="20791"/>
    <cellStyle name="Normal 2 12 5 4 3" xfId="20792"/>
    <cellStyle name="Normal 2 12 5 4 4" xfId="20793"/>
    <cellStyle name="Normal 2 12 5 4 5" xfId="20794"/>
    <cellStyle name="Normal 2 12 5 4 6" xfId="20795"/>
    <cellStyle name="Normal 2 12 5 5" xfId="20796"/>
    <cellStyle name="Normal 2 12 5 5 2" xfId="20797"/>
    <cellStyle name="Normal 2 12 5 5 2 2" xfId="20798"/>
    <cellStyle name="Normal 2 12 5 5 3" xfId="20799"/>
    <cellStyle name="Normal 2 12 5 5 4" xfId="20800"/>
    <cellStyle name="Normal 2 12 5 5 5" xfId="20801"/>
    <cellStyle name="Normal 2 12 5 6" xfId="20802"/>
    <cellStyle name="Normal 2 12 5 6 2" xfId="20803"/>
    <cellStyle name="Normal 2 12 5 6 3" xfId="20804"/>
    <cellStyle name="Normal 2 12 5 6 4" xfId="20805"/>
    <cellStyle name="Normal 2 12 5 7" xfId="20806"/>
    <cellStyle name="Normal 2 12 5 7 2" xfId="20807"/>
    <cellStyle name="Normal 2 12 5 8" xfId="20808"/>
    <cellStyle name="Normal 2 12 5 9" xfId="20809"/>
    <cellStyle name="Normal 2 12 6" xfId="20810"/>
    <cellStyle name="Normal 2 12 6 10" xfId="20811"/>
    <cellStyle name="Normal 2 12 6 11" xfId="20812"/>
    <cellStyle name="Normal 2 12 6 2" xfId="20813"/>
    <cellStyle name="Normal 2 12 6 2 2" xfId="20814"/>
    <cellStyle name="Normal 2 12 6 2 2 2" xfId="20815"/>
    <cellStyle name="Normal 2 12 6 2 2 2 2" xfId="20816"/>
    <cellStyle name="Normal 2 12 6 2 2 2 3" xfId="20817"/>
    <cellStyle name="Normal 2 12 6 2 2 3" xfId="20818"/>
    <cellStyle name="Normal 2 12 6 2 2 4" xfId="20819"/>
    <cellStyle name="Normal 2 12 6 2 2 5" xfId="20820"/>
    <cellStyle name="Normal 2 12 6 2 2 6" xfId="20821"/>
    <cellStyle name="Normal 2 12 6 2 3" xfId="20822"/>
    <cellStyle name="Normal 2 12 6 2 3 2" xfId="20823"/>
    <cellStyle name="Normal 2 12 6 2 3 2 2" xfId="20824"/>
    <cellStyle name="Normal 2 12 6 2 3 3" xfId="20825"/>
    <cellStyle name="Normal 2 12 6 2 3 4" xfId="20826"/>
    <cellStyle name="Normal 2 12 6 2 3 5" xfId="20827"/>
    <cellStyle name="Normal 2 12 6 2 4" xfId="20828"/>
    <cellStyle name="Normal 2 12 6 2 4 2" xfId="20829"/>
    <cellStyle name="Normal 2 12 6 2 4 3" xfId="20830"/>
    <cellStyle name="Normal 2 12 6 2 4 4" xfId="20831"/>
    <cellStyle name="Normal 2 12 6 2 5" xfId="20832"/>
    <cellStyle name="Normal 2 12 6 2 5 2" xfId="20833"/>
    <cellStyle name="Normal 2 12 6 2 6" xfId="20834"/>
    <cellStyle name="Normal 2 12 6 2 7" xfId="20835"/>
    <cellStyle name="Normal 2 12 6 2 8" xfId="20836"/>
    <cellStyle name="Normal 2 12 6 2 9" xfId="20837"/>
    <cellStyle name="Normal 2 12 6 3" xfId="20838"/>
    <cellStyle name="Normal 2 12 6 3 2" xfId="20839"/>
    <cellStyle name="Normal 2 12 6 3 2 2" xfId="20840"/>
    <cellStyle name="Normal 2 12 6 3 2 2 2" xfId="20841"/>
    <cellStyle name="Normal 2 12 6 3 2 2 3" xfId="20842"/>
    <cellStyle name="Normal 2 12 6 3 2 3" xfId="20843"/>
    <cellStyle name="Normal 2 12 6 3 2 4" xfId="20844"/>
    <cellStyle name="Normal 2 12 6 3 2 5" xfId="20845"/>
    <cellStyle name="Normal 2 12 6 3 2 6" xfId="20846"/>
    <cellStyle name="Normal 2 12 6 3 3" xfId="20847"/>
    <cellStyle name="Normal 2 12 6 3 3 2" xfId="20848"/>
    <cellStyle name="Normal 2 12 6 3 3 2 2" xfId="20849"/>
    <cellStyle name="Normal 2 12 6 3 3 3" xfId="20850"/>
    <cellStyle name="Normal 2 12 6 3 3 4" xfId="20851"/>
    <cellStyle name="Normal 2 12 6 3 3 5" xfId="20852"/>
    <cellStyle name="Normal 2 12 6 3 4" xfId="20853"/>
    <cellStyle name="Normal 2 12 6 3 4 2" xfId="20854"/>
    <cellStyle name="Normal 2 12 6 3 4 3" xfId="20855"/>
    <cellStyle name="Normal 2 12 6 3 4 4" xfId="20856"/>
    <cellStyle name="Normal 2 12 6 3 5" xfId="20857"/>
    <cellStyle name="Normal 2 12 6 3 5 2" xfId="20858"/>
    <cellStyle name="Normal 2 12 6 3 6" xfId="20859"/>
    <cellStyle name="Normal 2 12 6 3 7" xfId="20860"/>
    <cellStyle name="Normal 2 12 6 3 8" xfId="20861"/>
    <cellStyle name="Normal 2 12 6 3 9" xfId="20862"/>
    <cellStyle name="Normal 2 12 6 4" xfId="20863"/>
    <cellStyle name="Normal 2 12 6 4 2" xfId="20864"/>
    <cellStyle name="Normal 2 12 6 4 2 2" xfId="20865"/>
    <cellStyle name="Normal 2 12 6 4 2 3" xfId="20866"/>
    <cellStyle name="Normal 2 12 6 4 3" xfId="20867"/>
    <cellStyle name="Normal 2 12 6 4 4" xfId="20868"/>
    <cellStyle name="Normal 2 12 6 4 5" xfId="20869"/>
    <cellStyle name="Normal 2 12 6 4 6" xfId="20870"/>
    <cellStyle name="Normal 2 12 6 5" xfId="20871"/>
    <cellStyle name="Normal 2 12 6 5 2" xfId="20872"/>
    <cellStyle name="Normal 2 12 6 5 2 2" xfId="20873"/>
    <cellStyle name="Normal 2 12 6 5 3" xfId="20874"/>
    <cellStyle name="Normal 2 12 6 5 4" xfId="20875"/>
    <cellStyle name="Normal 2 12 6 5 5" xfId="20876"/>
    <cellStyle name="Normal 2 12 6 6" xfId="20877"/>
    <cellStyle name="Normal 2 12 6 6 2" xfId="20878"/>
    <cellStyle name="Normal 2 12 6 6 3" xfId="20879"/>
    <cellStyle name="Normal 2 12 6 6 4" xfId="20880"/>
    <cellStyle name="Normal 2 12 6 7" xfId="20881"/>
    <cellStyle name="Normal 2 12 6 7 2" xfId="20882"/>
    <cellStyle name="Normal 2 12 6 8" xfId="20883"/>
    <cellStyle name="Normal 2 12 6 9" xfId="20884"/>
    <cellStyle name="Normal 2 12 7" xfId="20885"/>
    <cellStyle name="Normal 2 12 7 10" xfId="20886"/>
    <cellStyle name="Normal 2 12 7 11" xfId="20887"/>
    <cellStyle name="Normal 2 12 7 2" xfId="20888"/>
    <cellStyle name="Normal 2 12 7 2 2" xfId="20889"/>
    <cellStyle name="Normal 2 12 7 2 2 2" xfId="20890"/>
    <cellStyle name="Normal 2 12 7 2 2 2 2" xfId="20891"/>
    <cellStyle name="Normal 2 12 7 2 2 2 3" xfId="20892"/>
    <cellStyle name="Normal 2 12 7 2 2 3" xfId="20893"/>
    <cellStyle name="Normal 2 12 7 2 2 4" xfId="20894"/>
    <cellStyle name="Normal 2 12 7 2 2 5" xfId="20895"/>
    <cellStyle name="Normal 2 12 7 2 2 6" xfId="20896"/>
    <cellStyle name="Normal 2 12 7 2 3" xfId="20897"/>
    <cellStyle name="Normal 2 12 7 2 3 2" xfId="20898"/>
    <cellStyle name="Normal 2 12 7 2 3 2 2" xfId="20899"/>
    <cellStyle name="Normal 2 12 7 2 3 3" xfId="20900"/>
    <cellStyle name="Normal 2 12 7 2 3 4" xfId="20901"/>
    <cellStyle name="Normal 2 12 7 2 3 5" xfId="20902"/>
    <cellStyle name="Normal 2 12 7 2 4" xfId="20903"/>
    <cellStyle name="Normal 2 12 7 2 4 2" xfId="20904"/>
    <cellStyle name="Normal 2 12 7 2 4 3" xfId="20905"/>
    <cellStyle name="Normal 2 12 7 2 4 4" xfId="20906"/>
    <cellStyle name="Normal 2 12 7 2 5" xfId="20907"/>
    <cellStyle name="Normal 2 12 7 2 5 2" xfId="20908"/>
    <cellStyle name="Normal 2 12 7 2 6" xfId="20909"/>
    <cellStyle name="Normal 2 12 7 2 7" xfId="20910"/>
    <cellStyle name="Normal 2 12 7 2 8" xfId="20911"/>
    <cellStyle name="Normal 2 12 7 2 9" xfId="20912"/>
    <cellStyle name="Normal 2 12 7 3" xfId="20913"/>
    <cellStyle name="Normal 2 12 7 3 2" xfId="20914"/>
    <cellStyle name="Normal 2 12 7 3 2 2" xfId="20915"/>
    <cellStyle name="Normal 2 12 7 3 2 2 2" xfId="20916"/>
    <cellStyle name="Normal 2 12 7 3 2 2 3" xfId="20917"/>
    <cellStyle name="Normal 2 12 7 3 2 3" xfId="20918"/>
    <cellStyle name="Normal 2 12 7 3 2 4" xfId="20919"/>
    <cellStyle name="Normal 2 12 7 3 2 5" xfId="20920"/>
    <cellStyle name="Normal 2 12 7 3 2 6" xfId="20921"/>
    <cellStyle name="Normal 2 12 7 3 3" xfId="20922"/>
    <cellStyle name="Normal 2 12 7 3 3 2" xfId="20923"/>
    <cellStyle name="Normal 2 12 7 3 3 2 2" xfId="20924"/>
    <cellStyle name="Normal 2 12 7 3 3 3" xfId="20925"/>
    <cellStyle name="Normal 2 12 7 3 3 4" xfId="20926"/>
    <cellStyle name="Normal 2 12 7 3 3 5" xfId="20927"/>
    <cellStyle name="Normal 2 12 7 3 4" xfId="20928"/>
    <cellStyle name="Normal 2 12 7 3 4 2" xfId="20929"/>
    <cellStyle name="Normal 2 12 7 3 4 3" xfId="20930"/>
    <cellStyle name="Normal 2 12 7 3 4 4" xfId="20931"/>
    <cellStyle name="Normal 2 12 7 3 5" xfId="20932"/>
    <cellStyle name="Normal 2 12 7 3 5 2" xfId="20933"/>
    <cellStyle name="Normal 2 12 7 3 6" xfId="20934"/>
    <cellStyle name="Normal 2 12 7 3 7" xfId="20935"/>
    <cellStyle name="Normal 2 12 7 3 8" xfId="20936"/>
    <cellStyle name="Normal 2 12 7 3 9" xfId="20937"/>
    <cellStyle name="Normal 2 12 7 4" xfId="20938"/>
    <cellStyle name="Normal 2 12 7 4 2" xfId="20939"/>
    <cellStyle name="Normal 2 12 7 4 2 2" xfId="20940"/>
    <cellStyle name="Normal 2 12 7 4 2 3" xfId="20941"/>
    <cellStyle name="Normal 2 12 7 4 3" xfId="20942"/>
    <cellStyle name="Normal 2 12 7 4 4" xfId="20943"/>
    <cellStyle name="Normal 2 12 7 4 5" xfId="20944"/>
    <cellStyle name="Normal 2 12 7 4 6" xfId="20945"/>
    <cellStyle name="Normal 2 12 7 5" xfId="20946"/>
    <cellStyle name="Normal 2 12 7 5 2" xfId="20947"/>
    <cellStyle name="Normal 2 12 7 5 2 2" xfId="20948"/>
    <cellStyle name="Normal 2 12 7 5 3" xfId="20949"/>
    <cellStyle name="Normal 2 12 7 5 4" xfId="20950"/>
    <cellStyle name="Normal 2 12 7 5 5" xfId="20951"/>
    <cellStyle name="Normal 2 12 7 6" xfId="20952"/>
    <cellStyle name="Normal 2 12 7 6 2" xfId="20953"/>
    <cellStyle name="Normal 2 12 7 6 3" xfId="20954"/>
    <cellStyle name="Normal 2 12 7 6 4" xfId="20955"/>
    <cellStyle name="Normal 2 12 7 7" xfId="20956"/>
    <cellStyle name="Normal 2 12 7 7 2" xfId="20957"/>
    <cellStyle name="Normal 2 12 7 8" xfId="20958"/>
    <cellStyle name="Normal 2 12 7 9" xfId="20959"/>
    <cellStyle name="Normal 2 12 8" xfId="20960"/>
    <cellStyle name="Normal 2 12 8 10" xfId="20961"/>
    <cellStyle name="Normal 2 12 8 2" xfId="20962"/>
    <cellStyle name="Normal 2 12 8 2 2" xfId="20963"/>
    <cellStyle name="Normal 2 12 8 2 2 2" xfId="20964"/>
    <cellStyle name="Normal 2 12 8 2 2 3" xfId="20965"/>
    <cellStyle name="Normal 2 12 8 2 3" xfId="20966"/>
    <cellStyle name="Normal 2 12 8 2 4" xfId="20967"/>
    <cellStyle name="Normal 2 12 8 2 5" xfId="20968"/>
    <cellStyle name="Normal 2 12 8 2 6" xfId="20969"/>
    <cellStyle name="Normal 2 12 8 3" xfId="20970"/>
    <cellStyle name="Normal 2 12 8 3 2" xfId="20971"/>
    <cellStyle name="Normal 2 12 8 3 2 2" xfId="20972"/>
    <cellStyle name="Normal 2 12 8 3 2 3" xfId="20973"/>
    <cellStyle name="Normal 2 12 8 3 3" xfId="20974"/>
    <cellStyle name="Normal 2 12 8 3 4" xfId="20975"/>
    <cellStyle name="Normal 2 12 8 3 5" xfId="20976"/>
    <cellStyle name="Normal 2 12 8 3 6" xfId="20977"/>
    <cellStyle name="Normal 2 12 8 4" xfId="20978"/>
    <cellStyle name="Normal 2 12 8 4 2" xfId="20979"/>
    <cellStyle name="Normal 2 12 8 4 2 2" xfId="20980"/>
    <cellStyle name="Normal 2 12 8 4 3" xfId="20981"/>
    <cellStyle name="Normal 2 12 8 4 4" xfId="20982"/>
    <cellStyle name="Normal 2 12 8 4 5" xfId="20983"/>
    <cellStyle name="Normal 2 12 8 5" xfId="20984"/>
    <cellStyle name="Normal 2 12 8 5 2" xfId="20985"/>
    <cellStyle name="Normal 2 12 8 5 3" xfId="20986"/>
    <cellStyle name="Normal 2 12 8 5 4" xfId="20987"/>
    <cellStyle name="Normal 2 12 8 6" xfId="20988"/>
    <cellStyle name="Normal 2 12 8 6 2" xfId="20989"/>
    <cellStyle name="Normal 2 12 8 7" xfId="20990"/>
    <cellStyle name="Normal 2 12 8 8" xfId="20991"/>
    <cellStyle name="Normal 2 12 8 9" xfId="20992"/>
    <cellStyle name="Normal 2 12 9" xfId="20993"/>
    <cellStyle name="Normal 2 12 9 10" xfId="20994"/>
    <cellStyle name="Normal 2 12 9 2" xfId="20995"/>
    <cellStyle name="Normal 2 12 9 2 2" xfId="20996"/>
    <cellStyle name="Normal 2 12 9 2 2 2" xfId="20997"/>
    <cellStyle name="Normal 2 12 9 2 2 3" xfId="20998"/>
    <cellStyle name="Normal 2 12 9 2 3" xfId="20999"/>
    <cellStyle name="Normal 2 12 9 2 4" xfId="21000"/>
    <cellStyle name="Normal 2 12 9 2 5" xfId="21001"/>
    <cellStyle name="Normal 2 12 9 2 6" xfId="21002"/>
    <cellStyle name="Normal 2 12 9 3" xfId="21003"/>
    <cellStyle name="Normal 2 12 9 3 2" xfId="21004"/>
    <cellStyle name="Normal 2 12 9 3 2 2" xfId="21005"/>
    <cellStyle name="Normal 2 12 9 3 2 3" xfId="21006"/>
    <cellStyle name="Normal 2 12 9 3 3" xfId="21007"/>
    <cellStyle name="Normal 2 12 9 3 4" xfId="21008"/>
    <cellStyle name="Normal 2 12 9 3 5" xfId="21009"/>
    <cellStyle name="Normal 2 12 9 3 6" xfId="21010"/>
    <cellStyle name="Normal 2 12 9 4" xfId="21011"/>
    <cellStyle name="Normal 2 12 9 4 2" xfId="21012"/>
    <cellStyle name="Normal 2 12 9 4 2 2" xfId="21013"/>
    <cellStyle name="Normal 2 12 9 4 3" xfId="21014"/>
    <cellStyle name="Normal 2 12 9 4 4" xfId="21015"/>
    <cellStyle name="Normal 2 12 9 4 5" xfId="21016"/>
    <cellStyle name="Normal 2 12 9 5" xfId="21017"/>
    <cellStyle name="Normal 2 12 9 5 2" xfId="21018"/>
    <cellStyle name="Normal 2 12 9 5 3" xfId="21019"/>
    <cellStyle name="Normal 2 12 9 5 4" xfId="21020"/>
    <cellStyle name="Normal 2 12 9 6" xfId="21021"/>
    <cellStyle name="Normal 2 12 9 6 2" xfId="21022"/>
    <cellStyle name="Normal 2 12 9 7" xfId="21023"/>
    <cellStyle name="Normal 2 12 9 8" xfId="21024"/>
    <cellStyle name="Normal 2 12 9 9" xfId="21025"/>
    <cellStyle name="Normal 2 13" xfId="21026"/>
    <cellStyle name="Normal 2 13 2" xfId="21027"/>
    <cellStyle name="Normal 2 13 2 2" xfId="21028"/>
    <cellStyle name="Normal 2 13 3" xfId="21029"/>
    <cellStyle name="Normal 2 13 3 2" xfId="21030"/>
    <cellStyle name="Normal 2 13 4" xfId="21031"/>
    <cellStyle name="Normal 2 13 5" xfId="21032"/>
    <cellStyle name="Normal 2 13 6" xfId="21033"/>
    <cellStyle name="Normal 2 13 7" xfId="21034"/>
    <cellStyle name="Normal 2 13 8" xfId="21035"/>
    <cellStyle name="Normal 2 14" xfId="21036"/>
    <cellStyle name="Normal 2 14 10" xfId="21037"/>
    <cellStyle name="Normal 2 14 10 10" xfId="21038"/>
    <cellStyle name="Normal 2 14 10 2" xfId="21039"/>
    <cellStyle name="Normal 2 14 10 2 2" xfId="21040"/>
    <cellStyle name="Normal 2 14 10 2 2 2" xfId="21041"/>
    <cellStyle name="Normal 2 14 10 2 2 3" xfId="21042"/>
    <cellStyle name="Normal 2 14 10 2 3" xfId="21043"/>
    <cellStyle name="Normal 2 14 10 2 4" xfId="21044"/>
    <cellStyle name="Normal 2 14 10 2 5" xfId="21045"/>
    <cellStyle name="Normal 2 14 10 2 6" xfId="21046"/>
    <cellStyle name="Normal 2 14 10 3" xfId="21047"/>
    <cellStyle name="Normal 2 14 10 3 2" xfId="21048"/>
    <cellStyle name="Normal 2 14 10 3 2 2" xfId="21049"/>
    <cellStyle name="Normal 2 14 10 3 2 3" xfId="21050"/>
    <cellStyle name="Normal 2 14 10 3 3" xfId="21051"/>
    <cellStyle name="Normal 2 14 10 3 4" xfId="21052"/>
    <cellStyle name="Normal 2 14 10 3 5" xfId="21053"/>
    <cellStyle name="Normal 2 14 10 3 6" xfId="21054"/>
    <cellStyle name="Normal 2 14 10 4" xfId="21055"/>
    <cellStyle name="Normal 2 14 10 4 2" xfId="21056"/>
    <cellStyle name="Normal 2 14 10 4 2 2" xfId="21057"/>
    <cellStyle name="Normal 2 14 10 4 3" xfId="21058"/>
    <cellStyle name="Normal 2 14 10 4 4" xfId="21059"/>
    <cellStyle name="Normal 2 14 10 4 5" xfId="21060"/>
    <cellStyle name="Normal 2 14 10 5" xfId="21061"/>
    <cellStyle name="Normal 2 14 10 5 2" xfId="21062"/>
    <cellStyle name="Normal 2 14 10 5 3" xfId="21063"/>
    <cellStyle name="Normal 2 14 10 5 4" xfId="21064"/>
    <cellStyle name="Normal 2 14 10 6" xfId="21065"/>
    <cellStyle name="Normal 2 14 10 6 2" xfId="21066"/>
    <cellStyle name="Normal 2 14 10 7" xfId="21067"/>
    <cellStyle name="Normal 2 14 10 8" xfId="21068"/>
    <cellStyle name="Normal 2 14 10 9" xfId="21069"/>
    <cellStyle name="Normal 2 14 11" xfId="21070"/>
    <cellStyle name="Normal 2 14 11 10" xfId="21071"/>
    <cellStyle name="Normal 2 14 11 2" xfId="21072"/>
    <cellStyle name="Normal 2 14 11 2 2" xfId="21073"/>
    <cellStyle name="Normal 2 14 11 2 2 2" xfId="21074"/>
    <cellStyle name="Normal 2 14 11 2 2 3" xfId="21075"/>
    <cellStyle name="Normal 2 14 11 2 3" xfId="21076"/>
    <cellStyle name="Normal 2 14 11 2 4" xfId="21077"/>
    <cellStyle name="Normal 2 14 11 2 5" xfId="21078"/>
    <cellStyle name="Normal 2 14 11 2 6" xfId="21079"/>
    <cellStyle name="Normal 2 14 11 3" xfId="21080"/>
    <cellStyle name="Normal 2 14 11 3 2" xfId="21081"/>
    <cellStyle name="Normal 2 14 11 3 2 2" xfId="21082"/>
    <cellStyle name="Normal 2 14 11 3 2 3" xfId="21083"/>
    <cellStyle name="Normal 2 14 11 3 3" xfId="21084"/>
    <cellStyle name="Normal 2 14 11 3 4" xfId="21085"/>
    <cellStyle name="Normal 2 14 11 3 5" xfId="21086"/>
    <cellStyle name="Normal 2 14 11 3 6" xfId="21087"/>
    <cellStyle name="Normal 2 14 11 4" xfId="21088"/>
    <cellStyle name="Normal 2 14 11 4 2" xfId="21089"/>
    <cellStyle name="Normal 2 14 11 4 2 2" xfId="21090"/>
    <cellStyle name="Normal 2 14 11 4 3" xfId="21091"/>
    <cellStyle name="Normal 2 14 11 4 4" xfId="21092"/>
    <cellStyle name="Normal 2 14 11 4 5" xfId="21093"/>
    <cellStyle name="Normal 2 14 11 5" xfId="21094"/>
    <cellStyle name="Normal 2 14 11 5 2" xfId="21095"/>
    <cellStyle name="Normal 2 14 11 5 3" xfId="21096"/>
    <cellStyle name="Normal 2 14 11 5 4" xfId="21097"/>
    <cellStyle name="Normal 2 14 11 6" xfId="21098"/>
    <cellStyle name="Normal 2 14 11 6 2" xfId="21099"/>
    <cellStyle name="Normal 2 14 11 7" xfId="21100"/>
    <cellStyle name="Normal 2 14 11 8" xfId="21101"/>
    <cellStyle name="Normal 2 14 11 9" xfId="21102"/>
    <cellStyle name="Normal 2 14 12" xfId="21103"/>
    <cellStyle name="Normal 2 14 12 10" xfId="21104"/>
    <cellStyle name="Normal 2 14 12 2" xfId="21105"/>
    <cellStyle name="Normal 2 14 12 2 2" xfId="21106"/>
    <cellStyle name="Normal 2 14 12 2 2 2" xfId="21107"/>
    <cellStyle name="Normal 2 14 12 2 2 3" xfId="21108"/>
    <cellStyle name="Normal 2 14 12 2 3" xfId="21109"/>
    <cellStyle name="Normal 2 14 12 2 4" xfId="21110"/>
    <cellStyle name="Normal 2 14 12 2 5" xfId="21111"/>
    <cellStyle name="Normal 2 14 12 2 6" xfId="21112"/>
    <cellStyle name="Normal 2 14 12 3" xfId="21113"/>
    <cellStyle name="Normal 2 14 12 3 2" xfId="21114"/>
    <cellStyle name="Normal 2 14 12 3 2 2" xfId="21115"/>
    <cellStyle name="Normal 2 14 12 3 2 3" xfId="21116"/>
    <cellStyle name="Normal 2 14 12 3 3" xfId="21117"/>
    <cellStyle name="Normal 2 14 12 3 4" xfId="21118"/>
    <cellStyle name="Normal 2 14 12 3 5" xfId="21119"/>
    <cellStyle name="Normal 2 14 12 3 6" xfId="21120"/>
    <cellStyle name="Normal 2 14 12 4" xfId="21121"/>
    <cellStyle name="Normal 2 14 12 4 2" xfId="21122"/>
    <cellStyle name="Normal 2 14 12 4 2 2" xfId="21123"/>
    <cellStyle name="Normal 2 14 12 4 3" xfId="21124"/>
    <cellStyle name="Normal 2 14 12 4 4" xfId="21125"/>
    <cellStyle name="Normal 2 14 12 4 5" xfId="21126"/>
    <cellStyle name="Normal 2 14 12 5" xfId="21127"/>
    <cellStyle name="Normal 2 14 12 5 2" xfId="21128"/>
    <cellStyle name="Normal 2 14 12 5 3" xfId="21129"/>
    <cellStyle name="Normal 2 14 12 5 4" xfId="21130"/>
    <cellStyle name="Normal 2 14 12 6" xfId="21131"/>
    <cellStyle name="Normal 2 14 12 6 2" xfId="21132"/>
    <cellStyle name="Normal 2 14 12 7" xfId="21133"/>
    <cellStyle name="Normal 2 14 12 8" xfId="21134"/>
    <cellStyle name="Normal 2 14 12 9" xfId="21135"/>
    <cellStyle name="Normal 2 14 13" xfId="21136"/>
    <cellStyle name="Normal 2 14 13 2" xfId="21137"/>
    <cellStyle name="Normal 2 14 13 2 2" xfId="21138"/>
    <cellStyle name="Normal 2 14 13 2 2 2" xfId="21139"/>
    <cellStyle name="Normal 2 14 13 2 2 3" xfId="21140"/>
    <cellStyle name="Normal 2 14 13 2 3" xfId="21141"/>
    <cellStyle name="Normal 2 14 13 2 4" xfId="21142"/>
    <cellStyle name="Normal 2 14 13 2 5" xfId="21143"/>
    <cellStyle name="Normal 2 14 13 2 6" xfId="21144"/>
    <cellStyle name="Normal 2 14 13 3" xfId="21145"/>
    <cellStyle name="Normal 2 14 13 3 2" xfId="21146"/>
    <cellStyle name="Normal 2 14 13 3 2 2" xfId="21147"/>
    <cellStyle name="Normal 2 14 13 3 3" xfId="21148"/>
    <cellStyle name="Normal 2 14 13 3 4" xfId="21149"/>
    <cellStyle name="Normal 2 14 13 3 5" xfId="21150"/>
    <cellStyle name="Normal 2 14 13 4" xfId="21151"/>
    <cellStyle name="Normal 2 14 13 4 2" xfId="21152"/>
    <cellStyle name="Normal 2 14 13 4 3" xfId="21153"/>
    <cellStyle name="Normal 2 14 13 4 4" xfId="21154"/>
    <cellStyle name="Normal 2 14 13 5" xfId="21155"/>
    <cellStyle name="Normal 2 14 13 5 2" xfId="21156"/>
    <cellStyle name="Normal 2 14 13 6" xfId="21157"/>
    <cellStyle name="Normal 2 14 13 7" xfId="21158"/>
    <cellStyle name="Normal 2 14 13 8" xfId="21159"/>
    <cellStyle name="Normal 2 14 13 9" xfId="21160"/>
    <cellStyle name="Normal 2 14 14" xfId="21161"/>
    <cellStyle name="Normal 2 14 14 2" xfId="21162"/>
    <cellStyle name="Normal 2 14 14 2 2" xfId="21163"/>
    <cellStyle name="Normal 2 14 14 2 2 2" xfId="21164"/>
    <cellStyle name="Normal 2 14 14 2 2 3" xfId="21165"/>
    <cellStyle name="Normal 2 14 14 2 3" xfId="21166"/>
    <cellStyle name="Normal 2 14 14 2 4" xfId="21167"/>
    <cellStyle name="Normal 2 14 14 2 5" xfId="21168"/>
    <cellStyle name="Normal 2 14 14 2 6" xfId="21169"/>
    <cellStyle name="Normal 2 14 14 3" xfId="21170"/>
    <cellStyle name="Normal 2 14 14 3 2" xfId="21171"/>
    <cellStyle name="Normal 2 14 14 3 2 2" xfId="21172"/>
    <cellStyle name="Normal 2 14 14 3 3" xfId="21173"/>
    <cellStyle name="Normal 2 14 14 3 4" xfId="21174"/>
    <cellStyle name="Normal 2 14 14 3 5" xfId="21175"/>
    <cellStyle name="Normal 2 14 14 4" xfId="21176"/>
    <cellStyle name="Normal 2 14 14 4 2" xfId="21177"/>
    <cellStyle name="Normal 2 14 14 4 3" xfId="21178"/>
    <cellStyle name="Normal 2 14 14 4 4" xfId="21179"/>
    <cellStyle name="Normal 2 14 14 5" xfId="21180"/>
    <cellStyle name="Normal 2 14 14 5 2" xfId="21181"/>
    <cellStyle name="Normal 2 14 14 6" xfId="21182"/>
    <cellStyle name="Normal 2 14 14 7" xfId="21183"/>
    <cellStyle name="Normal 2 14 14 8" xfId="21184"/>
    <cellStyle name="Normal 2 14 14 9" xfId="21185"/>
    <cellStyle name="Normal 2 14 15" xfId="21186"/>
    <cellStyle name="Normal 2 14 15 2" xfId="21187"/>
    <cellStyle name="Normal 2 14 15 2 2" xfId="21188"/>
    <cellStyle name="Normal 2 14 15 2 3" xfId="21189"/>
    <cellStyle name="Normal 2 14 15 3" xfId="21190"/>
    <cellStyle name="Normal 2 14 15 4" xfId="21191"/>
    <cellStyle name="Normal 2 14 15 5" xfId="21192"/>
    <cellStyle name="Normal 2 14 15 6" xfId="21193"/>
    <cellStyle name="Normal 2 14 16" xfId="21194"/>
    <cellStyle name="Normal 2 14 16 2" xfId="21195"/>
    <cellStyle name="Normal 2 14 16 2 2" xfId="21196"/>
    <cellStyle name="Normal 2 14 16 3" xfId="21197"/>
    <cellStyle name="Normal 2 14 16 4" xfId="21198"/>
    <cellStyle name="Normal 2 14 16 5" xfId="21199"/>
    <cellStyle name="Normal 2 14 16 6" xfId="21200"/>
    <cellStyle name="Normal 2 14 17" xfId="21201"/>
    <cellStyle name="Normal 2 14 17 2" xfId="21202"/>
    <cellStyle name="Normal 2 14 17 2 2" xfId="21203"/>
    <cellStyle name="Normal 2 14 17 3" xfId="21204"/>
    <cellStyle name="Normal 2 14 17 4" xfId="21205"/>
    <cellStyle name="Normal 2 14 17 5" xfId="21206"/>
    <cellStyle name="Normal 2 14 17 6" xfId="21207"/>
    <cellStyle name="Normal 2 14 18" xfId="21208"/>
    <cellStyle name="Normal 2 14 18 2" xfId="21209"/>
    <cellStyle name="Normal 2 14 18 3" xfId="21210"/>
    <cellStyle name="Normal 2 14 19" xfId="21211"/>
    <cellStyle name="Normal 2 14 19 2" xfId="21212"/>
    <cellStyle name="Normal 2 14 19 3" xfId="21213"/>
    <cellStyle name="Normal 2 14 2" xfId="21214"/>
    <cellStyle name="Normal 2 14 2 10" xfId="21215"/>
    <cellStyle name="Normal 2 14 2 11" xfId="21216"/>
    <cellStyle name="Normal 2 14 2 2" xfId="21217"/>
    <cellStyle name="Normal 2 14 2 2 2" xfId="21218"/>
    <cellStyle name="Normal 2 14 2 2 2 2" xfId="21219"/>
    <cellStyle name="Normal 2 14 2 2 2 2 2" xfId="21220"/>
    <cellStyle name="Normal 2 14 2 2 2 2 3" xfId="21221"/>
    <cellStyle name="Normal 2 14 2 2 2 3" xfId="21222"/>
    <cellStyle name="Normal 2 14 2 2 2 4" xfId="21223"/>
    <cellStyle name="Normal 2 14 2 2 2 5" xfId="21224"/>
    <cellStyle name="Normal 2 14 2 2 2 6" xfId="21225"/>
    <cellStyle name="Normal 2 14 2 2 3" xfId="21226"/>
    <cellStyle name="Normal 2 14 2 2 3 2" xfId="21227"/>
    <cellStyle name="Normal 2 14 2 2 3 2 2" xfId="21228"/>
    <cellStyle name="Normal 2 14 2 2 3 3" xfId="21229"/>
    <cellStyle name="Normal 2 14 2 2 3 4" xfId="21230"/>
    <cellStyle name="Normal 2 14 2 2 3 5" xfId="21231"/>
    <cellStyle name="Normal 2 14 2 2 4" xfId="21232"/>
    <cellStyle name="Normal 2 14 2 2 4 2" xfId="21233"/>
    <cellStyle name="Normal 2 14 2 2 4 3" xfId="21234"/>
    <cellStyle name="Normal 2 14 2 2 4 4" xfId="21235"/>
    <cellStyle name="Normal 2 14 2 2 5" xfId="21236"/>
    <cellStyle name="Normal 2 14 2 2 5 2" xfId="21237"/>
    <cellStyle name="Normal 2 14 2 2 6" xfId="21238"/>
    <cellStyle name="Normal 2 14 2 2 7" xfId="21239"/>
    <cellStyle name="Normal 2 14 2 2 8" xfId="21240"/>
    <cellStyle name="Normal 2 14 2 2 9" xfId="21241"/>
    <cellStyle name="Normal 2 14 2 3" xfId="21242"/>
    <cellStyle name="Normal 2 14 2 3 2" xfId="21243"/>
    <cellStyle name="Normal 2 14 2 3 2 2" xfId="21244"/>
    <cellStyle name="Normal 2 14 2 3 2 2 2" xfId="21245"/>
    <cellStyle name="Normal 2 14 2 3 2 2 3" xfId="21246"/>
    <cellStyle name="Normal 2 14 2 3 2 3" xfId="21247"/>
    <cellStyle name="Normal 2 14 2 3 2 4" xfId="21248"/>
    <cellStyle name="Normal 2 14 2 3 2 5" xfId="21249"/>
    <cellStyle name="Normal 2 14 2 3 2 6" xfId="21250"/>
    <cellStyle name="Normal 2 14 2 3 3" xfId="21251"/>
    <cellStyle name="Normal 2 14 2 3 3 2" xfId="21252"/>
    <cellStyle name="Normal 2 14 2 3 3 2 2" xfId="21253"/>
    <cellStyle name="Normal 2 14 2 3 3 3" xfId="21254"/>
    <cellStyle name="Normal 2 14 2 3 3 4" xfId="21255"/>
    <cellStyle name="Normal 2 14 2 3 3 5" xfId="21256"/>
    <cellStyle name="Normal 2 14 2 3 4" xfId="21257"/>
    <cellStyle name="Normal 2 14 2 3 4 2" xfId="21258"/>
    <cellStyle name="Normal 2 14 2 3 4 3" xfId="21259"/>
    <cellStyle name="Normal 2 14 2 3 4 4" xfId="21260"/>
    <cellStyle name="Normal 2 14 2 3 5" xfId="21261"/>
    <cellStyle name="Normal 2 14 2 3 5 2" xfId="21262"/>
    <cellStyle name="Normal 2 14 2 3 6" xfId="21263"/>
    <cellStyle name="Normal 2 14 2 3 7" xfId="21264"/>
    <cellStyle name="Normal 2 14 2 3 8" xfId="21265"/>
    <cellStyle name="Normal 2 14 2 3 9" xfId="21266"/>
    <cellStyle name="Normal 2 14 2 4" xfId="21267"/>
    <cellStyle name="Normal 2 14 2 4 2" xfId="21268"/>
    <cellStyle name="Normal 2 14 2 4 2 2" xfId="21269"/>
    <cellStyle name="Normal 2 14 2 4 2 3" xfId="21270"/>
    <cellStyle name="Normal 2 14 2 4 3" xfId="21271"/>
    <cellStyle name="Normal 2 14 2 4 4" xfId="21272"/>
    <cellStyle name="Normal 2 14 2 4 5" xfId="21273"/>
    <cellStyle name="Normal 2 14 2 4 6" xfId="21274"/>
    <cellStyle name="Normal 2 14 2 5" xfId="21275"/>
    <cellStyle name="Normal 2 14 2 5 2" xfId="21276"/>
    <cellStyle name="Normal 2 14 2 5 2 2" xfId="21277"/>
    <cellStyle name="Normal 2 14 2 5 3" xfId="21278"/>
    <cellStyle name="Normal 2 14 2 5 4" xfId="21279"/>
    <cellStyle name="Normal 2 14 2 5 5" xfId="21280"/>
    <cellStyle name="Normal 2 14 2 6" xfId="21281"/>
    <cellStyle name="Normal 2 14 2 6 2" xfId="21282"/>
    <cellStyle name="Normal 2 14 2 6 3" xfId="21283"/>
    <cellStyle name="Normal 2 14 2 6 4" xfId="21284"/>
    <cellStyle name="Normal 2 14 2 7" xfId="21285"/>
    <cellStyle name="Normal 2 14 2 7 2" xfId="21286"/>
    <cellStyle name="Normal 2 14 2 8" xfId="21287"/>
    <cellStyle name="Normal 2 14 2 9" xfId="21288"/>
    <cellStyle name="Normal 2 14 20" xfId="21289"/>
    <cellStyle name="Normal 2 14 21" xfId="21290"/>
    <cellStyle name="Normal 2 14 22" xfId="21291"/>
    <cellStyle name="Normal 2 14 23" xfId="21292"/>
    <cellStyle name="Normal 2 14 24" xfId="21293"/>
    <cellStyle name="Normal 2 14 25" xfId="21294"/>
    <cellStyle name="Normal 2 14 26" xfId="21295"/>
    <cellStyle name="Normal 2 14 27" xfId="21296"/>
    <cellStyle name="Normal 2 14 28" xfId="21297"/>
    <cellStyle name="Normal 2 14 29" xfId="21298"/>
    <cellStyle name="Normal 2 14 3" xfId="21299"/>
    <cellStyle name="Normal 2 14 3 10" xfId="21300"/>
    <cellStyle name="Normal 2 14 3 11" xfId="21301"/>
    <cellStyle name="Normal 2 14 3 2" xfId="21302"/>
    <cellStyle name="Normal 2 14 3 2 2" xfId="21303"/>
    <cellStyle name="Normal 2 14 3 2 2 2" xfId="21304"/>
    <cellStyle name="Normal 2 14 3 2 2 2 2" xfId="21305"/>
    <cellStyle name="Normal 2 14 3 2 2 2 3" xfId="21306"/>
    <cellStyle name="Normal 2 14 3 2 2 3" xfId="21307"/>
    <cellStyle name="Normal 2 14 3 2 2 4" xfId="21308"/>
    <cellStyle name="Normal 2 14 3 2 2 5" xfId="21309"/>
    <cellStyle name="Normal 2 14 3 2 2 6" xfId="21310"/>
    <cellStyle name="Normal 2 14 3 2 3" xfId="21311"/>
    <cellStyle name="Normal 2 14 3 2 3 2" xfId="21312"/>
    <cellStyle name="Normal 2 14 3 2 3 2 2" xfId="21313"/>
    <cellStyle name="Normal 2 14 3 2 3 3" xfId="21314"/>
    <cellStyle name="Normal 2 14 3 2 3 4" xfId="21315"/>
    <cellStyle name="Normal 2 14 3 2 3 5" xfId="21316"/>
    <cellStyle name="Normal 2 14 3 2 4" xfId="21317"/>
    <cellStyle name="Normal 2 14 3 2 4 2" xfId="21318"/>
    <cellStyle name="Normal 2 14 3 2 4 3" xfId="21319"/>
    <cellStyle name="Normal 2 14 3 2 4 4" xfId="21320"/>
    <cellStyle name="Normal 2 14 3 2 5" xfId="21321"/>
    <cellStyle name="Normal 2 14 3 2 5 2" xfId="21322"/>
    <cellStyle name="Normal 2 14 3 2 6" xfId="21323"/>
    <cellStyle name="Normal 2 14 3 2 7" xfId="21324"/>
    <cellStyle name="Normal 2 14 3 2 8" xfId="21325"/>
    <cellStyle name="Normal 2 14 3 2 9" xfId="21326"/>
    <cellStyle name="Normal 2 14 3 3" xfId="21327"/>
    <cellStyle name="Normal 2 14 3 3 2" xfId="21328"/>
    <cellStyle name="Normal 2 14 3 3 2 2" xfId="21329"/>
    <cellStyle name="Normal 2 14 3 3 2 2 2" xfId="21330"/>
    <cellStyle name="Normal 2 14 3 3 2 2 3" xfId="21331"/>
    <cellStyle name="Normal 2 14 3 3 2 3" xfId="21332"/>
    <cellStyle name="Normal 2 14 3 3 2 4" xfId="21333"/>
    <cellStyle name="Normal 2 14 3 3 2 5" xfId="21334"/>
    <cellStyle name="Normal 2 14 3 3 2 6" xfId="21335"/>
    <cellStyle name="Normal 2 14 3 3 3" xfId="21336"/>
    <cellStyle name="Normal 2 14 3 3 3 2" xfId="21337"/>
    <cellStyle name="Normal 2 14 3 3 3 2 2" xfId="21338"/>
    <cellStyle name="Normal 2 14 3 3 3 3" xfId="21339"/>
    <cellStyle name="Normal 2 14 3 3 3 4" xfId="21340"/>
    <cellStyle name="Normal 2 14 3 3 3 5" xfId="21341"/>
    <cellStyle name="Normal 2 14 3 3 4" xfId="21342"/>
    <cellStyle name="Normal 2 14 3 3 4 2" xfId="21343"/>
    <cellStyle name="Normal 2 14 3 3 4 3" xfId="21344"/>
    <cellStyle name="Normal 2 14 3 3 4 4" xfId="21345"/>
    <cellStyle name="Normal 2 14 3 3 5" xfId="21346"/>
    <cellStyle name="Normal 2 14 3 3 5 2" xfId="21347"/>
    <cellStyle name="Normal 2 14 3 3 6" xfId="21348"/>
    <cellStyle name="Normal 2 14 3 3 7" xfId="21349"/>
    <cellStyle name="Normal 2 14 3 3 8" xfId="21350"/>
    <cellStyle name="Normal 2 14 3 3 9" xfId="21351"/>
    <cellStyle name="Normal 2 14 3 4" xfId="21352"/>
    <cellStyle name="Normal 2 14 3 4 2" xfId="21353"/>
    <cellStyle name="Normal 2 14 3 4 2 2" xfId="21354"/>
    <cellStyle name="Normal 2 14 3 4 2 3" xfId="21355"/>
    <cellStyle name="Normal 2 14 3 4 3" xfId="21356"/>
    <cellStyle name="Normal 2 14 3 4 4" xfId="21357"/>
    <cellStyle name="Normal 2 14 3 4 5" xfId="21358"/>
    <cellStyle name="Normal 2 14 3 4 6" xfId="21359"/>
    <cellStyle name="Normal 2 14 3 5" xfId="21360"/>
    <cellStyle name="Normal 2 14 3 5 2" xfId="21361"/>
    <cellStyle name="Normal 2 14 3 5 2 2" xfId="21362"/>
    <cellStyle name="Normal 2 14 3 5 3" xfId="21363"/>
    <cellStyle name="Normal 2 14 3 5 4" xfId="21364"/>
    <cellStyle name="Normal 2 14 3 5 5" xfId="21365"/>
    <cellStyle name="Normal 2 14 3 6" xfId="21366"/>
    <cellStyle name="Normal 2 14 3 6 2" xfId="21367"/>
    <cellStyle name="Normal 2 14 3 6 3" xfId="21368"/>
    <cellStyle name="Normal 2 14 3 6 4" xfId="21369"/>
    <cellStyle name="Normal 2 14 3 7" xfId="21370"/>
    <cellStyle name="Normal 2 14 3 7 2" xfId="21371"/>
    <cellStyle name="Normal 2 14 3 8" xfId="21372"/>
    <cellStyle name="Normal 2 14 3 9" xfId="21373"/>
    <cellStyle name="Normal 2 14 30" xfId="21374"/>
    <cellStyle name="Normal 2 14 31" xfId="21375"/>
    <cellStyle name="Normal 2 14 32" xfId="21376"/>
    <cellStyle name="Normal 2 14 33" xfId="21377"/>
    <cellStyle name="Normal 2 14 34" xfId="21378"/>
    <cellStyle name="Normal 2 14 35" xfId="21379"/>
    <cellStyle name="Normal 2 14 36" xfId="21380"/>
    <cellStyle name="Normal 2 14 37" xfId="21381"/>
    <cellStyle name="Normal 2 14 37 2" xfId="21382"/>
    <cellStyle name="Normal 2 14 38" xfId="21383"/>
    <cellStyle name="Normal 2 14 39" xfId="21384"/>
    <cellStyle name="Normal 2 14 4" xfId="21385"/>
    <cellStyle name="Normal 2 14 4 10" xfId="21386"/>
    <cellStyle name="Normal 2 14 4 11" xfId="21387"/>
    <cellStyle name="Normal 2 14 4 2" xfId="21388"/>
    <cellStyle name="Normal 2 14 4 2 2" xfId="21389"/>
    <cellStyle name="Normal 2 14 4 2 2 2" xfId="21390"/>
    <cellStyle name="Normal 2 14 4 2 2 2 2" xfId="21391"/>
    <cellStyle name="Normal 2 14 4 2 2 2 3" xfId="21392"/>
    <cellStyle name="Normal 2 14 4 2 2 3" xfId="21393"/>
    <cellStyle name="Normal 2 14 4 2 2 4" xfId="21394"/>
    <cellStyle name="Normal 2 14 4 2 2 5" xfId="21395"/>
    <cellStyle name="Normal 2 14 4 2 2 6" xfId="21396"/>
    <cellStyle name="Normal 2 14 4 2 3" xfId="21397"/>
    <cellStyle name="Normal 2 14 4 2 3 2" xfId="21398"/>
    <cellStyle name="Normal 2 14 4 2 3 2 2" xfId="21399"/>
    <cellStyle name="Normal 2 14 4 2 3 3" xfId="21400"/>
    <cellStyle name="Normal 2 14 4 2 3 4" xfId="21401"/>
    <cellStyle name="Normal 2 14 4 2 3 5" xfId="21402"/>
    <cellStyle name="Normal 2 14 4 2 4" xfId="21403"/>
    <cellStyle name="Normal 2 14 4 2 4 2" xfId="21404"/>
    <cellStyle name="Normal 2 14 4 2 4 3" xfId="21405"/>
    <cellStyle name="Normal 2 14 4 2 4 4" xfId="21406"/>
    <cellStyle name="Normal 2 14 4 2 5" xfId="21407"/>
    <cellStyle name="Normal 2 14 4 2 5 2" xfId="21408"/>
    <cellStyle name="Normal 2 14 4 2 6" xfId="21409"/>
    <cellStyle name="Normal 2 14 4 2 7" xfId="21410"/>
    <cellStyle name="Normal 2 14 4 2 8" xfId="21411"/>
    <cellStyle name="Normal 2 14 4 2 9" xfId="21412"/>
    <cellStyle name="Normal 2 14 4 3" xfId="21413"/>
    <cellStyle name="Normal 2 14 4 3 2" xfId="21414"/>
    <cellStyle name="Normal 2 14 4 3 2 2" xfId="21415"/>
    <cellStyle name="Normal 2 14 4 3 2 2 2" xfId="21416"/>
    <cellStyle name="Normal 2 14 4 3 2 2 3" xfId="21417"/>
    <cellStyle name="Normal 2 14 4 3 2 3" xfId="21418"/>
    <cellStyle name="Normal 2 14 4 3 2 4" xfId="21419"/>
    <cellStyle name="Normal 2 14 4 3 2 5" xfId="21420"/>
    <cellStyle name="Normal 2 14 4 3 2 6" xfId="21421"/>
    <cellStyle name="Normal 2 14 4 3 3" xfId="21422"/>
    <cellStyle name="Normal 2 14 4 3 3 2" xfId="21423"/>
    <cellStyle name="Normal 2 14 4 3 3 2 2" xfId="21424"/>
    <cellStyle name="Normal 2 14 4 3 3 3" xfId="21425"/>
    <cellStyle name="Normal 2 14 4 3 3 4" xfId="21426"/>
    <cellStyle name="Normal 2 14 4 3 3 5" xfId="21427"/>
    <cellStyle name="Normal 2 14 4 3 4" xfId="21428"/>
    <cellStyle name="Normal 2 14 4 3 4 2" xfId="21429"/>
    <cellStyle name="Normal 2 14 4 3 4 3" xfId="21430"/>
    <cellStyle name="Normal 2 14 4 3 4 4" xfId="21431"/>
    <cellStyle name="Normal 2 14 4 3 5" xfId="21432"/>
    <cellStyle name="Normal 2 14 4 3 5 2" xfId="21433"/>
    <cellStyle name="Normal 2 14 4 3 6" xfId="21434"/>
    <cellStyle name="Normal 2 14 4 3 7" xfId="21435"/>
    <cellStyle name="Normal 2 14 4 3 8" xfId="21436"/>
    <cellStyle name="Normal 2 14 4 3 9" xfId="21437"/>
    <cellStyle name="Normal 2 14 4 4" xfId="21438"/>
    <cellStyle name="Normal 2 14 4 4 2" xfId="21439"/>
    <cellStyle name="Normal 2 14 4 4 2 2" xfId="21440"/>
    <cellStyle name="Normal 2 14 4 4 2 3" xfId="21441"/>
    <cellStyle name="Normal 2 14 4 4 3" xfId="21442"/>
    <cellStyle name="Normal 2 14 4 4 4" xfId="21443"/>
    <cellStyle name="Normal 2 14 4 4 5" xfId="21444"/>
    <cellStyle name="Normal 2 14 4 4 6" xfId="21445"/>
    <cellStyle name="Normal 2 14 4 5" xfId="21446"/>
    <cellStyle name="Normal 2 14 4 5 2" xfId="21447"/>
    <cellStyle name="Normal 2 14 4 5 2 2" xfId="21448"/>
    <cellStyle name="Normal 2 14 4 5 3" xfId="21449"/>
    <cellStyle name="Normal 2 14 4 5 4" xfId="21450"/>
    <cellStyle name="Normal 2 14 4 5 5" xfId="21451"/>
    <cellStyle name="Normal 2 14 4 6" xfId="21452"/>
    <cellStyle name="Normal 2 14 4 6 2" xfId="21453"/>
    <cellStyle name="Normal 2 14 4 6 3" xfId="21454"/>
    <cellStyle name="Normal 2 14 4 6 4" xfId="21455"/>
    <cellStyle name="Normal 2 14 4 7" xfId="21456"/>
    <cellStyle name="Normal 2 14 4 7 2" xfId="21457"/>
    <cellStyle name="Normal 2 14 4 8" xfId="21458"/>
    <cellStyle name="Normal 2 14 4 9" xfId="21459"/>
    <cellStyle name="Normal 2 14 40" xfId="21460"/>
    <cellStyle name="Normal 2 14 5" xfId="21461"/>
    <cellStyle name="Normal 2 14 5 10" xfId="21462"/>
    <cellStyle name="Normal 2 14 5 11" xfId="21463"/>
    <cellStyle name="Normal 2 14 5 2" xfId="21464"/>
    <cellStyle name="Normal 2 14 5 2 2" xfId="21465"/>
    <cellStyle name="Normal 2 14 5 2 2 2" xfId="21466"/>
    <cellStyle name="Normal 2 14 5 2 2 2 2" xfId="21467"/>
    <cellStyle name="Normal 2 14 5 2 2 2 3" xfId="21468"/>
    <cellStyle name="Normal 2 14 5 2 2 3" xfId="21469"/>
    <cellStyle name="Normal 2 14 5 2 2 4" xfId="21470"/>
    <cellStyle name="Normal 2 14 5 2 2 5" xfId="21471"/>
    <cellStyle name="Normal 2 14 5 2 2 6" xfId="21472"/>
    <cellStyle name="Normal 2 14 5 2 3" xfId="21473"/>
    <cellStyle name="Normal 2 14 5 2 3 2" xfId="21474"/>
    <cellStyle name="Normal 2 14 5 2 3 2 2" xfId="21475"/>
    <cellStyle name="Normal 2 14 5 2 3 3" xfId="21476"/>
    <cellStyle name="Normal 2 14 5 2 3 4" xfId="21477"/>
    <cellStyle name="Normal 2 14 5 2 3 5" xfId="21478"/>
    <cellStyle name="Normal 2 14 5 2 4" xfId="21479"/>
    <cellStyle name="Normal 2 14 5 2 4 2" xfId="21480"/>
    <cellStyle name="Normal 2 14 5 2 4 3" xfId="21481"/>
    <cellStyle name="Normal 2 14 5 2 4 4" xfId="21482"/>
    <cellStyle name="Normal 2 14 5 2 5" xfId="21483"/>
    <cellStyle name="Normal 2 14 5 2 5 2" xfId="21484"/>
    <cellStyle name="Normal 2 14 5 2 6" xfId="21485"/>
    <cellStyle name="Normal 2 14 5 2 7" xfId="21486"/>
    <cellStyle name="Normal 2 14 5 2 8" xfId="21487"/>
    <cellStyle name="Normal 2 14 5 2 9" xfId="21488"/>
    <cellStyle name="Normal 2 14 5 3" xfId="21489"/>
    <cellStyle name="Normal 2 14 5 3 2" xfId="21490"/>
    <cellStyle name="Normal 2 14 5 3 2 2" xfId="21491"/>
    <cellStyle name="Normal 2 14 5 3 2 2 2" xfId="21492"/>
    <cellStyle name="Normal 2 14 5 3 2 2 3" xfId="21493"/>
    <cellStyle name="Normal 2 14 5 3 2 3" xfId="21494"/>
    <cellStyle name="Normal 2 14 5 3 2 4" xfId="21495"/>
    <cellStyle name="Normal 2 14 5 3 2 5" xfId="21496"/>
    <cellStyle name="Normal 2 14 5 3 2 6" xfId="21497"/>
    <cellStyle name="Normal 2 14 5 3 3" xfId="21498"/>
    <cellStyle name="Normal 2 14 5 3 3 2" xfId="21499"/>
    <cellStyle name="Normal 2 14 5 3 3 2 2" xfId="21500"/>
    <cellStyle name="Normal 2 14 5 3 3 3" xfId="21501"/>
    <cellStyle name="Normal 2 14 5 3 3 4" xfId="21502"/>
    <cellStyle name="Normal 2 14 5 3 3 5" xfId="21503"/>
    <cellStyle name="Normal 2 14 5 3 4" xfId="21504"/>
    <cellStyle name="Normal 2 14 5 3 4 2" xfId="21505"/>
    <cellStyle name="Normal 2 14 5 3 4 3" xfId="21506"/>
    <cellStyle name="Normal 2 14 5 3 4 4" xfId="21507"/>
    <cellStyle name="Normal 2 14 5 3 5" xfId="21508"/>
    <cellStyle name="Normal 2 14 5 3 5 2" xfId="21509"/>
    <cellStyle name="Normal 2 14 5 3 6" xfId="21510"/>
    <cellStyle name="Normal 2 14 5 3 7" xfId="21511"/>
    <cellStyle name="Normal 2 14 5 3 8" xfId="21512"/>
    <cellStyle name="Normal 2 14 5 3 9" xfId="21513"/>
    <cellStyle name="Normal 2 14 5 4" xfId="21514"/>
    <cellStyle name="Normal 2 14 5 4 2" xfId="21515"/>
    <cellStyle name="Normal 2 14 5 4 2 2" xfId="21516"/>
    <cellStyle name="Normal 2 14 5 4 2 3" xfId="21517"/>
    <cellStyle name="Normal 2 14 5 4 3" xfId="21518"/>
    <cellStyle name="Normal 2 14 5 4 4" xfId="21519"/>
    <cellStyle name="Normal 2 14 5 4 5" xfId="21520"/>
    <cellStyle name="Normal 2 14 5 4 6" xfId="21521"/>
    <cellStyle name="Normal 2 14 5 5" xfId="21522"/>
    <cellStyle name="Normal 2 14 5 5 2" xfId="21523"/>
    <cellStyle name="Normal 2 14 5 5 2 2" xfId="21524"/>
    <cellStyle name="Normal 2 14 5 5 3" xfId="21525"/>
    <cellStyle name="Normal 2 14 5 5 4" xfId="21526"/>
    <cellStyle name="Normal 2 14 5 5 5" xfId="21527"/>
    <cellStyle name="Normal 2 14 5 6" xfId="21528"/>
    <cellStyle name="Normal 2 14 5 6 2" xfId="21529"/>
    <cellStyle name="Normal 2 14 5 6 3" xfId="21530"/>
    <cellStyle name="Normal 2 14 5 6 4" xfId="21531"/>
    <cellStyle name="Normal 2 14 5 7" xfId="21532"/>
    <cellStyle name="Normal 2 14 5 7 2" xfId="21533"/>
    <cellStyle name="Normal 2 14 5 8" xfId="21534"/>
    <cellStyle name="Normal 2 14 5 9" xfId="21535"/>
    <cellStyle name="Normal 2 14 6" xfId="21536"/>
    <cellStyle name="Normal 2 14 6 10" xfId="21537"/>
    <cellStyle name="Normal 2 14 6 11" xfId="21538"/>
    <cellStyle name="Normal 2 14 6 2" xfId="21539"/>
    <cellStyle name="Normal 2 14 6 2 2" xfId="21540"/>
    <cellStyle name="Normal 2 14 6 2 2 2" xfId="21541"/>
    <cellStyle name="Normal 2 14 6 2 2 2 2" xfId="21542"/>
    <cellStyle name="Normal 2 14 6 2 2 2 3" xfId="21543"/>
    <cellStyle name="Normal 2 14 6 2 2 3" xfId="21544"/>
    <cellStyle name="Normal 2 14 6 2 2 4" xfId="21545"/>
    <cellStyle name="Normal 2 14 6 2 2 5" xfId="21546"/>
    <cellStyle name="Normal 2 14 6 2 2 6" xfId="21547"/>
    <cellStyle name="Normal 2 14 6 2 3" xfId="21548"/>
    <cellStyle name="Normal 2 14 6 2 3 2" xfId="21549"/>
    <cellStyle name="Normal 2 14 6 2 3 2 2" xfId="21550"/>
    <cellStyle name="Normal 2 14 6 2 3 3" xfId="21551"/>
    <cellStyle name="Normal 2 14 6 2 3 4" xfId="21552"/>
    <cellStyle name="Normal 2 14 6 2 3 5" xfId="21553"/>
    <cellStyle name="Normal 2 14 6 2 4" xfId="21554"/>
    <cellStyle name="Normal 2 14 6 2 4 2" xfId="21555"/>
    <cellStyle name="Normal 2 14 6 2 4 3" xfId="21556"/>
    <cellStyle name="Normal 2 14 6 2 4 4" xfId="21557"/>
    <cellStyle name="Normal 2 14 6 2 5" xfId="21558"/>
    <cellStyle name="Normal 2 14 6 2 5 2" xfId="21559"/>
    <cellStyle name="Normal 2 14 6 2 6" xfId="21560"/>
    <cellStyle name="Normal 2 14 6 2 7" xfId="21561"/>
    <cellStyle name="Normal 2 14 6 2 8" xfId="21562"/>
    <cellStyle name="Normal 2 14 6 2 9" xfId="21563"/>
    <cellStyle name="Normal 2 14 6 3" xfId="21564"/>
    <cellStyle name="Normal 2 14 6 3 2" xfId="21565"/>
    <cellStyle name="Normal 2 14 6 3 2 2" xfId="21566"/>
    <cellStyle name="Normal 2 14 6 3 2 2 2" xfId="21567"/>
    <cellStyle name="Normal 2 14 6 3 2 2 3" xfId="21568"/>
    <cellStyle name="Normal 2 14 6 3 2 3" xfId="21569"/>
    <cellStyle name="Normal 2 14 6 3 2 4" xfId="21570"/>
    <cellStyle name="Normal 2 14 6 3 2 5" xfId="21571"/>
    <cellStyle name="Normal 2 14 6 3 2 6" xfId="21572"/>
    <cellStyle name="Normal 2 14 6 3 3" xfId="21573"/>
    <cellStyle name="Normal 2 14 6 3 3 2" xfId="21574"/>
    <cellStyle name="Normal 2 14 6 3 3 2 2" xfId="21575"/>
    <cellStyle name="Normal 2 14 6 3 3 3" xfId="21576"/>
    <cellStyle name="Normal 2 14 6 3 3 4" xfId="21577"/>
    <cellStyle name="Normal 2 14 6 3 3 5" xfId="21578"/>
    <cellStyle name="Normal 2 14 6 3 4" xfId="21579"/>
    <cellStyle name="Normal 2 14 6 3 4 2" xfId="21580"/>
    <cellStyle name="Normal 2 14 6 3 4 3" xfId="21581"/>
    <cellStyle name="Normal 2 14 6 3 4 4" xfId="21582"/>
    <cellStyle name="Normal 2 14 6 3 5" xfId="21583"/>
    <cellStyle name="Normal 2 14 6 3 5 2" xfId="21584"/>
    <cellStyle name="Normal 2 14 6 3 6" xfId="21585"/>
    <cellStyle name="Normal 2 14 6 3 7" xfId="21586"/>
    <cellStyle name="Normal 2 14 6 3 8" xfId="21587"/>
    <cellStyle name="Normal 2 14 6 3 9" xfId="21588"/>
    <cellStyle name="Normal 2 14 6 4" xfId="21589"/>
    <cellStyle name="Normal 2 14 6 4 2" xfId="21590"/>
    <cellStyle name="Normal 2 14 6 4 2 2" xfId="21591"/>
    <cellStyle name="Normal 2 14 6 4 2 3" xfId="21592"/>
    <cellStyle name="Normal 2 14 6 4 3" xfId="21593"/>
    <cellStyle name="Normal 2 14 6 4 4" xfId="21594"/>
    <cellStyle name="Normal 2 14 6 4 5" xfId="21595"/>
    <cellStyle name="Normal 2 14 6 4 6" xfId="21596"/>
    <cellStyle name="Normal 2 14 6 5" xfId="21597"/>
    <cellStyle name="Normal 2 14 6 5 2" xfId="21598"/>
    <cellStyle name="Normal 2 14 6 5 2 2" xfId="21599"/>
    <cellStyle name="Normal 2 14 6 5 3" xfId="21600"/>
    <cellStyle name="Normal 2 14 6 5 4" xfId="21601"/>
    <cellStyle name="Normal 2 14 6 5 5" xfId="21602"/>
    <cellStyle name="Normal 2 14 6 6" xfId="21603"/>
    <cellStyle name="Normal 2 14 6 6 2" xfId="21604"/>
    <cellStyle name="Normal 2 14 6 6 3" xfId="21605"/>
    <cellStyle name="Normal 2 14 6 6 4" xfId="21606"/>
    <cellStyle name="Normal 2 14 6 7" xfId="21607"/>
    <cellStyle name="Normal 2 14 6 7 2" xfId="21608"/>
    <cellStyle name="Normal 2 14 6 8" xfId="21609"/>
    <cellStyle name="Normal 2 14 6 9" xfId="21610"/>
    <cellStyle name="Normal 2 14 7" xfId="21611"/>
    <cellStyle name="Normal 2 14 7 10" xfId="21612"/>
    <cellStyle name="Normal 2 14 7 11" xfId="21613"/>
    <cellStyle name="Normal 2 14 7 2" xfId="21614"/>
    <cellStyle name="Normal 2 14 7 2 2" xfId="21615"/>
    <cellStyle name="Normal 2 14 7 2 2 2" xfId="21616"/>
    <cellStyle name="Normal 2 14 7 2 2 2 2" xfId="21617"/>
    <cellStyle name="Normal 2 14 7 2 2 2 3" xfId="21618"/>
    <cellStyle name="Normal 2 14 7 2 2 3" xfId="21619"/>
    <cellStyle name="Normal 2 14 7 2 2 4" xfId="21620"/>
    <cellStyle name="Normal 2 14 7 2 2 5" xfId="21621"/>
    <cellStyle name="Normal 2 14 7 2 2 6" xfId="21622"/>
    <cellStyle name="Normal 2 14 7 2 3" xfId="21623"/>
    <cellStyle name="Normal 2 14 7 2 3 2" xfId="21624"/>
    <cellStyle name="Normal 2 14 7 2 3 2 2" xfId="21625"/>
    <cellStyle name="Normal 2 14 7 2 3 3" xfId="21626"/>
    <cellStyle name="Normal 2 14 7 2 3 4" xfId="21627"/>
    <cellStyle name="Normal 2 14 7 2 3 5" xfId="21628"/>
    <cellStyle name="Normal 2 14 7 2 4" xfId="21629"/>
    <cellStyle name="Normal 2 14 7 2 4 2" xfId="21630"/>
    <cellStyle name="Normal 2 14 7 2 4 3" xfId="21631"/>
    <cellStyle name="Normal 2 14 7 2 4 4" xfId="21632"/>
    <cellStyle name="Normal 2 14 7 2 5" xfId="21633"/>
    <cellStyle name="Normal 2 14 7 2 5 2" xfId="21634"/>
    <cellStyle name="Normal 2 14 7 2 6" xfId="21635"/>
    <cellStyle name="Normal 2 14 7 2 7" xfId="21636"/>
    <cellStyle name="Normal 2 14 7 2 8" xfId="21637"/>
    <cellStyle name="Normal 2 14 7 2 9" xfId="21638"/>
    <cellStyle name="Normal 2 14 7 3" xfId="21639"/>
    <cellStyle name="Normal 2 14 7 3 2" xfId="21640"/>
    <cellStyle name="Normal 2 14 7 3 2 2" xfId="21641"/>
    <cellStyle name="Normal 2 14 7 3 2 2 2" xfId="21642"/>
    <cellStyle name="Normal 2 14 7 3 2 2 3" xfId="21643"/>
    <cellStyle name="Normal 2 14 7 3 2 3" xfId="21644"/>
    <cellStyle name="Normal 2 14 7 3 2 4" xfId="21645"/>
    <cellStyle name="Normal 2 14 7 3 2 5" xfId="21646"/>
    <cellStyle name="Normal 2 14 7 3 2 6" xfId="21647"/>
    <cellStyle name="Normal 2 14 7 3 3" xfId="21648"/>
    <cellStyle name="Normal 2 14 7 3 3 2" xfId="21649"/>
    <cellStyle name="Normal 2 14 7 3 3 2 2" xfId="21650"/>
    <cellStyle name="Normal 2 14 7 3 3 3" xfId="21651"/>
    <cellStyle name="Normal 2 14 7 3 3 4" xfId="21652"/>
    <cellStyle name="Normal 2 14 7 3 3 5" xfId="21653"/>
    <cellStyle name="Normal 2 14 7 3 4" xfId="21654"/>
    <cellStyle name="Normal 2 14 7 3 4 2" xfId="21655"/>
    <cellStyle name="Normal 2 14 7 3 4 3" xfId="21656"/>
    <cellStyle name="Normal 2 14 7 3 4 4" xfId="21657"/>
    <cellStyle name="Normal 2 14 7 3 5" xfId="21658"/>
    <cellStyle name="Normal 2 14 7 3 5 2" xfId="21659"/>
    <cellStyle name="Normal 2 14 7 3 6" xfId="21660"/>
    <cellStyle name="Normal 2 14 7 3 7" xfId="21661"/>
    <cellStyle name="Normal 2 14 7 3 8" xfId="21662"/>
    <cellStyle name="Normal 2 14 7 3 9" xfId="21663"/>
    <cellStyle name="Normal 2 14 7 4" xfId="21664"/>
    <cellStyle name="Normal 2 14 7 4 2" xfId="21665"/>
    <cellStyle name="Normal 2 14 7 4 2 2" xfId="21666"/>
    <cellStyle name="Normal 2 14 7 4 2 3" xfId="21667"/>
    <cellStyle name="Normal 2 14 7 4 3" xfId="21668"/>
    <cellStyle name="Normal 2 14 7 4 4" xfId="21669"/>
    <cellStyle name="Normal 2 14 7 4 5" xfId="21670"/>
    <cellStyle name="Normal 2 14 7 4 6" xfId="21671"/>
    <cellStyle name="Normal 2 14 7 5" xfId="21672"/>
    <cellStyle name="Normal 2 14 7 5 2" xfId="21673"/>
    <cellStyle name="Normal 2 14 7 5 2 2" xfId="21674"/>
    <cellStyle name="Normal 2 14 7 5 3" xfId="21675"/>
    <cellStyle name="Normal 2 14 7 5 4" xfId="21676"/>
    <cellStyle name="Normal 2 14 7 5 5" xfId="21677"/>
    <cellStyle name="Normal 2 14 7 6" xfId="21678"/>
    <cellStyle name="Normal 2 14 7 6 2" xfId="21679"/>
    <cellStyle name="Normal 2 14 7 6 3" xfId="21680"/>
    <cellStyle name="Normal 2 14 7 6 4" xfId="21681"/>
    <cellStyle name="Normal 2 14 7 7" xfId="21682"/>
    <cellStyle name="Normal 2 14 7 7 2" xfId="21683"/>
    <cellStyle name="Normal 2 14 7 8" xfId="21684"/>
    <cellStyle name="Normal 2 14 7 9" xfId="21685"/>
    <cellStyle name="Normal 2 14 8" xfId="21686"/>
    <cellStyle name="Normal 2 14 8 10" xfId="21687"/>
    <cellStyle name="Normal 2 14 8 2" xfId="21688"/>
    <cellStyle name="Normal 2 14 8 2 2" xfId="21689"/>
    <cellStyle name="Normal 2 14 8 2 2 2" xfId="21690"/>
    <cellStyle name="Normal 2 14 8 2 2 3" xfId="21691"/>
    <cellStyle name="Normal 2 14 8 2 3" xfId="21692"/>
    <cellStyle name="Normal 2 14 8 2 4" xfId="21693"/>
    <cellStyle name="Normal 2 14 8 2 5" xfId="21694"/>
    <cellStyle name="Normal 2 14 8 2 6" xfId="21695"/>
    <cellStyle name="Normal 2 14 8 3" xfId="21696"/>
    <cellStyle name="Normal 2 14 8 3 2" xfId="21697"/>
    <cellStyle name="Normal 2 14 8 3 2 2" xfId="21698"/>
    <cellStyle name="Normal 2 14 8 3 2 3" xfId="21699"/>
    <cellStyle name="Normal 2 14 8 3 3" xfId="21700"/>
    <cellStyle name="Normal 2 14 8 3 4" xfId="21701"/>
    <cellStyle name="Normal 2 14 8 3 5" xfId="21702"/>
    <cellStyle name="Normal 2 14 8 3 6" xfId="21703"/>
    <cellStyle name="Normal 2 14 8 4" xfId="21704"/>
    <cellStyle name="Normal 2 14 8 4 2" xfId="21705"/>
    <cellStyle name="Normal 2 14 8 4 2 2" xfId="21706"/>
    <cellStyle name="Normal 2 14 8 4 3" xfId="21707"/>
    <cellStyle name="Normal 2 14 8 4 4" xfId="21708"/>
    <cellStyle name="Normal 2 14 8 4 5" xfId="21709"/>
    <cellStyle name="Normal 2 14 8 5" xfId="21710"/>
    <cellStyle name="Normal 2 14 8 5 2" xfId="21711"/>
    <cellStyle name="Normal 2 14 8 5 3" xfId="21712"/>
    <cellStyle name="Normal 2 14 8 5 4" xfId="21713"/>
    <cellStyle name="Normal 2 14 8 6" xfId="21714"/>
    <cellStyle name="Normal 2 14 8 6 2" xfId="21715"/>
    <cellStyle name="Normal 2 14 8 7" xfId="21716"/>
    <cellStyle name="Normal 2 14 8 8" xfId="21717"/>
    <cellStyle name="Normal 2 14 8 9" xfId="21718"/>
    <cellStyle name="Normal 2 14 9" xfId="21719"/>
    <cellStyle name="Normal 2 14 9 10" xfId="21720"/>
    <cellStyle name="Normal 2 14 9 2" xfId="21721"/>
    <cellStyle name="Normal 2 14 9 2 2" xfId="21722"/>
    <cellStyle name="Normal 2 14 9 2 2 2" xfId="21723"/>
    <cellStyle name="Normal 2 14 9 2 2 3" xfId="21724"/>
    <cellStyle name="Normal 2 14 9 2 3" xfId="21725"/>
    <cellStyle name="Normal 2 14 9 2 4" xfId="21726"/>
    <cellStyle name="Normal 2 14 9 2 5" xfId="21727"/>
    <cellStyle name="Normal 2 14 9 2 6" xfId="21728"/>
    <cellStyle name="Normal 2 14 9 3" xfId="21729"/>
    <cellStyle name="Normal 2 14 9 3 2" xfId="21730"/>
    <cellStyle name="Normal 2 14 9 3 2 2" xfId="21731"/>
    <cellStyle name="Normal 2 14 9 3 2 3" xfId="21732"/>
    <cellStyle name="Normal 2 14 9 3 3" xfId="21733"/>
    <cellStyle name="Normal 2 14 9 3 4" xfId="21734"/>
    <cellStyle name="Normal 2 14 9 3 5" xfId="21735"/>
    <cellStyle name="Normal 2 14 9 3 6" xfId="21736"/>
    <cellStyle name="Normal 2 14 9 4" xfId="21737"/>
    <cellStyle name="Normal 2 14 9 4 2" xfId="21738"/>
    <cellStyle name="Normal 2 14 9 4 2 2" xfId="21739"/>
    <cellStyle name="Normal 2 14 9 4 3" xfId="21740"/>
    <cellStyle name="Normal 2 14 9 4 4" xfId="21741"/>
    <cellStyle name="Normal 2 14 9 4 5" xfId="21742"/>
    <cellStyle name="Normal 2 14 9 5" xfId="21743"/>
    <cellStyle name="Normal 2 14 9 5 2" xfId="21744"/>
    <cellStyle name="Normal 2 14 9 5 3" xfId="21745"/>
    <cellStyle name="Normal 2 14 9 5 4" xfId="21746"/>
    <cellStyle name="Normal 2 14 9 6" xfId="21747"/>
    <cellStyle name="Normal 2 14 9 6 2" xfId="21748"/>
    <cellStyle name="Normal 2 14 9 7" xfId="21749"/>
    <cellStyle name="Normal 2 14 9 8" xfId="21750"/>
    <cellStyle name="Normal 2 14 9 9" xfId="21751"/>
    <cellStyle name="Normal 2 15" xfId="21752"/>
    <cellStyle name="Normal 2 15 10" xfId="21753"/>
    <cellStyle name="Normal 2 15 10 10" xfId="21754"/>
    <cellStyle name="Normal 2 15 10 2" xfId="21755"/>
    <cellStyle name="Normal 2 15 10 2 2" xfId="21756"/>
    <cellStyle name="Normal 2 15 10 2 2 2" xfId="21757"/>
    <cellStyle name="Normal 2 15 10 2 2 3" xfId="21758"/>
    <cellStyle name="Normal 2 15 10 2 3" xfId="21759"/>
    <cellStyle name="Normal 2 15 10 2 4" xfId="21760"/>
    <cellStyle name="Normal 2 15 10 2 5" xfId="21761"/>
    <cellStyle name="Normal 2 15 10 2 6" xfId="21762"/>
    <cellStyle name="Normal 2 15 10 3" xfId="21763"/>
    <cellStyle name="Normal 2 15 10 3 2" xfId="21764"/>
    <cellStyle name="Normal 2 15 10 3 2 2" xfId="21765"/>
    <cellStyle name="Normal 2 15 10 3 2 3" xfId="21766"/>
    <cellStyle name="Normal 2 15 10 3 3" xfId="21767"/>
    <cellStyle name="Normal 2 15 10 3 4" xfId="21768"/>
    <cellStyle name="Normal 2 15 10 3 5" xfId="21769"/>
    <cellStyle name="Normal 2 15 10 3 6" xfId="21770"/>
    <cellStyle name="Normal 2 15 10 4" xfId="21771"/>
    <cellStyle name="Normal 2 15 10 4 2" xfId="21772"/>
    <cellStyle name="Normal 2 15 10 4 2 2" xfId="21773"/>
    <cellStyle name="Normal 2 15 10 4 3" xfId="21774"/>
    <cellStyle name="Normal 2 15 10 4 4" xfId="21775"/>
    <cellStyle name="Normal 2 15 10 4 5" xfId="21776"/>
    <cellStyle name="Normal 2 15 10 5" xfId="21777"/>
    <cellStyle name="Normal 2 15 10 5 2" xfId="21778"/>
    <cellStyle name="Normal 2 15 10 5 3" xfId="21779"/>
    <cellStyle name="Normal 2 15 10 5 4" xfId="21780"/>
    <cellStyle name="Normal 2 15 10 6" xfId="21781"/>
    <cellStyle name="Normal 2 15 10 6 2" xfId="21782"/>
    <cellStyle name="Normal 2 15 10 7" xfId="21783"/>
    <cellStyle name="Normal 2 15 10 8" xfId="21784"/>
    <cellStyle name="Normal 2 15 10 9" xfId="21785"/>
    <cellStyle name="Normal 2 15 11" xfId="21786"/>
    <cellStyle name="Normal 2 15 11 10" xfId="21787"/>
    <cellStyle name="Normal 2 15 11 2" xfId="21788"/>
    <cellStyle name="Normal 2 15 11 2 2" xfId="21789"/>
    <cellStyle name="Normal 2 15 11 2 2 2" xfId="21790"/>
    <cellStyle name="Normal 2 15 11 2 2 3" xfId="21791"/>
    <cellStyle name="Normal 2 15 11 2 3" xfId="21792"/>
    <cellStyle name="Normal 2 15 11 2 4" xfId="21793"/>
    <cellStyle name="Normal 2 15 11 2 5" xfId="21794"/>
    <cellStyle name="Normal 2 15 11 2 6" xfId="21795"/>
    <cellStyle name="Normal 2 15 11 3" xfId="21796"/>
    <cellStyle name="Normal 2 15 11 3 2" xfId="21797"/>
    <cellStyle name="Normal 2 15 11 3 2 2" xfId="21798"/>
    <cellStyle name="Normal 2 15 11 3 2 3" xfId="21799"/>
    <cellStyle name="Normal 2 15 11 3 3" xfId="21800"/>
    <cellStyle name="Normal 2 15 11 3 4" xfId="21801"/>
    <cellStyle name="Normal 2 15 11 3 5" xfId="21802"/>
    <cellStyle name="Normal 2 15 11 3 6" xfId="21803"/>
    <cellStyle name="Normal 2 15 11 4" xfId="21804"/>
    <cellStyle name="Normal 2 15 11 4 2" xfId="21805"/>
    <cellStyle name="Normal 2 15 11 4 2 2" xfId="21806"/>
    <cellStyle name="Normal 2 15 11 4 3" xfId="21807"/>
    <cellStyle name="Normal 2 15 11 4 4" xfId="21808"/>
    <cellStyle name="Normal 2 15 11 4 5" xfId="21809"/>
    <cellStyle name="Normal 2 15 11 5" xfId="21810"/>
    <cellStyle name="Normal 2 15 11 5 2" xfId="21811"/>
    <cellStyle name="Normal 2 15 11 5 3" xfId="21812"/>
    <cellStyle name="Normal 2 15 11 5 4" xfId="21813"/>
    <cellStyle name="Normal 2 15 11 6" xfId="21814"/>
    <cellStyle name="Normal 2 15 11 6 2" xfId="21815"/>
    <cellStyle name="Normal 2 15 11 7" xfId="21816"/>
    <cellStyle name="Normal 2 15 11 8" xfId="21817"/>
    <cellStyle name="Normal 2 15 11 9" xfId="21818"/>
    <cellStyle name="Normal 2 15 12" xfId="21819"/>
    <cellStyle name="Normal 2 15 12 10" xfId="21820"/>
    <cellStyle name="Normal 2 15 12 2" xfId="21821"/>
    <cellStyle name="Normal 2 15 12 2 2" xfId="21822"/>
    <cellStyle name="Normal 2 15 12 2 2 2" xfId="21823"/>
    <cellStyle name="Normal 2 15 12 2 2 3" xfId="21824"/>
    <cellStyle name="Normal 2 15 12 2 3" xfId="21825"/>
    <cellStyle name="Normal 2 15 12 2 4" xfId="21826"/>
    <cellStyle name="Normal 2 15 12 2 5" xfId="21827"/>
    <cellStyle name="Normal 2 15 12 2 6" xfId="21828"/>
    <cellStyle name="Normal 2 15 12 3" xfId="21829"/>
    <cellStyle name="Normal 2 15 12 3 2" xfId="21830"/>
    <cellStyle name="Normal 2 15 12 3 2 2" xfId="21831"/>
    <cellStyle name="Normal 2 15 12 3 2 3" xfId="21832"/>
    <cellStyle name="Normal 2 15 12 3 3" xfId="21833"/>
    <cellStyle name="Normal 2 15 12 3 4" xfId="21834"/>
    <cellStyle name="Normal 2 15 12 3 5" xfId="21835"/>
    <cellStyle name="Normal 2 15 12 3 6" xfId="21836"/>
    <cellStyle name="Normal 2 15 12 4" xfId="21837"/>
    <cellStyle name="Normal 2 15 12 4 2" xfId="21838"/>
    <cellStyle name="Normal 2 15 12 4 2 2" xfId="21839"/>
    <cellStyle name="Normal 2 15 12 4 3" xfId="21840"/>
    <cellStyle name="Normal 2 15 12 4 4" xfId="21841"/>
    <cellStyle name="Normal 2 15 12 4 5" xfId="21842"/>
    <cellStyle name="Normal 2 15 12 5" xfId="21843"/>
    <cellStyle name="Normal 2 15 12 5 2" xfId="21844"/>
    <cellStyle name="Normal 2 15 12 5 3" xfId="21845"/>
    <cellStyle name="Normal 2 15 12 5 4" xfId="21846"/>
    <cellStyle name="Normal 2 15 12 6" xfId="21847"/>
    <cellStyle name="Normal 2 15 12 6 2" xfId="21848"/>
    <cellStyle name="Normal 2 15 12 7" xfId="21849"/>
    <cellStyle name="Normal 2 15 12 8" xfId="21850"/>
    <cellStyle name="Normal 2 15 12 9" xfId="21851"/>
    <cellStyle name="Normal 2 15 13" xfId="21852"/>
    <cellStyle name="Normal 2 15 13 2" xfId="21853"/>
    <cellStyle name="Normal 2 15 13 2 2" xfId="21854"/>
    <cellStyle name="Normal 2 15 13 2 2 2" xfId="21855"/>
    <cellStyle name="Normal 2 15 13 2 2 3" xfId="21856"/>
    <cellStyle name="Normal 2 15 13 2 3" xfId="21857"/>
    <cellStyle name="Normal 2 15 13 2 4" xfId="21858"/>
    <cellStyle name="Normal 2 15 13 2 5" xfId="21859"/>
    <cellStyle name="Normal 2 15 13 2 6" xfId="21860"/>
    <cellStyle name="Normal 2 15 13 3" xfId="21861"/>
    <cellStyle name="Normal 2 15 13 3 2" xfId="21862"/>
    <cellStyle name="Normal 2 15 13 3 2 2" xfId="21863"/>
    <cellStyle name="Normal 2 15 13 3 3" xfId="21864"/>
    <cellStyle name="Normal 2 15 13 3 4" xfId="21865"/>
    <cellStyle name="Normal 2 15 13 3 5" xfId="21866"/>
    <cellStyle name="Normal 2 15 13 4" xfId="21867"/>
    <cellStyle name="Normal 2 15 13 4 2" xfId="21868"/>
    <cellStyle name="Normal 2 15 13 4 3" xfId="21869"/>
    <cellStyle name="Normal 2 15 13 4 4" xfId="21870"/>
    <cellStyle name="Normal 2 15 13 5" xfId="21871"/>
    <cellStyle name="Normal 2 15 13 5 2" xfId="21872"/>
    <cellStyle name="Normal 2 15 13 6" xfId="21873"/>
    <cellStyle name="Normal 2 15 13 7" xfId="21874"/>
    <cellStyle name="Normal 2 15 13 8" xfId="21875"/>
    <cellStyle name="Normal 2 15 13 9" xfId="21876"/>
    <cellStyle name="Normal 2 15 14" xfId="21877"/>
    <cellStyle name="Normal 2 15 14 2" xfId="21878"/>
    <cellStyle name="Normal 2 15 14 2 2" xfId="21879"/>
    <cellStyle name="Normal 2 15 14 2 2 2" xfId="21880"/>
    <cellStyle name="Normal 2 15 14 2 2 3" xfId="21881"/>
    <cellStyle name="Normal 2 15 14 2 3" xfId="21882"/>
    <cellStyle name="Normal 2 15 14 2 4" xfId="21883"/>
    <cellStyle name="Normal 2 15 14 2 5" xfId="21884"/>
    <cellStyle name="Normal 2 15 14 2 6" xfId="21885"/>
    <cellStyle name="Normal 2 15 14 3" xfId="21886"/>
    <cellStyle name="Normal 2 15 14 3 2" xfId="21887"/>
    <cellStyle name="Normal 2 15 14 3 2 2" xfId="21888"/>
    <cellStyle name="Normal 2 15 14 3 3" xfId="21889"/>
    <cellStyle name="Normal 2 15 14 3 4" xfId="21890"/>
    <cellStyle name="Normal 2 15 14 3 5" xfId="21891"/>
    <cellStyle name="Normal 2 15 14 4" xfId="21892"/>
    <cellStyle name="Normal 2 15 14 4 2" xfId="21893"/>
    <cellStyle name="Normal 2 15 14 4 3" xfId="21894"/>
    <cellStyle name="Normal 2 15 14 4 4" xfId="21895"/>
    <cellStyle name="Normal 2 15 14 5" xfId="21896"/>
    <cellStyle name="Normal 2 15 14 5 2" xfId="21897"/>
    <cellStyle name="Normal 2 15 14 6" xfId="21898"/>
    <cellStyle name="Normal 2 15 14 7" xfId="21899"/>
    <cellStyle name="Normal 2 15 14 8" xfId="21900"/>
    <cellStyle name="Normal 2 15 14 9" xfId="21901"/>
    <cellStyle name="Normal 2 15 15" xfId="21902"/>
    <cellStyle name="Normal 2 15 15 2" xfId="21903"/>
    <cellStyle name="Normal 2 15 15 2 2" xfId="21904"/>
    <cellStyle name="Normal 2 15 15 2 3" xfId="21905"/>
    <cellStyle name="Normal 2 15 15 3" xfId="21906"/>
    <cellStyle name="Normal 2 15 15 4" xfId="21907"/>
    <cellStyle name="Normal 2 15 15 5" xfId="21908"/>
    <cellStyle name="Normal 2 15 15 6" xfId="21909"/>
    <cellStyle name="Normal 2 15 16" xfId="21910"/>
    <cellStyle name="Normal 2 15 16 2" xfId="21911"/>
    <cellStyle name="Normal 2 15 16 2 2" xfId="21912"/>
    <cellStyle name="Normal 2 15 16 3" xfId="21913"/>
    <cellStyle name="Normal 2 15 16 4" xfId="21914"/>
    <cellStyle name="Normal 2 15 16 5" xfId="21915"/>
    <cellStyle name="Normal 2 15 17" xfId="21916"/>
    <cellStyle name="Normal 2 15 17 2" xfId="21917"/>
    <cellStyle name="Normal 2 15 17 2 2" xfId="21918"/>
    <cellStyle name="Normal 2 15 17 3" xfId="21919"/>
    <cellStyle name="Normal 2 15 17 4" xfId="21920"/>
    <cellStyle name="Normal 2 15 17 5" xfId="21921"/>
    <cellStyle name="Normal 2 15 18" xfId="21922"/>
    <cellStyle name="Normal 2 15 18 2" xfId="21923"/>
    <cellStyle name="Normal 2 15 19" xfId="21924"/>
    <cellStyle name="Normal 2 15 2" xfId="21925"/>
    <cellStyle name="Normal 2 15 2 10" xfId="21926"/>
    <cellStyle name="Normal 2 15 2 11" xfId="21927"/>
    <cellStyle name="Normal 2 15 2 2" xfId="21928"/>
    <cellStyle name="Normal 2 15 2 2 2" xfId="21929"/>
    <cellStyle name="Normal 2 15 2 2 2 2" xfId="21930"/>
    <cellStyle name="Normal 2 15 2 2 2 2 2" xfId="21931"/>
    <cellStyle name="Normal 2 15 2 2 2 2 3" xfId="21932"/>
    <cellStyle name="Normal 2 15 2 2 2 3" xfId="21933"/>
    <cellStyle name="Normal 2 15 2 2 2 4" xfId="21934"/>
    <cellStyle name="Normal 2 15 2 2 2 5" xfId="21935"/>
    <cellStyle name="Normal 2 15 2 2 2 6" xfId="21936"/>
    <cellStyle name="Normal 2 15 2 2 3" xfId="21937"/>
    <cellStyle name="Normal 2 15 2 2 3 2" xfId="21938"/>
    <cellStyle name="Normal 2 15 2 2 3 2 2" xfId="21939"/>
    <cellStyle name="Normal 2 15 2 2 3 3" xfId="21940"/>
    <cellStyle name="Normal 2 15 2 2 3 4" xfId="21941"/>
    <cellStyle name="Normal 2 15 2 2 3 5" xfId="21942"/>
    <cellStyle name="Normal 2 15 2 2 4" xfId="21943"/>
    <cellStyle name="Normal 2 15 2 2 4 2" xfId="21944"/>
    <cellStyle name="Normal 2 15 2 2 4 3" xfId="21945"/>
    <cellStyle name="Normal 2 15 2 2 4 4" xfId="21946"/>
    <cellStyle name="Normal 2 15 2 2 5" xfId="21947"/>
    <cellStyle name="Normal 2 15 2 2 5 2" xfId="21948"/>
    <cellStyle name="Normal 2 15 2 2 6" xfId="21949"/>
    <cellStyle name="Normal 2 15 2 2 7" xfId="21950"/>
    <cellStyle name="Normal 2 15 2 2 8" xfId="21951"/>
    <cellStyle name="Normal 2 15 2 2 9" xfId="21952"/>
    <cellStyle name="Normal 2 15 2 3" xfId="21953"/>
    <cellStyle name="Normal 2 15 2 3 2" xfId="21954"/>
    <cellStyle name="Normal 2 15 2 3 2 2" xfId="21955"/>
    <cellStyle name="Normal 2 15 2 3 2 2 2" xfId="21956"/>
    <cellStyle name="Normal 2 15 2 3 2 2 3" xfId="21957"/>
    <cellStyle name="Normal 2 15 2 3 2 3" xfId="21958"/>
    <cellStyle name="Normal 2 15 2 3 2 4" xfId="21959"/>
    <cellStyle name="Normal 2 15 2 3 2 5" xfId="21960"/>
    <cellStyle name="Normal 2 15 2 3 2 6" xfId="21961"/>
    <cellStyle name="Normal 2 15 2 3 3" xfId="21962"/>
    <cellStyle name="Normal 2 15 2 3 3 2" xfId="21963"/>
    <cellStyle name="Normal 2 15 2 3 3 2 2" xfId="21964"/>
    <cellStyle name="Normal 2 15 2 3 3 3" xfId="21965"/>
    <cellStyle name="Normal 2 15 2 3 3 4" xfId="21966"/>
    <cellStyle name="Normal 2 15 2 3 3 5" xfId="21967"/>
    <cellStyle name="Normal 2 15 2 3 4" xfId="21968"/>
    <cellStyle name="Normal 2 15 2 3 4 2" xfId="21969"/>
    <cellStyle name="Normal 2 15 2 3 4 3" xfId="21970"/>
    <cellStyle name="Normal 2 15 2 3 4 4" xfId="21971"/>
    <cellStyle name="Normal 2 15 2 3 5" xfId="21972"/>
    <cellStyle name="Normal 2 15 2 3 5 2" xfId="21973"/>
    <cellStyle name="Normal 2 15 2 3 6" xfId="21974"/>
    <cellStyle name="Normal 2 15 2 3 7" xfId="21975"/>
    <cellStyle name="Normal 2 15 2 3 8" xfId="21976"/>
    <cellStyle name="Normal 2 15 2 3 9" xfId="21977"/>
    <cellStyle name="Normal 2 15 2 4" xfId="21978"/>
    <cellStyle name="Normal 2 15 2 4 2" xfId="21979"/>
    <cellStyle name="Normal 2 15 2 4 2 2" xfId="21980"/>
    <cellStyle name="Normal 2 15 2 4 2 3" xfId="21981"/>
    <cellStyle name="Normal 2 15 2 4 3" xfId="21982"/>
    <cellStyle name="Normal 2 15 2 4 4" xfId="21983"/>
    <cellStyle name="Normal 2 15 2 4 5" xfId="21984"/>
    <cellStyle name="Normal 2 15 2 4 6" xfId="21985"/>
    <cellStyle name="Normal 2 15 2 5" xfId="21986"/>
    <cellStyle name="Normal 2 15 2 5 2" xfId="21987"/>
    <cellStyle name="Normal 2 15 2 5 2 2" xfId="21988"/>
    <cellStyle name="Normal 2 15 2 5 3" xfId="21989"/>
    <cellStyle name="Normal 2 15 2 5 4" xfId="21990"/>
    <cellStyle name="Normal 2 15 2 5 5" xfId="21991"/>
    <cellStyle name="Normal 2 15 2 6" xfId="21992"/>
    <cellStyle name="Normal 2 15 2 6 2" xfId="21993"/>
    <cellStyle name="Normal 2 15 2 6 3" xfId="21994"/>
    <cellStyle name="Normal 2 15 2 6 4" xfId="21995"/>
    <cellStyle name="Normal 2 15 2 7" xfId="21996"/>
    <cellStyle name="Normal 2 15 2 7 2" xfId="21997"/>
    <cellStyle name="Normal 2 15 2 8" xfId="21998"/>
    <cellStyle name="Normal 2 15 2 9" xfId="21999"/>
    <cellStyle name="Normal 2 15 20" xfId="22000"/>
    <cellStyle name="Normal 2 15 21" xfId="22001"/>
    <cellStyle name="Normal 2 15 22" xfId="22002"/>
    <cellStyle name="Normal 2 15 3" xfId="22003"/>
    <cellStyle name="Normal 2 15 3 10" xfId="22004"/>
    <cellStyle name="Normal 2 15 3 11" xfId="22005"/>
    <cellStyle name="Normal 2 15 3 2" xfId="22006"/>
    <cellStyle name="Normal 2 15 3 2 2" xfId="22007"/>
    <cellStyle name="Normal 2 15 3 2 2 2" xfId="22008"/>
    <cellStyle name="Normal 2 15 3 2 2 2 2" xfId="22009"/>
    <cellStyle name="Normal 2 15 3 2 2 2 3" xfId="22010"/>
    <cellStyle name="Normal 2 15 3 2 2 3" xfId="22011"/>
    <cellStyle name="Normal 2 15 3 2 2 4" xfId="22012"/>
    <cellStyle name="Normal 2 15 3 2 2 5" xfId="22013"/>
    <cellStyle name="Normal 2 15 3 2 2 6" xfId="22014"/>
    <cellStyle name="Normal 2 15 3 2 3" xfId="22015"/>
    <cellStyle name="Normal 2 15 3 2 3 2" xfId="22016"/>
    <cellStyle name="Normal 2 15 3 2 3 2 2" xfId="22017"/>
    <cellStyle name="Normal 2 15 3 2 3 3" xfId="22018"/>
    <cellStyle name="Normal 2 15 3 2 3 4" xfId="22019"/>
    <cellStyle name="Normal 2 15 3 2 3 5" xfId="22020"/>
    <cellStyle name="Normal 2 15 3 2 4" xfId="22021"/>
    <cellStyle name="Normal 2 15 3 2 4 2" xfId="22022"/>
    <cellStyle name="Normal 2 15 3 2 4 3" xfId="22023"/>
    <cellStyle name="Normal 2 15 3 2 4 4" xfId="22024"/>
    <cellStyle name="Normal 2 15 3 2 5" xfId="22025"/>
    <cellStyle name="Normal 2 15 3 2 5 2" xfId="22026"/>
    <cellStyle name="Normal 2 15 3 2 6" xfId="22027"/>
    <cellStyle name="Normal 2 15 3 2 7" xfId="22028"/>
    <cellStyle name="Normal 2 15 3 2 8" xfId="22029"/>
    <cellStyle name="Normal 2 15 3 2 9" xfId="22030"/>
    <cellStyle name="Normal 2 15 3 3" xfId="22031"/>
    <cellStyle name="Normal 2 15 3 3 2" xfId="22032"/>
    <cellStyle name="Normal 2 15 3 3 2 2" xfId="22033"/>
    <cellStyle name="Normal 2 15 3 3 2 2 2" xfId="22034"/>
    <cellStyle name="Normal 2 15 3 3 2 2 3" xfId="22035"/>
    <cellStyle name="Normal 2 15 3 3 2 3" xfId="22036"/>
    <cellStyle name="Normal 2 15 3 3 2 4" xfId="22037"/>
    <cellStyle name="Normal 2 15 3 3 2 5" xfId="22038"/>
    <cellStyle name="Normal 2 15 3 3 2 6" xfId="22039"/>
    <cellStyle name="Normal 2 15 3 3 3" xfId="22040"/>
    <cellStyle name="Normal 2 15 3 3 3 2" xfId="22041"/>
    <cellStyle name="Normal 2 15 3 3 3 2 2" xfId="22042"/>
    <cellStyle name="Normal 2 15 3 3 3 3" xfId="22043"/>
    <cellStyle name="Normal 2 15 3 3 3 4" xfId="22044"/>
    <cellStyle name="Normal 2 15 3 3 3 5" xfId="22045"/>
    <cellStyle name="Normal 2 15 3 3 4" xfId="22046"/>
    <cellStyle name="Normal 2 15 3 3 4 2" xfId="22047"/>
    <cellStyle name="Normal 2 15 3 3 4 3" xfId="22048"/>
    <cellStyle name="Normal 2 15 3 3 4 4" xfId="22049"/>
    <cellStyle name="Normal 2 15 3 3 5" xfId="22050"/>
    <cellStyle name="Normal 2 15 3 3 5 2" xfId="22051"/>
    <cellStyle name="Normal 2 15 3 3 6" xfId="22052"/>
    <cellStyle name="Normal 2 15 3 3 7" xfId="22053"/>
    <cellStyle name="Normal 2 15 3 3 8" xfId="22054"/>
    <cellStyle name="Normal 2 15 3 3 9" xfId="22055"/>
    <cellStyle name="Normal 2 15 3 4" xfId="22056"/>
    <cellStyle name="Normal 2 15 3 4 2" xfId="22057"/>
    <cellStyle name="Normal 2 15 3 4 2 2" xfId="22058"/>
    <cellStyle name="Normal 2 15 3 4 2 3" xfId="22059"/>
    <cellStyle name="Normal 2 15 3 4 3" xfId="22060"/>
    <cellStyle name="Normal 2 15 3 4 4" xfId="22061"/>
    <cellStyle name="Normal 2 15 3 4 5" xfId="22062"/>
    <cellStyle name="Normal 2 15 3 4 6" xfId="22063"/>
    <cellStyle name="Normal 2 15 3 5" xfId="22064"/>
    <cellStyle name="Normal 2 15 3 5 2" xfId="22065"/>
    <cellStyle name="Normal 2 15 3 5 2 2" xfId="22066"/>
    <cellStyle name="Normal 2 15 3 5 3" xfId="22067"/>
    <cellStyle name="Normal 2 15 3 5 4" xfId="22068"/>
    <cellStyle name="Normal 2 15 3 5 5" xfId="22069"/>
    <cellStyle name="Normal 2 15 3 6" xfId="22070"/>
    <cellStyle name="Normal 2 15 3 6 2" xfId="22071"/>
    <cellStyle name="Normal 2 15 3 6 3" xfId="22072"/>
    <cellStyle name="Normal 2 15 3 6 4" xfId="22073"/>
    <cellStyle name="Normal 2 15 3 7" xfId="22074"/>
    <cellStyle name="Normal 2 15 3 7 2" xfId="22075"/>
    <cellStyle name="Normal 2 15 3 8" xfId="22076"/>
    <cellStyle name="Normal 2 15 3 9" xfId="22077"/>
    <cellStyle name="Normal 2 15 4" xfId="22078"/>
    <cellStyle name="Normal 2 15 4 10" xfId="22079"/>
    <cellStyle name="Normal 2 15 4 11" xfId="22080"/>
    <cellStyle name="Normal 2 15 4 2" xfId="22081"/>
    <cellStyle name="Normal 2 15 4 2 2" xfId="22082"/>
    <cellStyle name="Normal 2 15 4 2 2 2" xfId="22083"/>
    <cellStyle name="Normal 2 15 4 2 2 2 2" xfId="22084"/>
    <cellStyle name="Normal 2 15 4 2 2 2 3" xfId="22085"/>
    <cellStyle name="Normal 2 15 4 2 2 3" xfId="22086"/>
    <cellStyle name="Normal 2 15 4 2 2 4" xfId="22087"/>
    <cellStyle name="Normal 2 15 4 2 2 5" xfId="22088"/>
    <cellStyle name="Normal 2 15 4 2 2 6" xfId="22089"/>
    <cellStyle name="Normal 2 15 4 2 3" xfId="22090"/>
    <cellStyle name="Normal 2 15 4 2 3 2" xfId="22091"/>
    <cellStyle name="Normal 2 15 4 2 3 2 2" xfId="22092"/>
    <cellStyle name="Normal 2 15 4 2 3 3" xfId="22093"/>
    <cellStyle name="Normal 2 15 4 2 3 4" xfId="22094"/>
    <cellStyle name="Normal 2 15 4 2 3 5" xfId="22095"/>
    <cellStyle name="Normal 2 15 4 2 4" xfId="22096"/>
    <cellStyle name="Normal 2 15 4 2 4 2" xfId="22097"/>
    <cellStyle name="Normal 2 15 4 2 4 3" xfId="22098"/>
    <cellStyle name="Normal 2 15 4 2 4 4" xfId="22099"/>
    <cellStyle name="Normal 2 15 4 2 5" xfId="22100"/>
    <cellStyle name="Normal 2 15 4 2 5 2" xfId="22101"/>
    <cellStyle name="Normal 2 15 4 2 6" xfId="22102"/>
    <cellStyle name="Normal 2 15 4 2 7" xfId="22103"/>
    <cellStyle name="Normal 2 15 4 2 8" xfId="22104"/>
    <cellStyle name="Normal 2 15 4 2 9" xfId="22105"/>
    <cellStyle name="Normal 2 15 4 3" xfId="22106"/>
    <cellStyle name="Normal 2 15 4 3 2" xfId="22107"/>
    <cellStyle name="Normal 2 15 4 3 2 2" xfId="22108"/>
    <cellStyle name="Normal 2 15 4 3 2 2 2" xfId="22109"/>
    <cellStyle name="Normal 2 15 4 3 2 2 3" xfId="22110"/>
    <cellStyle name="Normal 2 15 4 3 2 3" xfId="22111"/>
    <cellStyle name="Normal 2 15 4 3 2 4" xfId="22112"/>
    <cellStyle name="Normal 2 15 4 3 2 5" xfId="22113"/>
    <cellStyle name="Normal 2 15 4 3 2 6" xfId="22114"/>
    <cellStyle name="Normal 2 15 4 3 3" xfId="22115"/>
    <cellStyle name="Normal 2 15 4 3 3 2" xfId="22116"/>
    <cellStyle name="Normal 2 15 4 3 3 2 2" xfId="22117"/>
    <cellStyle name="Normal 2 15 4 3 3 3" xfId="22118"/>
    <cellStyle name="Normal 2 15 4 3 3 4" xfId="22119"/>
    <cellStyle name="Normal 2 15 4 3 3 5" xfId="22120"/>
    <cellStyle name="Normal 2 15 4 3 4" xfId="22121"/>
    <cellStyle name="Normal 2 15 4 3 4 2" xfId="22122"/>
    <cellStyle name="Normal 2 15 4 3 4 3" xfId="22123"/>
    <cellStyle name="Normal 2 15 4 3 4 4" xfId="22124"/>
    <cellStyle name="Normal 2 15 4 3 5" xfId="22125"/>
    <cellStyle name="Normal 2 15 4 3 5 2" xfId="22126"/>
    <cellStyle name="Normal 2 15 4 3 6" xfId="22127"/>
    <cellStyle name="Normal 2 15 4 3 7" xfId="22128"/>
    <cellStyle name="Normal 2 15 4 3 8" xfId="22129"/>
    <cellStyle name="Normal 2 15 4 3 9" xfId="22130"/>
    <cellStyle name="Normal 2 15 4 4" xfId="22131"/>
    <cellStyle name="Normal 2 15 4 4 2" xfId="22132"/>
    <cellStyle name="Normal 2 15 4 4 2 2" xfId="22133"/>
    <cellStyle name="Normal 2 15 4 4 2 3" xfId="22134"/>
    <cellStyle name="Normal 2 15 4 4 3" xfId="22135"/>
    <cellStyle name="Normal 2 15 4 4 4" xfId="22136"/>
    <cellStyle name="Normal 2 15 4 4 5" xfId="22137"/>
    <cellStyle name="Normal 2 15 4 4 6" xfId="22138"/>
    <cellStyle name="Normal 2 15 4 5" xfId="22139"/>
    <cellStyle name="Normal 2 15 4 5 2" xfId="22140"/>
    <cellStyle name="Normal 2 15 4 5 2 2" xfId="22141"/>
    <cellStyle name="Normal 2 15 4 5 3" xfId="22142"/>
    <cellStyle name="Normal 2 15 4 5 4" xfId="22143"/>
    <cellStyle name="Normal 2 15 4 5 5" xfId="22144"/>
    <cellStyle name="Normal 2 15 4 6" xfId="22145"/>
    <cellStyle name="Normal 2 15 4 6 2" xfId="22146"/>
    <cellStyle name="Normal 2 15 4 6 3" xfId="22147"/>
    <cellStyle name="Normal 2 15 4 6 4" xfId="22148"/>
    <cellStyle name="Normal 2 15 4 7" xfId="22149"/>
    <cellStyle name="Normal 2 15 4 7 2" xfId="22150"/>
    <cellStyle name="Normal 2 15 4 8" xfId="22151"/>
    <cellStyle name="Normal 2 15 4 9" xfId="22152"/>
    <cellStyle name="Normal 2 15 5" xfId="22153"/>
    <cellStyle name="Normal 2 15 5 10" xfId="22154"/>
    <cellStyle name="Normal 2 15 5 11" xfId="22155"/>
    <cellStyle name="Normal 2 15 5 2" xfId="22156"/>
    <cellStyle name="Normal 2 15 5 2 2" xfId="22157"/>
    <cellStyle name="Normal 2 15 5 2 2 2" xfId="22158"/>
    <cellStyle name="Normal 2 15 5 2 2 2 2" xfId="22159"/>
    <cellStyle name="Normal 2 15 5 2 2 2 3" xfId="22160"/>
    <cellStyle name="Normal 2 15 5 2 2 3" xfId="22161"/>
    <cellStyle name="Normal 2 15 5 2 2 4" xfId="22162"/>
    <cellStyle name="Normal 2 15 5 2 2 5" xfId="22163"/>
    <cellStyle name="Normal 2 15 5 2 2 6" xfId="22164"/>
    <cellStyle name="Normal 2 15 5 2 3" xfId="22165"/>
    <cellStyle name="Normal 2 15 5 2 3 2" xfId="22166"/>
    <cellStyle name="Normal 2 15 5 2 3 2 2" xfId="22167"/>
    <cellStyle name="Normal 2 15 5 2 3 3" xfId="22168"/>
    <cellStyle name="Normal 2 15 5 2 3 4" xfId="22169"/>
    <cellStyle name="Normal 2 15 5 2 3 5" xfId="22170"/>
    <cellStyle name="Normal 2 15 5 2 4" xfId="22171"/>
    <cellStyle name="Normal 2 15 5 2 4 2" xfId="22172"/>
    <cellStyle name="Normal 2 15 5 2 4 3" xfId="22173"/>
    <cellStyle name="Normal 2 15 5 2 4 4" xfId="22174"/>
    <cellStyle name="Normal 2 15 5 2 5" xfId="22175"/>
    <cellStyle name="Normal 2 15 5 2 5 2" xfId="22176"/>
    <cellStyle name="Normal 2 15 5 2 6" xfId="22177"/>
    <cellStyle name="Normal 2 15 5 2 7" xfId="22178"/>
    <cellStyle name="Normal 2 15 5 2 8" xfId="22179"/>
    <cellStyle name="Normal 2 15 5 2 9" xfId="22180"/>
    <cellStyle name="Normal 2 15 5 3" xfId="22181"/>
    <cellStyle name="Normal 2 15 5 3 2" xfId="22182"/>
    <cellStyle name="Normal 2 15 5 3 2 2" xfId="22183"/>
    <cellStyle name="Normal 2 15 5 3 2 2 2" xfId="22184"/>
    <cellStyle name="Normal 2 15 5 3 2 2 3" xfId="22185"/>
    <cellStyle name="Normal 2 15 5 3 2 3" xfId="22186"/>
    <cellStyle name="Normal 2 15 5 3 2 4" xfId="22187"/>
    <cellStyle name="Normal 2 15 5 3 2 5" xfId="22188"/>
    <cellStyle name="Normal 2 15 5 3 2 6" xfId="22189"/>
    <cellStyle name="Normal 2 15 5 3 3" xfId="22190"/>
    <cellStyle name="Normal 2 15 5 3 3 2" xfId="22191"/>
    <cellStyle name="Normal 2 15 5 3 3 2 2" xfId="22192"/>
    <cellStyle name="Normal 2 15 5 3 3 3" xfId="22193"/>
    <cellStyle name="Normal 2 15 5 3 3 4" xfId="22194"/>
    <cellStyle name="Normal 2 15 5 3 3 5" xfId="22195"/>
    <cellStyle name="Normal 2 15 5 3 4" xfId="22196"/>
    <cellStyle name="Normal 2 15 5 3 4 2" xfId="22197"/>
    <cellStyle name="Normal 2 15 5 3 4 3" xfId="22198"/>
    <cellStyle name="Normal 2 15 5 3 4 4" xfId="22199"/>
    <cellStyle name="Normal 2 15 5 3 5" xfId="22200"/>
    <cellStyle name="Normal 2 15 5 3 5 2" xfId="22201"/>
    <cellStyle name="Normal 2 15 5 3 6" xfId="22202"/>
    <cellStyle name="Normal 2 15 5 3 7" xfId="22203"/>
    <cellStyle name="Normal 2 15 5 3 8" xfId="22204"/>
    <cellStyle name="Normal 2 15 5 3 9" xfId="22205"/>
    <cellStyle name="Normal 2 15 5 4" xfId="22206"/>
    <cellStyle name="Normal 2 15 5 4 2" xfId="22207"/>
    <cellStyle name="Normal 2 15 5 4 2 2" xfId="22208"/>
    <cellStyle name="Normal 2 15 5 4 2 3" xfId="22209"/>
    <cellStyle name="Normal 2 15 5 4 3" xfId="22210"/>
    <cellStyle name="Normal 2 15 5 4 4" xfId="22211"/>
    <cellStyle name="Normal 2 15 5 4 5" xfId="22212"/>
    <cellStyle name="Normal 2 15 5 4 6" xfId="22213"/>
    <cellStyle name="Normal 2 15 5 5" xfId="22214"/>
    <cellStyle name="Normal 2 15 5 5 2" xfId="22215"/>
    <cellStyle name="Normal 2 15 5 5 2 2" xfId="22216"/>
    <cellStyle name="Normal 2 15 5 5 3" xfId="22217"/>
    <cellStyle name="Normal 2 15 5 5 4" xfId="22218"/>
    <cellStyle name="Normal 2 15 5 5 5" xfId="22219"/>
    <cellStyle name="Normal 2 15 5 6" xfId="22220"/>
    <cellStyle name="Normal 2 15 5 6 2" xfId="22221"/>
    <cellStyle name="Normal 2 15 5 6 3" xfId="22222"/>
    <cellStyle name="Normal 2 15 5 6 4" xfId="22223"/>
    <cellStyle name="Normal 2 15 5 7" xfId="22224"/>
    <cellStyle name="Normal 2 15 5 7 2" xfId="22225"/>
    <cellStyle name="Normal 2 15 5 8" xfId="22226"/>
    <cellStyle name="Normal 2 15 5 9" xfId="22227"/>
    <cellStyle name="Normal 2 15 6" xfId="22228"/>
    <cellStyle name="Normal 2 15 6 10" xfId="22229"/>
    <cellStyle name="Normal 2 15 6 11" xfId="22230"/>
    <cellStyle name="Normal 2 15 6 2" xfId="22231"/>
    <cellStyle name="Normal 2 15 6 2 2" xfId="22232"/>
    <cellStyle name="Normal 2 15 6 2 2 2" xfId="22233"/>
    <cellStyle name="Normal 2 15 6 2 2 2 2" xfId="22234"/>
    <cellStyle name="Normal 2 15 6 2 2 2 3" xfId="22235"/>
    <cellStyle name="Normal 2 15 6 2 2 3" xfId="22236"/>
    <cellStyle name="Normal 2 15 6 2 2 4" xfId="22237"/>
    <cellStyle name="Normal 2 15 6 2 2 5" xfId="22238"/>
    <cellStyle name="Normal 2 15 6 2 2 6" xfId="22239"/>
    <cellStyle name="Normal 2 15 6 2 3" xfId="22240"/>
    <cellStyle name="Normal 2 15 6 2 3 2" xfId="22241"/>
    <cellStyle name="Normal 2 15 6 2 3 2 2" xfId="22242"/>
    <cellStyle name="Normal 2 15 6 2 3 3" xfId="22243"/>
    <cellStyle name="Normal 2 15 6 2 3 4" xfId="22244"/>
    <cellStyle name="Normal 2 15 6 2 3 5" xfId="22245"/>
    <cellStyle name="Normal 2 15 6 2 4" xfId="22246"/>
    <cellStyle name="Normal 2 15 6 2 4 2" xfId="22247"/>
    <cellStyle name="Normal 2 15 6 2 4 3" xfId="22248"/>
    <cellStyle name="Normal 2 15 6 2 4 4" xfId="22249"/>
    <cellStyle name="Normal 2 15 6 2 5" xfId="22250"/>
    <cellStyle name="Normal 2 15 6 2 5 2" xfId="22251"/>
    <cellStyle name="Normal 2 15 6 2 6" xfId="22252"/>
    <cellStyle name="Normal 2 15 6 2 7" xfId="22253"/>
    <cellStyle name="Normal 2 15 6 2 8" xfId="22254"/>
    <cellStyle name="Normal 2 15 6 2 9" xfId="22255"/>
    <cellStyle name="Normal 2 15 6 3" xfId="22256"/>
    <cellStyle name="Normal 2 15 6 3 2" xfId="22257"/>
    <cellStyle name="Normal 2 15 6 3 2 2" xfId="22258"/>
    <cellStyle name="Normal 2 15 6 3 2 2 2" xfId="22259"/>
    <cellStyle name="Normal 2 15 6 3 2 2 3" xfId="22260"/>
    <cellStyle name="Normal 2 15 6 3 2 3" xfId="22261"/>
    <cellStyle name="Normal 2 15 6 3 2 4" xfId="22262"/>
    <cellStyle name="Normal 2 15 6 3 2 5" xfId="22263"/>
    <cellStyle name="Normal 2 15 6 3 2 6" xfId="22264"/>
    <cellStyle name="Normal 2 15 6 3 3" xfId="22265"/>
    <cellStyle name="Normal 2 15 6 3 3 2" xfId="22266"/>
    <cellStyle name="Normal 2 15 6 3 3 2 2" xfId="22267"/>
    <cellStyle name="Normal 2 15 6 3 3 3" xfId="22268"/>
    <cellStyle name="Normal 2 15 6 3 3 4" xfId="22269"/>
    <cellStyle name="Normal 2 15 6 3 3 5" xfId="22270"/>
    <cellStyle name="Normal 2 15 6 3 4" xfId="22271"/>
    <cellStyle name="Normal 2 15 6 3 4 2" xfId="22272"/>
    <cellStyle name="Normal 2 15 6 3 4 3" xfId="22273"/>
    <cellStyle name="Normal 2 15 6 3 4 4" xfId="22274"/>
    <cellStyle name="Normal 2 15 6 3 5" xfId="22275"/>
    <cellStyle name="Normal 2 15 6 3 5 2" xfId="22276"/>
    <cellStyle name="Normal 2 15 6 3 6" xfId="22277"/>
    <cellStyle name="Normal 2 15 6 3 7" xfId="22278"/>
    <cellStyle name="Normal 2 15 6 3 8" xfId="22279"/>
    <cellStyle name="Normal 2 15 6 3 9" xfId="22280"/>
    <cellStyle name="Normal 2 15 6 4" xfId="22281"/>
    <cellStyle name="Normal 2 15 6 4 2" xfId="22282"/>
    <cellStyle name="Normal 2 15 6 4 2 2" xfId="22283"/>
    <cellStyle name="Normal 2 15 6 4 2 3" xfId="22284"/>
    <cellStyle name="Normal 2 15 6 4 3" xfId="22285"/>
    <cellStyle name="Normal 2 15 6 4 4" xfId="22286"/>
    <cellStyle name="Normal 2 15 6 4 5" xfId="22287"/>
    <cellStyle name="Normal 2 15 6 4 6" xfId="22288"/>
    <cellStyle name="Normal 2 15 6 5" xfId="22289"/>
    <cellStyle name="Normal 2 15 6 5 2" xfId="22290"/>
    <cellStyle name="Normal 2 15 6 5 2 2" xfId="22291"/>
    <cellStyle name="Normal 2 15 6 5 3" xfId="22292"/>
    <cellStyle name="Normal 2 15 6 5 4" xfId="22293"/>
    <cellStyle name="Normal 2 15 6 5 5" xfId="22294"/>
    <cellStyle name="Normal 2 15 6 6" xfId="22295"/>
    <cellStyle name="Normal 2 15 6 6 2" xfId="22296"/>
    <cellStyle name="Normal 2 15 6 6 3" xfId="22297"/>
    <cellStyle name="Normal 2 15 6 6 4" xfId="22298"/>
    <cellStyle name="Normal 2 15 6 7" xfId="22299"/>
    <cellStyle name="Normal 2 15 6 7 2" xfId="22300"/>
    <cellStyle name="Normal 2 15 6 8" xfId="22301"/>
    <cellStyle name="Normal 2 15 6 9" xfId="22302"/>
    <cellStyle name="Normal 2 15 7" xfId="22303"/>
    <cellStyle name="Normal 2 15 7 10" xfId="22304"/>
    <cellStyle name="Normal 2 15 7 11" xfId="22305"/>
    <cellStyle name="Normal 2 15 7 2" xfId="22306"/>
    <cellStyle name="Normal 2 15 7 2 2" xfId="22307"/>
    <cellStyle name="Normal 2 15 7 2 2 2" xfId="22308"/>
    <cellStyle name="Normal 2 15 7 2 2 2 2" xfId="22309"/>
    <cellStyle name="Normal 2 15 7 2 2 2 3" xfId="22310"/>
    <cellStyle name="Normal 2 15 7 2 2 3" xfId="22311"/>
    <cellStyle name="Normal 2 15 7 2 2 4" xfId="22312"/>
    <cellStyle name="Normal 2 15 7 2 2 5" xfId="22313"/>
    <cellStyle name="Normal 2 15 7 2 2 6" xfId="22314"/>
    <cellStyle name="Normal 2 15 7 2 3" xfId="22315"/>
    <cellStyle name="Normal 2 15 7 2 3 2" xfId="22316"/>
    <cellStyle name="Normal 2 15 7 2 3 2 2" xfId="22317"/>
    <cellStyle name="Normal 2 15 7 2 3 3" xfId="22318"/>
    <cellStyle name="Normal 2 15 7 2 3 4" xfId="22319"/>
    <cellStyle name="Normal 2 15 7 2 3 5" xfId="22320"/>
    <cellStyle name="Normal 2 15 7 2 4" xfId="22321"/>
    <cellStyle name="Normal 2 15 7 2 4 2" xfId="22322"/>
    <cellStyle name="Normal 2 15 7 2 4 3" xfId="22323"/>
    <cellStyle name="Normal 2 15 7 2 4 4" xfId="22324"/>
    <cellStyle name="Normal 2 15 7 2 5" xfId="22325"/>
    <cellStyle name="Normal 2 15 7 2 5 2" xfId="22326"/>
    <cellStyle name="Normal 2 15 7 2 6" xfId="22327"/>
    <cellStyle name="Normal 2 15 7 2 7" xfId="22328"/>
    <cellStyle name="Normal 2 15 7 2 8" xfId="22329"/>
    <cellStyle name="Normal 2 15 7 2 9" xfId="22330"/>
    <cellStyle name="Normal 2 15 7 3" xfId="22331"/>
    <cellStyle name="Normal 2 15 7 3 2" xfId="22332"/>
    <cellStyle name="Normal 2 15 7 3 2 2" xfId="22333"/>
    <cellStyle name="Normal 2 15 7 3 2 2 2" xfId="22334"/>
    <cellStyle name="Normal 2 15 7 3 2 2 3" xfId="22335"/>
    <cellStyle name="Normal 2 15 7 3 2 3" xfId="22336"/>
    <cellStyle name="Normal 2 15 7 3 2 4" xfId="22337"/>
    <cellStyle name="Normal 2 15 7 3 2 5" xfId="22338"/>
    <cellStyle name="Normal 2 15 7 3 2 6" xfId="22339"/>
    <cellStyle name="Normal 2 15 7 3 3" xfId="22340"/>
    <cellStyle name="Normal 2 15 7 3 3 2" xfId="22341"/>
    <cellStyle name="Normal 2 15 7 3 3 2 2" xfId="22342"/>
    <cellStyle name="Normal 2 15 7 3 3 3" xfId="22343"/>
    <cellStyle name="Normal 2 15 7 3 3 4" xfId="22344"/>
    <cellStyle name="Normal 2 15 7 3 3 5" xfId="22345"/>
    <cellStyle name="Normal 2 15 7 3 4" xfId="22346"/>
    <cellStyle name="Normal 2 15 7 3 4 2" xfId="22347"/>
    <cellStyle name="Normal 2 15 7 3 4 3" xfId="22348"/>
    <cellStyle name="Normal 2 15 7 3 4 4" xfId="22349"/>
    <cellStyle name="Normal 2 15 7 3 5" xfId="22350"/>
    <cellStyle name="Normal 2 15 7 3 5 2" xfId="22351"/>
    <cellStyle name="Normal 2 15 7 3 6" xfId="22352"/>
    <cellStyle name="Normal 2 15 7 3 7" xfId="22353"/>
    <cellStyle name="Normal 2 15 7 3 8" xfId="22354"/>
    <cellStyle name="Normal 2 15 7 3 9" xfId="22355"/>
    <cellStyle name="Normal 2 15 7 4" xfId="22356"/>
    <cellStyle name="Normal 2 15 7 4 2" xfId="22357"/>
    <cellStyle name="Normal 2 15 7 4 2 2" xfId="22358"/>
    <cellStyle name="Normal 2 15 7 4 2 3" xfId="22359"/>
    <cellStyle name="Normal 2 15 7 4 3" xfId="22360"/>
    <cellStyle name="Normal 2 15 7 4 4" xfId="22361"/>
    <cellStyle name="Normal 2 15 7 4 5" xfId="22362"/>
    <cellStyle name="Normal 2 15 7 4 6" xfId="22363"/>
    <cellStyle name="Normal 2 15 7 5" xfId="22364"/>
    <cellStyle name="Normal 2 15 7 5 2" xfId="22365"/>
    <cellStyle name="Normal 2 15 7 5 2 2" xfId="22366"/>
    <cellStyle name="Normal 2 15 7 5 3" xfId="22367"/>
    <cellStyle name="Normal 2 15 7 5 4" xfId="22368"/>
    <cellStyle name="Normal 2 15 7 5 5" xfId="22369"/>
    <cellStyle name="Normal 2 15 7 6" xfId="22370"/>
    <cellStyle name="Normal 2 15 7 6 2" xfId="22371"/>
    <cellStyle name="Normal 2 15 7 6 3" xfId="22372"/>
    <cellStyle name="Normal 2 15 7 6 4" xfId="22373"/>
    <cellStyle name="Normal 2 15 7 7" xfId="22374"/>
    <cellStyle name="Normal 2 15 7 7 2" xfId="22375"/>
    <cellStyle name="Normal 2 15 7 8" xfId="22376"/>
    <cellStyle name="Normal 2 15 7 9" xfId="22377"/>
    <cellStyle name="Normal 2 15 8" xfId="22378"/>
    <cellStyle name="Normal 2 15 8 10" xfId="22379"/>
    <cellStyle name="Normal 2 15 8 2" xfId="22380"/>
    <cellStyle name="Normal 2 15 8 2 2" xfId="22381"/>
    <cellStyle name="Normal 2 15 8 2 2 2" xfId="22382"/>
    <cellStyle name="Normal 2 15 8 2 2 3" xfId="22383"/>
    <cellStyle name="Normal 2 15 8 2 3" xfId="22384"/>
    <cellStyle name="Normal 2 15 8 2 4" xfId="22385"/>
    <cellStyle name="Normal 2 15 8 2 5" xfId="22386"/>
    <cellStyle name="Normal 2 15 8 2 6" xfId="22387"/>
    <cellStyle name="Normal 2 15 8 3" xfId="22388"/>
    <cellStyle name="Normal 2 15 8 3 2" xfId="22389"/>
    <cellStyle name="Normal 2 15 8 3 2 2" xfId="22390"/>
    <cellStyle name="Normal 2 15 8 3 2 3" xfId="22391"/>
    <cellStyle name="Normal 2 15 8 3 3" xfId="22392"/>
    <cellStyle name="Normal 2 15 8 3 4" xfId="22393"/>
    <cellStyle name="Normal 2 15 8 3 5" xfId="22394"/>
    <cellStyle name="Normal 2 15 8 3 6" xfId="22395"/>
    <cellStyle name="Normal 2 15 8 4" xfId="22396"/>
    <cellStyle name="Normal 2 15 8 4 2" xfId="22397"/>
    <cellStyle name="Normal 2 15 8 4 2 2" xfId="22398"/>
    <cellStyle name="Normal 2 15 8 4 3" xfId="22399"/>
    <cellStyle name="Normal 2 15 8 4 4" xfId="22400"/>
    <cellStyle name="Normal 2 15 8 4 5" xfId="22401"/>
    <cellStyle name="Normal 2 15 8 5" xfId="22402"/>
    <cellStyle name="Normal 2 15 8 5 2" xfId="22403"/>
    <cellStyle name="Normal 2 15 8 5 3" xfId="22404"/>
    <cellStyle name="Normal 2 15 8 5 4" xfId="22405"/>
    <cellStyle name="Normal 2 15 8 6" xfId="22406"/>
    <cellStyle name="Normal 2 15 8 6 2" xfId="22407"/>
    <cellStyle name="Normal 2 15 8 7" xfId="22408"/>
    <cellStyle name="Normal 2 15 8 8" xfId="22409"/>
    <cellStyle name="Normal 2 15 8 9" xfId="22410"/>
    <cellStyle name="Normal 2 15 9" xfId="22411"/>
    <cellStyle name="Normal 2 15 9 10" xfId="22412"/>
    <cellStyle name="Normal 2 15 9 2" xfId="22413"/>
    <cellStyle name="Normal 2 15 9 2 2" xfId="22414"/>
    <cellStyle name="Normal 2 15 9 2 2 2" xfId="22415"/>
    <cellStyle name="Normal 2 15 9 2 2 3" xfId="22416"/>
    <cellStyle name="Normal 2 15 9 2 3" xfId="22417"/>
    <cellStyle name="Normal 2 15 9 2 4" xfId="22418"/>
    <cellStyle name="Normal 2 15 9 2 5" xfId="22419"/>
    <cellStyle name="Normal 2 15 9 2 6" xfId="22420"/>
    <cellStyle name="Normal 2 15 9 3" xfId="22421"/>
    <cellStyle name="Normal 2 15 9 3 2" xfId="22422"/>
    <cellStyle name="Normal 2 15 9 3 2 2" xfId="22423"/>
    <cellStyle name="Normal 2 15 9 3 2 3" xfId="22424"/>
    <cellStyle name="Normal 2 15 9 3 3" xfId="22425"/>
    <cellStyle name="Normal 2 15 9 3 4" xfId="22426"/>
    <cellStyle name="Normal 2 15 9 3 5" xfId="22427"/>
    <cellStyle name="Normal 2 15 9 3 6" xfId="22428"/>
    <cellStyle name="Normal 2 15 9 4" xfId="22429"/>
    <cellStyle name="Normal 2 15 9 4 2" xfId="22430"/>
    <cellStyle name="Normal 2 15 9 4 2 2" xfId="22431"/>
    <cellStyle name="Normal 2 15 9 4 3" xfId="22432"/>
    <cellStyle name="Normal 2 15 9 4 4" xfId="22433"/>
    <cellStyle name="Normal 2 15 9 4 5" xfId="22434"/>
    <cellStyle name="Normal 2 15 9 5" xfId="22435"/>
    <cellStyle name="Normal 2 15 9 5 2" xfId="22436"/>
    <cellStyle name="Normal 2 15 9 5 3" xfId="22437"/>
    <cellStyle name="Normal 2 15 9 5 4" xfId="22438"/>
    <cellStyle name="Normal 2 15 9 6" xfId="22439"/>
    <cellStyle name="Normal 2 15 9 6 2" xfId="22440"/>
    <cellStyle name="Normal 2 15 9 7" xfId="22441"/>
    <cellStyle name="Normal 2 15 9 8" xfId="22442"/>
    <cellStyle name="Normal 2 15 9 9" xfId="22443"/>
    <cellStyle name="Normal 2 16" xfId="22444"/>
    <cellStyle name="Normal 2 16 10" xfId="22445"/>
    <cellStyle name="Normal 2 16 11" xfId="22446"/>
    <cellStyle name="Normal 2 16 2" xfId="22447"/>
    <cellStyle name="Normal 2 16 2 2" xfId="22448"/>
    <cellStyle name="Normal 2 16 3" xfId="22449"/>
    <cellStyle name="Normal 2 16 3 2" xfId="22450"/>
    <cellStyle name="Normal 2 16 3 2 2" xfId="22451"/>
    <cellStyle name="Normal 2 16 3 2 2 2" xfId="22452"/>
    <cellStyle name="Normal 2 16 3 2 2 3" xfId="22453"/>
    <cellStyle name="Normal 2 16 3 2 3" xfId="22454"/>
    <cellStyle name="Normal 2 16 3 2 4" xfId="22455"/>
    <cellStyle name="Normal 2 16 3 2 5" xfId="22456"/>
    <cellStyle name="Normal 2 16 3 2 6" xfId="22457"/>
    <cellStyle name="Normal 2 16 3 3" xfId="22458"/>
    <cellStyle name="Normal 2 16 3 3 2" xfId="22459"/>
    <cellStyle name="Normal 2 16 3 3 2 2" xfId="22460"/>
    <cellStyle name="Normal 2 16 3 3 3" xfId="22461"/>
    <cellStyle name="Normal 2 16 3 3 4" xfId="22462"/>
    <cellStyle name="Normal 2 16 3 3 5" xfId="22463"/>
    <cellStyle name="Normal 2 16 3 4" xfId="22464"/>
    <cellStyle name="Normal 2 16 3 4 2" xfId="22465"/>
    <cellStyle name="Normal 2 16 3 4 3" xfId="22466"/>
    <cellStyle name="Normal 2 16 3 4 4" xfId="22467"/>
    <cellStyle name="Normal 2 16 3 5" xfId="22468"/>
    <cellStyle name="Normal 2 16 3 5 2" xfId="22469"/>
    <cellStyle name="Normal 2 16 3 6" xfId="22470"/>
    <cellStyle name="Normal 2 16 3 7" xfId="22471"/>
    <cellStyle name="Normal 2 16 3 8" xfId="22472"/>
    <cellStyle name="Normal 2 16 3 9" xfId="22473"/>
    <cellStyle name="Normal 2 16 4" xfId="22474"/>
    <cellStyle name="Normal 2 16 4 2" xfId="22475"/>
    <cellStyle name="Normal 2 16 4 2 2" xfId="22476"/>
    <cellStyle name="Normal 2 16 4 2 2 2" xfId="22477"/>
    <cellStyle name="Normal 2 16 4 2 2 3" xfId="22478"/>
    <cellStyle name="Normal 2 16 4 2 3" xfId="22479"/>
    <cellStyle name="Normal 2 16 4 2 4" xfId="22480"/>
    <cellStyle name="Normal 2 16 4 2 5" xfId="22481"/>
    <cellStyle name="Normal 2 16 4 2 6" xfId="22482"/>
    <cellStyle name="Normal 2 16 4 3" xfId="22483"/>
    <cellStyle name="Normal 2 16 4 3 2" xfId="22484"/>
    <cellStyle name="Normal 2 16 4 3 2 2" xfId="22485"/>
    <cellStyle name="Normal 2 16 4 3 3" xfId="22486"/>
    <cellStyle name="Normal 2 16 4 3 4" xfId="22487"/>
    <cellStyle name="Normal 2 16 4 3 5" xfId="22488"/>
    <cellStyle name="Normal 2 16 4 4" xfId="22489"/>
    <cellStyle name="Normal 2 16 4 4 2" xfId="22490"/>
    <cellStyle name="Normal 2 16 4 4 3" xfId="22491"/>
    <cellStyle name="Normal 2 16 4 4 4" xfId="22492"/>
    <cellStyle name="Normal 2 16 4 5" xfId="22493"/>
    <cellStyle name="Normal 2 16 4 5 2" xfId="22494"/>
    <cellStyle name="Normal 2 16 4 6" xfId="22495"/>
    <cellStyle name="Normal 2 16 4 7" xfId="22496"/>
    <cellStyle name="Normal 2 16 4 8" xfId="22497"/>
    <cellStyle name="Normal 2 16 4 9" xfId="22498"/>
    <cellStyle name="Normal 2 16 5" xfId="22499"/>
    <cellStyle name="Normal 2 16 5 2" xfId="22500"/>
    <cellStyle name="Normal 2 16 5 2 2" xfId="22501"/>
    <cellStyle name="Normal 2 16 5 2 3" xfId="22502"/>
    <cellStyle name="Normal 2 16 5 3" xfId="22503"/>
    <cellStyle name="Normal 2 16 5 4" xfId="22504"/>
    <cellStyle name="Normal 2 16 5 5" xfId="22505"/>
    <cellStyle name="Normal 2 16 5 6" xfId="22506"/>
    <cellStyle name="Normal 2 16 6" xfId="22507"/>
    <cellStyle name="Normal 2 16 6 2" xfId="22508"/>
    <cellStyle name="Normal 2 16 6 2 2" xfId="22509"/>
    <cellStyle name="Normal 2 16 6 3" xfId="22510"/>
    <cellStyle name="Normal 2 16 6 4" xfId="22511"/>
    <cellStyle name="Normal 2 16 6 5" xfId="22512"/>
    <cellStyle name="Normal 2 16 6 6" xfId="22513"/>
    <cellStyle name="Normal 2 16 7" xfId="22514"/>
    <cellStyle name="Normal 2 16 7 2" xfId="22515"/>
    <cellStyle name="Normal 2 16 7 3" xfId="22516"/>
    <cellStyle name="Normal 2 16 7 4" xfId="22517"/>
    <cellStyle name="Normal 2 16 7 5" xfId="22518"/>
    <cellStyle name="Normal 2 16 8" xfId="22519"/>
    <cellStyle name="Normal 2 16 8 2" xfId="22520"/>
    <cellStyle name="Normal 2 16 9" xfId="22521"/>
    <cellStyle name="Normal 2 17" xfId="22522"/>
    <cellStyle name="Normal 2 17 10" xfId="22523"/>
    <cellStyle name="Normal 2 17 11" xfId="22524"/>
    <cellStyle name="Normal 2 17 2" xfId="22525"/>
    <cellStyle name="Normal 2 17 2 2" xfId="22526"/>
    <cellStyle name="Normal 2 17 3" xfId="22527"/>
    <cellStyle name="Normal 2 17 3 2" xfId="22528"/>
    <cellStyle name="Normal 2 17 3 2 2" xfId="22529"/>
    <cellStyle name="Normal 2 17 3 2 2 2" xfId="22530"/>
    <cellStyle name="Normal 2 17 3 2 2 3" xfId="22531"/>
    <cellStyle name="Normal 2 17 3 2 3" xfId="22532"/>
    <cellStyle name="Normal 2 17 3 2 4" xfId="22533"/>
    <cellStyle name="Normal 2 17 3 2 5" xfId="22534"/>
    <cellStyle name="Normal 2 17 3 2 6" xfId="22535"/>
    <cellStyle name="Normal 2 17 3 3" xfId="22536"/>
    <cellStyle name="Normal 2 17 3 3 2" xfId="22537"/>
    <cellStyle name="Normal 2 17 3 3 2 2" xfId="22538"/>
    <cellStyle name="Normal 2 17 3 3 3" xfId="22539"/>
    <cellStyle name="Normal 2 17 3 3 4" xfId="22540"/>
    <cellStyle name="Normal 2 17 3 3 5" xfId="22541"/>
    <cellStyle name="Normal 2 17 3 4" xfId="22542"/>
    <cellStyle name="Normal 2 17 3 4 2" xfId="22543"/>
    <cellStyle name="Normal 2 17 3 4 3" xfId="22544"/>
    <cellStyle name="Normal 2 17 3 4 4" xfId="22545"/>
    <cellStyle name="Normal 2 17 3 5" xfId="22546"/>
    <cellStyle name="Normal 2 17 3 5 2" xfId="22547"/>
    <cellStyle name="Normal 2 17 3 6" xfId="22548"/>
    <cellStyle name="Normal 2 17 3 7" xfId="22549"/>
    <cellStyle name="Normal 2 17 3 8" xfId="22550"/>
    <cellStyle name="Normal 2 17 3 9" xfId="22551"/>
    <cellStyle name="Normal 2 17 4" xfId="22552"/>
    <cellStyle name="Normal 2 17 4 2" xfId="22553"/>
    <cellStyle name="Normal 2 17 4 2 2" xfId="22554"/>
    <cellStyle name="Normal 2 17 4 2 2 2" xfId="22555"/>
    <cellStyle name="Normal 2 17 4 2 2 3" xfId="22556"/>
    <cellStyle name="Normal 2 17 4 2 3" xfId="22557"/>
    <cellStyle name="Normal 2 17 4 2 4" xfId="22558"/>
    <cellStyle name="Normal 2 17 4 2 5" xfId="22559"/>
    <cellStyle name="Normal 2 17 4 2 6" xfId="22560"/>
    <cellStyle name="Normal 2 17 4 3" xfId="22561"/>
    <cellStyle name="Normal 2 17 4 3 2" xfId="22562"/>
    <cellStyle name="Normal 2 17 4 3 2 2" xfId="22563"/>
    <cellStyle name="Normal 2 17 4 3 3" xfId="22564"/>
    <cellStyle name="Normal 2 17 4 3 4" xfId="22565"/>
    <cellStyle name="Normal 2 17 4 3 5" xfId="22566"/>
    <cellStyle name="Normal 2 17 4 4" xfId="22567"/>
    <cellStyle name="Normal 2 17 4 4 2" xfId="22568"/>
    <cellStyle name="Normal 2 17 4 4 3" xfId="22569"/>
    <cellStyle name="Normal 2 17 4 4 4" xfId="22570"/>
    <cellStyle name="Normal 2 17 4 5" xfId="22571"/>
    <cellStyle name="Normal 2 17 4 5 2" xfId="22572"/>
    <cellStyle name="Normal 2 17 4 6" xfId="22573"/>
    <cellStyle name="Normal 2 17 4 7" xfId="22574"/>
    <cellStyle name="Normal 2 17 4 8" xfId="22575"/>
    <cellStyle name="Normal 2 17 4 9" xfId="22576"/>
    <cellStyle name="Normal 2 17 5" xfId="22577"/>
    <cellStyle name="Normal 2 17 5 2" xfId="22578"/>
    <cellStyle name="Normal 2 17 5 2 2" xfId="22579"/>
    <cellStyle name="Normal 2 17 5 2 3" xfId="22580"/>
    <cellStyle name="Normal 2 17 5 3" xfId="22581"/>
    <cellStyle name="Normal 2 17 5 4" xfId="22582"/>
    <cellStyle name="Normal 2 17 5 5" xfId="22583"/>
    <cellStyle name="Normal 2 17 5 6" xfId="22584"/>
    <cellStyle name="Normal 2 17 6" xfId="22585"/>
    <cellStyle name="Normal 2 17 6 2" xfId="22586"/>
    <cellStyle name="Normal 2 17 6 2 2" xfId="22587"/>
    <cellStyle name="Normal 2 17 6 3" xfId="22588"/>
    <cellStyle name="Normal 2 17 6 4" xfId="22589"/>
    <cellStyle name="Normal 2 17 6 5" xfId="22590"/>
    <cellStyle name="Normal 2 17 6 6" xfId="22591"/>
    <cellStyle name="Normal 2 17 7" xfId="22592"/>
    <cellStyle name="Normal 2 17 7 2" xfId="22593"/>
    <cellStyle name="Normal 2 17 7 3" xfId="22594"/>
    <cellStyle name="Normal 2 17 7 4" xfId="22595"/>
    <cellStyle name="Normal 2 17 7 5" xfId="22596"/>
    <cellStyle name="Normal 2 17 8" xfId="22597"/>
    <cellStyle name="Normal 2 17 8 2" xfId="22598"/>
    <cellStyle name="Normal 2 17 9" xfId="22599"/>
    <cellStyle name="Normal 2 18" xfId="22600"/>
    <cellStyle name="Normal 2 18 10" xfId="22601"/>
    <cellStyle name="Normal 2 18 11" xfId="22602"/>
    <cellStyle name="Normal 2 18 2" xfId="22603"/>
    <cellStyle name="Normal 2 18 2 2" xfId="22604"/>
    <cellStyle name="Normal 2 18 3" xfId="22605"/>
    <cellStyle name="Normal 2 18 3 2" xfId="22606"/>
    <cellStyle name="Normal 2 18 3 2 2" xfId="22607"/>
    <cellStyle name="Normal 2 18 3 2 2 2" xfId="22608"/>
    <cellStyle name="Normal 2 18 3 2 2 3" xfId="22609"/>
    <cellStyle name="Normal 2 18 3 2 3" xfId="22610"/>
    <cellStyle name="Normal 2 18 3 2 4" xfId="22611"/>
    <cellStyle name="Normal 2 18 3 2 5" xfId="22612"/>
    <cellStyle name="Normal 2 18 3 2 6" xfId="22613"/>
    <cellStyle name="Normal 2 18 3 3" xfId="22614"/>
    <cellStyle name="Normal 2 18 3 3 2" xfId="22615"/>
    <cellStyle name="Normal 2 18 3 3 2 2" xfId="22616"/>
    <cellStyle name="Normal 2 18 3 3 3" xfId="22617"/>
    <cellStyle name="Normal 2 18 3 3 4" xfId="22618"/>
    <cellStyle name="Normal 2 18 3 3 5" xfId="22619"/>
    <cellStyle name="Normal 2 18 3 4" xfId="22620"/>
    <cellStyle name="Normal 2 18 3 4 2" xfId="22621"/>
    <cellStyle name="Normal 2 18 3 4 3" xfId="22622"/>
    <cellStyle name="Normal 2 18 3 4 4" xfId="22623"/>
    <cellStyle name="Normal 2 18 3 5" xfId="22624"/>
    <cellStyle name="Normal 2 18 3 5 2" xfId="22625"/>
    <cellStyle name="Normal 2 18 3 6" xfId="22626"/>
    <cellStyle name="Normal 2 18 3 7" xfId="22627"/>
    <cellStyle name="Normal 2 18 3 8" xfId="22628"/>
    <cellStyle name="Normal 2 18 3 9" xfId="22629"/>
    <cellStyle name="Normal 2 18 4" xfId="22630"/>
    <cellStyle name="Normal 2 18 4 2" xfId="22631"/>
    <cellStyle name="Normal 2 18 4 2 2" xfId="22632"/>
    <cellStyle name="Normal 2 18 4 2 2 2" xfId="22633"/>
    <cellStyle name="Normal 2 18 4 2 2 3" xfId="22634"/>
    <cellStyle name="Normal 2 18 4 2 3" xfId="22635"/>
    <cellStyle name="Normal 2 18 4 2 4" xfId="22636"/>
    <cellStyle name="Normal 2 18 4 2 5" xfId="22637"/>
    <cellStyle name="Normal 2 18 4 2 6" xfId="22638"/>
    <cellStyle name="Normal 2 18 4 3" xfId="22639"/>
    <cellStyle name="Normal 2 18 4 3 2" xfId="22640"/>
    <cellStyle name="Normal 2 18 4 3 2 2" xfId="22641"/>
    <cellStyle name="Normal 2 18 4 3 3" xfId="22642"/>
    <cellStyle name="Normal 2 18 4 3 4" xfId="22643"/>
    <cellStyle name="Normal 2 18 4 3 5" xfId="22644"/>
    <cellStyle name="Normal 2 18 4 4" xfId="22645"/>
    <cellStyle name="Normal 2 18 4 4 2" xfId="22646"/>
    <cellStyle name="Normal 2 18 4 4 3" xfId="22647"/>
    <cellStyle name="Normal 2 18 4 4 4" xfId="22648"/>
    <cellStyle name="Normal 2 18 4 5" xfId="22649"/>
    <cellStyle name="Normal 2 18 4 5 2" xfId="22650"/>
    <cellStyle name="Normal 2 18 4 6" xfId="22651"/>
    <cellStyle name="Normal 2 18 4 7" xfId="22652"/>
    <cellStyle name="Normal 2 18 4 8" xfId="22653"/>
    <cellStyle name="Normal 2 18 4 9" xfId="22654"/>
    <cellStyle name="Normal 2 18 5" xfId="22655"/>
    <cellStyle name="Normal 2 18 5 2" xfId="22656"/>
    <cellStyle name="Normal 2 18 5 2 2" xfId="22657"/>
    <cellStyle name="Normal 2 18 5 2 3" xfId="22658"/>
    <cellStyle name="Normal 2 18 5 3" xfId="22659"/>
    <cellStyle name="Normal 2 18 5 4" xfId="22660"/>
    <cellStyle name="Normal 2 18 5 5" xfId="22661"/>
    <cellStyle name="Normal 2 18 5 6" xfId="22662"/>
    <cellStyle name="Normal 2 18 6" xfId="22663"/>
    <cellStyle name="Normal 2 18 6 2" xfId="22664"/>
    <cellStyle name="Normal 2 18 6 2 2" xfId="22665"/>
    <cellStyle name="Normal 2 18 6 3" xfId="22666"/>
    <cellStyle name="Normal 2 18 6 4" xfId="22667"/>
    <cellStyle name="Normal 2 18 6 5" xfId="22668"/>
    <cellStyle name="Normal 2 18 6 6" xfId="22669"/>
    <cellStyle name="Normal 2 18 7" xfId="22670"/>
    <cellStyle name="Normal 2 18 7 2" xfId="22671"/>
    <cellStyle name="Normal 2 18 7 3" xfId="22672"/>
    <cellStyle name="Normal 2 18 7 4" xfId="22673"/>
    <cellStyle name="Normal 2 18 7 5" xfId="22674"/>
    <cellStyle name="Normal 2 18 8" xfId="22675"/>
    <cellStyle name="Normal 2 18 8 2" xfId="22676"/>
    <cellStyle name="Normal 2 18 9" xfId="22677"/>
    <cellStyle name="Normal 2 19" xfId="22678"/>
    <cellStyle name="Normal 2 19 10" xfId="22679"/>
    <cellStyle name="Normal 2 19 11" xfId="22680"/>
    <cellStyle name="Normal 2 19 2" xfId="22681"/>
    <cellStyle name="Normal 2 19 2 2" xfId="22682"/>
    <cellStyle name="Normal 2 19 3" xfId="22683"/>
    <cellStyle name="Normal 2 19 3 2" xfId="22684"/>
    <cellStyle name="Normal 2 19 3 2 2" xfId="22685"/>
    <cellStyle name="Normal 2 19 3 2 2 2" xfId="22686"/>
    <cellStyle name="Normal 2 19 3 2 2 3" xfId="22687"/>
    <cellStyle name="Normal 2 19 3 2 3" xfId="22688"/>
    <cellStyle name="Normal 2 19 3 2 4" xfId="22689"/>
    <cellStyle name="Normal 2 19 3 2 5" xfId="22690"/>
    <cellStyle name="Normal 2 19 3 2 6" xfId="22691"/>
    <cellStyle name="Normal 2 19 3 3" xfId="22692"/>
    <cellStyle name="Normal 2 19 3 3 2" xfId="22693"/>
    <cellStyle name="Normal 2 19 3 3 2 2" xfId="22694"/>
    <cellStyle name="Normal 2 19 3 3 3" xfId="22695"/>
    <cellStyle name="Normal 2 19 3 3 4" xfId="22696"/>
    <cellStyle name="Normal 2 19 3 3 5" xfId="22697"/>
    <cellStyle name="Normal 2 19 3 4" xfId="22698"/>
    <cellStyle name="Normal 2 19 3 4 2" xfId="22699"/>
    <cellStyle name="Normal 2 19 3 4 3" xfId="22700"/>
    <cellStyle name="Normal 2 19 3 4 4" xfId="22701"/>
    <cellStyle name="Normal 2 19 3 5" xfId="22702"/>
    <cellStyle name="Normal 2 19 3 5 2" xfId="22703"/>
    <cellStyle name="Normal 2 19 3 6" xfId="22704"/>
    <cellStyle name="Normal 2 19 3 7" xfId="22705"/>
    <cellStyle name="Normal 2 19 3 8" xfId="22706"/>
    <cellStyle name="Normal 2 19 3 9" xfId="22707"/>
    <cellStyle name="Normal 2 19 4" xfId="22708"/>
    <cellStyle name="Normal 2 19 4 2" xfId="22709"/>
    <cellStyle name="Normal 2 19 4 2 2" xfId="22710"/>
    <cellStyle name="Normal 2 19 4 2 2 2" xfId="22711"/>
    <cellStyle name="Normal 2 19 4 2 2 3" xfId="22712"/>
    <cellStyle name="Normal 2 19 4 2 3" xfId="22713"/>
    <cellStyle name="Normal 2 19 4 2 4" xfId="22714"/>
    <cellStyle name="Normal 2 19 4 2 5" xfId="22715"/>
    <cellStyle name="Normal 2 19 4 2 6" xfId="22716"/>
    <cellStyle name="Normal 2 19 4 3" xfId="22717"/>
    <cellStyle name="Normal 2 19 4 3 2" xfId="22718"/>
    <cellStyle name="Normal 2 19 4 3 2 2" xfId="22719"/>
    <cellStyle name="Normal 2 19 4 3 3" xfId="22720"/>
    <cellStyle name="Normal 2 19 4 3 4" xfId="22721"/>
    <cellStyle name="Normal 2 19 4 3 5" xfId="22722"/>
    <cellStyle name="Normal 2 19 4 4" xfId="22723"/>
    <cellStyle name="Normal 2 19 4 4 2" xfId="22724"/>
    <cellStyle name="Normal 2 19 4 4 3" xfId="22725"/>
    <cellStyle name="Normal 2 19 4 4 4" xfId="22726"/>
    <cellStyle name="Normal 2 19 4 5" xfId="22727"/>
    <cellStyle name="Normal 2 19 4 5 2" xfId="22728"/>
    <cellStyle name="Normal 2 19 4 6" xfId="22729"/>
    <cellStyle name="Normal 2 19 4 7" xfId="22730"/>
    <cellStyle name="Normal 2 19 4 8" xfId="22731"/>
    <cellStyle name="Normal 2 19 4 9" xfId="22732"/>
    <cellStyle name="Normal 2 19 5" xfId="22733"/>
    <cellStyle name="Normal 2 19 5 2" xfId="22734"/>
    <cellStyle name="Normal 2 19 5 2 2" xfId="22735"/>
    <cellStyle name="Normal 2 19 5 2 3" xfId="22736"/>
    <cellStyle name="Normal 2 19 5 3" xfId="22737"/>
    <cellStyle name="Normal 2 19 5 4" xfId="22738"/>
    <cellStyle name="Normal 2 19 5 5" xfId="22739"/>
    <cellStyle name="Normal 2 19 5 6" xfId="22740"/>
    <cellStyle name="Normal 2 19 6" xfId="22741"/>
    <cellStyle name="Normal 2 19 6 2" xfId="22742"/>
    <cellStyle name="Normal 2 19 6 2 2" xfId="22743"/>
    <cellStyle name="Normal 2 19 6 3" xfId="22744"/>
    <cellStyle name="Normal 2 19 6 4" xfId="22745"/>
    <cellStyle name="Normal 2 19 6 5" xfId="22746"/>
    <cellStyle name="Normal 2 19 6 6" xfId="22747"/>
    <cellStyle name="Normal 2 19 7" xfId="22748"/>
    <cellStyle name="Normal 2 19 7 2" xfId="22749"/>
    <cellStyle name="Normal 2 19 7 3" xfId="22750"/>
    <cellStyle name="Normal 2 19 7 4" xfId="22751"/>
    <cellStyle name="Normal 2 19 7 5" xfId="22752"/>
    <cellStyle name="Normal 2 19 8" xfId="22753"/>
    <cellStyle name="Normal 2 19 8 2" xfId="22754"/>
    <cellStyle name="Normal 2 19 9" xfId="22755"/>
    <cellStyle name="Normal 2 2" xfId="22756"/>
    <cellStyle name="Normal 2 2 10" xfId="22757"/>
    <cellStyle name="Normal 2 2 10 2" xfId="22758"/>
    <cellStyle name="Normal 2 2 10 3" xfId="22759"/>
    <cellStyle name="Normal 2 2 10 4" xfId="22760"/>
    <cellStyle name="Normal 2 2 11" xfId="22761"/>
    <cellStyle name="Normal 2 2 11 2" xfId="22762"/>
    <cellStyle name="Normal 2 2 11 3" xfId="22763"/>
    <cellStyle name="Normal 2 2 11 4" xfId="22764"/>
    <cellStyle name="Normal 2 2 12" xfId="22765"/>
    <cellStyle name="Normal 2 2 12 2" xfId="22766"/>
    <cellStyle name="Normal 2 2 12 3" xfId="22767"/>
    <cellStyle name="Normal 2 2 12 4" xfId="22768"/>
    <cellStyle name="Normal 2 2 13" xfId="22769"/>
    <cellStyle name="Normal 2 2 13 2" xfId="22770"/>
    <cellStyle name="Normal 2 2 13 3" xfId="22771"/>
    <cellStyle name="Normal 2 2 13 4" xfId="22772"/>
    <cellStyle name="Normal 2 2 14" xfId="22773"/>
    <cellStyle name="Normal 2 2 14 2" xfId="22774"/>
    <cellStyle name="Normal 2 2 14 3" xfId="22775"/>
    <cellStyle name="Normal 2 2 14 4" xfId="22776"/>
    <cellStyle name="Normal 2 2 15" xfId="22777"/>
    <cellStyle name="Normal 2 2 15 2" xfId="22778"/>
    <cellStyle name="Normal 2 2 15 3" xfId="22779"/>
    <cellStyle name="Normal 2 2 15 4" xfId="22780"/>
    <cellStyle name="Normal 2 2 16" xfId="22781"/>
    <cellStyle name="Normal 2 2 16 2" xfId="22782"/>
    <cellStyle name="Normal 2 2 16 3" xfId="22783"/>
    <cellStyle name="Normal 2 2 16 4" xfId="22784"/>
    <cellStyle name="Normal 2 2 17" xfId="22785"/>
    <cellStyle name="Normal 2 2 17 2" xfId="22786"/>
    <cellStyle name="Normal 2 2 17 2 2" xfId="22787"/>
    <cellStyle name="Normal 2 2 18" xfId="22788"/>
    <cellStyle name="Normal 2 2 19" xfId="22789"/>
    <cellStyle name="Normal 2 2 2" xfId="22790"/>
    <cellStyle name="Normal 2 2 2 10" xfId="22791"/>
    <cellStyle name="Normal 2 2 2 10 10" xfId="22792"/>
    <cellStyle name="Normal 2 2 2 10 2" xfId="22793"/>
    <cellStyle name="Normal 2 2 2 10 2 2" xfId="22794"/>
    <cellStyle name="Normal 2 2 2 10 2 2 2" xfId="22795"/>
    <cellStyle name="Normal 2 2 2 10 2 2 3" xfId="22796"/>
    <cellStyle name="Normal 2 2 2 10 2 3" xfId="22797"/>
    <cellStyle name="Normal 2 2 2 10 2 4" xfId="22798"/>
    <cellStyle name="Normal 2 2 2 10 2 5" xfId="22799"/>
    <cellStyle name="Normal 2 2 2 10 2 6" xfId="22800"/>
    <cellStyle name="Normal 2 2 2 10 3" xfId="22801"/>
    <cellStyle name="Normal 2 2 2 10 3 2" xfId="22802"/>
    <cellStyle name="Normal 2 2 2 10 3 2 2" xfId="22803"/>
    <cellStyle name="Normal 2 2 2 10 3 2 3" xfId="22804"/>
    <cellStyle name="Normal 2 2 2 10 3 3" xfId="22805"/>
    <cellStyle name="Normal 2 2 2 10 3 4" xfId="22806"/>
    <cellStyle name="Normal 2 2 2 10 3 5" xfId="22807"/>
    <cellStyle name="Normal 2 2 2 10 3 6" xfId="22808"/>
    <cellStyle name="Normal 2 2 2 10 4" xfId="22809"/>
    <cellStyle name="Normal 2 2 2 10 4 2" xfId="22810"/>
    <cellStyle name="Normal 2 2 2 10 4 2 2" xfId="22811"/>
    <cellStyle name="Normal 2 2 2 10 4 3" xfId="22812"/>
    <cellStyle name="Normal 2 2 2 10 4 4" xfId="22813"/>
    <cellStyle name="Normal 2 2 2 10 4 5" xfId="22814"/>
    <cellStyle name="Normal 2 2 2 10 5" xfId="22815"/>
    <cellStyle name="Normal 2 2 2 10 5 2" xfId="22816"/>
    <cellStyle name="Normal 2 2 2 10 5 3" xfId="22817"/>
    <cellStyle name="Normal 2 2 2 10 5 4" xfId="22818"/>
    <cellStyle name="Normal 2 2 2 10 6" xfId="22819"/>
    <cellStyle name="Normal 2 2 2 10 6 2" xfId="22820"/>
    <cellStyle name="Normal 2 2 2 10 7" xfId="22821"/>
    <cellStyle name="Normal 2 2 2 10 8" xfId="22822"/>
    <cellStyle name="Normal 2 2 2 10 9" xfId="22823"/>
    <cellStyle name="Normal 2 2 2 11" xfId="22824"/>
    <cellStyle name="Normal 2 2 2 11 10" xfId="22825"/>
    <cellStyle name="Normal 2 2 2 11 2" xfId="22826"/>
    <cellStyle name="Normal 2 2 2 11 2 2" xfId="22827"/>
    <cellStyle name="Normal 2 2 2 11 2 2 2" xfId="22828"/>
    <cellStyle name="Normal 2 2 2 11 2 2 3" xfId="22829"/>
    <cellStyle name="Normal 2 2 2 11 2 3" xfId="22830"/>
    <cellStyle name="Normal 2 2 2 11 2 4" xfId="22831"/>
    <cellStyle name="Normal 2 2 2 11 2 5" xfId="22832"/>
    <cellStyle name="Normal 2 2 2 11 2 6" xfId="22833"/>
    <cellStyle name="Normal 2 2 2 11 3" xfId="22834"/>
    <cellStyle name="Normal 2 2 2 11 3 2" xfId="22835"/>
    <cellStyle name="Normal 2 2 2 11 3 2 2" xfId="22836"/>
    <cellStyle name="Normal 2 2 2 11 3 2 3" xfId="22837"/>
    <cellStyle name="Normal 2 2 2 11 3 3" xfId="22838"/>
    <cellStyle name="Normal 2 2 2 11 3 4" xfId="22839"/>
    <cellStyle name="Normal 2 2 2 11 3 5" xfId="22840"/>
    <cellStyle name="Normal 2 2 2 11 3 6" xfId="22841"/>
    <cellStyle name="Normal 2 2 2 11 4" xfId="22842"/>
    <cellStyle name="Normal 2 2 2 11 4 2" xfId="22843"/>
    <cellStyle name="Normal 2 2 2 11 4 2 2" xfId="22844"/>
    <cellStyle name="Normal 2 2 2 11 4 3" xfId="22845"/>
    <cellStyle name="Normal 2 2 2 11 4 4" xfId="22846"/>
    <cellStyle name="Normal 2 2 2 11 4 5" xfId="22847"/>
    <cellStyle name="Normal 2 2 2 11 5" xfId="22848"/>
    <cellStyle name="Normal 2 2 2 11 5 2" xfId="22849"/>
    <cellStyle name="Normal 2 2 2 11 5 3" xfId="22850"/>
    <cellStyle name="Normal 2 2 2 11 5 4" xfId="22851"/>
    <cellStyle name="Normal 2 2 2 11 6" xfId="22852"/>
    <cellStyle name="Normal 2 2 2 11 6 2" xfId="22853"/>
    <cellStyle name="Normal 2 2 2 11 7" xfId="22854"/>
    <cellStyle name="Normal 2 2 2 11 8" xfId="22855"/>
    <cellStyle name="Normal 2 2 2 11 9" xfId="22856"/>
    <cellStyle name="Normal 2 2 2 12" xfId="22857"/>
    <cellStyle name="Normal 2 2 2 12 10" xfId="22858"/>
    <cellStyle name="Normal 2 2 2 12 2" xfId="22859"/>
    <cellStyle name="Normal 2 2 2 12 2 2" xfId="22860"/>
    <cellStyle name="Normal 2 2 2 12 2 2 2" xfId="22861"/>
    <cellStyle name="Normal 2 2 2 12 2 2 3" xfId="22862"/>
    <cellStyle name="Normal 2 2 2 12 2 3" xfId="22863"/>
    <cellStyle name="Normal 2 2 2 12 2 4" xfId="22864"/>
    <cellStyle name="Normal 2 2 2 12 2 5" xfId="22865"/>
    <cellStyle name="Normal 2 2 2 12 2 6" xfId="22866"/>
    <cellStyle name="Normal 2 2 2 12 3" xfId="22867"/>
    <cellStyle name="Normal 2 2 2 12 3 2" xfId="22868"/>
    <cellStyle name="Normal 2 2 2 12 3 2 2" xfId="22869"/>
    <cellStyle name="Normal 2 2 2 12 3 2 3" xfId="22870"/>
    <cellStyle name="Normal 2 2 2 12 3 3" xfId="22871"/>
    <cellStyle name="Normal 2 2 2 12 3 4" xfId="22872"/>
    <cellStyle name="Normal 2 2 2 12 3 5" xfId="22873"/>
    <cellStyle name="Normal 2 2 2 12 3 6" xfId="22874"/>
    <cellStyle name="Normal 2 2 2 12 4" xfId="22875"/>
    <cellStyle name="Normal 2 2 2 12 4 2" xfId="22876"/>
    <cellStyle name="Normal 2 2 2 12 4 2 2" xfId="22877"/>
    <cellStyle name="Normal 2 2 2 12 4 3" xfId="22878"/>
    <cellStyle name="Normal 2 2 2 12 4 4" xfId="22879"/>
    <cellStyle name="Normal 2 2 2 12 4 5" xfId="22880"/>
    <cellStyle name="Normal 2 2 2 12 5" xfId="22881"/>
    <cellStyle name="Normal 2 2 2 12 5 2" xfId="22882"/>
    <cellStyle name="Normal 2 2 2 12 5 3" xfId="22883"/>
    <cellStyle name="Normal 2 2 2 12 5 4" xfId="22884"/>
    <cellStyle name="Normal 2 2 2 12 6" xfId="22885"/>
    <cellStyle name="Normal 2 2 2 12 6 2" xfId="22886"/>
    <cellStyle name="Normal 2 2 2 12 7" xfId="22887"/>
    <cellStyle name="Normal 2 2 2 12 8" xfId="22888"/>
    <cellStyle name="Normal 2 2 2 12 9" xfId="22889"/>
    <cellStyle name="Normal 2 2 2 13" xfId="22890"/>
    <cellStyle name="Normal 2 2 2 13 10" xfId="22891"/>
    <cellStyle name="Normal 2 2 2 13 2" xfId="22892"/>
    <cellStyle name="Normal 2 2 2 13 2 2" xfId="22893"/>
    <cellStyle name="Normal 2 2 2 13 2 2 2" xfId="22894"/>
    <cellStyle name="Normal 2 2 2 13 2 2 3" xfId="22895"/>
    <cellStyle name="Normal 2 2 2 13 2 3" xfId="22896"/>
    <cellStyle name="Normal 2 2 2 13 2 4" xfId="22897"/>
    <cellStyle name="Normal 2 2 2 13 2 5" xfId="22898"/>
    <cellStyle name="Normal 2 2 2 13 2 6" xfId="22899"/>
    <cellStyle name="Normal 2 2 2 13 3" xfId="22900"/>
    <cellStyle name="Normal 2 2 2 13 3 2" xfId="22901"/>
    <cellStyle name="Normal 2 2 2 13 3 2 2" xfId="22902"/>
    <cellStyle name="Normal 2 2 2 13 3 2 3" xfId="22903"/>
    <cellStyle name="Normal 2 2 2 13 3 3" xfId="22904"/>
    <cellStyle name="Normal 2 2 2 13 3 4" xfId="22905"/>
    <cellStyle name="Normal 2 2 2 13 3 5" xfId="22906"/>
    <cellStyle name="Normal 2 2 2 13 3 6" xfId="22907"/>
    <cellStyle name="Normal 2 2 2 13 4" xfId="22908"/>
    <cellStyle name="Normal 2 2 2 13 4 2" xfId="22909"/>
    <cellStyle name="Normal 2 2 2 13 4 2 2" xfId="22910"/>
    <cellStyle name="Normal 2 2 2 13 4 3" xfId="22911"/>
    <cellStyle name="Normal 2 2 2 13 4 4" xfId="22912"/>
    <cellStyle name="Normal 2 2 2 13 4 5" xfId="22913"/>
    <cellStyle name="Normal 2 2 2 13 5" xfId="22914"/>
    <cellStyle name="Normal 2 2 2 13 5 2" xfId="22915"/>
    <cellStyle name="Normal 2 2 2 13 5 3" xfId="22916"/>
    <cellStyle name="Normal 2 2 2 13 5 4" xfId="22917"/>
    <cellStyle name="Normal 2 2 2 13 6" xfId="22918"/>
    <cellStyle name="Normal 2 2 2 13 6 2" xfId="22919"/>
    <cellStyle name="Normal 2 2 2 13 7" xfId="22920"/>
    <cellStyle name="Normal 2 2 2 13 8" xfId="22921"/>
    <cellStyle name="Normal 2 2 2 13 9" xfId="22922"/>
    <cellStyle name="Normal 2 2 2 14" xfId="22923"/>
    <cellStyle name="Normal 2 2 2 14 10" xfId="22924"/>
    <cellStyle name="Normal 2 2 2 14 2" xfId="22925"/>
    <cellStyle name="Normal 2 2 2 14 2 2" xfId="22926"/>
    <cellStyle name="Normal 2 2 2 14 2 2 2" xfId="22927"/>
    <cellStyle name="Normal 2 2 2 14 2 2 3" xfId="22928"/>
    <cellStyle name="Normal 2 2 2 14 2 3" xfId="22929"/>
    <cellStyle name="Normal 2 2 2 14 2 4" xfId="22930"/>
    <cellStyle name="Normal 2 2 2 14 2 5" xfId="22931"/>
    <cellStyle name="Normal 2 2 2 14 2 6" xfId="22932"/>
    <cellStyle name="Normal 2 2 2 14 3" xfId="22933"/>
    <cellStyle name="Normal 2 2 2 14 3 2" xfId="22934"/>
    <cellStyle name="Normal 2 2 2 14 3 2 2" xfId="22935"/>
    <cellStyle name="Normal 2 2 2 14 3 2 3" xfId="22936"/>
    <cellStyle name="Normal 2 2 2 14 3 3" xfId="22937"/>
    <cellStyle name="Normal 2 2 2 14 3 4" xfId="22938"/>
    <cellStyle name="Normal 2 2 2 14 3 5" xfId="22939"/>
    <cellStyle name="Normal 2 2 2 14 3 6" xfId="22940"/>
    <cellStyle name="Normal 2 2 2 14 4" xfId="22941"/>
    <cellStyle name="Normal 2 2 2 14 4 2" xfId="22942"/>
    <cellStyle name="Normal 2 2 2 14 4 2 2" xfId="22943"/>
    <cellStyle name="Normal 2 2 2 14 4 3" xfId="22944"/>
    <cellStyle name="Normal 2 2 2 14 4 4" xfId="22945"/>
    <cellStyle name="Normal 2 2 2 14 4 5" xfId="22946"/>
    <cellStyle name="Normal 2 2 2 14 5" xfId="22947"/>
    <cellStyle name="Normal 2 2 2 14 5 2" xfId="22948"/>
    <cellStyle name="Normal 2 2 2 14 5 3" xfId="22949"/>
    <cellStyle name="Normal 2 2 2 14 5 4" xfId="22950"/>
    <cellStyle name="Normal 2 2 2 14 6" xfId="22951"/>
    <cellStyle name="Normal 2 2 2 14 6 2" xfId="22952"/>
    <cellStyle name="Normal 2 2 2 14 7" xfId="22953"/>
    <cellStyle name="Normal 2 2 2 14 8" xfId="22954"/>
    <cellStyle name="Normal 2 2 2 14 9" xfId="22955"/>
    <cellStyle name="Normal 2 2 2 15" xfId="22956"/>
    <cellStyle name="Normal 2 2 2 15 10" xfId="22957"/>
    <cellStyle name="Normal 2 2 2 15 2" xfId="22958"/>
    <cellStyle name="Normal 2 2 2 15 2 2" xfId="22959"/>
    <cellStyle name="Normal 2 2 2 15 2 2 2" xfId="22960"/>
    <cellStyle name="Normal 2 2 2 15 2 2 3" xfId="22961"/>
    <cellStyle name="Normal 2 2 2 15 2 3" xfId="22962"/>
    <cellStyle name="Normal 2 2 2 15 2 4" xfId="22963"/>
    <cellStyle name="Normal 2 2 2 15 2 5" xfId="22964"/>
    <cellStyle name="Normal 2 2 2 15 2 6" xfId="22965"/>
    <cellStyle name="Normal 2 2 2 15 3" xfId="22966"/>
    <cellStyle name="Normal 2 2 2 15 3 2" xfId="22967"/>
    <cellStyle name="Normal 2 2 2 15 3 2 2" xfId="22968"/>
    <cellStyle name="Normal 2 2 2 15 3 2 3" xfId="22969"/>
    <cellStyle name="Normal 2 2 2 15 3 3" xfId="22970"/>
    <cellStyle name="Normal 2 2 2 15 3 4" xfId="22971"/>
    <cellStyle name="Normal 2 2 2 15 3 5" xfId="22972"/>
    <cellStyle name="Normal 2 2 2 15 3 6" xfId="22973"/>
    <cellStyle name="Normal 2 2 2 15 4" xfId="22974"/>
    <cellStyle name="Normal 2 2 2 15 4 2" xfId="22975"/>
    <cellStyle name="Normal 2 2 2 15 4 2 2" xfId="22976"/>
    <cellStyle name="Normal 2 2 2 15 4 3" xfId="22977"/>
    <cellStyle name="Normal 2 2 2 15 4 4" xfId="22978"/>
    <cellStyle name="Normal 2 2 2 15 4 5" xfId="22979"/>
    <cellStyle name="Normal 2 2 2 15 5" xfId="22980"/>
    <cellStyle name="Normal 2 2 2 15 5 2" xfId="22981"/>
    <cellStyle name="Normal 2 2 2 15 5 3" xfId="22982"/>
    <cellStyle name="Normal 2 2 2 15 5 4" xfId="22983"/>
    <cellStyle name="Normal 2 2 2 15 6" xfId="22984"/>
    <cellStyle name="Normal 2 2 2 15 6 2" xfId="22985"/>
    <cellStyle name="Normal 2 2 2 15 7" xfId="22986"/>
    <cellStyle name="Normal 2 2 2 15 8" xfId="22987"/>
    <cellStyle name="Normal 2 2 2 15 9" xfId="22988"/>
    <cellStyle name="Normal 2 2 2 16" xfId="22989"/>
    <cellStyle name="Normal 2 2 2 16 10" xfId="22990"/>
    <cellStyle name="Normal 2 2 2 16 2" xfId="22991"/>
    <cellStyle name="Normal 2 2 2 16 2 2" xfId="22992"/>
    <cellStyle name="Normal 2 2 2 16 2 2 2" xfId="22993"/>
    <cellStyle name="Normal 2 2 2 16 2 2 3" xfId="22994"/>
    <cellStyle name="Normal 2 2 2 16 2 3" xfId="22995"/>
    <cellStyle name="Normal 2 2 2 16 2 4" xfId="22996"/>
    <cellStyle name="Normal 2 2 2 16 2 5" xfId="22997"/>
    <cellStyle name="Normal 2 2 2 16 2 6" xfId="22998"/>
    <cellStyle name="Normal 2 2 2 16 3" xfId="22999"/>
    <cellStyle name="Normal 2 2 2 16 3 2" xfId="23000"/>
    <cellStyle name="Normal 2 2 2 16 3 2 2" xfId="23001"/>
    <cellStyle name="Normal 2 2 2 16 3 2 3" xfId="23002"/>
    <cellStyle name="Normal 2 2 2 16 3 3" xfId="23003"/>
    <cellStyle name="Normal 2 2 2 16 3 4" xfId="23004"/>
    <cellStyle name="Normal 2 2 2 16 3 5" xfId="23005"/>
    <cellStyle name="Normal 2 2 2 16 3 6" xfId="23006"/>
    <cellStyle name="Normal 2 2 2 16 4" xfId="23007"/>
    <cellStyle name="Normal 2 2 2 16 4 2" xfId="23008"/>
    <cellStyle name="Normal 2 2 2 16 4 2 2" xfId="23009"/>
    <cellStyle name="Normal 2 2 2 16 4 3" xfId="23010"/>
    <cellStyle name="Normal 2 2 2 16 4 4" xfId="23011"/>
    <cellStyle name="Normal 2 2 2 16 4 5" xfId="23012"/>
    <cellStyle name="Normal 2 2 2 16 5" xfId="23013"/>
    <cellStyle name="Normal 2 2 2 16 5 2" xfId="23014"/>
    <cellStyle name="Normal 2 2 2 16 5 3" xfId="23015"/>
    <cellStyle name="Normal 2 2 2 16 5 4" xfId="23016"/>
    <cellStyle name="Normal 2 2 2 16 6" xfId="23017"/>
    <cellStyle name="Normal 2 2 2 16 6 2" xfId="23018"/>
    <cellStyle name="Normal 2 2 2 16 7" xfId="23019"/>
    <cellStyle name="Normal 2 2 2 16 8" xfId="23020"/>
    <cellStyle name="Normal 2 2 2 16 9" xfId="23021"/>
    <cellStyle name="Normal 2 2 2 17" xfId="23022"/>
    <cellStyle name="Normal 2 2 2 17 10" xfId="23023"/>
    <cellStyle name="Normal 2 2 2 17 2" xfId="23024"/>
    <cellStyle name="Normal 2 2 2 17 2 2" xfId="23025"/>
    <cellStyle name="Normal 2 2 2 17 2 2 2" xfId="23026"/>
    <cellStyle name="Normal 2 2 2 17 2 2 3" xfId="23027"/>
    <cellStyle name="Normal 2 2 2 17 2 3" xfId="23028"/>
    <cellStyle name="Normal 2 2 2 17 2 4" xfId="23029"/>
    <cellStyle name="Normal 2 2 2 17 2 5" xfId="23030"/>
    <cellStyle name="Normal 2 2 2 17 2 6" xfId="23031"/>
    <cellStyle name="Normal 2 2 2 17 3" xfId="23032"/>
    <cellStyle name="Normal 2 2 2 17 3 2" xfId="23033"/>
    <cellStyle name="Normal 2 2 2 17 3 2 2" xfId="23034"/>
    <cellStyle name="Normal 2 2 2 17 3 2 3" xfId="23035"/>
    <cellStyle name="Normal 2 2 2 17 3 3" xfId="23036"/>
    <cellStyle name="Normal 2 2 2 17 3 4" xfId="23037"/>
    <cellStyle name="Normal 2 2 2 17 3 5" xfId="23038"/>
    <cellStyle name="Normal 2 2 2 17 3 6" xfId="23039"/>
    <cellStyle name="Normal 2 2 2 17 4" xfId="23040"/>
    <cellStyle name="Normal 2 2 2 17 4 2" xfId="23041"/>
    <cellStyle name="Normal 2 2 2 17 4 2 2" xfId="23042"/>
    <cellStyle name="Normal 2 2 2 17 4 3" xfId="23043"/>
    <cellStyle name="Normal 2 2 2 17 4 4" xfId="23044"/>
    <cellStyle name="Normal 2 2 2 17 4 5" xfId="23045"/>
    <cellStyle name="Normal 2 2 2 17 5" xfId="23046"/>
    <cellStyle name="Normal 2 2 2 17 5 2" xfId="23047"/>
    <cellStyle name="Normal 2 2 2 17 5 3" xfId="23048"/>
    <cellStyle name="Normal 2 2 2 17 5 4" xfId="23049"/>
    <cellStyle name="Normal 2 2 2 17 6" xfId="23050"/>
    <cellStyle name="Normal 2 2 2 17 6 2" xfId="23051"/>
    <cellStyle name="Normal 2 2 2 17 7" xfId="23052"/>
    <cellStyle name="Normal 2 2 2 17 8" xfId="23053"/>
    <cellStyle name="Normal 2 2 2 17 9" xfId="23054"/>
    <cellStyle name="Normal 2 2 2 18" xfId="23055"/>
    <cellStyle name="Normal 2 2 2 18 10" xfId="23056"/>
    <cellStyle name="Normal 2 2 2 18 2" xfId="23057"/>
    <cellStyle name="Normal 2 2 2 18 2 2" xfId="23058"/>
    <cellStyle name="Normal 2 2 2 18 2 2 2" xfId="23059"/>
    <cellStyle name="Normal 2 2 2 18 2 2 3" xfId="23060"/>
    <cellStyle name="Normal 2 2 2 18 2 3" xfId="23061"/>
    <cellStyle name="Normal 2 2 2 18 2 4" xfId="23062"/>
    <cellStyle name="Normal 2 2 2 18 2 5" xfId="23063"/>
    <cellStyle name="Normal 2 2 2 18 2 6" xfId="23064"/>
    <cellStyle name="Normal 2 2 2 18 3" xfId="23065"/>
    <cellStyle name="Normal 2 2 2 18 3 2" xfId="23066"/>
    <cellStyle name="Normal 2 2 2 18 3 2 2" xfId="23067"/>
    <cellStyle name="Normal 2 2 2 18 3 2 3" xfId="23068"/>
    <cellStyle name="Normal 2 2 2 18 3 3" xfId="23069"/>
    <cellStyle name="Normal 2 2 2 18 3 4" xfId="23070"/>
    <cellStyle name="Normal 2 2 2 18 3 5" xfId="23071"/>
    <cellStyle name="Normal 2 2 2 18 3 6" xfId="23072"/>
    <cellStyle name="Normal 2 2 2 18 4" xfId="23073"/>
    <cellStyle name="Normal 2 2 2 18 4 2" xfId="23074"/>
    <cellStyle name="Normal 2 2 2 18 4 2 2" xfId="23075"/>
    <cellStyle name="Normal 2 2 2 18 4 3" xfId="23076"/>
    <cellStyle name="Normal 2 2 2 18 4 4" xfId="23077"/>
    <cellStyle name="Normal 2 2 2 18 4 5" xfId="23078"/>
    <cellStyle name="Normal 2 2 2 18 5" xfId="23079"/>
    <cellStyle name="Normal 2 2 2 18 5 2" xfId="23080"/>
    <cellStyle name="Normal 2 2 2 18 5 3" xfId="23081"/>
    <cellStyle name="Normal 2 2 2 18 5 4" xfId="23082"/>
    <cellStyle name="Normal 2 2 2 18 6" xfId="23083"/>
    <cellStyle name="Normal 2 2 2 18 6 2" xfId="23084"/>
    <cellStyle name="Normal 2 2 2 18 7" xfId="23085"/>
    <cellStyle name="Normal 2 2 2 18 8" xfId="23086"/>
    <cellStyle name="Normal 2 2 2 18 9" xfId="23087"/>
    <cellStyle name="Normal 2 2 2 19" xfId="23088"/>
    <cellStyle name="Normal 2 2 2 19 10" xfId="23089"/>
    <cellStyle name="Normal 2 2 2 19 2" xfId="23090"/>
    <cellStyle name="Normal 2 2 2 19 2 2" xfId="23091"/>
    <cellStyle name="Normal 2 2 2 19 2 2 2" xfId="23092"/>
    <cellStyle name="Normal 2 2 2 19 2 2 3" xfId="23093"/>
    <cellStyle name="Normal 2 2 2 19 2 3" xfId="23094"/>
    <cellStyle name="Normal 2 2 2 19 2 4" xfId="23095"/>
    <cellStyle name="Normal 2 2 2 19 2 5" xfId="23096"/>
    <cellStyle name="Normal 2 2 2 19 2 6" xfId="23097"/>
    <cellStyle name="Normal 2 2 2 19 3" xfId="23098"/>
    <cellStyle name="Normal 2 2 2 19 3 2" xfId="23099"/>
    <cellStyle name="Normal 2 2 2 19 3 2 2" xfId="23100"/>
    <cellStyle name="Normal 2 2 2 19 3 2 3" xfId="23101"/>
    <cellStyle name="Normal 2 2 2 19 3 3" xfId="23102"/>
    <cellStyle name="Normal 2 2 2 19 3 4" xfId="23103"/>
    <cellStyle name="Normal 2 2 2 19 3 5" xfId="23104"/>
    <cellStyle name="Normal 2 2 2 19 3 6" xfId="23105"/>
    <cellStyle name="Normal 2 2 2 19 4" xfId="23106"/>
    <cellStyle name="Normal 2 2 2 19 4 2" xfId="23107"/>
    <cellStyle name="Normal 2 2 2 19 4 2 2" xfId="23108"/>
    <cellStyle name="Normal 2 2 2 19 4 3" xfId="23109"/>
    <cellStyle name="Normal 2 2 2 19 4 4" xfId="23110"/>
    <cellStyle name="Normal 2 2 2 19 4 5" xfId="23111"/>
    <cellStyle name="Normal 2 2 2 19 5" xfId="23112"/>
    <cellStyle name="Normal 2 2 2 19 5 2" xfId="23113"/>
    <cellStyle name="Normal 2 2 2 19 5 3" xfId="23114"/>
    <cellStyle name="Normal 2 2 2 19 5 4" xfId="23115"/>
    <cellStyle name="Normal 2 2 2 19 6" xfId="23116"/>
    <cellStyle name="Normal 2 2 2 19 6 2" xfId="23117"/>
    <cellStyle name="Normal 2 2 2 19 7" xfId="23118"/>
    <cellStyle name="Normal 2 2 2 19 8" xfId="23119"/>
    <cellStyle name="Normal 2 2 2 19 9" xfId="23120"/>
    <cellStyle name="Normal 2 2 2 2" xfId="23121"/>
    <cellStyle name="Normal 2 2 2 2 10" xfId="23122"/>
    <cellStyle name="Normal 2 2 2 2 11" xfId="23123"/>
    <cellStyle name="Normal 2 2 2 2 2" xfId="23124"/>
    <cellStyle name="Normal 2 2 2 2 2 2" xfId="23125"/>
    <cellStyle name="Normal 2 2 2 2 2 2 2" xfId="23126"/>
    <cellStyle name="Normal 2 2 2 2 2 2 2 2" xfId="23127"/>
    <cellStyle name="Normal 2 2 2 2 2 2 2 3" xfId="23128"/>
    <cellStyle name="Normal 2 2 2 2 2 2 3" xfId="23129"/>
    <cellStyle name="Normal 2 2 2 2 2 2 4" xfId="23130"/>
    <cellStyle name="Normal 2 2 2 2 2 2 5" xfId="23131"/>
    <cellStyle name="Normal 2 2 2 2 2 2 6" xfId="23132"/>
    <cellStyle name="Normal 2 2 2 2 2 3" xfId="23133"/>
    <cellStyle name="Normal 2 2 2 2 2 3 2" xfId="23134"/>
    <cellStyle name="Normal 2 2 2 2 2 3 2 2" xfId="23135"/>
    <cellStyle name="Normal 2 2 2 2 2 3 3" xfId="23136"/>
    <cellStyle name="Normal 2 2 2 2 2 3 4" xfId="23137"/>
    <cellStyle name="Normal 2 2 2 2 2 3 5" xfId="23138"/>
    <cellStyle name="Normal 2 2 2 2 2 4" xfId="23139"/>
    <cellStyle name="Normal 2 2 2 2 2 4 2" xfId="23140"/>
    <cellStyle name="Normal 2 2 2 2 2 4 3" xfId="23141"/>
    <cellStyle name="Normal 2 2 2 2 2 4 4" xfId="23142"/>
    <cellStyle name="Normal 2 2 2 2 2 5" xfId="23143"/>
    <cellStyle name="Normal 2 2 2 2 2 5 2" xfId="23144"/>
    <cellStyle name="Normal 2 2 2 2 2 6" xfId="23145"/>
    <cellStyle name="Normal 2 2 2 2 2 7" xfId="23146"/>
    <cellStyle name="Normal 2 2 2 2 2 8" xfId="23147"/>
    <cellStyle name="Normal 2 2 2 2 2 9" xfId="23148"/>
    <cellStyle name="Normal 2 2 2 2 3" xfId="23149"/>
    <cellStyle name="Normal 2 2 2 2 3 2" xfId="23150"/>
    <cellStyle name="Normal 2 2 2 2 3 2 2" xfId="23151"/>
    <cellStyle name="Normal 2 2 2 2 3 2 2 2" xfId="23152"/>
    <cellStyle name="Normal 2 2 2 2 3 2 2 3" xfId="23153"/>
    <cellStyle name="Normal 2 2 2 2 3 2 3" xfId="23154"/>
    <cellStyle name="Normal 2 2 2 2 3 2 4" xfId="23155"/>
    <cellStyle name="Normal 2 2 2 2 3 2 5" xfId="23156"/>
    <cellStyle name="Normal 2 2 2 2 3 2 6" xfId="23157"/>
    <cellStyle name="Normal 2 2 2 2 3 3" xfId="23158"/>
    <cellStyle name="Normal 2 2 2 2 3 3 2" xfId="23159"/>
    <cellStyle name="Normal 2 2 2 2 3 3 2 2" xfId="23160"/>
    <cellStyle name="Normal 2 2 2 2 3 3 3" xfId="23161"/>
    <cellStyle name="Normal 2 2 2 2 3 3 4" xfId="23162"/>
    <cellStyle name="Normal 2 2 2 2 3 3 5" xfId="23163"/>
    <cellStyle name="Normal 2 2 2 2 3 4" xfId="23164"/>
    <cellStyle name="Normal 2 2 2 2 3 4 2" xfId="23165"/>
    <cellStyle name="Normal 2 2 2 2 3 4 3" xfId="23166"/>
    <cellStyle name="Normal 2 2 2 2 3 4 4" xfId="23167"/>
    <cellStyle name="Normal 2 2 2 2 3 5" xfId="23168"/>
    <cellStyle name="Normal 2 2 2 2 3 5 2" xfId="23169"/>
    <cellStyle name="Normal 2 2 2 2 3 6" xfId="23170"/>
    <cellStyle name="Normal 2 2 2 2 3 7" xfId="23171"/>
    <cellStyle name="Normal 2 2 2 2 3 8" xfId="23172"/>
    <cellStyle name="Normal 2 2 2 2 3 9" xfId="23173"/>
    <cellStyle name="Normal 2 2 2 2 4" xfId="23174"/>
    <cellStyle name="Normal 2 2 2 2 4 2" xfId="23175"/>
    <cellStyle name="Normal 2 2 2 2 4 2 2" xfId="23176"/>
    <cellStyle name="Normal 2 2 2 2 4 2 3" xfId="23177"/>
    <cellStyle name="Normal 2 2 2 2 4 3" xfId="23178"/>
    <cellStyle name="Normal 2 2 2 2 4 4" xfId="23179"/>
    <cellStyle name="Normal 2 2 2 2 4 5" xfId="23180"/>
    <cellStyle name="Normal 2 2 2 2 4 6" xfId="23181"/>
    <cellStyle name="Normal 2 2 2 2 5" xfId="23182"/>
    <cellStyle name="Normal 2 2 2 2 5 2" xfId="23183"/>
    <cellStyle name="Normal 2 2 2 2 5 2 2" xfId="23184"/>
    <cellStyle name="Normal 2 2 2 2 5 3" xfId="23185"/>
    <cellStyle name="Normal 2 2 2 2 5 4" xfId="23186"/>
    <cellStyle name="Normal 2 2 2 2 5 5" xfId="23187"/>
    <cellStyle name="Normal 2 2 2 2 6" xfId="23188"/>
    <cellStyle name="Normal 2 2 2 2 6 2" xfId="23189"/>
    <cellStyle name="Normal 2 2 2 2 6 3" xfId="23190"/>
    <cellStyle name="Normal 2 2 2 2 6 4" xfId="23191"/>
    <cellStyle name="Normal 2 2 2 2 7" xfId="23192"/>
    <cellStyle name="Normal 2 2 2 2 7 2" xfId="23193"/>
    <cellStyle name="Normal 2 2 2 2 8" xfId="23194"/>
    <cellStyle name="Normal 2 2 2 2 9" xfId="23195"/>
    <cellStyle name="Normal 2 2 2 20" xfId="23196"/>
    <cellStyle name="Normal 2 2 2 20 10" xfId="23197"/>
    <cellStyle name="Normal 2 2 2 20 2" xfId="23198"/>
    <cellStyle name="Normal 2 2 2 20 2 2" xfId="23199"/>
    <cellStyle name="Normal 2 2 2 20 2 2 2" xfId="23200"/>
    <cellStyle name="Normal 2 2 2 20 2 2 3" xfId="23201"/>
    <cellStyle name="Normal 2 2 2 20 2 3" xfId="23202"/>
    <cellStyle name="Normal 2 2 2 20 2 4" xfId="23203"/>
    <cellStyle name="Normal 2 2 2 20 2 5" xfId="23204"/>
    <cellStyle name="Normal 2 2 2 20 2 6" xfId="23205"/>
    <cellStyle name="Normal 2 2 2 20 3" xfId="23206"/>
    <cellStyle name="Normal 2 2 2 20 3 2" xfId="23207"/>
    <cellStyle name="Normal 2 2 2 20 3 2 2" xfId="23208"/>
    <cellStyle name="Normal 2 2 2 20 3 2 3" xfId="23209"/>
    <cellStyle name="Normal 2 2 2 20 3 3" xfId="23210"/>
    <cellStyle name="Normal 2 2 2 20 3 4" xfId="23211"/>
    <cellStyle name="Normal 2 2 2 20 3 5" xfId="23212"/>
    <cellStyle name="Normal 2 2 2 20 3 6" xfId="23213"/>
    <cellStyle name="Normal 2 2 2 20 4" xfId="23214"/>
    <cellStyle name="Normal 2 2 2 20 4 2" xfId="23215"/>
    <cellStyle name="Normal 2 2 2 20 4 2 2" xfId="23216"/>
    <cellStyle name="Normal 2 2 2 20 4 3" xfId="23217"/>
    <cellStyle name="Normal 2 2 2 20 4 4" xfId="23218"/>
    <cellStyle name="Normal 2 2 2 20 4 5" xfId="23219"/>
    <cellStyle name="Normal 2 2 2 20 5" xfId="23220"/>
    <cellStyle name="Normal 2 2 2 20 5 2" xfId="23221"/>
    <cellStyle name="Normal 2 2 2 20 5 3" xfId="23222"/>
    <cellStyle name="Normal 2 2 2 20 5 4" xfId="23223"/>
    <cellStyle name="Normal 2 2 2 20 6" xfId="23224"/>
    <cellStyle name="Normal 2 2 2 20 6 2" xfId="23225"/>
    <cellStyle name="Normal 2 2 2 20 7" xfId="23226"/>
    <cellStyle name="Normal 2 2 2 20 8" xfId="23227"/>
    <cellStyle name="Normal 2 2 2 20 9" xfId="23228"/>
    <cellStyle name="Normal 2 2 2 21" xfId="23229"/>
    <cellStyle name="Normal 2 2 2 21 10" xfId="23230"/>
    <cellStyle name="Normal 2 2 2 21 2" xfId="23231"/>
    <cellStyle name="Normal 2 2 2 21 2 2" xfId="23232"/>
    <cellStyle name="Normal 2 2 2 21 2 2 2" xfId="23233"/>
    <cellStyle name="Normal 2 2 2 21 2 2 3" xfId="23234"/>
    <cellStyle name="Normal 2 2 2 21 2 3" xfId="23235"/>
    <cellStyle name="Normal 2 2 2 21 2 4" xfId="23236"/>
    <cellStyle name="Normal 2 2 2 21 2 5" xfId="23237"/>
    <cellStyle name="Normal 2 2 2 21 2 6" xfId="23238"/>
    <cellStyle name="Normal 2 2 2 21 3" xfId="23239"/>
    <cellStyle name="Normal 2 2 2 21 3 2" xfId="23240"/>
    <cellStyle name="Normal 2 2 2 21 3 2 2" xfId="23241"/>
    <cellStyle name="Normal 2 2 2 21 3 2 3" xfId="23242"/>
    <cellStyle name="Normal 2 2 2 21 3 3" xfId="23243"/>
    <cellStyle name="Normal 2 2 2 21 3 4" xfId="23244"/>
    <cellStyle name="Normal 2 2 2 21 3 5" xfId="23245"/>
    <cellStyle name="Normal 2 2 2 21 3 6" xfId="23246"/>
    <cellStyle name="Normal 2 2 2 21 4" xfId="23247"/>
    <cellStyle name="Normal 2 2 2 21 4 2" xfId="23248"/>
    <cellStyle name="Normal 2 2 2 21 4 2 2" xfId="23249"/>
    <cellStyle name="Normal 2 2 2 21 4 3" xfId="23250"/>
    <cellStyle name="Normal 2 2 2 21 4 4" xfId="23251"/>
    <cellStyle name="Normal 2 2 2 21 4 5" xfId="23252"/>
    <cellStyle name="Normal 2 2 2 21 5" xfId="23253"/>
    <cellStyle name="Normal 2 2 2 21 5 2" xfId="23254"/>
    <cellStyle name="Normal 2 2 2 21 5 3" xfId="23255"/>
    <cellStyle name="Normal 2 2 2 21 5 4" xfId="23256"/>
    <cellStyle name="Normal 2 2 2 21 6" xfId="23257"/>
    <cellStyle name="Normal 2 2 2 21 6 2" xfId="23258"/>
    <cellStyle name="Normal 2 2 2 21 7" xfId="23259"/>
    <cellStyle name="Normal 2 2 2 21 8" xfId="23260"/>
    <cellStyle name="Normal 2 2 2 21 9" xfId="23261"/>
    <cellStyle name="Normal 2 2 2 22" xfId="23262"/>
    <cellStyle name="Normal 2 2 2 22 10" xfId="23263"/>
    <cellStyle name="Normal 2 2 2 22 2" xfId="23264"/>
    <cellStyle name="Normal 2 2 2 22 2 2" xfId="23265"/>
    <cellStyle name="Normal 2 2 2 22 2 2 2" xfId="23266"/>
    <cellStyle name="Normal 2 2 2 22 2 2 3" xfId="23267"/>
    <cellStyle name="Normal 2 2 2 22 2 3" xfId="23268"/>
    <cellStyle name="Normal 2 2 2 22 2 4" xfId="23269"/>
    <cellStyle name="Normal 2 2 2 22 2 5" xfId="23270"/>
    <cellStyle name="Normal 2 2 2 22 2 6" xfId="23271"/>
    <cellStyle name="Normal 2 2 2 22 3" xfId="23272"/>
    <cellStyle name="Normal 2 2 2 22 3 2" xfId="23273"/>
    <cellStyle name="Normal 2 2 2 22 3 2 2" xfId="23274"/>
    <cellStyle name="Normal 2 2 2 22 3 2 3" xfId="23275"/>
    <cellStyle name="Normal 2 2 2 22 3 3" xfId="23276"/>
    <cellStyle name="Normal 2 2 2 22 3 4" xfId="23277"/>
    <cellStyle name="Normal 2 2 2 22 3 5" xfId="23278"/>
    <cellStyle name="Normal 2 2 2 22 3 6" xfId="23279"/>
    <cellStyle name="Normal 2 2 2 22 4" xfId="23280"/>
    <cellStyle name="Normal 2 2 2 22 4 2" xfId="23281"/>
    <cellStyle name="Normal 2 2 2 22 4 2 2" xfId="23282"/>
    <cellStyle name="Normal 2 2 2 22 4 3" xfId="23283"/>
    <cellStyle name="Normal 2 2 2 22 4 4" xfId="23284"/>
    <cellStyle name="Normal 2 2 2 22 4 5" xfId="23285"/>
    <cellStyle name="Normal 2 2 2 22 5" xfId="23286"/>
    <cellStyle name="Normal 2 2 2 22 5 2" xfId="23287"/>
    <cellStyle name="Normal 2 2 2 22 5 3" xfId="23288"/>
    <cellStyle name="Normal 2 2 2 22 5 4" xfId="23289"/>
    <cellStyle name="Normal 2 2 2 22 6" xfId="23290"/>
    <cellStyle name="Normal 2 2 2 22 6 2" xfId="23291"/>
    <cellStyle name="Normal 2 2 2 22 7" xfId="23292"/>
    <cellStyle name="Normal 2 2 2 22 8" xfId="23293"/>
    <cellStyle name="Normal 2 2 2 22 9" xfId="23294"/>
    <cellStyle name="Normal 2 2 2 23" xfId="23295"/>
    <cellStyle name="Normal 2 2 2 23 10" xfId="23296"/>
    <cellStyle name="Normal 2 2 2 23 2" xfId="23297"/>
    <cellStyle name="Normal 2 2 2 23 2 2" xfId="23298"/>
    <cellStyle name="Normal 2 2 2 23 2 2 2" xfId="23299"/>
    <cellStyle name="Normal 2 2 2 23 2 2 3" xfId="23300"/>
    <cellStyle name="Normal 2 2 2 23 2 3" xfId="23301"/>
    <cellStyle name="Normal 2 2 2 23 2 4" xfId="23302"/>
    <cellStyle name="Normal 2 2 2 23 2 5" xfId="23303"/>
    <cellStyle name="Normal 2 2 2 23 2 6" xfId="23304"/>
    <cellStyle name="Normal 2 2 2 23 3" xfId="23305"/>
    <cellStyle name="Normal 2 2 2 23 3 2" xfId="23306"/>
    <cellStyle name="Normal 2 2 2 23 3 2 2" xfId="23307"/>
    <cellStyle name="Normal 2 2 2 23 3 2 3" xfId="23308"/>
    <cellStyle name="Normal 2 2 2 23 3 3" xfId="23309"/>
    <cellStyle name="Normal 2 2 2 23 3 4" xfId="23310"/>
    <cellStyle name="Normal 2 2 2 23 3 5" xfId="23311"/>
    <cellStyle name="Normal 2 2 2 23 3 6" xfId="23312"/>
    <cellStyle name="Normal 2 2 2 23 4" xfId="23313"/>
    <cellStyle name="Normal 2 2 2 23 4 2" xfId="23314"/>
    <cellStyle name="Normal 2 2 2 23 4 2 2" xfId="23315"/>
    <cellStyle name="Normal 2 2 2 23 4 3" xfId="23316"/>
    <cellStyle name="Normal 2 2 2 23 4 4" xfId="23317"/>
    <cellStyle name="Normal 2 2 2 23 4 5" xfId="23318"/>
    <cellStyle name="Normal 2 2 2 23 5" xfId="23319"/>
    <cellStyle name="Normal 2 2 2 23 5 2" xfId="23320"/>
    <cellStyle name="Normal 2 2 2 23 5 3" xfId="23321"/>
    <cellStyle name="Normal 2 2 2 23 5 4" xfId="23322"/>
    <cellStyle name="Normal 2 2 2 23 6" xfId="23323"/>
    <cellStyle name="Normal 2 2 2 23 6 2" xfId="23324"/>
    <cellStyle name="Normal 2 2 2 23 7" xfId="23325"/>
    <cellStyle name="Normal 2 2 2 23 8" xfId="23326"/>
    <cellStyle name="Normal 2 2 2 23 9" xfId="23327"/>
    <cellStyle name="Normal 2 2 2 24" xfId="23328"/>
    <cellStyle name="Normal 2 2 2 24 10" xfId="23329"/>
    <cellStyle name="Normal 2 2 2 24 2" xfId="23330"/>
    <cellStyle name="Normal 2 2 2 24 2 2" xfId="23331"/>
    <cellStyle name="Normal 2 2 2 24 2 2 2" xfId="23332"/>
    <cellStyle name="Normal 2 2 2 24 2 2 3" xfId="23333"/>
    <cellStyle name="Normal 2 2 2 24 2 3" xfId="23334"/>
    <cellStyle name="Normal 2 2 2 24 2 4" xfId="23335"/>
    <cellStyle name="Normal 2 2 2 24 2 5" xfId="23336"/>
    <cellStyle name="Normal 2 2 2 24 2 6" xfId="23337"/>
    <cellStyle name="Normal 2 2 2 24 3" xfId="23338"/>
    <cellStyle name="Normal 2 2 2 24 3 2" xfId="23339"/>
    <cellStyle name="Normal 2 2 2 24 3 2 2" xfId="23340"/>
    <cellStyle name="Normal 2 2 2 24 3 2 3" xfId="23341"/>
    <cellStyle name="Normal 2 2 2 24 3 3" xfId="23342"/>
    <cellStyle name="Normal 2 2 2 24 3 4" xfId="23343"/>
    <cellStyle name="Normal 2 2 2 24 3 5" xfId="23344"/>
    <cellStyle name="Normal 2 2 2 24 3 6" xfId="23345"/>
    <cellStyle name="Normal 2 2 2 24 4" xfId="23346"/>
    <cellStyle name="Normal 2 2 2 24 4 2" xfId="23347"/>
    <cellStyle name="Normal 2 2 2 24 4 2 2" xfId="23348"/>
    <cellStyle name="Normal 2 2 2 24 4 3" xfId="23349"/>
    <cellStyle name="Normal 2 2 2 24 4 4" xfId="23350"/>
    <cellStyle name="Normal 2 2 2 24 4 5" xfId="23351"/>
    <cellStyle name="Normal 2 2 2 24 5" xfId="23352"/>
    <cellStyle name="Normal 2 2 2 24 5 2" xfId="23353"/>
    <cellStyle name="Normal 2 2 2 24 5 3" xfId="23354"/>
    <cellStyle name="Normal 2 2 2 24 5 4" xfId="23355"/>
    <cellStyle name="Normal 2 2 2 24 6" xfId="23356"/>
    <cellStyle name="Normal 2 2 2 24 6 2" xfId="23357"/>
    <cellStyle name="Normal 2 2 2 24 7" xfId="23358"/>
    <cellStyle name="Normal 2 2 2 24 8" xfId="23359"/>
    <cellStyle name="Normal 2 2 2 24 9" xfId="23360"/>
    <cellStyle name="Normal 2 2 2 25" xfId="23361"/>
    <cellStyle name="Normal 2 2 2 25 10" xfId="23362"/>
    <cellStyle name="Normal 2 2 2 25 2" xfId="23363"/>
    <cellStyle name="Normal 2 2 2 25 2 2" xfId="23364"/>
    <cellStyle name="Normal 2 2 2 25 2 2 2" xfId="23365"/>
    <cellStyle name="Normal 2 2 2 25 2 2 3" xfId="23366"/>
    <cellStyle name="Normal 2 2 2 25 2 3" xfId="23367"/>
    <cellStyle name="Normal 2 2 2 25 2 4" xfId="23368"/>
    <cellStyle name="Normal 2 2 2 25 2 5" xfId="23369"/>
    <cellStyle name="Normal 2 2 2 25 2 6" xfId="23370"/>
    <cellStyle name="Normal 2 2 2 25 3" xfId="23371"/>
    <cellStyle name="Normal 2 2 2 25 3 2" xfId="23372"/>
    <cellStyle name="Normal 2 2 2 25 3 2 2" xfId="23373"/>
    <cellStyle name="Normal 2 2 2 25 3 2 3" xfId="23374"/>
    <cellStyle name="Normal 2 2 2 25 3 3" xfId="23375"/>
    <cellStyle name="Normal 2 2 2 25 3 4" xfId="23376"/>
    <cellStyle name="Normal 2 2 2 25 3 5" xfId="23377"/>
    <cellStyle name="Normal 2 2 2 25 3 6" xfId="23378"/>
    <cellStyle name="Normal 2 2 2 25 4" xfId="23379"/>
    <cellStyle name="Normal 2 2 2 25 4 2" xfId="23380"/>
    <cellStyle name="Normal 2 2 2 25 4 2 2" xfId="23381"/>
    <cellStyle name="Normal 2 2 2 25 4 3" xfId="23382"/>
    <cellStyle name="Normal 2 2 2 25 4 4" xfId="23383"/>
    <cellStyle name="Normal 2 2 2 25 4 5" xfId="23384"/>
    <cellStyle name="Normal 2 2 2 25 5" xfId="23385"/>
    <cellStyle name="Normal 2 2 2 25 5 2" xfId="23386"/>
    <cellStyle name="Normal 2 2 2 25 5 3" xfId="23387"/>
    <cellStyle name="Normal 2 2 2 25 5 4" xfId="23388"/>
    <cellStyle name="Normal 2 2 2 25 6" xfId="23389"/>
    <cellStyle name="Normal 2 2 2 25 6 2" xfId="23390"/>
    <cellStyle name="Normal 2 2 2 25 7" xfId="23391"/>
    <cellStyle name="Normal 2 2 2 25 8" xfId="23392"/>
    <cellStyle name="Normal 2 2 2 25 9" xfId="23393"/>
    <cellStyle name="Normal 2 2 2 26" xfId="23394"/>
    <cellStyle name="Normal 2 2 2 26 10" xfId="23395"/>
    <cellStyle name="Normal 2 2 2 26 2" xfId="23396"/>
    <cellStyle name="Normal 2 2 2 26 2 2" xfId="23397"/>
    <cellStyle name="Normal 2 2 2 26 2 2 2" xfId="23398"/>
    <cellStyle name="Normal 2 2 2 26 2 2 3" xfId="23399"/>
    <cellStyle name="Normal 2 2 2 26 2 3" xfId="23400"/>
    <cellStyle name="Normal 2 2 2 26 2 4" xfId="23401"/>
    <cellStyle name="Normal 2 2 2 26 2 5" xfId="23402"/>
    <cellStyle name="Normal 2 2 2 26 2 6" xfId="23403"/>
    <cellStyle name="Normal 2 2 2 26 3" xfId="23404"/>
    <cellStyle name="Normal 2 2 2 26 3 2" xfId="23405"/>
    <cellStyle name="Normal 2 2 2 26 3 2 2" xfId="23406"/>
    <cellStyle name="Normal 2 2 2 26 3 2 3" xfId="23407"/>
    <cellStyle name="Normal 2 2 2 26 3 3" xfId="23408"/>
    <cellStyle name="Normal 2 2 2 26 3 4" xfId="23409"/>
    <cellStyle name="Normal 2 2 2 26 3 5" xfId="23410"/>
    <cellStyle name="Normal 2 2 2 26 3 6" xfId="23411"/>
    <cellStyle name="Normal 2 2 2 26 4" xfId="23412"/>
    <cellStyle name="Normal 2 2 2 26 4 2" xfId="23413"/>
    <cellStyle name="Normal 2 2 2 26 4 2 2" xfId="23414"/>
    <cellStyle name="Normal 2 2 2 26 4 3" xfId="23415"/>
    <cellStyle name="Normal 2 2 2 26 4 4" xfId="23416"/>
    <cellStyle name="Normal 2 2 2 26 4 5" xfId="23417"/>
    <cellStyle name="Normal 2 2 2 26 5" xfId="23418"/>
    <cellStyle name="Normal 2 2 2 26 5 2" xfId="23419"/>
    <cellStyle name="Normal 2 2 2 26 5 3" xfId="23420"/>
    <cellStyle name="Normal 2 2 2 26 5 4" xfId="23421"/>
    <cellStyle name="Normal 2 2 2 26 6" xfId="23422"/>
    <cellStyle name="Normal 2 2 2 26 6 2" xfId="23423"/>
    <cellStyle name="Normal 2 2 2 26 7" xfId="23424"/>
    <cellStyle name="Normal 2 2 2 26 8" xfId="23425"/>
    <cellStyle name="Normal 2 2 2 26 9" xfId="23426"/>
    <cellStyle name="Normal 2 2 2 27" xfId="23427"/>
    <cellStyle name="Normal 2 2 2 27 10" xfId="23428"/>
    <cellStyle name="Normal 2 2 2 27 2" xfId="23429"/>
    <cellStyle name="Normal 2 2 2 27 2 2" xfId="23430"/>
    <cellStyle name="Normal 2 2 2 27 2 2 2" xfId="23431"/>
    <cellStyle name="Normal 2 2 2 27 2 2 3" xfId="23432"/>
    <cellStyle name="Normal 2 2 2 27 2 3" xfId="23433"/>
    <cellStyle name="Normal 2 2 2 27 2 4" xfId="23434"/>
    <cellStyle name="Normal 2 2 2 27 2 5" xfId="23435"/>
    <cellStyle name="Normal 2 2 2 27 2 6" xfId="23436"/>
    <cellStyle name="Normal 2 2 2 27 3" xfId="23437"/>
    <cellStyle name="Normal 2 2 2 27 3 2" xfId="23438"/>
    <cellStyle name="Normal 2 2 2 27 3 2 2" xfId="23439"/>
    <cellStyle name="Normal 2 2 2 27 3 2 3" xfId="23440"/>
    <cellStyle name="Normal 2 2 2 27 3 3" xfId="23441"/>
    <cellStyle name="Normal 2 2 2 27 3 4" xfId="23442"/>
    <cellStyle name="Normal 2 2 2 27 3 5" xfId="23443"/>
    <cellStyle name="Normal 2 2 2 27 3 6" xfId="23444"/>
    <cellStyle name="Normal 2 2 2 27 4" xfId="23445"/>
    <cellStyle name="Normal 2 2 2 27 4 2" xfId="23446"/>
    <cellStyle name="Normal 2 2 2 27 4 2 2" xfId="23447"/>
    <cellStyle name="Normal 2 2 2 27 4 3" xfId="23448"/>
    <cellStyle name="Normal 2 2 2 27 4 4" xfId="23449"/>
    <cellStyle name="Normal 2 2 2 27 4 5" xfId="23450"/>
    <cellStyle name="Normal 2 2 2 27 5" xfId="23451"/>
    <cellStyle name="Normal 2 2 2 27 5 2" xfId="23452"/>
    <cellStyle name="Normal 2 2 2 27 5 3" xfId="23453"/>
    <cellStyle name="Normal 2 2 2 27 5 4" xfId="23454"/>
    <cellStyle name="Normal 2 2 2 27 6" xfId="23455"/>
    <cellStyle name="Normal 2 2 2 27 6 2" xfId="23456"/>
    <cellStyle name="Normal 2 2 2 27 7" xfId="23457"/>
    <cellStyle name="Normal 2 2 2 27 8" xfId="23458"/>
    <cellStyle name="Normal 2 2 2 27 9" xfId="23459"/>
    <cellStyle name="Normal 2 2 2 28" xfId="23460"/>
    <cellStyle name="Normal 2 2 2 28 10" xfId="23461"/>
    <cellStyle name="Normal 2 2 2 28 2" xfId="23462"/>
    <cellStyle name="Normal 2 2 2 28 2 2" xfId="23463"/>
    <cellStyle name="Normal 2 2 2 28 2 2 2" xfId="23464"/>
    <cellStyle name="Normal 2 2 2 28 2 2 3" xfId="23465"/>
    <cellStyle name="Normal 2 2 2 28 2 3" xfId="23466"/>
    <cellStyle name="Normal 2 2 2 28 2 4" xfId="23467"/>
    <cellStyle name="Normal 2 2 2 28 2 5" xfId="23468"/>
    <cellStyle name="Normal 2 2 2 28 2 6" xfId="23469"/>
    <cellStyle name="Normal 2 2 2 28 3" xfId="23470"/>
    <cellStyle name="Normal 2 2 2 28 3 2" xfId="23471"/>
    <cellStyle name="Normal 2 2 2 28 3 2 2" xfId="23472"/>
    <cellStyle name="Normal 2 2 2 28 3 2 3" xfId="23473"/>
    <cellStyle name="Normal 2 2 2 28 3 3" xfId="23474"/>
    <cellStyle name="Normal 2 2 2 28 3 4" xfId="23475"/>
    <cellStyle name="Normal 2 2 2 28 3 5" xfId="23476"/>
    <cellStyle name="Normal 2 2 2 28 3 6" xfId="23477"/>
    <cellStyle name="Normal 2 2 2 28 4" xfId="23478"/>
    <cellStyle name="Normal 2 2 2 28 4 2" xfId="23479"/>
    <cellStyle name="Normal 2 2 2 28 4 2 2" xfId="23480"/>
    <cellStyle name="Normal 2 2 2 28 4 3" xfId="23481"/>
    <cellStyle name="Normal 2 2 2 28 4 4" xfId="23482"/>
    <cellStyle name="Normal 2 2 2 28 4 5" xfId="23483"/>
    <cellStyle name="Normal 2 2 2 28 5" xfId="23484"/>
    <cellStyle name="Normal 2 2 2 28 5 2" xfId="23485"/>
    <cellStyle name="Normal 2 2 2 28 5 3" xfId="23486"/>
    <cellStyle name="Normal 2 2 2 28 5 4" xfId="23487"/>
    <cellStyle name="Normal 2 2 2 28 6" xfId="23488"/>
    <cellStyle name="Normal 2 2 2 28 6 2" xfId="23489"/>
    <cellStyle name="Normal 2 2 2 28 7" xfId="23490"/>
    <cellStyle name="Normal 2 2 2 28 8" xfId="23491"/>
    <cellStyle name="Normal 2 2 2 28 9" xfId="23492"/>
    <cellStyle name="Normal 2 2 2 29" xfId="23493"/>
    <cellStyle name="Normal 2 2 2 29 10" xfId="23494"/>
    <cellStyle name="Normal 2 2 2 29 2" xfId="23495"/>
    <cellStyle name="Normal 2 2 2 29 2 2" xfId="23496"/>
    <cellStyle name="Normal 2 2 2 29 2 2 2" xfId="23497"/>
    <cellStyle name="Normal 2 2 2 29 2 2 3" xfId="23498"/>
    <cellStyle name="Normal 2 2 2 29 2 3" xfId="23499"/>
    <cellStyle name="Normal 2 2 2 29 2 4" xfId="23500"/>
    <cellStyle name="Normal 2 2 2 29 2 5" xfId="23501"/>
    <cellStyle name="Normal 2 2 2 29 2 6" xfId="23502"/>
    <cellStyle name="Normal 2 2 2 29 3" xfId="23503"/>
    <cellStyle name="Normal 2 2 2 29 3 2" xfId="23504"/>
    <cellStyle name="Normal 2 2 2 29 3 2 2" xfId="23505"/>
    <cellStyle name="Normal 2 2 2 29 3 2 3" xfId="23506"/>
    <cellStyle name="Normal 2 2 2 29 3 3" xfId="23507"/>
    <cellStyle name="Normal 2 2 2 29 3 4" xfId="23508"/>
    <cellStyle name="Normal 2 2 2 29 3 5" xfId="23509"/>
    <cellStyle name="Normal 2 2 2 29 3 6" xfId="23510"/>
    <cellStyle name="Normal 2 2 2 29 4" xfId="23511"/>
    <cellStyle name="Normal 2 2 2 29 4 2" xfId="23512"/>
    <cellStyle name="Normal 2 2 2 29 4 2 2" xfId="23513"/>
    <cellStyle name="Normal 2 2 2 29 4 3" xfId="23514"/>
    <cellStyle name="Normal 2 2 2 29 4 4" xfId="23515"/>
    <cellStyle name="Normal 2 2 2 29 4 5" xfId="23516"/>
    <cellStyle name="Normal 2 2 2 29 5" xfId="23517"/>
    <cellStyle name="Normal 2 2 2 29 5 2" xfId="23518"/>
    <cellStyle name="Normal 2 2 2 29 5 3" xfId="23519"/>
    <cellStyle name="Normal 2 2 2 29 5 4" xfId="23520"/>
    <cellStyle name="Normal 2 2 2 29 6" xfId="23521"/>
    <cellStyle name="Normal 2 2 2 29 6 2" xfId="23522"/>
    <cellStyle name="Normal 2 2 2 29 7" xfId="23523"/>
    <cellStyle name="Normal 2 2 2 29 8" xfId="23524"/>
    <cellStyle name="Normal 2 2 2 29 9" xfId="23525"/>
    <cellStyle name="Normal 2 2 2 3" xfId="23526"/>
    <cellStyle name="Normal 2 2 2 3 10" xfId="23527"/>
    <cellStyle name="Normal 2 2 2 3 11" xfId="23528"/>
    <cellStyle name="Normal 2 2 2 3 2" xfId="23529"/>
    <cellStyle name="Normal 2 2 2 3 2 2" xfId="23530"/>
    <cellStyle name="Normal 2 2 2 3 2 2 2" xfId="23531"/>
    <cellStyle name="Normal 2 2 2 3 2 2 2 2" xfId="23532"/>
    <cellStyle name="Normal 2 2 2 3 2 2 2 3" xfId="23533"/>
    <cellStyle name="Normal 2 2 2 3 2 2 3" xfId="23534"/>
    <cellStyle name="Normal 2 2 2 3 2 2 4" xfId="23535"/>
    <cellStyle name="Normal 2 2 2 3 2 2 5" xfId="23536"/>
    <cellStyle name="Normal 2 2 2 3 2 2 6" xfId="23537"/>
    <cellStyle name="Normal 2 2 2 3 2 3" xfId="23538"/>
    <cellStyle name="Normal 2 2 2 3 2 3 2" xfId="23539"/>
    <cellStyle name="Normal 2 2 2 3 2 3 2 2" xfId="23540"/>
    <cellStyle name="Normal 2 2 2 3 2 3 3" xfId="23541"/>
    <cellStyle name="Normal 2 2 2 3 2 3 4" xfId="23542"/>
    <cellStyle name="Normal 2 2 2 3 2 3 5" xfId="23543"/>
    <cellStyle name="Normal 2 2 2 3 2 4" xfId="23544"/>
    <cellStyle name="Normal 2 2 2 3 2 4 2" xfId="23545"/>
    <cellStyle name="Normal 2 2 2 3 2 4 3" xfId="23546"/>
    <cellStyle name="Normal 2 2 2 3 2 4 4" xfId="23547"/>
    <cellStyle name="Normal 2 2 2 3 2 5" xfId="23548"/>
    <cellStyle name="Normal 2 2 2 3 2 5 2" xfId="23549"/>
    <cellStyle name="Normal 2 2 2 3 2 6" xfId="23550"/>
    <cellStyle name="Normal 2 2 2 3 2 7" xfId="23551"/>
    <cellStyle name="Normal 2 2 2 3 2 8" xfId="23552"/>
    <cellStyle name="Normal 2 2 2 3 2 9" xfId="23553"/>
    <cellStyle name="Normal 2 2 2 3 3" xfId="23554"/>
    <cellStyle name="Normal 2 2 2 3 3 2" xfId="23555"/>
    <cellStyle name="Normal 2 2 2 3 3 2 2" xfId="23556"/>
    <cellStyle name="Normal 2 2 2 3 3 2 2 2" xfId="23557"/>
    <cellStyle name="Normal 2 2 2 3 3 2 2 3" xfId="23558"/>
    <cellStyle name="Normal 2 2 2 3 3 2 3" xfId="23559"/>
    <cellStyle name="Normal 2 2 2 3 3 2 4" xfId="23560"/>
    <cellStyle name="Normal 2 2 2 3 3 2 5" xfId="23561"/>
    <cellStyle name="Normal 2 2 2 3 3 2 6" xfId="23562"/>
    <cellStyle name="Normal 2 2 2 3 3 3" xfId="23563"/>
    <cellStyle name="Normal 2 2 2 3 3 3 2" xfId="23564"/>
    <cellStyle name="Normal 2 2 2 3 3 3 2 2" xfId="23565"/>
    <cellStyle name="Normal 2 2 2 3 3 3 3" xfId="23566"/>
    <cellStyle name="Normal 2 2 2 3 3 3 4" xfId="23567"/>
    <cellStyle name="Normal 2 2 2 3 3 3 5" xfId="23568"/>
    <cellStyle name="Normal 2 2 2 3 3 4" xfId="23569"/>
    <cellStyle name="Normal 2 2 2 3 3 4 2" xfId="23570"/>
    <cellStyle name="Normal 2 2 2 3 3 4 3" xfId="23571"/>
    <cellStyle name="Normal 2 2 2 3 3 4 4" xfId="23572"/>
    <cellStyle name="Normal 2 2 2 3 3 5" xfId="23573"/>
    <cellStyle name="Normal 2 2 2 3 3 5 2" xfId="23574"/>
    <cellStyle name="Normal 2 2 2 3 3 6" xfId="23575"/>
    <cellStyle name="Normal 2 2 2 3 3 7" xfId="23576"/>
    <cellStyle name="Normal 2 2 2 3 3 8" xfId="23577"/>
    <cellStyle name="Normal 2 2 2 3 3 9" xfId="23578"/>
    <cellStyle name="Normal 2 2 2 3 4" xfId="23579"/>
    <cellStyle name="Normal 2 2 2 3 4 2" xfId="23580"/>
    <cellStyle name="Normal 2 2 2 3 4 2 2" xfId="23581"/>
    <cellStyle name="Normal 2 2 2 3 4 2 3" xfId="23582"/>
    <cellStyle name="Normal 2 2 2 3 4 3" xfId="23583"/>
    <cellStyle name="Normal 2 2 2 3 4 4" xfId="23584"/>
    <cellStyle name="Normal 2 2 2 3 4 5" xfId="23585"/>
    <cellStyle name="Normal 2 2 2 3 4 6" xfId="23586"/>
    <cellStyle name="Normal 2 2 2 3 5" xfId="23587"/>
    <cellStyle name="Normal 2 2 2 3 5 2" xfId="23588"/>
    <cellStyle name="Normal 2 2 2 3 5 2 2" xfId="23589"/>
    <cellStyle name="Normal 2 2 2 3 5 3" xfId="23590"/>
    <cellStyle name="Normal 2 2 2 3 5 4" xfId="23591"/>
    <cellStyle name="Normal 2 2 2 3 5 5" xfId="23592"/>
    <cellStyle name="Normal 2 2 2 3 6" xfId="23593"/>
    <cellStyle name="Normal 2 2 2 3 6 2" xfId="23594"/>
    <cellStyle name="Normal 2 2 2 3 6 3" xfId="23595"/>
    <cellStyle name="Normal 2 2 2 3 6 4" xfId="23596"/>
    <cellStyle name="Normal 2 2 2 3 7" xfId="23597"/>
    <cellStyle name="Normal 2 2 2 3 7 2" xfId="23598"/>
    <cellStyle name="Normal 2 2 2 3 8" xfId="23599"/>
    <cellStyle name="Normal 2 2 2 3 9" xfId="23600"/>
    <cellStyle name="Normal 2 2 2 30" xfId="23601"/>
    <cellStyle name="Normal 2 2 2 30 10" xfId="23602"/>
    <cellStyle name="Normal 2 2 2 30 2" xfId="23603"/>
    <cellStyle name="Normal 2 2 2 30 2 2" xfId="23604"/>
    <cellStyle name="Normal 2 2 2 30 2 2 2" xfId="23605"/>
    <cellStyle name="Normal 2 2 2 30 2 2 3" xfId="23606"/>
    <cellStyle name="Normal 2 2 2 30 2 3" xfId="23607"/>
    <cellStyle name="Normal 2 2 2 30 2 4" xfId="23608"/>
    <cellStyle name="Normal 2 2 2 30 2 5" xfId="23609"/>
    <cellStyle name="Normal 2 2 2 30 2 6" xfId="23610"/>
    <cellStyle name="Normal 2 2 2 30 3" xfId="23611"/>
    <cellStyle name="Normal 2 2 2 30 3 2" xfId="23612"/>
    <cellStyle name="Normal 2 2 2 30 3 2 2" xfId="23613"/>
    <cellStyle name="Normal 2 2 2 30 3 2 3" xfId="23614"/>
    <cellStyle name="Normal 2 2 2 30 3 3" xfId="23615"/>
    <cellStyle name="Normal 2 2 2 30 3 4" xfId="23616"/>
    <cellStyle name="Normal 2 2 2 30 3 5" xfId="23617"/>
    <cellStyle name="Normal 2 2 2 30 3 6" xfId="23618"/>
    <cellStyle name="Normal 2 2 2 30 4" xfId="23619"/>
    <cellStyle name="Normal 2 2 2 30 4 2" xfId="23620"/>
    <cellStyle name="Normal 2 2 2 30 4 2 2" xfId="23621"/>
    <cellStyle name="Normal 2 2 2 30 4 3" xfId="23622"/>
    <cellStyle name="Normal 2 2 2 30 4 4" xfId="23623"/>
    <cellStyle name="Normal 2 2 2 30 4 5" xfId="23624"/>
    <cellStyle name="Normal 2 2 2 30 5" xfId="23625"/>
    <cellStyle name="Normal 2 2 2 30 5 2" xfId="23626"/>
    <cellStyle name="Normal 2 2 2 30 5 3" xfId="23627"/>
    <cellStyle name="Normal 2 2 2 30 5 4" xfId="23628"/>
    <cellStyle name="Normal 2 2 2 30 6" xfId="23629"/>
    <cellStyle name="Normal 2 2 2 30 6 2" xfId="23630"/>
    <cellStyle name="Normal 2 2 2 30 7" xfId="23631"/>
    <cellStyle name="Normal 2 2 2 30 8" xfId="23632"/>
    <cellStyle name="Normal 2 2 2 30 9" xfId="23633"/>
    <cellStyle name="Normal 2 2 2 31" xfId="23634"/>
    <cellStyle name="Normal 2 2 2 31 10" xfId="23635"/>
    <cellStyle name="Normal 2 2 2 31 2" xfId="23636"/>
    <cellStyle name="Normal 2 2 2 31 2 2" xfId="23637"/>
    <cellStyle name="Normal 2 2 2 31 2 2 2" xfId="23638"/>
    <cellStyle name="Normal 2 2 2 31 2 2 3" xfId="23639"/>
    <cellStyle name="Normal 2 2 2 31 2 3" xfId="23640"/>
    <cellStyle name="Normal 2 2 2 31 2 4" xfId="23641"/>
    <cellStyle name="Normal 2 2 2 31 2 5" xfId="23642"/>
    <cellStyle name="Normal 2 2 2 31 2 6" xfId="23643"/>
    <cellStyle name="Normal 2 2 2 31 3" xfId="23644"/>
    <cellStyle name="Normal 2 2 2 31 3 2" xfId="23645"/>
    <cellStyle name="Normal 2 2 2 31 3 2 2" xfId="23646"/>
    <cellStyle name="Normal 2 2 2 31 3 2 3" xfId="23647"/>
    <cellStyle name="Normal 2 2 2 31 3 3" xfId="23648"/>
    <cellStyle name="Normal 2 2 2 31 3 4" xfId="23649"/>
    <cellStyle name="Normal 2 2 2 31 3 5" xfId="23650"/>
    <cellStyle name="Normal 2 2 2 31 3 6" xfId="23651"/>
    <cellStyle name="Normal 2 2 2 31 4" xfId="23652"/>
    <cellStyle name="Normal 2 2 2 31 4 2" xfId="23653"/>
    <cellStyle name="Normal 2 2 2 31 4 2 2" xfId="23654"/>
    <cellStyle name="Normal 2 2 2 31 4 3" xfId="23655"/>
    <cellStyle name="Normal 2 2 2 31 4 4" xfId="23656"/>
    <cellStyle name="Normal 2 2 2 31 4 5" xfId="23657"/>
    <cellStyle name="Normal 2 2 2 31 5" xfId="23658"/>
    <cellStyle name="Normal 2 2 2 31 5 2" xfId="23659"/>
    <cellStyle name="Normal 2 2 2 31 5 3" xfId="23660"/>
    <cellStyle name="Normal 2 2 2 31 5 4" xfId="23661"/>
    <cellStyle name="Normal 2 2 2 31 6" xfId="23662"/>
    <cellStyle name="Normal 2 2 2 31 6 2" xfId="23663"/>
    <cellStyle name="Normal 2 2 2 31 7" xfId="23664"/>
    <cellStyle name="Normal 2 2 2 31 8" xfId="23665"/>
    <cellStyle name="Normal 2 2 2 31 9" xfId="23666"/>
    <cellStyle name="Normal 2 2 2 32" xfId="23667"/>
    <cellStyle name="Normal 2 2 2 32 10" xfId="23668"/>
    <cellStyle name="Normal 2 2 2 32 2" xfId="23669"/>
    <cellStyle name="Normal 2 2 2 32 2 2" xfId="23670"/>
    <cellStyle name="Normal 2 2 2 32 2 2 2" xfId="23671"/>
    <cellStyle name="Normal 2 2 2 32 2 2 3" xfId="23672"/>
    <cellStyle name="Normal 2 2 2 32 2 3" xfId="23673"/>
    <cellStyle name="Normal 2 2 2 32 2 4" xfId="23674"/>
    <cellStyle name="Normal 2 2 2 32 2 5" xfId="23675"/>
    <cellStyle name="Normal 2 2 2 32 2 6" xfId="23676"/>
    <cellStyle name="Normal 2 2 2 32 3" xfId="23677"/>
    <cellStyle name="Normal 2 2 2 32 3 2" xfId="23678"/>
    <cellStyle name="Normal 2 2 2 32 3 2 2" xfId="23679"/>
    <cellStyle name="Normal 2 2 2 32 3 2 3" xfId="23680"/>
    <cellStyle name="Normal 2 2 2 32 3 3" xfId="23681"/>
    <cellStyle name="Normal 2 2 2 32 3 4" xfId="23682"/>
    <cellStyle name="Normal 2 2 2 32 3 5" xfId="23683"/>
    <cellStyle name="Normal 2 2 2 32 3 6" xfId="23684"/>
    <cellStyle name="Normal 2 2 2 32 4" xfId="23685"/>
    <cellStyle name="Normal 2 2 2 32 4 2" xfId="23686"/>
    <cellStyle name="Normal 2 2 2 32 4 2 2" xfId="23687"/>
    <cellStyle name="Normal 2 2 2 32 4 3" xfId="23688"/>
    <cellStyle name="Normal 2 2 2 32 4 4" xfId="23689"/>
    <cellStyle name="Normal 2 2 2 32 4 5" xfId="23690"/>
    <cellStyle name="Normal 2 2 2 32 5" xfId="23691"/>
    <cellStyle name="Normal 2 2 2 32 5 2" xfId="23692"/>
    <cellStyle name="Normal 2 2 2 32 5 3" xfId="23693"/>
    <cellStyle name="Normal 2 2 2 32 5 4" xfId="23694"/>
    <cellStyle name="Normal 2 2 2 32 6" xfId="23695"/>
    <cellStyle name="Normal 2 2 2 32 6 2" xfId="23696"/>
    <cellStyle name="Normal 2 2 2 32 7" xfId="23697"/>
    <cellStyle name="Normal 2 2 2 32 8" xfId="23698"/>
    <cellStyle name="Normal 2 2 2 32 9" xfId="23699"/>
    <cellStyle name="Normal 2 2 2 33" xfId="23700"/>
    <cellStyle name="Normal 2 2 2 33 2" xfId="23701"/>
    <cellStyle name="Normal 2 2 2 33 2 2" xfId="23702"/>
    <cellStyle name="Normal 2 2 2 33 2 2 2" xfId="23703"/>
    <cellStyle name="Normal 2 2 2 33 2 2 3" xfId="23704"/>
    <cellStyle name="Normal 2 2 2 33 2 3" xfId="23705"/>
    <cellStyle name="Normal 2 2 2 33 2 4" xfId="23706"/>
    <cellStyle name="Normal 2 2 2 33 2 5" xfId="23707"/>
    <cellStyle name="Normal 2 2 2 33 2 6" xfId="23708"/>
    <cellStyle name="Normal 2 2 2 33 3" xfId="23709"/>
    <cellStyle name="Normal 2 2 2 33 3 2" xfId="23710"/>
    <cellStyle name="Normal 2 2 2 33 3 2 2" xfId="23711"/>
    <cellStyle name="Normal 2 2 2 33 3 3" xfId="23712"/>
    <cellStyle name="Normal 2 2 2 33 3 4" xfId="23713"/>
    <cellStyle name="Normal 2 2 2 33 3 5" xfId="23714"/>
    <cellStyle name="Normal 2 2 2 33 4" xfId="23715"/>
    <cellStyle name="Normal 2 2 2 33 4 2" xfId="23716"/>
    <cellStyle name="Normal 2 2 2 33 4 3" xfId="23717"/>
    <cellStyle name="Normal 2 2 2 33 4 4" xfId="23718"/>
    <cellStyle name="Normal 2 2 2 33 5" xfId="23719"/>
    <cellStyle name="Normal 2 2 2 33 5 2" xfId="23720"/>
    <cellStyle name="Normal 2 2 2 33 6" xfId="23721"/>
    <cellStyle name="Normal 2 2 2 33 7" xfId="23722"/>
    <cellStyle name="Normal 2 2 2 33 8" xfId="23723"/>
    <cellStyle name="Normal 2 2 2 33 9" xfId="23724"/>
    <cellStyle name="Normal 2 2 2 34" xfId="23725"/>
    <cellStyle name="Normal 2 2 2 34 2" xfId="23726"/>
    <cellStyle name="Normal 2 2 2 34 3" xfId="23727"/>
    <cellStyle name="Normal 2 2 2 34 4" xfId="23728"/>
    <cellStyle name="Normal 2 2 2 35" xfId="23729"/>
    <cellStyle name="Normal 2 2 2 35 2" xfId="23730"/>
    <cellStyle name="Normal 2 2 2 35 2 2" xfId="23731"/>
    <cellStyle name="Normal 2 2 2 35 2 3" xfId="23732"/>
    <cellStyle name="Normal 2 2 2 35 3" xfId="23733"/>
    <cellStyle name="Normal 2 2 2 35 4" xfId="23734"/>
    <cellStyle name="Normal 2 2 2 35 5" xfId="23735"/>
    <cellStyle name="Normal 2 2 2 35 6" xfId="23736"/>
    <cellStyle name="Normal 2 2 2 36" xfId="23737"/>
    <cellStyle name="Normal 2 2 2 36 2" xfId="23738"/>
    <cellStyle name="Normal 2 2 2 36 2 2" xfId="23739"/>
    <cellStyle name="Normal 2 2 2 36 3" xfId="23740"/>
    <cellStyle name="Normal 2 2 2 36 4" xfId="23741"/>
    <cellStyle name="Normal 2 2 2 36 5" xfId="23742"/>
    <cellStyle name="Normal 2 2 2 36 6" xfId="23743"/>
    <cellStyle name="Normal 2 2 2 37" xfId="23744"/>
    <cellStyle name="Normal 2 2 2 37 2" xfId="23745"/>
    <cellStyle name="Normal 2 2 2 37 3" xfId="23746"/>
    <cellStyle name="Normal 2 2 2 38" xfId="23747"/>
    <cellStyle name="Normal 2 2 2 39" xfId="23748"/>
    <cellStyle name="Normal 2 2 2 4" xfId="23749"/>
    <cellStyle name="Normal 2 2 2 4 10" xfId="23750"/>
    <cellStyle name="Normal 2 2 2 4 11" xfId="23751"/>
    <cellStyle name="Normal 2 2 2 4 2" xfId="23752"/>
    <cellStyle name="Normal 2 2 2 4 2 2" xfId="23753"/>
    <cellStyle name="Normal 2 2 2 4 2 2 2" xfId="23754"/>
    <cellStyle name="Normal 2 2 2 4 2 2 2 2" xfId="23755"/>
    <cellStyle name="Normal 2 2 2 4 2 2 2 3" xfId="23756"/>
    <cellStyle name="Normal 2 2 2 4 2 2 3" xfId="23757"/>
    <cellStyle name="Normal 2 2 2 4 2 2 4" xfId="23758"/>
    <cellStyle name="Normal 2 2 2 4 2 2 5" xfId="23759"/>
    <cellStyle name="Normal 2 2 2 4 2 2 6" xfId="23760"/>
    <cellStyle name="Normal 2 2 2 4 2 3" xfId="23761"/>
    <cellStyle name="Normal 2 2 2 4 2 3 2" xfId="23762"/>
    <cellStyle name="Normal 2 2 2 4 2 3 2 2" xfId="23763"/>
    <cellStyle name="Normal 2 2 2 4 2 3 3" xfId="23764"/>
    <cellStyle name="Normal 2 2 2 4 2 3 4" xfId="23765"/>
    <cellStyle name="Normal 2 2 2 4 2 3 5" xfId="23766"/>
    <cellStyle name="Normal 2 2 2 4 2 4" xfId="23767"/>
    <cellStyle name="Normal 2 2 2 4 2 4 2" xfId="23768"/>
    <cellStyle name="Normal 2 2 2 4 2 4 3" xfId="23769"/>
    <cellStyle name="Normal 2 2 2 4 2 4 4" xfId="23770"/>
    <cellStyle name="Normal 2 2 2 4 2 5" xfId="23771"/>
    <cellStyle name="Normal 2 2 2 4 2 5 2" xfId="23772"/>
    <cellStyle name="Normal 2 2 2 4 2 6" xfId="23773"/>
    <cellStyle name="Normal 2 2 2 4 2 7" xfId="23774"/>
    <cellStyle name="Normal 2 2 2 4 2 8" xfId="23775"/>
    <cellStyle name="Normal 2 2 2 4 2 9" xfId="23776"/>
    <cellStyle name="Normal 2 2 2 4 3" xfId="23777"/>
    <cellStyle name="Normal 2 2 2 4 3 2" xfId="23778"/>
    <cellStyle name="Normal 2 2 2 4 3 2 2" xfId="23779"/>
    <cellStyle name="Normal 2 2 2 4 3 2 2 2" xfId="23780"/>
    <cellStyle name="Normal 2 2 2 4 3 2 2 3" xfId="23781"/>
    <cellStyle name="Normal 2 2 2 4 3 2 3" xfId="23782"/>
    <cellStyle name="Normal 2 2 2 4 3 2 4" xfId="23783"/>
    <cellStyle name="Normal 2 2 2 4 3 2 5" xfId="23784"/>
    <cellStyle name="Normal 2 2 2 4 3 2 6" xfId="23785"/>
    <cellStyle name="Normal 2 2 2 4 3 3" xfId="23786"/>
    <cellStyle name="Normal 2 2 2 4 3 3 2" xfId="23787"/>
    <cellStyle name="Normal 2 2 2 4 3 3 2 2" xfId="23788"/>
    <cellStyle name="Normal 2 2 2 4 3 3 3" xfId="23789"/>
    <cellStyle name="Normal 2 2 2 4 3 3 4" xfId="23790"/>
    <cellStyle name="Normal 2 2 2 4 3 3 5" xfId="23791"/>
    <cellStyle name="Normal 2 2 2 4 3 4" xfId="23792"/>
    <cellStyle name="Normal 2 2 2 4 3 4 2" xfId="23793"/>
    <cellStyle name="Normal 2 2 2 4 3 4 3" xfId="23794"/>
    <cellStyle name="Normal 2 2 2 4 3 4 4" xfId="23795"/>
    <cellStyle name="Normal 2 2 2 4 3 5" xfId="23796"/>
    <cellStyle name="Normal 2 2 2 4 3 5 2" xfId="23797"/>
    <cellStyle name="Normal 2 2 2 4 3 6" xfId="23798"/>
    <cellStyle name="Normal 2 2 2 4 3 7" xfId="23799"/>
    <cellStyle name="Normal 2 2 2 4 3 8" xfId="23800"/>
    <cellStyle name="Normal 2 2 2 4 3 9" xfId="23801"/>
    <cellStyle name="Normal 2 2 2 4 4" xfId="23802"/>
    <cellStyle name="Normal 2 2 2 4 4 2" xfId="23803"/>
    <cellStyle name="Normal 2 2 2 4 4 2 2" xfId="23804"/>
    <cellStyle name="Normal 2 2 2 4 4 2 3" xfId="23805"/>
    <cellStyle name="Normal 2 2 2 4 4 3" xfId="23806"/>
    <cellStyle name="Normal 2 2 2 4 4 4" xfId="23807"/>
    <cellStyle name="Normal 2 2 2 4 4 5" xfId="23808"/>
    <cellStyle name="Normal 2 2 2 4 4 6" xfId="23809"/>
    <cellStyle name="Normal 2 2 2 4 5" xfId="23810"/>
    <cellStyle name="Normal 2 2 2 4 5 2" xfId="23811"/>
    <cellStyle name="Normal 2 2 2 4 5 2 2" xfId="23812"/>
    <cellStyle name="Normal 2 2 2 4 5 3" xfId="23813"/>
    <cellStyle name="Normal 2 2 2 4 5 4" xfId="23814"/>
    <cellStyle name="Normal 2 2 2 4 5 5" xfId="23815"/>
    <cellStyle name="Normal 2 2 2 4 6" xfId="23816"/>
    <cellStyle name="Normal 2 2 2 4 6 2" xfId="23817"/>
    <cellStyle name="Normal 2 2 2 4 6 3" xfId="23818"/>
    <cellStyle name="Normal 2 2 2 4 6 4" xfId="23819"/>
    <cellStyle name="Normal 2 2 2 4 7" xfId="23820"/>
    <cellStyle name="Normal 2 2 2 4 7 2" xfId="23821"/>
    <cellStyle name="Normal 2 2 2 4 8" xfId="23822"/>
    <cellStyle name="Normal 2 2 2 4 9" xfId="23823"/>
    <cellStyle name="Normal 2 2 2 40" xfId="23824"/>
    <cellStyle name="Normal 2 2 2 41" xfId="23825"/>
    <cellStyle name="Normal 2 2 2 5" xfId="23826"/>
    <cellStyle name="Normal 2 2 2 5 10" xfId="23827"/>
    <cellStyle name="Normal 2 2 2 5 11" xfId="23828"/>
    <cellStyle name="Normal 2 2 2 5 2" xfId="23829"/>
    <cellStyle name="Normal 2 2 2 5 2 2" xfId="23830"/>
    <cellStyle name="Normal 2 2 2 5 2 2 2" xfId="23831"/>
    <cellStyle name="Normal 2 2 2 5 2 2 2 2" xfId="23832"/>
    <cellStyle name="Normal 2 2 2 5 2 2 2 3" xfId="23833"/>
    <cellStyle name="Normal 2 2 2 5 2 2 3" xfId="23834"/>
    <cellStyle name="Normal 2 2 2 5 2 2 4" xfId="23835"/>
    <cellStyle name="Normal 2 2 2 5 2 2 5" xfId="23836"/>
    <cellStyle name="Normal 2 2 2 5 2 2 6" xfId="23837"/>
    <cellStyle name="Normal 2 2 2 5 2 3" xfId="23838"/>
    <cellStyle name="Normal 2 2 2 5 2 3 2" xfId="23839"/>
    <cellStyle name="Normal 2 2 2 5 2 3 2 2" xfId="23840"/>
    <cellStyle name="Normal 2 2 2 5 2 3 3" xfId="23841"/>
    <cellStyle name="Normal 2 2 2 5 2 3 4" xfId="23842"/>
    <cellStyle name="Normal 2 2 2 5 2 3 5" xfId="23843"/>
    <cellStyle name="Normal 2 2 2 5 2 4" xfId="23844"/>
    <cellStyle name="Normal 2 2 2 5 2 4 2" xfId="23845"/>
    <cellStyle name="Normal 2 2 2 5 2 4 3" xfId="23846"/>
    <cellStyle name="Normal 2 2 2 5 2 4 4" xfId="23847"/>
    <cellStyle name="Normal 2 2 2 5 2 5" xfId="23848"/>
    <cellStyle name="Normal 2 2 2 5 2 5 2" xfId="23849"/>
    <cellStyle name="Normal 2 2 2 5 2 6" xfId="23850"/>
    <cellStyle name="Normal 2 2 2 5 2 7" xfId="23851"/>
    <cellStyle name="Normal 2 2 2 5 2 8" xfId="23852"/>
    <cellStyle name="Normal 2 2 2 5 2 9" xfId="23853"/>
    <cellStyle name="Normal 2 2 2 5 3" xfId="23854"/>
    <cellStyle name="Normal 2 2 2 5 3 2" xfId="23855"/>
    <cellStyle name="Normal 2 2 2 5 3 2 2" xfId="23856"/>
    <cellStyle name="Normal 2 2 2 5 3 2 2 2" xfId="23857"/>
    <cellStyle name="Normal 2 2 2 5 3 2 2 3" xfId="23858"/>
    <cellStyle name="Normal 2 2 2 5 3 2 3" xfId="23859"/>
    <cellStyle name="Normal 2 2 2 5 3 2 4" xfId="23860"/>
    <cellStyle name="Normal 2 2 2 5 3 2 5" xfId="23861"/>
    <cellStyle name="Normal 2 2 2 5 3 2 6" xfId="23862"/>
    <cellStyle name="Normal 2 2 2 5 3 3" xfId="23863"/>
    <cellStyle name="Normal 2 2 2 5 3 3 2" xfId="23864"/>
    <cellStyle name="Normal 2 2 2 5 3 3 2 2" xfId="23865"/>
    <cellStyle name="Normal 2 2 2 5 3 3 3" xfId="23866"/>
    <cellStyle name="Normal 2 2 2 5 3 3 4" xfId="23867"/>
    <cellStyle name="Normal 2 2 2 5 3 3 5" xfId="23868"/>
    <cellStyle name="Normal 2 2 2 5 3 4" xfId="23869"/>
    <cellStyle name="Normal 2 2 2 5 3 4 2" xfId="23870"/>
    <cellStyle name="Normal 2 2 2 5 3 4 3" xfId="23871"/>
    <cellStyle name="Normal 2 2 2 5 3 4 4" xfId="23872"/>
    <cellStyle name="Normal 2 2 2 5 3 5" xfId="23873"/>
    <cellStyle name="Normal 2 2 2 5 3 5 2" xfId="23874"/>
    <cellStyle name="Normal 2 2 2 5 3 6" xfId="23875"/>
    <cellStyle name="Normal 2 2 2 5 3 7" xfId="23876"/>
    <cellStyle name="Normal 2 2 2 5 3 8" xfId="23877"/>
    <cellStyle name="Normal 2 2 2 5 3 9" xfId="23878"/>
    <cellStyle name="Normal 2 2 2 5 4" xfId="23879"/>
    <cellStyle name="Normal 2 2 2 5 4 2" xfId="23880"/>
    <cellStyle name="Normal 2 2 2 5 4 2 2" xfId="23881"/>
    <cellStyle name="Normal 2 2 2 5 4 2 3" xfId="23882"/>
    <cellStyle name="Normal 2 2 2 5 4 3" xfId="23883"/>
    <cellStyle name="Normal 2 2 2 5 4 4" xfId="23884"/>
    <cellStyle name="Normal 2 2 2 5 4 5" xfId="23885"/>
    <cellStyle name="Normal 2 2 2 5 4 6" xfId="23886"/>
    <cellStyle name="Normal 2 2 2 5 5" xfId="23887"/>
    <cellStyle name="Normal 2 2 2 5 5 2" xfId="23888"/>
    <cellStyle name="Normal 2 2 2 5 5 2 2" xfId="23889"/>
    <cellStyle name="Normal 2 2 2 5 5 3" xfId="23890"/>
    <cellStyle name="Normal 2 2 2 5 5 4" xfId="23891"/>
    <cellStyle name="Normal 2 2 2 5 5 5" xfId="23892"/>
    <cellStyle name="Normal 2 2 2 5 6" xfId="23893"/>
    <cellStyle name="Normal 2 2 2 5 6 2" xfId="23894"/>
    <cellStyle name="Normal 2 2 2 5 6 3" xfId="23895"/>
    <cellStyle name="Normal 2 2 2 5 6 4" xfId="23896"/>
    <cellStyle name="Normal 2 2 2 5 7" xfId="23897"/>
    <cellStyle name="Normal 2 2 2 5 7 2" xfId="23898"/>
    <cellStyle name="Normal 2 2 2 5 8" xfId="23899"/>
    <cellStyle name="Normal 2 2 2 5 9" xfId="23900"/>
    <cellStyle name="Normal 2 2 2 6" xfId="23901"/>
    <cellStyle name="Normal 2 2 2 6 10" xfId="23902"/>
    <cellStyle name="Normal 2 2 2 6 11" xfId="23903"/>
    <cellStyle name="Normal 2 2 2 6 2" xfId="23904"/>
    <cellStyle name="Normal 2 2 2 6 2 2" xfId="23905"/>
    <cellStyle name="Normal 2 2 2 6 2 2 2" xfId="23906"/>
    <cellStyle name="Normal 2 2 2 6 2 2 2 2" xfId="23907"/>
    <cellStyle name="Normal 2 2 2 6 2 2 2 3" xfId="23908"/>
    <cellStyle name="Normal 2 2 2 6 2 2 3" xfId="23909"/>
    <cellStyle name="Normal 2 2 2 6 2 2 4" xfId="23910"/>
    <cellStyle name="Normal 2 2 2 6 2 2 5" xfId="23911"/>
    <cellStyle name="Normal 2 2 2 6 2 2 6" xfId="23912"/>
    <cellStyle name="Normal 2 2 2 6 2 3" xfId="23913"/>
    <cellStyle name="Normal 2 2 2 6 2 3 2" xfId="23914"/>
    <cellStyle name="Normal 2 2 2 6 2 3 2 2" xfId="23915"/>
    <cellStyle name="Normal 2 2 2 6 2 3 3" xfId="23916"/>
    <cellStyle name="Normal 2 2 2 6 2 3 4" xfId="23917"/>
    <cellStyle name="Normal 2 2 2 6 2 3 5" xfId="23918"/>
    <cellStyle name="Normal 2 2 2 6 2 4" xfId="23919"/>
    <cellStyle name="Normal 2 2 2 6 2 4 2" xfId="23920"/>
    <cellStyle name="Normal 2 2 2 6 2 4 3" xfId="23921"/>
    <cellStyle name="Normal 2 2 2 6 2 4 4" xfId="23922"/>
    <cellStyle name="Normal 2 2 2 6 2 5" xfId="23923"/>
    <cellStyle name="Normal 2 2 2 6 2 5 2" xfId="23924"/>
    <cellStyle name="Normal 2 2 2 6 2 6" xfId="23925"/>
    <cellStyle name="Normal 2 2 2 6 2 7" xfId="23926"/>
    <cellStyle name="Normal 2 2 2 6 2 8" xfId="23927"/>
    <cellStyle name="Normal 2 2 2 6 2 9" xfId="23928"/>
    <cellStyle name="Normal 2 2 2 6 3" xfId="23929"/>
    <cellStyle name="Normal 2 2 2 6 3 2" xfId="23930"/>
    <cellStyle name="Normal 2 2 2 6 3 2 2" xfId="23931"/>
    <cellStyle name="Normal 2 2 2 6 3 2 2 2" xfId="23932"/>
    <cellStyle name="Normal 2 2 2 6 3 2 2 3" xfId="23933"/>
    <cellStyle name="Normal 2 2 2 6 3 2 3" xfId="23934"/>
    <cellStyle name="Normal 2 2 2 6 3 2 4" xfId="23935"/>
    <cellStyle name="Normal 2 2 2 6 3 2 5" xfId="23936"/>
    <cellStyle name="Normal 2 2 2 6 3 2 6" xfId="23937"/>
    <cellStyle name="Normal 2 2 2 6 3 3" xfId="23938"/>
    <cellStyle name="Normal 2 2 2 6 3 3 2" xfId="23939"/>
    <cellStyle name="Normal 2 2 2 6 3 3 2 2" xfId="23940"/>
    <cellStyle name="Normal 2 2 2 6 3 3 3" xfId="23941"/>
    <cellStyle name="Normal 2 2 2 6 3 3 4" xfId="23942"/>
    <cellStyle name="Normal 2 2 2 6 3 3 5" xfId="23943"/>
    <cellStyle name="Normal 2 2 2 6 3 4" xfId="23944"/>
    <cellStyle name="Normal 2 2 2 6 3 4 2" xfId="23945"/>
    <cellStyle name="Normal 2 2 2 6 3 4 3" xfId="23946"/>
    <cellStyle name="Normal 2 2 2 6 3 4 4" xfId="23947"/>
    <cellStyle name="Normal 2 2 2 6 3 5" xfId="23948"/>
    <cellStyle name="Normal 2 2 2 6 3 5 2" xfId="23949"/>
    <cellStyle name="Normal 2 2 2 6 3 6" xfId="23950"/>
    <cellStyle name="Normal 2 2 2 6 3 7" xfId="23951"/>
    <cellStyle name="Normal 2 2 2 6 3 8" xfId="23952"/>
    <cellStyle name="Normal 2 2 2 6 3 9" xfId="23953"/>
    <cellStyle name="Normal 2 2 2 6 4" xfId="23954"/>
    <cellStyle name="Normal 2 2 2 6 4 2" xfId="23955"/>
    <cellStyle name="Normal 2 2 2 6 4 2 2" xfId="23956"/>
    <cellStyle name="Normal 2 2 2 6 4 2 3" xfId="23957"/>
    <cellStyle name="Normal 2 2 2 6 4 3" xfId="23958"/>
    <cellStyle name="Normal 2 2 2 6 4 4" xfId="23959"/>
    <cellStyle name="Normal 2 2 2 6 4 5" xfId="23960"/>
    <cellStyle name="Normal 2 2 2 6 4 6" xfId="23961"/>
    <cellStyle name="Normal 2 2 2 6 5" xfId="23962"/>
    <cellStyle name="Normal 2 2 2 6 5 2" xfId="23963"/>
    <cellStyle name="Normal 2 2 2 6 5 2 2" xfId="23964"/>
    <cellStyle name="Normal 2 2 2 6 5 3" xfId="23965"/>
    <cellStyle name="Normal 2 2 2 6 5 4" xfId="23966"/>
    <cellStyle name="Normal 2 2 2 6 5 5" xfId="23967"/>
    <cellStyle name="Normal 2 2 2 6 6" xfId="23968"/>
    <cellStyle name="Normal 2 2 2 6 6 2" xfId="23969"/>
    <cellStyle name="Normal 2 2 2 6 6 3" xfId="23970"/>
    <cellStyle name="Normal 2 2 2 6 6 4" xfId="23971"/>
    <cellStyle name="Normal 2 2 2 6 7" xfId="23972"/>
    <cellStyle name="Normal 2 2 2 6 7 2" xfId="23973"/>
    <cellStyle name="Normal 2 2 2 6 8" xfId="23974"/>
    <cellStyle name="Normal 2 2 2 6 9" xfId="23975"/>
    <cellStyle name="Normal 2 2 2 7" xfId="23976"/>
    <cellStyle name="Normal 2 2 2 7 10" xfId="23977"/>
    <cellStyle name="Normal 2 2 2 7 11" xfId="23978"/>
    <cellStyle name="Normal 2 2 2 7 2" xfId="23979"/>
    <cellStyle name="Normal 2 2 2 7 2 2" xfId="23980"/>
    <cellStyle name="Normal 2 2 2 7 2 2 2" xfId="23981"/>
    <cellStyle name="Normal 2 2 2 7 2 2 2 2" xfId="23982"/>
    <cellStyle name="Normal 2 2 2 7 2 2 2 3" xfId="23983"/>
    <cellStyle name="Normal 2 2 2 7 2 2 3" xfId="23984"/>
    <cellStyle name="Normal 2 2 2 7 2 2 4" xfId="23985"/>
    <cellStyle name="Normal 2 2 2 7 2 2 5" xfId="23986"/>
    <cellStyle name="Normal 2 2 2 7 2 2 6" xfId="23987"/>
    <cellStyle name="Normal 2 2 2 7 2 3" xfId="23988"/>
    <cellStyle name="Normal 2 2 2 7 2 3 2" xfId="23989"/>
    <cellStyle name="Normal 2 2 2 7 2 3 2 2" xfId="23990"/>
    <cellStyle name="Normal 2 2 2 7 2 3 3" xfId="23991"/>
    <cellStyle name="Normal 2 2 2 7 2 3 4" xfId="23992"/>
    <cellStyle name="Normal 2 2 2 7 2 3 5" xfId="23993"/>
    <cellStyle name="Normal 2 2 2 7 2 4" xfId="23994"/>
    <cellStyle name="Normal 2 2 2 7 2 4 2" xfId="23995"/>
    <cellStyle name="Normal 2 2 2 7 2 4 3" xfId="23996"/>
    <cellStyle name="Normal 2 2 2 7 2 4 4" xfId="23997"/>
    <cellStyle name="Normal 2 2 2 7 2 5" xfId="23998"/>
    <cellStyle name="Normal 2 2 2 7 2 5 2" xfId="23999"/>
    <cellStyle name="Normal 2 2 2 7 2 6" xfId="24000"/>
    <cellStyle name="Normal 2 2 2 7 2 7" xfId="24001"/>
    <cellStyle name="Normal 2 2 2 7 2 8" xfId="24002"/>
    <cellStyle name="Normal 2 2 2 7 2 9" xfId="24003"/>
    <cellStyle name="Normal 2 2 2 7 3" xfId="24004"/>
    <cellStyle name="Normal 2 2 2 7 3 2" xfId="24005"/>
    <cellStyle name="Normal 2 2 2 7 3 2 2" xfId="24006"/>
    <cellStyle name="Normal 2 2 2 7 3 2 2 2" xfId="24007"/>
    <cellStyle name="Normal 2 2 2 7 3 2 2 3" xfId="24008"/>
    <cellStyle name="Normal 2 2 2 7 3 2 3" xfId="24009"/>
    <cellStyle name="Normal 2 2 2 7 3 2 4" xfId="24010"/>
    <cellStyle name="Normal 2 2 2 7 3 2 5" xfId="24011"/>
    <cellStyle name="Normal 2 2 2 7 3 2 6" xfId="24012"/>
    <cellStyle name="Normal 2 2 2 7 3 3" xfId="24013"/>
    <cellStyle name="Normal 2 2 2 7 3 3 2" xfId="24014"/>
    <cellStyle name="Normal 2 2 2 7 3 3 2 2" xfId="24015"/>
    <cellStyle name="Normal 2 2 2 7 3 3 3" xfId="24016"/>
    <cellStyle name="Normal 2 2 2 7 3 3 4" xfId="24017"/>
    <cellStyle name="Normal 2 2 2 7 3 3 5" xfId="24018"/>
    <cellStyle name="Normal 2 2 2 7 3 4" xfId="24019"/>
    <cellStyle name="Normal 2 2 2 7 3 4 2" xfId="24020"/>
    <cellStyle name="Normal 2 2 2 7 3 4 3" xfId="24021"/>
    <cellStyle name="Normal 2 2 2 7 3 4 4" xfId="24022"/>
    <cellStyle name="Normal 2 2 2 7 3 5" xfId="24023"/>
    <cellStyle name="Normal 2 2 2 7 3 5 2" xfId="24024"/>
    <cellStyle name="Normal 2 2 2 7 3 6" xfId="24025"/>
    <cellStyle name="Normal 2 2 2 7 3 7" xfId="24026"/>
    <cellStyle name="Normal 2 2 2 7 3 8" xfId="24027"/>
    <cellStyle name="Normal 2 2 2 7 3 9" xfId="24028"/>
    <cellStyle name="Normal 2 2 2 7 4" xfId="24029"/>
    <cellStyle name="Normal 2 2 2 7 4 2" xfId="24030"/>
    <cellStyle name="Normal 2 2 2 7 4 2 2" xfId="24031"/>
    <cellStyle name="Normal 2 2 2 7 4 2 3" xfId="24032"/>
    <cellStyle name="Normal 2 2 2 7 4 3" xfId="24033"/>
    <cellStyle name="Normal 2 2 2 7 4 4" xfId="24034"/>
    <cellStyle name="Normal 2 2 2 7 4 5" xfId="24035"/>
    <cellStyle name="Normal 2 2 2 7 4 6" xfId="24036"/>
    <cellStyle name="Normal 2 2 2 7 5" xfId="24037"/>
    <cellStyle name="Normal 2 2 2 7 5 2" xfId="24038"/>
    <cellStyle name="Normal 2 2 2 7 5 2 2" xfId="24039"/>
    <cellStyle name="Normal 2 2 2 7 5 3" xfId="24040"/>
    <cellStyle name="Normal 2 2 2 7 5 4" xfId="24041"/>
    <cellStyle name="Normal 2 2 2 7 5 5" xfId="24042"/>
    <cellStyle name="Normal 2 2 2 7 6" xfId="24043"/>
    <cellStyle name="Normal 2 2 2 7 6 2" xfId="24044"/>
    <cellStyle name="Normal 2 2 2 7 6 3" xfId="24045"/>
    <cellStyle name="Normal 2 2 2 7 6 4" xfId="24046"/>
    <cellStyle name="Normal 2 2 2 7 7" xfId="24047"/>
    <cellStyle name="Normal 2 2 2 7 7 2" xfId="24048"/>
    <cellStyle name="Normal 2 2 2 7 8" xfId="24049"/>
    <cellStyle name="Normal 2 2 2 7 9" xfId="24050"/>
    <cellStyle name="Normal 2 2 2 8" xfId="24051"/>
    <cellStyle name="Normal 2 2 2 8 10" xfId="24052"/>
    <cellStyle name="Normal 2 2 2 8 2" xfId="24053"/>
    <cellStyle name="Normal 2 2 2 8 2 2" xfId="24054"/>
    <cellStyle name="Normal 2 2 2 8 2 2 2" xfId="24055"/>
    <cellStyle name="Normal 2 2 2 8 2 2 3" xfId="24056"/>
    <cellStyle name="Normal 2 2 2 8 2 3" xfId="24057"/>
    <cellStyle name="Normal 2 2 2 8 2 4" xfId="24058"/>
    <cellStyle name="Normal 2 2 2 8 2 5" xfId="24059"/>
    <cellStyle name="Normal 2 2 2 8 2 6" xfId="24060"/>
    <cellStyle name="Normal 2 2 2 8 3" xfId="24061"/>
    <cellStyle name="Normal 2 2 2 8 3 2" xfId="24062"/>
    <cellStyle name="Normal 2 2 2 8 3 2 2" xfId="24063"/>
    <cellStyle name="Normal 2 2 2 8 3 2 3" xfId="24064"/>
    <cellStyle name="Normal 2 2 2 8 3 3" xfId="24065"/>
    <cellStyle name="Normal 2 2 2 8 3 4" xfId="24066"/>
    <cellStyle name="Normal 2 2 2 8 3 5" xfId="24067"/>
    <cellStyle name="Normal 2 2 2 8 3 6" xfId="24068"/>
    <cellStyle name="Normal 2 2 2 8 4" xfId="24069"/>
    <cellStyle name="Normal 2 2 2 8 4 2" xfId="24070"/>
    <cellStyle name="Normal 2 2 2 8 4 2 2" xfId="24071"/>
    <cellStyle name="Normal 2 2 2 8 4 3" xfId="24072"/>
    <cellStyle name="Normal 2 2 2 8 4 4" xfId="24073"/>
    <cellStyle name="Normal 2 2 2 8 4 5" xfId="24074"/>
    <cellStyle name="Normal 2 2 2 8 5" xfId="24075"/>
    <cellStyle name="Normal 2 2 2 8 5 2" xfId="24076"/>
    <cellStyle name="Normal 2 2 2 8 5 3" xfId="24077"/>
    <cellStyle name="Normal 2 2 2 8 5 4" xfId="24078"/>
    <cellStyle name="Normal 2 2 2 8 6" xfId="24079"/>
    <cellStyle name="Normal 2 2 2 8 6 2" xfId="24080"/>
    <cellStyle name="Normal 2 2 2 8 7" xfId="24081"/>
    <cellStyle name="Normal 2 2 2 8 8" xfId="24082"/>
    <cellStyle name="Normal 2 2 2 8 9" xfId="24083"/>
    <cellStyle name="Normal 2 2 2 9" xfId="24084"/>
    <cellStyle name="Normal 2 2 2 9 10" xfId="24085"/>
    <cellStyle name="Normal 2 2 2 9 2" xfId="24086"/>
    <cellStyle name="Normal 2 2 2 9 2 2" xfId="24087"/>
    <cellStyle name="Normal 2 2 2 9 2 2 2" xfId="24088"/>
    <cellStyle name="Normal 2 2 2 9 2 2 3" xfId="24089"/>
    <cellStyle name="Normal 2 2 2 9 2 3" xfId="24090"/>
    <cellStyle name="Normal 2 2 2 9 2 4" xfId="24091"/>
    <cellStyle name="Normal 2 2 2 9 2 5" xfId="24092"/>
    <cellStyle name="Normal 2 2 2 9 2 6" xfId="24093"/>
    <cellStyle name="Normal 2 2 2 9 3" xfId="24094"/>
    <cellStyle name="Normal 2 2 2 9 3 2" xfId="24095"/>
    <cellStyle name="Normal 2 2 2 9 3 2 2" xfId="24096"/>
    <cellStyle name="Normal 2 2 2 9 3 2 3" xfId="24097"/>
    <cellStyle name="Normal 2 2 2 9 3 3" xfId="24098"/>
    <cellStyle name="Normal 2 2 2 9 3 4" xfId="24099"/>
    <cellStyle name="Normal 2 2 2 9 3 5" xfId="24100"/>
    <cellStyle name="Normal 2 2 2 9 3 6" xfId="24101"/>
    <cellStyle name="Normal 2 2 2 9 4" xfId="24102"/>
    <cellStyle name="Normal 2 2 2 9 4 2" xfId="24103"/>
    <cellStyle name="Normal 2 2 2 9 4 2 2" xfId="24104"/>
    <cellStyle name="Normal 2 2 2 9 4 3" xfId="24105"/>
    <cellStyle name="Normal 2 2 2 9 4 4" xfId="24106"/>
    <cellStyle name="Normal 2 2 2 9 4 5" xfId="24107"/>
    <cellStyle name="Normal 2 2 2 9 5" xfId="24108"/>
    <cellStyle name="Normal 2 2 2 9 5 2" xfId="24109"/>
    <cellStyle name="Normal 2 2 2 9 5 3" xfId="24110"/>
    <cellStyle name="Normal 2 2 2 9 5 4" xfId="24111"/>
    <cellStyle name="Normal 2 2 2 9 6" xfId="24112"/>
    <cellStyle name="Normal 2 2 2 9 6 2" xfId="24113"/>
    <cellStyle name="Normal 2 2 2 9 7" xfId="24114"/>
    <cellStyle name="Normal 2 2 2 9 8" xfId="24115"/>
    <cellStyle name="Normal 2 2 2 9 9" xfId="24116"/>
    <cellStyle name="Normal 2 2 20" xfId="24117"/>
    <cellStyle name="Normal 2 2 21" xfId="24118"/>
    <cellStyle name="Normal 2 2 22" xfId="24119"/>
    <cellStyle name="Normal 2 2 23" xfId="24120"/>
    <cellStyle name="Normal 2 2 24" xfId="24121"/>
    <cellStyle name="Normal 2 2 25" xfId="24122"/>
    <cellStyle name="Normal 2 2 25 2" xfId="24123"/>
    <cellStyle name="Normal 2 2 25 2 2" xfId="24124"/>
    <cellStyle name="Normal 2 2 25 2 2 2" xfId="24125"/>
    <cellStyle name="Normal 2 2 25 2 2 3" xfId="24126"/>
    <cellStyle name="Normal 2 2 25 2 3" xfId="24127"/>
    <cellStyle name="Normal 2 2 25 2 4" xfId="24128"/>
    <cellStyle name="Normal 2 2 25 2 5" xfId="24129"/>
    <cellStyle name="Normal 2 2 25 2 6" xfId="24130"/>
    <cellStyle name="Normal 2 2 25 3" xfId="24131"/>
    <cellStyle name="Normal 2 2 25 3 2" xfId="24132"/>
    <cellStyle name="Normal 2 2 25 3 2 2" xfId="24133"/>
    <cellStyle name="Normal 2 2 25 3 3" xfId="24134"/>
    <cellStyle name="Normal 2 2 25 3 4" xfId="24135"/>
    <cellStyle name="Normal 2 2 25 3 5" xfId="24136"/>
    <cellStyle name="Normal 2 2 25 4" xfId="24137"/>
    <cellStyle name="Normal 2 2 25 4 2" xfId="24138"/>
    <cellStyle name="Normal 2 2 25 4 3" xfId="24139"/>
    <cellStyle name="Normal 2 2 25 4 4" xfId="24140"/>
    <cellStyle name="Normal 2 2 25 5" xfId="24141"/>
    <cellStyle name="Normal 2 2 25 5 2" xfId="24142"/>
    <cellStyle name="Normal 2 2 25 6" xfId="24143"/>
    <cellStyle name="Normal 2 2 25 7" xfId="24144"/>
    <cellStyle name="Normal 2 2 25 8" xfId="24145"/>
    <cellStyle name="Normal 2 2 25 9" xfId="24146"/>
    <cellStyle name="Normal 2 2 26" xfId="24147"/>
    <cellStyle name="Normal 2 2 26 2" xfId="24148"/>
    <cellStyle name="Normal 2 2 26 2 2" xfId="24149"/>
    <cellStyle name="Normal 2 2 26 3" xfId="24150"/>
    <cellStyle name="Normal 2 2 26 4" xfId="24151"/>
    <cellStyle name="Normal 2 2 26 5" xfId="24152"/>
    <cellStyle name="Normal 2 2 26 6" xfId="24153"/>
    <cellStyle name="Normal 2 2 27" xfId="24154"/>
    <cellStyle name="Normal 2 2 27 2" xfId="24155"/>
    <cellStyle name="Normal 2 2 28" xfId="24156"/>
    <cellStyle name="Normal 2 2 28 2" xfId="24157"/>
    <cellStyle name="Normal 2 2 28 3" xfId="24158"/>
    <cellStyle name="Normal 2 2 29" xfId="24159"/>
    <cellStyle name="Normal 2 2 29 2" xfId="24160"/>
    <cellStyle name="Normal 2 2 29 3" xfId="24161"/>
    <cellStyle name="Normal 2 2 3" xfId="24162"/>
    <cellStyle name="Normal 2 2 3 2" xfId="24163"/>
    <cellStyle name="Normal 2 2 3 3" xfId="24164"/>
    <cellStyle name="Normal 2 2 3 4" xfId="24165"/>
    <cellStyle name="Normal 2 2 30" xfId="24166"/>
    <cellStyle name="Normal 2 2 31" xfId="24167"/>
    <cellStyle name="Normal 2 2 32" xfId="24168"/>
    <cellStyle name="Normal 2 2 33" xfId="24169"/>
    <cellStyle name="Normal 2 2 34" xfId="24170"/>
    <cellStyle name="Normal 2 2 35" xfId="24171"/>
    <cellStyle name="Normal 2 2 36" xfId="24172"/>
    <cellStyle name="Normal 2 2 37" xfId="24173"/>
    <cellStyle name="Normal 2 2 38" xfId="24174"/>
    <cellStyle name="Normal 2 2 39" xfId="24175"/>
    <cellStyle name="Normal 2 2 4" xfId="24176"/>
    <cellStyle name="Normal 2 2 4 2" xfId="24177"/>
    <cellStyle name="Normal 2 2 4 3" xfId="24178"/>
    <cellStyle name="Normal 2 2 4 3 2" xfId="24179"/>
    <cellStyle name="Normal 2 2 4 4" xfId="24180"/>
    <cellStyle name="Normal 2 2 40" xfId="24181"/>
    <cellStyle name="Normal 2 2 41" xfId="24182"/>
    <cellStyle name="Normal 2 2 42" xfId="24183"/>
    <cellStyle name="Normal 2 2 43" xfId="24184"/>
    <cellStyle name="Normal 2 2 44" xfId="24185"/>
    <cellStyle name="Normal 2 2 45" xfId="24186"/>
    <cellStyle name="Normal 2 2 46" xfId="24187"/>
    <cellStyle name="Normal 2 2 47" xfId="24188"/>
    <cellStyle name="Normal 2 2 48" xfId="24189"/>
    <cellStyle name="Normal 2 2 49" xfId="24190"/>
    <cellStyle name="Normal 2 2 5" xfId="24191"/>
    <cellStyle name="Normal 2 2 5 2" xfId="24192"/>
    <cellStyle name="Normal 2 2 5 3" xfId="24193"/>
    <cellStyle name="Normal 2 2 5 3 2" xfId="24194"/>
    <cellStyle name="Normal 2 2 5 4" xfId="24195"/>
    <cellStyle name="Normal 2 2 50" xfId="24196"/>
    <cellStyle name="Normal 2 2 51" xfId="24197"/>
    <cellStyle name="Normal 2 2 52" xfId="24198"/>
    <cellStyle name="Normal 2 2 53" xfId="24199"/>
    <cellStyle name="Normal 2 2 6" xfId="24200"/>
    <cellStyle name="Normal 2 2 6 2" xfId="24201"/>
    <cellStyle name="Normal 2 2 6 3" xfId="24202"/>
    <cellStyle name="Normal 2 2 6 3 2" xfId="24203"/>
    <cellStyle name="Normal 2 2 6 4" xfId="24204"/>
    <cellStyle name="Normal 2 2 7" xfId="24205"/>
    <cellStyle name="Normal 2 2 7 2" xfId="24206"/>
    <cellStyle name="Normal 2 2 7 3" xfId="24207"/>
    <cellStyle name="Normal 2 2 7 3 2" xfId="24208"/>
    <cellStyle name="Normal 2 2 7 4" xfId="24209"/>
    <cellStyle name="Normal 2 2 8" xfId="24210"/>
    <cellStyle name="Normal 2 2 8 2" xfId="24211"/>
    <cellStyle name="Normal 2 2 8 3" xfId="24212"/>
    <cellStyle name="Normal 2 2 8 3 2" xfId="24213"/>
    <cellStyle name="Normal 2 2 8 4" xfId="24214"/>
    <cellStyle name="Normal 2 2 9" xfId="24215"/>
    <cellStyle name="Normal 2 2 9 2" xfId="24216"/>
    <cellStyle name="Normal 2 2 9 3" xfId="24217"/>
    <cellStyle name="Normal 2 2 9 3 2" xfId="24218"/>
    <cellStyle name="Normal 2 2 9 4" xfId="24219"/>
    <cellStyle name="Normal 2 20" xfId="24220"/>
    <cellStyle name="Normal 2 20 10" xfId="24221"/>
    <cellStyle name="Normal 2 20 11" xfId="24222"/>
    <cellStyle name="Normal 2 20 2" xfId="24223"/>
    <cellStyle name="Normal 2 20 2 2" xfId="24224"/>
    <cellStyle name="Normal 2 20 3" xfId="24225"/>
    <cellStyle name="Normal 2 20 3 2" xfId="24226"/>
    <cellStyle name="Normal 2 20 3 2 2" xfId="24227"/>
    <cellStyle name="Normal 2 20 3 2 2 2" xfId="24228"/>
    <cellStyle name="Normal 2 20 3 2 2 3" xfId="24229"/>
    <cellStyle name="Normal 2 20 3 2 3" xfId="24230"/>
    <cellStyle name="Normal 2 20 3 2 4" xfId="24231"/>
    <cellStyle name="Normal 2 20 3 2 5" xfId="24232"/>
    <cellStyle name="Normal 2 20 3 2 6" xfId="24233"/>
    <cellStyle name="Normal 2 20 3 3" xfId="24234"/>
    <cellStyle name="Normal 2 20 3 3 2" xfId="24235"/>
    <cellStyle name="Normal 2 20 3 3 2 2" xfId="24236"/>
    <cellStyle name="Normal 2 20 3 3 3" xfId="24237"/>
    <cellStyle name="Normal 2 20 3 3 4" xfId="24238"/>
    <cellStyle name="Normal 2 20 3 3 5" xfId="24239"/>
    <cellStyle name="Normal 2 20 3 4" xfId="24240"/>
    <cellStyle name="Normal 2 20 3 4 2" xfId="24241"/>
    <cellStyle name="Normal 2 20 3 4 3" xfId="24242"/>
    <cellStyle name="Normal 2 20 3 4 4" xfId="24243"/>
    <cellStyle name="Normal 2 20 3 5" xfId="24244"/>
    <cellStyle name="Normal 2 20 3 5 2" xfId="24245"/>
    <cellStyle name="Normal 2 20 3 6" xfId="24246"/>
    <cellStyle name="Normal 2 20 3 7" xfId="24247"/>
    <cellStyle name="Normal 2 20 3 8" xfId="24248"/>
    <cellStyle name="Normal 2 20 3 9" xfId="24249"/>
    <cellStyle name="Normal 2 20 4" xfId="24250"/>
    <cellStyle name="Normal 2 20 4 2" xfId="24251"/>
    <cellStyle name="Normal 2 20 4 2 2" xfId="24252"/>
    <cellStyle name="Normal 2 20 4 2 2 2" xfId="24253"/>
    <cellStyle name="Normal 2 20 4 2 2 3" xfId="24254"/>
    <cellStyle name="Normal 2 20 4 2 3" xfId="24255"/>
    <cellStyle name="Normal 2 20 4 2 4" xfId="24256"/>
    <cellStyle name="Normal 2 20 4 2 5" xfId="24257"/>
    <cellStyle name="Normal 2 20 4 2 6" xfId="24258"/>
    <cellStyle name="Normal 2 20 4 3" xfId="24259"/>
    <cellStyle name="Normal 2 20 4 3 2" xfId="24260"/>
    <cellStyle name="Normal 2 20 4 3 2 2" xfId="24261"/>
    <cellStyle name="Normal 2 20 4 3 3" xfId="24262"/>
    <cellStyle name="Normal 2 20 4 3 4" xfId="24263"/>
    <cellStyle name="Normal 2 20 4 3 5" xfId="24264"/>
    <cellStyle name="Normal 2 20 4 4" xfId="24265"/>
    <cellStyle name="Normal 2 20 4 4 2" xfId="24266"/>
    <cellStyle name="Normal 2 20 4 4 3" xfId="24267"/>
    <cellStyle name="Normal 2 20 4 4 4" xfId="24268"/>
    <cellStyle name="Normal 2 20 4 5" xfId="24269"/>
    <cellStyle name="Normal 2 20 4 5 2" xfId="24270"/>
    <cellStyle name="Normal 2 20 4 6" xfId="24271"/>
    <cellStyle name="Normal 2 20 4 7" xfId="24272"/>
    <cellStyle name="Normal 2 20 4 8" xfId="24273"/>
    <cellStyle name="Normal 2 20 4 9" xfId="24274"/>
    <cellStyle name="Normal 2 20 5" xfId="24275"/>
    <cellStyle name="Normal 2 20 5 2" xfId="24276"/>
    <cellStyle name="Normal 2 20 5 2 2" xfId="24277"/>
    <cellStyle name="Normal 2 20 5 2 3" xfId="24278"/>
    <cellStyle name="Normal 2 20 5 3" xfId="24279"/>
    <cellStyle name="Normal 2 20 5 4" xfId="24280"/>
    <cellStyle name="Normal 2 20 5 5" xfId="24281"/>
    <cellStyle name="Normal 2 20 5 6" xfId="24282"/>
    <cellStyle name="Normal 2 20 6" xfId="24283"/>
    <cellStyle name="Normal 2 20 6 2" xfId="24284"/>
    <cellStyle name="Normal 2 20 6 2 2" xfId="24285"/>
    <cellStyle name="Normal 2 20 6 3" xfId="24286"/>
    <cellStyle name="Normal 2 20 6 4" xfId="24287"/>
    <cellStyle name="Normal 2 20 6 5" xfId="24288"/>
    <cellStyle name="Normal 2 20 6 6" xfId="24289"/>
    <cellStyle name="Normal 2 20 7" xfId="24290"/>
    <cellStyle name="Normal 2 20 7 2" xfId="24291"/>
    <cellStyle name="Normal 2 20 7 3" xfId="24292"/>
    <cellStyle name="Normal 2 20 7 4" xfId="24293"/>
    <cellStyle name="Normal 2 20 7 5" xfId="24294"/>
    <cellStyle name="Normal 2 20 8" xfId="24295"/>
    <cellStyle name="Normal 2 20 8 2" xfId="24296"/>
    <cellStyle name="Normal 2 20 9" xfId="24297"/>
    <cellStyle name="Normal 2 21" xfId="24298"/>
    <cellStyle name="Normal 2 21 2" xfId="24299"/>
    <cellStyle name="Normal 2 21 2 2" xfId="24300"/>
    <cellStyle name="Normal 2 21 3" xfId="24301"/>
    <cellStyle name="Normal 2 21 3 2" xfId="24302"/>
    <cellStyle name="Normal 2 21 3 2 2" xfId="24303"/>
    <cellStyle name="Normal 2 21 3 2 2 2" xfId="24304"/>
    <cellStyle name="Normal 2 21 3 2 2 3" xfId="24305"/>
    <cellStyle name="Normal 2 21 3 2 3" xfId="24306"/>
    <cellStyle name="Normal 2 21 3 2 4" xfId="24307"/>
    <cellStyle name="Normal 2 21 3 2 5" xfId="24308"/>
    <cellStyle name="Normal 2 21 3 2 6" xfId="24309"/>
    <cellStyle name="Normal 2 21 3 3" xfId="24310"/>
    <cellStyle name="Normal 2 21 3 3 2" xfId="24311"/>
    <cellStyle name="Normal 2 21 3 3 2 2" xfId="24312"/>
    <cellStyle name="Normal 2 21 3 3 3" xfId="24313"/>
    <cellStyle name="Normal 2 21 3 3 4" xfId="24314"/>
    <cellStyle name="Normal 2 21 3 3 5" xfId="24315"/>
    <cellStyle name="Normal 2 21 3 4" xfId="24316"/>
    <cellStyle name="Normal 2 21 3 4 2" xfId="24317"/>
    <cellStyle name="Normal 2 21 3 4 3" xfId="24318"/>
    <cellStyle name="Normal 2 21 3 4 4" xfId="24319"/>
    <cellStyle name="Normal 2 21 3 5" xfId="24320"/>
    <cellStyle name="Normal 2 21 3 5 2" xfId="24321"/>
    <cellStyle name="Normal 2 21 3 6" xfId="24322"/>
    <cellStyle name="Normal 2 21 3 7" xfId="24323"/>
    <cellStyle name="Normal 2 21 3 8" xfId="24324"/>
    <cellStyle name="Normal 2 21 3 9" xfId="24325"/>
    <cellStyle name="Normal 2 21 4" xfId="24326"/>
    <cellStyle name="Normal 2 21 4 2" xfId="24327"/>
    <cellStyle name="Normal 2 21 4 2 2" xfId="24328"/>
    <cellStyle name="Normal 2 21 4 3" xfId="24329"/>
    <cellStyle name="Normal 2 21 4 4" xfId="24330"/>
    <cellStyle name="Normal 2 21 4 5" xfId="24331"/>
    <cellStyle name="Normal 2 21 4 6" xfId="24332"/>
    <cellStyle name="Normal 2 21 5" xfId="24333"/>
    <cellStyle name="Normal 2 21 5 2" xfId="24334"/>
    <cellStyle name="Normal 2 21 5 3" xfId="24335"/>
    <cellStyle name="Normal 2 21 6" xfId="24336"/>
    <cellStyle name="Normal 2 21 7" xfId="24337"/>
    <cellStyle name="Normal 2 22" xfId="24338"/>
    <cellStyle name="Normal 2 22 2" xfId="24339"/>
    <cellStyle name="Normal 2 22 2 2" xfId="24340"/>
    <cellStyle name="Normal 2 22 3" xfId="24341"/>
    <cellStyle name="Normal 2 22 3 2" xfId="24342"/>
    <cellStyle name="Normal 2 22 3 2 2" xfId="24343"/>
    <cellStyle name="Normal 2 22 3 2 2 2" xfId="24344"/>
    <cellStyle name="Normal 2 22 3 2 2 3" xfId="24345"/>
    <cellStyle name="Normal 2 22 3 2 3" xfId="24346"/>
    <cellStyle name="Normal 2 22 3 2 4" xfId="24347"/>
    <cellStyle name="Normal 2 22 3 2 5" xfId="24348"/>
    <cellStyle name="Normal 2 22 3 2 6" xfId="24349"/>
    <cellStyle name="Normal 2 22 3 3" xfId="24350"/>
    <cellStyle name="Normal 2 22 3 3 2" xfId="24351"/>
    <cellStyle name="Normal 2 22 3 3 2 2" xfId="24352"/>
    <cellStyle name="Normal 2 22 3 3 3" xfId="24353"/>
    <cellStyle name="Normal 2 22 3 3 4" xfId="24354"/>
    <cellStyle name="Normal 2 22 3 3 5" xfId="24355"/>
    <cellStyle name="Normal 2 22 3 4" xfId="24356"/>
    <cellStyle name="Normal 2 22 3 4 2" xfId="24357"/>
    <cellStyle name="Normal 2 22 3 4 3" xfId="24358"/>
    <cellStyle name="Normal 2 22 3 4 4" xfId="24359"/>
    <cellStyle name="Normal 2 22 3 5" xfId="24360"/>
    <cellStyle name="Normal 2 22 3 5 2" xfId="24361"/>
    <cellStyle name="Normal 2 22 3 6" xfId="24362"/>
    <cellStyle name="Normal 2 22 3 7" xfId="24363"/>
    <cellStyle name="Normal 2 22 3 8" xfId="24364"/>
    <cellStyle name="Normal 2 22 3 9" xfId="24365"/>
    <cellStyle name="Normal 2 22 4" xfId="24366"/>
    <cellStyle name="Normal 2 22 4 2" xfId="24367"/>
    <cellStyle name="Normal 2 22 4 2 2" xfId="24368"/>
    <cellStyle name="Normal 2 22 4 3" xfId="24369"/>
    <cellStyle name="Normal 2 22 4 4" xfId="24370"/>
    <cellStyle name="Normal 2 22 4 5" xfId="24371"/>
    <cellStyle name="Normal 2 22 4 6" xfId="24372"/>
    <cellStyle name="Normal 2 22 5" xfId="24373"/>
    <cellStyle name="Normal 2 22 5 2" xfId="24374"/>
    <cellStyle name="Normal 2 22 5 3" xfId="24375"/>
    <cellStyle name="Normal 2 22 6" xfId="24376"/>
    <cellStyle name="Normal 2 22 7" xfId="24377"/>
    <cellStyle name="Normal 2 23" xfId="24378"/>
    <cellStyle name="Normal 2 23 2" xfId="24379"/>
    <cellStyle name="Normal 2 23 2 2" xfId="24380"/>
    <cellStyle name="Normal 2 23 3" xfId="24381"/>
    <cellStyle name="Normal 2 23 3 2" xfId="24382"/>
    <cellStyle name="Normal 2 23 3 2 2" xfId="24383"/>
    <cellStyle name="Normal 2 23 3 2 2 2" xfId="24384"/>
    <cellStyle name="Normal 2 23 3 2 2 3" xfId="24385"/>
    <cellStyle name="Normal 2 23 3 2 3" xfId="24386"/>
    <cellStyle name="Normal 2 23 3 2 4" xfId="24387"/>
    <cellStyle name="Normal 2 23 3 2 5" xfId="24388"/>
    <cellStyle name="Normal 2 23 3 2 6" xfId="24389"/>
    <cellStyle name="Normal 2 23 3 3" xfId="24390"/>
    <cellStyle name="Normal 2 23 3 3 2" xfId="24391"/>
    <cellStyle name="Normal 2 23 3 3 2 2" xfId="24392"/>
    <cellStyle name="Normal 2 23 3 3 3" xfId="24393"/>
    <cellStyle name="Normal 2 23 3 3 4" xfId="24394"/>
    <cellStyle name="Normal 2 23 3 3 5" xfId="24395"/>
    <cellStyle name="Normal 2 23 3 4" xfId="24396"/>
    <cellStyle name="Normal 2 23 3 4 2" xfId="24397"/>
    <cellStyle name="Normal 2 23 3 4 3" xfId="24398"/>
    <cellStyle name="Normal 2 23 3 4 4" xfId="24399"/>
    <cellStyle name="Normal 2 23 3 5" xfId="24400"/>
    <cellStyle name="Normal 2 23 3 5 2" xfId="24401"/>
    <cellStyle name="Normal 2 23 3 6" xfId="24402"/>
    <cellStyle name="Normal 2 23 3 7" xfId="24403"/>
    <cellStyle name="Normal 2 23 3 8" xfId="24404"/>
    <cellStyle name="Normal 2 23 3 9" xfId="24405"/>
    <cellStyle name="Normal 2 23 4" xfId="24406"/>
    <cellStyle name="Normal 2 23 4 2" xfId="24407"/>
    <cellStyle name="Normal 2 23 4 2 2" xfId="24408"/>
    <cellStyle name="Normal 2 23 4 3" xfId="24409"/>
    <cellStyle name="Normal 2 23 4 4" xfId="24410"/>
    <cellStyle name="Normal 2 23 4 5" xfId="24411"/>
    <cellStyle name="Normal 2 23 4 6" xfId="24412"/>
    <cellStyle name="Normal 2 23 5" xfId="24413"/>
    <cellStyle name="Normal 2 23 5 2" xfId="24414"/>
    <cellStyle name="Normal 2 23 5 3" xfId="24415"/>
    <cellStyle name="Normal 2 23 6" xfId="24416"/>
    <cellStyle name="Normal 2 23 7" xfId="24417"/>
    <cellStyle name="Normal 2 24" xfId="24418"/>
    <cellStyle name="Normal 2 24 2" xfId="24419"/>
    <cellStyle name="Normal 2 24 2 2" xfId="24420"/>
    <cellStyle name="Normal 2 24 3" xfId="24421"/>
    <cellStyle name="Normal 2 24 3 2" xfId="24422"/>
    <cellStyle name="Normal 2 24 3 2 2" xfId="24423"/>
    <cellStyle name="Normal 2 24 3 2 2 2" xfId="24424"/>
    <cellStyle name="Normal 2 24 3 2 2 3" xfId="24425"/>
    <cellStyle name="Normal 2 24 3 2 3" xfId="24426"/>
    <cellStyle name="Normal 2 24 3 2 4" xfId="24427"/>
    <cellStyle name="Normal 2 24 3 2 5" xfId="24428"/>
    <cellStyle name="Normal 2 24 3 2 6" xfId="24429"/>
    <cellStyle name="Normal 2 24 3 3" xfId="24430"/>
    <cellStyle name="Normal 2 24 3 3 2" xfId="24431"/>
    <cellStyle name="Normal 2 24 3 3 2 2" xfId="24432"/>
    <cellStyle name="Normal 2 24 3 3 3" xfId="24433"/>
    <cellStyle name="Normal 2 24 3 3 4" xfId="24434"/>
    <cellStyle name="Normal 2 24 3 3 5" xfId="24435"/>
    <cellStyle name="Normal 2 24 3 4" xfId="24436"/>
    <cellStyle name="Normal 2 24 3 4 2" xfId="24437"/>
    <cellStyle name="Normal 2 24 3 4 3" xfId="24438"/>
    <cellStyle name="Normal 2 24 3 4 4" xfId="24439"/>
    <cellStyle name="Normal 2 24 3 5" xfId="24440"/>
    <cellStyle name="Normal 2 24 3 5 2" xfId="24441"/>
    <cellStyle name="Normal 2 24 3 6" xfId="24442"/>
    <cellStyle name="Normal 2 24 3 7" xfId="24443"/>
    <cellStyle name="Normal 2 24 3 8" xfId="24444"/>
    <cellStyle name="Normal 2 24 3 9" xfId="24445"/>
    <cellStyle name="Normal 2 24 4" xfId="24446"/>
    <cellStyle name="Normal 2 24 4 2" xfId="24447"/>
    <cellStyle name="Normal 2 24 4 2 2" xfId="24448"/>
    <cellStyle name="Normal 2 24 4 3" xfId="24449"/>
    <cellStyle name="Normal 2 24 4 4" xfId="24450"/>
    <cellStyle name="Normal 2 24 4 5" xfId="24451"/>
    <cellStyle name="Normal 2 24 4 6" xfId="24452"/>
    <cellStyle name="Normal 2 24 5" xfId="24453"/>
    <cellStyle name="Normal 2 24 5 2" xfId="24454"/>
    <cellStyle name="Normal 2 24 5 3" xfId="24455"/>
    <cellStyle name="Normal 2 24 6" xfId="24456"/>
    <cellStyle name="Normal 2 24 7" xfId="24457"/>
    <cellStyle name="Normal 2 25" xfId="24458"/>
    <cellStyle name="Normal 2 25 2" xfId="24459"/>
    <cellStyle name="Normal 2 25 2 2" xfId="24460"/>
    <cellStyle name="Normal 2 25 3" xfId="24461"/>
    <cellStyle name="Normal 2 25 3 2" xfId="24462"/>
    <cellStyle name="Normal 2 25 3 2 2" xfId="24463"/>
    <cellStyle name="Normal 2 25 3 2 2 2" xfId="24464"/>
    <cellStyle name="Normal 2 25 3 2 2 3" xfId="24465"/>
    <cellStyle name="Normal 2 25 3 2 3" xfId="24466"/>
    <cellStyle name="Normal 2 25 3 2 4" xfId="24467"/>
    <cellStyle name="Normal 2 25 3 2 5" xfId="24468"/>
    <cellStyle name="Normal 2 25 3 2 6" xfId="24469"/>
    <cellStyle name="Normal 2 25 3 3" xfId="24470"/>
    <cellStyle name="Normal 2 25 3 3 2" xfId="24471"/>
    <cellStyle name="Normal 2 25 3 3 2 2" xfId="24472"/>
    <cellStyle name="Normal 2 25 3 3 3" xfId="24473"/>
    <cellStyle name="Normal 2 25 3 3 4" xfId="24474"/>
    <cellStyle name="Normal 2 25 3 3 5" xfId="24475"/>
    <cellStyle name="Normal 2 25 3 4" xfId="24476"/>
    <cellStyle name="Normal 2 25 3 4 2" xfId="24477"/>
    <cellStyle name="Normal 2 25 3 4 3" xfId="24478"/>
    <cellStyle name="Normal 2 25 3 4 4" xfId="24479"/>
    <cellStyle name="Normal 2 25 3 5" xfId="24480"/>
    <cellStyle name="Normal 2 25 3 5 2" xfId="24481"/>
    <cellStyle name="Normal 2 25 3 6" xfId="24482"/>
    <cellStyle name="Normal 2 25 3 7" xfId="24483"/>
    <cellStyle name="Normal 2 25 3 8" xfId="24484"/>
    <cellStyle name="Normal 2 25 3 9" xfId="24485"/>
    <cellStyle name="Normal 2 25 4" xfId="24486"/>
    <cellStyle name="Normal 2 25 4 2" xfId="24487"/>
    <cellStyle name="Normal 2 25 4 2 2" xfId="24488"/>
    <cellStyle name="Normal 2 25 4 3" xfId="24489"/>
    <cellStyle name="Normal 2 25 4 4" xfId="24490"/>
    <cellStyle name="Normal 2 25 4 5" xfId="24491"/>
    <cellStyle name="Normal 2 25 4 6" xfId="24492"/>
    <cellStyle name="Normal 2 25 5" xfId="24493"/>
    <cellStyle name="Normal 2 25 5 2" xfId="24494"/>
    <cellStyle name="Normal 2 25 5 3" xfId="24495"/>
    <cellStyle name="Normal 2 25 6" xfId="24496"/>
    <cellStyle name="Normal 2 25 7" xfId="24497"/>
    <cellStyle name="Normal 2 26" xfId="24498"/>
    <cellStyle name="Normal 2 26 2" xfId="24499"/>
    <cellStyle name="Normal 2 26 2 2" xfId="24500"/>
    <cellStyle name="Normal 2 26 3" xfId="24501"/>
    <cellStyle name="Normal 2 26 3 2" xfId="24502"/>
    <cellStyle name="Normal 2 26 3 2 2" xfId="24503"/>
    <cellStyle name="Normal 2 26 3 2 2 2" xfId="24504"/>
    <cellStyle name="Normal 2 26 3 2 2 3" xfId="24505"/>
    <cellStyle name="Normal 2 26 3 2 3" xfId="24506"/>
    <cellStyle name="Normal 2 26 3 2 4" xfId="24507"/>
    <cellStyle name="Normal 2 26 3 2 5" xfId="24508"/>
    <cellStyle name="Normal 2 26 3 2 6" xfId="24509"/>
    <cellStyle name="Normal 2 26 3 3" xfId="24510"/>
    <cellStyle name="Normal 2 26 3 3 2" xfId="24511"/>
    <cellStyle name="Normal 2 26 3 3 2 2" xfId="24512"/>
    <cellStyle name="Normal 2 26 3 3 3" xfId="24513"/>
    <cellStyle name="Normal 2 26 3 3 4" xfId="24514"/>
    <cellStyle name="Normal 2 26 3 3 5" xfId="24515"/>
    <cellStyle name="Normal 2 26 3 4" xfId="24516"/>
    <cellStyle name="Normal 2 26 3 4 2" xfId="24517"/>
    <cellStyle name="Normal 2 26 3 4 3" xfId="24518"/>
    <cellStyle name="Normal 2 26 3 4 4" xfId="24519"/>
    <cellStyle name="Normal 2 26 3 5" xfId="24520"/>
    <cellStyle name="Normal 2 26 3 5 2" xfId="24521"/>
    <cellStyle name="Normal 2 26 3 6" xfId="24522"/>
    <cellStyle name="Normal 2 26 3 7" xfId="24523"/>
    <cellStyle name="Normal 2 26 3 8" xfId="24524"/>
    <cellStyle name="Normal 2 26 3 9" xfId="24525"/>
    <cellStyle name="Normal 2 26 4" xfId="24526"/>
    <cellStyle name="Normal 2 26 4 2" xfId="24527"/>
    <cellStyle name="Normal 2 26 4 2 2" xfId="24528"/>
    <cellStyle name="Normal 2 26 4 3" xfId="24529"/>
    <cellStyle name="Normal 2 26 4 4" xfId="24530"/>
    <cellStyle name="Normal 2 26 4 5" xfId="24531"/>
    <cellStyle name="Normal 2 26 4 6" xfId="24532"/>
    <cellStyle name="Normal 2 26 5" xfId="24533"/>
    <cellStyle name="Normal 2 26 5 2" xfId="24534"/>
    <cellStyle name="Normal 2 26 5 3" xfId="24535"/>
    <cellStyle name="Normal 2 26 6" xfId="24536"/>
    <cellStyle name="Normal 2 26 7" xfId="24537"/>
    <cellStyle name="Normal 2 27" xfId="24538"/>
    <cellStyle name="Normal 2 27 2" xfId="24539"/>
    <cellStyle name="Normal 2 27 2 2" xfId="24540"/>
    <cellStyle name="Normal 2 27 3" xfId="24541"/>
    <cellStyle name="Normal 2 27 3 2" xfId="24542"/>
    <cellStyle name="Normal 2 27 3 2 2" xfId="24543"/>
    <cellStyle name="Normal 2 27 3 2 2 2" xfId="24544"/>
    <cellStyle name="Normal 2 27 3 2 2 3" xfId="24545"/>
    <cellStyle name="Normal 2 27 3 2 3" xfId="24546"/>
    <cellStyle name="Normal 2 27 3 2 4" xfId="24547"/>
    <cellStyle name="Normal 2 27 3 2 5" xfId="24548"/>
    <cellStyle name="Normal 2 27 3 2 6" xfId="24549"/>
    <cellStyle name="Normal 2 27 3 3" xfId="24550"/>
    <cellStyle name="Normal 2 27 3 3 2" xfId="24551"/>
    <cellStyle name="Normal 2 27 3 3 2 2" xfId="24552"/>
    <cellStyle name="Normal 2 27 3 3 3" xfId="24553"/>
    <cellStyle name="Normal 2 27 3 3 4" xfId="24554"/>
    <cellStyle name="Normal 2 27 3 3 5" xfId="24555"/>
    <cellStyle name="Normal 2 27 3 4" xfId="24556"/>
    <cellStyle name="Normal 2 27 3 4 2" xfId="24557"/>
    <cellStyle name="Normal 2 27 3 4 3" xfId="24558"/>
    <cellStyle name="Normal 2 27 3 4 4" xfId="24559"/>
    <cellStyle name="Normal 2 27 3 5" xfId="24560"/>
    <cellStyle name="Normal 2 27 3 5 2" xfId="24561"/>
    <cellStyle name="Normal 2 27 3 6" xfId="24562"/>
    <cellStyle name="Normal 2 27 3 7" xfId="24563"/>
    <cellStyle name="Normal 2 27 3 8" xfId="24564"/>
    <cellStyle name="Normal 2 27 3 9" xfId="24565"/>
    <cellStyle name="Normal 2 27 4" xfId="24566"/>
    <cellStyle name="Normal 2 27 4 2" xfId="24567"/>
    <cellStyle name="Normal 2 27 4 2 2" xfId="24568"/>
    <cellStyle name="Normal 2 27 4 3" xfId="24569"/>
    <cellStyle name="Normal 2 27 4 4" xfId="24570"/>
    <cellStyle name="Normal 2 27 4 5" xfId="24571"/>
    <cellStyle name="Normal 2 27 4 6" xfId="24572"/>
    <cellStyle name="Normal 2 27 5" xfId="24573"/>
    <cellStyle name="Normal 2 27 5 2" xfId="24574"/>
    <cellStyle name="Normal 2 27 5 3" xfId="24575"/>
    <cellStyle name="Normal 2 27 6" xfId="24576"/>
    <cellStyle name="Normal 2 27 7" xfId="24577"/>
    <cellStyle name="Normal 2 28" xfId="24578"/>
    <cellStyle name="Normal 2 28 2" xfId="24579"/>
    <cellStyle name="Normal 2 28 2 2" xfId="24580"/>
    <cellStyle name="Normal 2 28 3" xfId="24581"/>
    <cellStyle name="Normal 2 28 3 2" xfId="24582"/>
    <cellStyle name="Normal 2 28 3 2 2" xfId="24583"/>
    <cellStyle name="Normal 2 28 3 2 2 2" xfId="24584"/>
    <cellStyle name="Normal 2 28 3 2 2 3" xfId="24585"/>
    <cellStyle name="Normal 2 28 3 2 3" xfId="24586"/>
    <cellStyle name="Normal 2 28 3 2 4" xfId="24587"/>
    <cellStyle name="Normal 2 28 3 2 5" xfId="24588"/>
    <cellStyle name="Normal 2 28 3 2 6" xfId="24589"/>
    <cellStyle name="Normal 2 28 3 3" xfId="24590"/>
    <cellStyle name="Normal 2 28 3 3 2" xfId="24591"/>
    <cellStyle name="Normal 2 28 3 3 2 2" xfId="24592"/>
    <cellStyle name="Normal 2 28 3 3 3" xfId="24593"/>
    <cellStyle name="Normal 2 28 3 3 4" xfId="24594"/>
    <cellStyle name="Normal 2 28 3 3 5" xfId="24595"/>
    <cellStyle name="Normal 2 28 3 4" xfId="24596"/>
    <cellStyle name="Normal 2 28 3 4 2" xfId="24597"/>
    <cellStyle name="Normal 2 28 3 4 3" xfId="24598"/>
    <cellStyle name="Normal 2 28 3 4 4" xfId="24599"/>
    <cellStyle name="Normal 2 28 3 5" xfId="24600"/>
    <cellStyle name="Normal 2 28 3 5 2" xfId="24601"/>
    <cellStyle name="Normal 2 28 3 6" xfId="24602"/>
    <cellStyle name="Normal 2 28 3 7" xfId="24603"/>
    <cellStyle name="Normal 2 28 3 8" xfId="24604"/>
    <cellStyle name="Normal 2 28 3 9" xfId="24605"/>
    <cellStyle name="Normal 2 28 4" xfId="24606"/>
    <cellStyle name="Normal 2 28 4 2" xfId="24607"/>
    <cellStyle name="Normal 2 28 4 2 2" xfId="24608"/>
    <cellStyle name="Normal 2 28 4 3" xfId="24609"/>
    <cellStyle name="Normal 2 28 4 4" xfId="24610"/>
    <cellStyle name="Normal 2 28 4 5" xfId="24611"/>
    <cellStyle name="Normal 2 28 4 6" xfId="24612"/>
    <cellStyle name="Normal 2 28 5" xfId="24613"/>
    <cellStyle name="Normal 2 28 5 2" xfId="24614"/>
    <cellStyle name="Normal 2 28 5 3" xfId="24615"/>
    <cellStyle name="Normal 2 28 6" xfId="24616"/>
    <cellStyle name="Normal 2 28 6 2" xfId="24617"/>
    <cellStyle name="Normal 2 28 7" xfId="24618"/>
    <cellStyle name="Normal 2 28 8" xfId="24619"/>
    <cellStyle name="Normal 2 29" xfId="24620"/>
    <cellStyle name="Normal 2 29 2" xfId="24621"/>
    <cellStyle name="Normal 2 29 2 2" xfId="24622"/>
    <cellStyle name="Normal 2 29 2 2 2" xfId="24623"/>
    <cellStyle name="Normal 2 29 2 3" xfId="24624"/>
    <cellStyle name="Normal 2 29 3" xfId="24625"/>
    <cellStyle name="Normal 2 29 3 2" xfId="24626"/>
    <cellStyle name="Normal 2 29 3 2 2" xfId="24627"/>
    <cellStyle name="Normal 2 29 3 2 2 2" xfId="24628"/>
    <cellStyle name="Normal 2 29 3 2 2 3" xfId="24629"/>
    <cellStyle name="Normal 2 29 3 2 3" xfId="24630"/>
    <cellStyle name="Normal 2 29 3 2 4" xfId="24631"/>
    <cellStyle name="Normal 2 29 3 2 5" xfId="24632"/>
    <cellStyle name="Normal 2 29 3 2 6" xfId="24633"/>
    <cellStyle name="Normal 2 29 3 3" xfId="24634"/>
    <cellStyle name="Normal 2 29 3 3 2" xfId="24635"/>
    <cellStyle name="Normal 2 29 3 3 2 2" xfId="24636"/>
    <cellStyle name="Normal 2 29 3 3 3" xfId="24637"/>
    <cellStyle name="Normal 2 29 3 3 4" xfId="24638"/>
    <cellStyle name="Normal 2 29 3 3 5" xfId="24639"/>
    <cellStyle name="Normal 2 29 3 4" xfId="24640"/>
    <cellStyle name="Normal 2 29 3 4 2" xfId="24641"/>
    <cellStyle name="Normal 2 29 3 4 3" xfId="24642"/>
    <cellStyle name="Normal 2 29 3 4 4" xfId="24643"/>
    <cellStyle name="Normal 2 29 3 5" xfId="24644"/>
    <cellStyle name="Normal 2 29 3 5 2" xfId="24645"/>
    <cellStyle name="Normal 2 29 3 6" xfId="24646"/>
    <cellStyle name="Normal 2 29 3 7" xfId="24647"/>
    <cellStyle name="Normal 2 29 3 8" xfId="24648"/>
    <cellStyle name="Normal 2 29 3 9" xfId="24649"/>
    <cellStyle name="Normal 2 29 4" xfId="24650"/>
    <cellStyle name="Normal 2 29 4 2" xfId="24651"/>
    <cellStyle name="Normal 2 29 4 2 2" xfId="24652"/>
    <cellStyle name="Normal 2 29 4 3" xfId="24653"/>
    <cellStyle name="Normal 2 29 4 4" xfId="24654"/>
    <cellStyle name="Normal 2 29 4 5" xfId="24655"/>
    <cellStyle name="Normal 2 29 4 6" xfId="24656"/>
    <cellStyle name="Normal 2 29 5" xfId="24657"/>
    <cellStyle name="Normal 2 29 5 2" xfId="24658"/>
    <cellStyle name="Normal 2 29 5 3" xfId="24659"/>
    <cellStyle name="Normal 2 29 6" xfId="24660"/>
    <cellStyle name="Normal 2 29 6 2" xfId="24661"/>
    <cellStyle name="Normal 2 29 7" xfId="24662"/>
    <cellStyle name="Normal 2 29 8" xfId="24663"/>
    <cellStyle name="Normal 2 3" xfId="24664"/>
    <cellStyle name="Normal 2 3 2" xfId="24665"/>
    <cellStyle name="Normal 2 3 2 10" xfId="24666"/>
    <cellStyle name="Normal 2 3 2 10 10" xfId="24667"/>
    <cellStyle name="Normal 2 3 2 10 2" xfId="24668"/>
    <cellStyle name="Normal 2 3 2 10 2 2" xfId="24669"/>
    <cellStyle name="Normal 2 3 2 10 2 2 2" xfId="24670"/>
    <cellStyle name="Normal 2 3 2 10 2 2 3" xfId="24671"/>
    <cellStyle name="Normal 2 3 2 10 2 3" xfId="24672"/>
    <cellStyle name="Normal 2 3 2 10 2 4" xfId="24673"/>
    <cellStyle name="Normal 2 3 2 10 2 5" xfId="24674"/>
    <cellStyle name="Normal 2 3 2 10 2 6" xfId="24675"/>
    <cellStyle name="Normal 2 3 2 10 3" xfId="24676"/>
    <cellStyle name="Normal 2 3 2 10 3 2" xfId="24677"/>
    <cellStyle name="Normal 2 3 2 10 3 2 2" xfId="24678"/>
    <cellStyle name="Normal 2 3 2 10 3 2 3" xfId="24679"/>
    <cellStyle name="Normal 2 3 2 10 3 3" xfId="24680"/>
    <cellStyle name="Normal 2 3 2 10 3 4" xfId="24681"/>
    <cellStyle name="Normal 2 3 2 10 3 5" xfId="24682"/>
    <cellStyle name="Normal 2 3 2 10 3 6" xfId="24683"/>
    <cellStyle name="Normal 2 3 2 10 4" xfId="24684"/>
    <cellStyle name="Normal 2 3 2 10 4 2" xfId="24685"/>
    <cellStyle name="Normal 2 3 2 10 4 2 2" xfId="24686"/>
    <cellStyle name="Normal 2 3 2 10 4 3" xfId="24687"/>
    <cellStyle name="Normal 2 3 2 10 4 4" xfId="24688"/>
    <cellStyle name="Normal 2 3 2 10 4 5" xfId="24689"/>
    <cellStyle name="Normal 2 3 2 10 5" xfId="24690"/>
    <cellStyle name="Normal 2 3 2 10 5 2" xfId="24691"/>
    <cellStyle name="Normal 2 3 2 10 5 3" xfId="24692"/>
    <cellStyle name="Normal 2 3 2 10 5 4" xfId="24693"/>
    <cellStyle name="Normal 2 3 2 10 6" xfId="24694"/>
    <cellStyle name="Normal 2 3 2 10 6 2" xfId="24695"/>
    <cellStyle name="Normal 2 3 2 10 7" xfId="24696"/>
    <cellStyle name="Normal 2 3 2 10 8" xfId="24697"/>
    <cellStyle name="Normal 2 3 2 10 9" xfId="24698"/>
    <cellStyle name="Normal 2 3 2 11" xfId="24699"/>
    <cellStyle name="Normal 2 3 2 11 10" xfId="24700"/>
    <cellStyle name="Normal 2 3 2 11 2" xfId="24701"/>
    <cellStyle name="Normal 2 3 2 11 2 2" xfId="24702"/>
    <cellStyle name="Normal 2 3 2 11 2 2 2" xfId="24703"/>
    <cellStyle name="Normal 2 3 2 11 2 2 3" xfId="24704"/>
    <cellStyle name="Normal 2 3 2 11 2 3" xfId="24705"/>
    <cellStyle name="Normal 2 3 2 11 2 4" xfId="24706"/>
    <cellStyle name="Normal 2 3 2 11 2 5" xfId="24707"/>
    <cellStyle name="Normal 2 3 2 11 2 6" xfId="24708"/>
    <cellStyle name="Normal 2 3 2 11 3" xfId="24709"/>
    <cellStyle name="Normal 2 3 2 11 3 2" xfId="24710"/>
    <cellStyle name="Normal 2 3 2 11 3 2 2" xfId="24711"/>
    <cellStyle name="Normal 2 3 2 11 3 2 3" xfId="24712"/>
    <cellStyle name="Normal 2 3 2 11 3 3" xfId="24713"/>
    <cellStyle name="Normal 2 3 2 11 3 4" xfId="24714"/>
    <cellStyle name="Normal 2 3 2 11 3 5" xfId="24715"/>
    <cellStyle name="Normal 2 3 2 11 3 6" xfId="24716"/>
    <cellStyle name="Normal 2 3 2 11 4" xfId="24717"/>
    <cellStyle name="Normal 2 3 2 11 4 2" xfId="24718"/>
    <cellStyle name="Normal 2 3 2 11 4 2 2" xfId="24719"/>
    <cellStyle name="Normal 2 3 2 11 4 3" xfId="24720"/>
    <cellStyle name="Normal 2 3 2 11 4 4" xfId="24721"/>
    <cellStyle name="Normal 2 3 2 11 4 5" xfId="24722"/>
    <cellStyle name="Normal 2 3 2 11 5" xfId="24723"/>
    <cellStyle name="Normal 2 3 2 11 5 2" xfId="24724"/>
    <cellStyle name="Normal 2 3 2 11 5 3" xfId="24725"/>
    <cellStyle name="Normal 2 3 2 11 5 4" xfId="24726"/>
    <cellStyle name="Normal 2 3 2 11 6" xfId="24727"/>
    <cellStyle name="Normal 2 3 2 11 6 2" xfId="24728"/>
    <cellStyle name="Normal 2 3 2 11 7" xfId="24729"/>
    <cellStyle name="Normal 2 3 2 11 8" xfId="24730"/>
    <cellStyle name="Normal 2 3 2 11 9" xfId="24731"/>
    <cellStyle name="Normal 2 3 2 12" xfId="24732"/>
    <cellStyle name="Normal 2 3 2 12 10" xfId="24733"/>
    <cellStyle name="Normal 2 3 2 12 2" xfId="24734"/>
    <cellStyle name="Normal 2 3 2 12 2 2" xfId="24735"/>
    <cellStyle name="Normal 2 3 2 12 2 2 2" xfId="24736"/>
    <cellStyle name="Normal 2 3 2 12 2 2 3" xfId="24737"/>
    <cellStyle name="Normal 2 3 2 12 2 3" xfId="24738"/>
    <cellStyle name="Normal 2 3 2 12 2 4" xfId="24739"/>
    <cellStyle name="Normal 2 3 2 12 2 5" xfId="24740"/>
    <cellStyle name="Normal 2 3 2 12 2 6" xfId="24741"/>
    <cellStyle name="Normal 2 3 2 12 3" xfId="24742"/>
    <cellStyle name="Normal 2 3 2 12 3 2" xfId="24743"/>
    <cellStyle name="Normal 2 3 2 12 3 2 2" xfId="24744"/>
    <cellStyle name="Normal 2 3 2 12 3 2 3" xfId="24745"/>
    <cellStyle name="Normal 2 3 2 12 3 3" xfId="24746"/>
    <cellStyle name="Normal 2 3 2 12 3 4" xfId="24747"/>
    <cellStyle name="Normal 2 3 2 12 3 5" xfId="24748"/>
    <cellStyle name="Normal 2 3 2 12 3 6" xfId="24749"/>
    <cellStyle name="Normal 2 3 2 12 4" xfId="24750"/>
    <cellStyle name="Normal 2 3 2 12 4 2" xfId="24751"/>
    <cellStyle name="Normal 2 3 2 12 4 2 2" xfId="24752"/>
    <cellStyle name="Normal 2 3 2 12 4 3" xfId="24753"/>
    <cellStyle name="Normal 2 3 2 12 4 4" xfId="24754"/>
    <cellStyle name="Normal 2 3 2 12 4 5" xfId="24755"/>
    <cellStyle name="Normal 2 3 2 12 5" xfId="24756"/>
    <cellStyle name="Normal 2 3 2 12 5 2" xfId="24757"/>
    <cellStyle name="Normal 2 3 2 12 5 3" xfId="24758"/>
    <cellStyle name="Normal 2 3 2 12 5 4" xfId="24759"/>
    <cellStyle name="Normal 2 3 2 12 6" xfId="24760"/>
    <cellStyle name="Normal 2 3 2 12 6 2" xfId="24761"/>
    <cellStyle name="Normal 2 3 2 12 7" xfId="24762"/>
    <cellStyle name="Normal 2 3 2 12 8" xfId="24763"/>
    <cellStyle name="Normal 2 3 2 12 9" xfId="24764"/>
    <cellStyle name="Normal 2 3 2 13" xfId="24765"/>
    <cellStyle name="Normal 2 3 2 13 2" xfId="24766"/>
    <cellStyle name="Normal 2 3 2 13 2 2" xfId="24767"/>
    <cellStyle name="Normal 2 3 2 13 2 2 2" xfId="24768"/>
    <cellStyle name="Normal 2 3 2 13 2 2 3" xfId="24769"/>
    <cellStyle name="Normal 2 3 2 13 2 3" xfId="24770"/>
    <cellStyle name="Normal 2 3 2 13 2 4" xfId="24771"/>
    <cellStyle name="Normal 2 3 2 13 2 5" xfId="24772"/>
    <cellStyle name="Normal 2 3 2 13 2 6" xfId="24773"/>
    <cellStyle name="Normal 2 3 2 13 3" xfId="24774"/>
    <cellStyle name="Normal 2 3 2 13 3 2" xfId="24775"/>
    <cellStyle name="Normal 2 3 2 13 3 2 2" xfId="24776"/>
    <cellStyle name="Normal 2 3 2 13 3 3" xfId="24777"/>
    <cellStyle name="Normal 2 3 2 13 3 4" xfId="24778"/>
    <cellStyle name="Normal 2 3 2 13 3 5" xfId="24779"/>
    <cellStyle name="Normal 2 3 2 13 4" xfId="24780"/>
    <cellStyle name="Normal 2 3 2 13 4 2" xfId="24781"/>
    <cellStyle name="Normal 2 3 2 13 4 3" xfId="24782"/>
    <cellStyle name="Normal 2 3 2 13 4 4" xfId="24783"/>
    <cellStyle name="Normal 2 3 2 13 5" xfId="24784"/>
    <cellStyle name="Normal 2 3 2 13 5 2" xfId="24785"/>
    <cellStyle name="Normal 2 3 2 13 6" xfId="24786"/>
    <cellStyle name="Normal 2 3 2 13 7" xfId="24787"/>
    <cellStyle name="Normal 2 3 2 13 8" xfId="24788"/>
    <cellStyle name="Normal 2 3 2 13 9" xfId="24789"/>
    <cellStyle name="Normal 2 3 2 14" xfId="24790"/>
    <cellStyle name="Normal 2 3 2 14 2" xfId="24791"/>
    <cellStyle name="Normal 2 3 2 14 2 2" xfId="24792"/>
    <cellStyle name="Normal 2 3 2 14 2 2 2" xfId="24793"/>
    <cellStyle name="Normal 2 3 2 14 2 2 3" xfId="24794"/>
    <cellStyle name="Normal 2 3 2 14 2 3" xfId="24795"/>
    <cellStyle name="Normal 2 3 2 14 2 4" xfId="24796"/>
    <cellStyle name="Normal 2 3 2 14 2 5" xfId="24797"/>
    <cellStyle name="Normal 2 3 2 14 2 6" xfId="24798"/>
    <cellStyle name="Normal 2 3 2 14 3" xfId="24799"/>
    <cellStyle name="Normal 2 3 2 14 3 2" xfId="24800"/>
    <cellStyle name="Normal 2 3 2 14 3 2 2" xfId="24801"/>
    <cellStyle name="Normal 2 3 2 14 3 3" xfId="24802"/>
    <cellStyle name="Normal 2 3 2 14 3 4" xfId="24803"/>
    <cellStyle name="Normal 2 3 2 14 3 5" xfId="24804"/>
    <cellStyle name="Normal 2 3 2 14 4" xfId="24805"/>
    <cellStyle name="Normal 2 3 2 14 4 2" xfId="24806"/>
    <cellStyle name="Normal 2 3 2 14 4 3" xfId="24807"/>
    <cellStyle name="Normal 2 3 2 14 4 4" xfId="24808"/>
    <cellStyle name="Normal 2 3 2 14 5" xfId="24809"/>
    <cellStyle name="Normal 2 3 2 14 5 2" xfId="24810"/>
    <cellStyle name="Normal 2 3 2 14 6" xfId="24811"/>
    <cellStyle name="Normal 2 3 2 14 7" xfId="24812"/>
    <cellStyle name="Normal 2 3 2 14 8" xfId="24813"/>
    <cellStyle name="Normal 2 3 2 14 9" xfId="24814"/>
    <cellStyle name="Normal 2 3 2 15" xfId="24815"/>
    <cellStyle name="Normal 2 3 2 15 2" xfId="24816"/>
    <cellStyle name="Normal 2 3 2 15 2 2" xfId="24817"/>
    <cellStyle name="Normal 2 3 2 15 2 3" xfId="24818"/>
    <cellStyle name="Normal 2 3 2 15 3" xfId="24819"/>
    <cellStyle name="Normal 2 3 2 15 4" xfId="24820"/>
    <cellStyle name="Normal 2 3 2 15 5" xfId="24821"/>
    <cellStyle name="Normal 2 3 2 15 6" xfId="24822"/>
    <cellStyle name="Normal 2 3 2 16" xfId="24823"/>
    <cellStyle name="Normal 2 3 2 16 2" xfId="24824"/>
    <cellStyle name="Normal 2 3 2 16 2 2" xfId="24825"/>
    <cellStyle name="Normal 2 3 2 16 3" xfId="24826"/>
    <cellStyle name="Normal 2 3 2 16 4" xfId="24827"/>
    <cellStyle name="Normal 2 3 2 16 5" xfId="24828"/>
    <cellStyle name="Normal 2 3 2 17" xfId="24829"/>
    <cellStyle name="Normal 2 3 2 17 2" xfId="24830"/>
    <cellStyle name="Normal 2 3 2 17 2 2" xfId="24831"/>
    <cellStyle name="Normal 2 3 2 17 3" xfId="24832"/>
    <cellStyle name="Normal 2 3 2 17 4" xfId="24833"/>
    <cellStyle name="Normal 2 3 2 17 5" xfId="24834"/>
    <cellStyle name="Normal 2 3 2 18" xfId="24835"/>
    <cellStyle name="Normal 2 3 2 18 2" xfId="24836"/>
    <cellStyle name="Normal 2 3 2 19" xfId="24837"/>
    <cellStyle name="Normal 2 3 2 2" xfId="24838"/>
    <cellStyle name="Normal 2 3 2 2 10" xfId="24839"/>
    <cellStyle name="Normal 2 3 2 2 11" xfId="24840"/>
    <cellStyle name="Normal 2 3 2 2 2" xfId="24841"/>
    <cellStyle name="Normal 2 3 2 2 2 2" xfId="24842"/>
    <cellStyle name="Normal 2 3 2 2 2 2 2" xfId="24843"/>
    <cellStyle name="Normal 2 3 2 2 2 2 2 2" xfId="24844"/>
    <cellStyle name="Normal 2 3 2 2 2 2 2 3" xfId="24845"/>
    <cellStyle name="Normal 2 3 2 2 2 2 3" xfId="24846"/>
    <cellStyle name="Normal 2 3 2 2 2 2 4" xfId="24847"/>
    <cellStyle name="Normal 2 3 2 2 2 2 5" xfId="24848"/>
    <cellStyle name="Normal 2 3 2 2 2 2 6" xfId="24849"/>
    <cellStyle name="Normal 2 3 2 2 2 3" xfId="24850"/>
    <cellStyle name="Normal 2 3 2 2 2 3 2" xfId="24851"/>
    <cellStyle name="Normal 2 3 2 2 2 3 2 2" xfId="24852"/>
    <cellStyle name="Normal 2 3 2 2 2 3 3" xfId="24853"/>
    <cellStyle name="Normal 2 3 2 2 2 3 4" xfId="24854"/>
    <cellStyle name="Normal 2 3 2 2 2 3 5" xfId="24855"/>
    <cellStyle name="Normal 2 3 2 2 2 4" xfId="24856"/>
    <cellStyle name="Normal 2 3 2 2 2 4 2" xfId="24857"/>
    <cellStyle name="Normal 2 3 2 2 2 4 3" xfId="24858"/>
    <cellStyle name="Normal 2 3 2 2 2 4 4" xfId="24859"/>
    <cellStyle name="Normal 2 3 2 2 2 5" xfId="24860"/>
    <cellStyle name="Normal 2 3 2 2 2 5 2" xfId="24861"/>
    <cellStyle name="Normal 2 3 2 2 2 6" xfId="24862"/>
    <cellStyle name="Normal 2 3 2 2 2 7" xfId="24863"/>
    <cellStyle name="Normal 2 3 2 2 2 8" xfId="24864"/>
    <cellStyle name="Normal 2 3 2 2 2 9" xfId="24865"/>
    <cellStyle name="Normal 2 3 2 2 3" xfId="24866"/>
    <cellStyle name="Normal 2 3 2 2 3 2" xfId="24867"/>
    <cellStyle name="Normal 2 3 2 2 3 2 2" xfId="24868"/>
    <cellStyle name="Normal 2 3 2 2 3 2 2 2" xfId="24869"/>
    <cellStyle name="Normal 2 3 2 2 3 2 2 3" xfId="24870"/>
    <cellStyle name="Normal 2 3 2 2 3 2 3" xfId="24871"/>
    <cellStyle name="Normal 2 3 2 2 3 2 4" xfId="24872"/>
    <cellStyle name="Normal 2 3 2 2 3 2 5" xfId="24873"/>
    <cellStyle name="Normal 2 3 2 2 3 2 6" xfId="24874"/>
    <cellStyle name="Normal 2 3 2 2 3 3" xfId="24875"/>
    <cellStyle name="Normal 2 3 2 2 3 3 2" xfId="24876"/>
    <cellStyle name="Normal 2 3 2 2 3 3 2 2" xfId="24877"/>
    <cellStyle name="Normal 2 3 2 2 3 3 3" xfId="24878"/>
    <cellStyle name="Normal 2 3 2 2 3 3 4" xfId="24879"/>
    <cellStyle name="Normal 2 3 2 2 3 3 5" xfId="24880"/>
    <cellStyle name="Normal 2 3 2 2 3 4" xfId="24881"/>
    <cellStyle name="Normal 2 3 2 2 3 4 2" xfId="24882"/>
    <cellStyle name="Normal 2 3 2 2 3 4 3" xfId="24883"/>
    <cellStyle name="Normal 2 3 2 2 3 4 4" xfId="24884"/>
    <cellStyle name="Normal 2 3 2 2 3 5" xfId="24885"/>
    <cellStyle name="Normal 2 3 2 2 3 5 2" xfId="24886"/>
    <cellStyle name="Normal 2 3 2 2 3 6" xfId="24887"/>
    <cellStyle name="Normal 2 3 2 2 3 7" xfId="24888"/>
    <cellStyle name="Normal 2 3 2 2 3 8" xfId="24889"/>
    <cellStyle name="Normal 2 3 2 2 3 9" xfId="24890"/>
    <cellStyle name="Normal 2 3 2 2 4" xfId="24891"/>
    <cellStyle name="Normal 2 3 2 2 4 2" xfId="24892"/>
    <cellStyle name="Normal 2 3 2 2 4 2 2" xfId="24893"/>
    <cellStyle name="Normal 2 3 2 2 4 2 3" xfId="24894"/>
    <cellStyle name="Normal 2 3 2 2 4 3" xfId="24895"/>
    <cellStyle name="Normal 2 3 2 2 4 4" xfId="24896"/>
    <cellStyle name="Normal 2 3 2 2 4 5" xfId="24897"/>
    <cellStyle name="Normal 2 3 2 2 4 6" xfId="24898"/>
    <cellStyle name="Normal 2 3 2 2 5" xfId="24899"/>
    <cellStyle name="Normal 2 3 2 2 5 2" xfId="24900"/>
    <cellStyle name="Normal 2 3 2 2 5 2 2" xfId="24901"/>
    <cellStyle name="Normal 2 3 2 2 5 3" xfId="24902"/>
    <cellStyle name="Normal 2 3 2 2 5 4" xfId="24903"/>
    <cellStyle name="Normal 2 3 2 2 5 5" xfId="24904"/>
    <cellStyle name="Normal 2 3 2 2 6" xfId="24905"/>
    <cellStyle name="Normal 2 3 2 2 6 2" xfId="24906"/>
    <cellStyle name="Normal 2 3 2 2 6 3" xfId="24907"/>
    <cellStyle name="Normal 2 3 2 2 6 4" xfId="24908"/>
    <cellStyle name="Normal 2 3 2 2 7" xfId="24909"/>
    <cellStyle name="Normal 2 3 2 2 7 2" xfId="24910"/>
    <cellStyle name="Normal 2 3 2 2 8" xfId="24911"/>
    <cellStyle name="Normal 2 3 2 2 9" xfId="24912"/>
    <cellStyle name="Normal 2 3 2 20" xfId="24913"/>
    <cellStyle name="Normal 2 3 2 21" xfId="24914"/>
    <cellStyle name="Normal 2 3 2 22" xfId="24915"/>
    <cellStyle name="Normal 2 3 2 3" xfId="24916"/>
    <cellStyle name="Normal 2 3 2 3 10" xfId="24917"/>
    <cellStyle name="Normal 2 3 2 3 11" xfId="24918"/>
    <cellStyle name="Normal 2 3 2 3 2" xfId="24919"/>
    <cellStyle name="Normal 2 3 2 3 2 2" xfId="24920"/>
    <cellStyle name="Normal 2 3 2 3 2 2 2" xfId="24921"/>
    <cellStyle name="Normal 2 3 2 3 2 2 2 2" xfId="24922"/>
    <cellStyle name="Normal 2 3 2 3 2 2 2 3" xfId="24923"/>
    <cellStyle name="Normal 2 3 2 3 2 2 3" xfId="24924"/>
    <cellStyle name="Normal 2 3 2 3 2 2 4" xfId="24925"/>
    <cellStyle name="Normal 2 3 2 3 2 2 5" xfId="24926"/>
    <cellStyle name="Normal 2 3 2 3 2 2 6" xfId="24927"/>
    <cellStyle name="Normal 2 3 2 3 2 3" xfId="24928"/>
    <cellStyle name="Normal 2 3 2 3 2 3 2" xfId="24929"/>
    <cellStyle name="Normal 2 3 2 3 2 3 2 2" xfId="24930"/>
    <cellStyle name="Normal 2 3 2 3 2 3 3" xfId="24931"/>
    <cellStyle name="Normal 2 3 2 3 2 3 4" xfId="24932"/>
    <cellStyle name="Normal 2 3 2 3 2 3 5" xfId="24933"/>
    <cellStyle name="Normal 2 3 2 3 2 4" xfId="24934"/>
    <cellStyle name="Normal 2 3 2 3 2 4 2" xfId="24935"/>
    <cellStyle name="Normal 2 3 2 3 2 4 3" xfId="24936"/>
    <cellStyle name="Normal 2 3 2 3 2 4 4" xfId="24937"/>
    <cellStyle name="Normal 2 3 2 3 2 5" xfId="24938"/>
    <cellStyle name="Normal 2 3 2 3 2 5 2" xfId="24939"/>
    <cellStyle name="Normal 2 3 2 3 2 6" xfId="24940"/>
    <cellStyle name="Normal 2 3 2 3 2 7" xfId="24941"/>
    <cellStyle name="Normal 2 3 2 3 2 8" xfId="24942"/>
    <cellStyle name="Normal 2 3 2 3 2 9" xfId="24943"/>
    <cellStyle name="Normal 2 3 2 3 3" xfId="24944"/>
    <cellStyle name="Normal 2 3 2 3 3 2" xfId="24945"/>
    <cellStyle name="Normal 2 3 2 3 3 2 2" xfId="24946"/>
    <cellStyle name="Normal 2 3 2 3 3 2 2 2" xfId="24947"/>
    <cellStyle name="Normal 2 3 2 3 3 2 2 3" xfId="24948"/>
    <cellStyle name="Normal 2 3 2 3 3 2 3" xfId="24949"/>
    <cellStyle name="Normal 2 3 2 3 3 2 4" xfId="24950"/>
    <cellStyle name="Normal 2 3 2 3 3 2 5" xfId="24951"/>
    <cellStyle name="Normal 2 3 2 3 3 2 6" xfId="24952"/>
    <cellStyle name="Normal 2 3 2 3 3 3" xfId="24953"/>
    <cellStyle name="Normal 2 3 2 3 3 3 2" xfId="24954"/>
    <cellStyle name="Normal 2 3 2 3 3 3 2 2" xfId="24955"/>
    <cellStyle name="Normal 2 3 2 3 3 3 3" xfId="24956"/>
    <cellStyle name="Normal 2 3 2 3 3 3 4" xfId="24957"/>
    <cellStyle name="Normal 2 3 2 3 3 3 5" xfId="24958"/>
    <cellStyle name="Normal 2 3 2 3 3 4" xfId="24959"/>
    <cellStyle name="Normal 2 3 2 3 3 4 2" xfId="24960"/>
    <cellStyle name="Normal 2 3 2 3 3 4 3" xfId="24961"/>
    <cellStyle name="Normal 2 3 2 3 3 4 4" xfId="24962"/>
    <cellStyle name="Normal 2 3 2 3 3 5" xfId="24963"/>
    <cellStyle name="Normal 2 3 2 3 3 5 2" xfId="24964"/>
    <cellStyle name="Normal 2 3 2 3 3 6" xfId="24965"/>
    <cellStyle name="Normal 2 3 2 3 3 7" xfId="24966"/>
    <cellStyle name="Normal 2 3 2 3 3 8" xfId="24967"/>
    <cellStyle name="Normal 2 3 2 3 3 9" xfId="24968"/>
    <cellStyle name="Normal 2 3 2 3 4" xfId="24969"/>
    <cellStyle name="Normal 2 3 2 3 4 2" xfId="24970"/>
    <cellStyle name="Normal 2 3 2 3 4 2 2" xfId="24971"/>
    <cellStyle name="Normal 2 3 2 3 4 2 3" xfId="24972"/>
    <cellStyle name="Normal 2 3 2 3 4 3" xfId="24973"/>
    <cellStyle name="Normal 2 3 2 3 4 4" xfId="24974"/>
    <cellStyle name="Normal 2 3 2 3 4 5" xfId="24975"/>
    <cellStyle name="Normal 2 3 2 3 4 6" xfId="24976"/>
    <cellStyle name="Normal 2 3 2 3 5" xfId="24977"/>
    <cellStyle name="Normal 2 3 2 3 5 2" xfId="24978"/>
    <cellStyle name="Normal 2 3 2 3 5 2 2" xfId="24979"/>
    <cellStyle name="Normal 2 3 2 3 5 3" xfId="24980"/>
    <cellStyle name="Normal 2 3 2 3 5 4" xfId="24981"/>
    <cellStyle name="Normal 2 3 2 3 5 5" xfId="24982"/>
    <cellStyle name="Normal 2 3 2 3 6" xfId="24983"/>
    <cellStyle name="Normal 2 3 2 3 6 2" xfId="24984"/>
    <cellStyle name="Normal 2 3 2 3 6 3" xfId="24985"/>
    <cellStyle name="Normal 2 3 2 3 6 4" xfId="24986"/>
    <cellStyle name="Normal 2 3 2 3 7" xfId="24987"/>
    <cellStyle name="Normal 2 3 2 3 7 2" xfId="24988"/>
    <cellStyle name="Normal 2 3 2 3 8" xfId="24989"/>
    <cellStyle name="Normal 2 3 2 3 9" xfId="24990"/>
    <cellStyle name="Normal 2 3 2 4" xfId="24991"/>
    <cellStyle name="Normal 2 3 2 4 10" xfId="24992"/>
    <cellStyle name="Normal 2 3 2 4 11" xfId="24993"/>
    <cellStyle name="Normal 2 3 2 4 2" xfId="24994"/>
    <cellStyle name="Normal 2 3 2 4 2 2" xfId="24995"/>
    <cellStyle name="Normal 2 3 2 4 2 2 2" xfId="24996"/>
    <cellStyle name="Normal 2 3 2 4 2 2 2 2" xfId="24997"/>
    <cellStyle name="Normal 2 3 2 4 2 2 2 3" xfId="24998"/>
    <cellStyle name="Normal 2 3 2 4 2 2 3" xfId="24999"/>
    <cellStyle name="Normal 2 3 2 4 2 2 4" xfId="25000"/>
    <cellStyle name="Normal 2 3 2 4 2 2 5" xfId="25001"/>
    <cellStyle name="Normal 2 3 2 4 2 2 6" xfId="25002"/>
    <cellStyle name="Normal 2 3 2 4 2 3" xfId="25003"/>
    <cellStyle name="Normal 2 3 2 4 2 3 2" xfId="25004"/>
    <cellStyle name="Normal 2 3 2 4 2 3 2 2" xfId="25005"/>
    <cellStyle name="Normal 2 3 2 4 2 3 3" xfId="25006"/>
    <cellStyle name="Normal 2 3 2 4 2 3 4" xfId="25007"/>
    <cellStyle name="Normal 2 3 2 4 2 3 5" xfId="25008"/>
    <cellStyle name="Normal 2 3 2 4 2 4" xfId="25009"/>
    <cellStyle name="Normal 2 3 2 4 2 4 2" xfId="25010"/>
    <cellStyle name="Normal 2 3 2 4 2 4 3" xfId="25011"/>
    <cellStyle name="Normal 2 3 2 4 2 4 4" xfId="25012"/>
    <cellStyle name="Normal 2 3 2 4 2 5" xfId="25013"/>
    <cellStyle name="Normal 2 3 2 4 2 5 2" xfId="25014"/>
    <cellStyle name="Normal 2 3 2 4 2 6" xfId="25015"/>
    <cellStyle name="Normal 2 3 2 4 2 7" xfId="25016"/>
    <cellStyle name="Normal 2 3 2 4 2 8" xfId="25017"/>
    <cellStyle name="Normal 2 3 2 4 2 9" xfId="25018"/>
    <cellStyle name="Normal 2 3 2 4 3" xfId="25019"/>
    <cellStyle name="Normal 2 3 2 4 3 2" xfId="25020"/>
    <cellStyle name="Normal 2 3 2 4 3 2 2" xfId="25021"/>
    <cellStyle name="Normal 2 3 2 4 3 2 2 2" xfId="25022"/>
    <cellStyle name="Normal 2 3 2 4 3 2 2 3" xfId="25023"/>
    <cellStyle name="Normal 2 3 2 4 3 2 3" xfId="25024"/>
    <cellStyle name="Normal 2 3 2 4 3 2 4" xfId="25025"/>
    <cellStyle name="Normal 2 3 2 4 3 2 5" xfId="25026"/>
    <cellStyle name="Normal 2 3 2 4 3 2 6" xfId="25027"/>
    <cellStyle name="Normal 2 3 2 4 3 3" xfId="25028"/>
    <cellStyle name="Normal 2 3 2 4 3 3 2" xfId="25029"/>
    <cellStyle name="Normal 2 3 2 4 3 3 2 2" xfId="25030"/>
    <cellStyle name="Normal 2 3 2 4 3 3 3" xfId="25031"/>
    <cellStyle name="Normal 2 3 2 4 3 3 4" xfId="25032"/>
    <cellStyle name="Normal 2 3 2 4 3 3 5" xfId="25033"/>
    <cellStyle name="Normal 2 3 2 4 3 4" xfId="25034"/>
    <cellStyle name="Normal 2 3 2 4 3 4 2" xfId="25035"/>
    <cellStyle name="Normal 2 3 2 4 3 4 3" xfId="25036"/>
    <cellStyle name="Normal 2 3 2 4 3 4 4" xfId="25037"/>
    <cellStyle name="Normal 2 3 2 4 3 5" xfId="25038"/>
    <cellStyle name="Normal 2 3 2 4 3 5 2" xfId="25039"/>
    <cellStyle name="Normal 2 3 2 4 3 6" xfId="25040"/>
    <cellStyle name="Normal 2 3 2 4 3 7" xfId="25041"/>
    <cellStyle name="Normal 2 3 2 4 3 8" xfId="25042"/>
    <cellStyle name="Normal 2 3 2 4 3 9" xfId="25043"/>
    <cellStyle name="Normal 2 3 2 4 4" xfId="25044"/>
    <cellStyle name="Normal 2 3 2 4 4 2" xfId="25045"/>
    <cellStyle name="Normal 2 3 2 4 4 2 2" xfId="25046"/>
    <cellStyle name="Normal 2 3 2 4 4 2 3" xfId="25047"/>
    <cellStyle name="Normal 2 3 2 4 4 3" xfId="25048"/>
    <cellStyle name="Normal 2 3 2 4 4 4" xfId="25049"/>
    <cellStyle name="Normal 2 3 2 4 4 5" xfId="25050"/>
    <cellStyle name="Normal 2 3 2 4 4 6" xfId="25051"/>
    <cellStyle name="Normal 2 3 2 4 5" xfId="25052"/>
    <cellStyle name="Normal 2 3 2 4 5 2" xfId="25053"/>
    <cellStyle name="Normal 2 3 2 4 5 2 2" xfId="25054"/>
    <cellStyle name="Normal 2 3 2 4 5 3" xfId="25055"/>
    <cellStyle name="Normal 2 3 2 4 5 4" xfId="25056"/>
    <cellStyle name="Normal 2 3 2 4 5 5" xfId="25057"/>
    <cellStyle name="Normal 2 3 2 4 6" xfId="25058"/>
    <cellStyle name="Normal 2 3 2 4 6 2" xfId="25059"/>
    <cellStyle name="Normal 2 3 2 4 6 3" xfId="25060"/>
    <cellStyle name="Normal 2 3 2 4 6 4" xfId="25061"/>
    <cellStyle name="Normal 2 3 2 4 7" xfId="25062"/>
    <cellStyle name="Normal 2 3 2 4 7 2" xfId="25063"/>
    <cellStyle name="Normal 2 3 2 4 8" xfId="25064"/>
    <cellStyle name="Normal 2 3 2 4 9" xfId="25065"/>
    <cellStyle name="Normal 2 3 2 5" xfId="25066"/>
    <cellStyle name="Normal 2 3 2 5 10" xfId="25067"/>
    <cellStyle name="Normal 2 3 2 5 11" xfId="25068"/>
    <cellStyle name="Normal 2 3 2 5 2" xfId="25069"/>
    <cellStyle name="Normal 2 3 2 5 2 2" xfId="25070"/>
    <cellStyle name="Normal 2 3 2 5 2 2 2" xfId="25071"/>
    <cellStyle name="Normal 2 3 2 5 2 2 2 2" xfId="25072"/>
    <cellStyle name="Normal 2 3 2 5 2 2 2 3" xfId="25073"/>
    <cellStyle name="Normal 2 3 2 5 2 2 3" xfId="25074"/>
    <cellStyle name="Normal 2 3 2 5 2 2 4" xfId="25075"/>
    <cellStyle name="Normal 2 3 2 5 2 2 5" xfId="25076"/>
    <cellStyle name="Normal 2 3 2 5 2 2 6" xfId="25077"/>
    <cellStyle name="Normal 2 3 2 5 2 3" xfId="25078"/>
    <cellStyle name="Normal 2 3 2 5 2 3 2" xfId="25079"/>
    <cellStyle name="Normal 2 3 2 5 2 3 2 2" xfId="25080"/>
    <cellStyle name="Normal 2 3 2 5 2 3 3" xfId="25081"/>
    <cellStyle name="Normal 2 3 2 5 2 3 4" xfId="25082"/>
    <cellStyle name="Normal 2 3 2 5 2 3 5" xfId="25083"/>
    <cellStyle name="Normal 2 3 2 5 2 4" xfId="25084"/>
    <cellStyle name="Normal 2 3 2 5 2 4 2" xfId="25085"/>
    <cellStyle name="Normal 2 3 2 5 2 4 3" xfId="25086"/>
    <cellStyle name="Normal 2 3 2 5 2 4 4" xfId="25087"/>
    <cellStyle name="Normal 2 3 2 5 2 5" xfId="25088"/>
    <cellStyle name="Normal 2 3 2 5 2 5 2" xfId="25089"/>
    <cellStyle name="Normal 2 3 2 5 2 6" xfId="25090"/>
    <cellStyle name="Normal 2 3 2 5 2 7" xfId="25091"/>
    <cellStyle name="Normal 2 3 2 5 2 8" xfId="25092"/>
    <cellStyle name="Normal 2 3 2 5 2 9" xfId="25093"/>
    <cellStyle name="Normal 2 3 2 5 3" xfId="25094"/>
    <cellStyle name="Normal 2 3 2 5 3 2" xfId="25095"/>
    <cellStyle name="Normal 2 3 2 5 3 2 2" xfId="25096"/>
    <cellStyle name="Normal 2 3 2 5 3 2 2 2" xfId="25097"/>
    <cellStyle name="Normal 2 3 2 5 3 2 2 3" xfId="25098"/>
    <cellStyle name="Normal 2 3 2 5 3 2 3" xfId="25099"/>
    <cellStyle name="Normal 2 3 2 5 3 2 4" xfId="25100"/>
    <cellStyle name="Normal 2 3 2 5 3 2 5" xfId="25101"/>
    <cellStyle name="Normal 2 3 2 5 3 2 6" xfId="25102"/>
    <cellStyle name="Normal 2 3 2 5 3 3" xfId="25103"/>
    <cellStyle name="Normal 2 3 2 5 3 3 2" xfId="25104"/>
    <cellStyle name="Normal 2 3 2 5 3 3 2 2" xfId="25105"/>
    <cellStyle name="Normal 2 3 2 5 3 3 3" xfId="25106"/>
    <cellStyle name="Normal 2 3 2 5 3 3 4" xfId="25107"/>
    <cellStyle name="Normal 2 3 2 5 3 3 5" xfId="25108"/>
    <cellStyle name="Normal 2 3 2 5 3 4" xfId="25109"/>
    <cellStyle name="Normal 2 3 2 5 3 4 2" xfId="25110"/>
    <cellStyle name="Normal 2 3 2 5 3 4 3" xfId="25111"/>
    <cellStyle name="Normal 2 3 2 5 3 4 4" xfId="25112"/>
    <cellStyle name="Normal 2 3 2 5 3 5" xfId="25113"/>
    <cellStyle name="Normal 2 3 2 5 3 5 2" xfId="25114"/>
    <cellStyle name="Normal 2 3 2 5 3 6" xfId="25115"/>
    <cellStyle name="Normal 2 3 2 5 3 7" xfId="25116"/>
    <cellStyle name="Normal 2 3 2 5 3 8" xfId="25117"/>
    <cellStyle name="Normal 2 3 2 5 3 9" xfId="25118"/>
    <cellStyle name="Normal 2 3 2 5 4" xfId="25119"/>
    <cellStyle name="Normal 2 3 2 5 4 2" xfId="25120"/>
    <cellStyle name="Normal 2 3 2 5 4 2 2" xfId="25121"/>
    <cellStyle name="Normal 2 3 2 5 4 2 3" xfId="25122"/>
    <cellStyle name="Normal 2 3 2 5 4 3" xfId="25123"/>
    <cellStyle name="Normal 2 3 2 5 4 4" xfId="25124"/>
    <cellStyle name="Normal 2 3 2 5 4 5" xfId="25125"/>
    <cellStyle name="Normal 2 3 2 5 4 6" xfId="25126"/>
    <cellStyle name="Normal 2 3 2 5 5" xfId="25127"/>
    <cellStyle name="Normal 2 3 2 5 5 2" xfId="25128"/>
    <cellStyle name="Normal 2 3 2 5 5 2 2" xfId="25129"/>
    <cellStyle name="Normal 2 3 2 5 5 3" xfId="25130"/>
    <cellStyle name="Normal 2 3 2 5 5 4" xfId="25131"/>
    <cellStyle name="Normal 2 3 2 5 5 5" xfId="25132"/>
    <cellStyle name="Normal 2 3 2 5 6" xfId="25133"/>
    <cellStyle name="Normal 2 3 2 5 6 2" xfId="25134"/>
    <cellStyle name="Normal 2 3 2 5 6 3" xfId="25135"/>
    <cellStyle name="Normal 2 3 2 5 6 4" xfId="25136"/>
    <cellStyle name="Normal 2 3 2 5 7" xfId="25137"/>
    <cellStyle name="Normal 2 3 2 5 7 2" xfId="25138"/>
    <cellStyle name="Normal 2 3 2 5 8" xfId="25139"/>
    <cellStyle name="Normal 2 3 2 5 9" xfId="25140"/>
    <cellStyle name="Normal 2 3 2 6" xfId="25141"/>
    <cellStyle name="Normal 2 3 2 6 10" xfId="25142"/>
    <cellStyle name="Normal 2 3 2 6 11" xfId="25143"/>
    <cellStyle name="Normal 2 3 2 6 2" xfId="25144"/>
    <cellStyle name="Normal 2 3 2 6 2 2" xfId="25145"/>
    <cellStyle name="Normal 2 3 2 6 2 2 2" xfId="25146"/>
    <cellStyle name="Normal 2 3 2 6 2 2 2 2" xfId="25147"/>
    <cellStyle name="Normal 2 3 2 6 2 2 2 3" xfId="25148"/>
    <cellStyle name="Normal 2 3 2 6 2 2 3" xfId="25149"/>
    <cellStyle name="Normal 2 3 2 6 2 2 4" xfId="25150"/>
    <cellStyle name="Normal 2 3 2 6 2 2 5" xfId="25151"/>
    <cellStyle name="Normal 2 3 2 6 2 2 6" xfId="25152"/>
    <cellStyle name="Normal 2 3 2 6 2 3" xfId="25153"/>
    <cellStyle name="Normal 2 3 2 6 2 3 2" xfId="25154"/>
    <cellStyle name="Normal 2 3 2 6 2 3 2 2" xfId="25155"/>
    <cellStyle name="Normal 2 3 2 6 2 3 3" xfId="25156"/>
    <cellStyle name="Normal 2 3 2 6 2 3 4" xfId="25157"/>
    <cellStyle name="Normal 2 3 2 6 2 3 5" xfId="25158"/>
    <cellStyle name="Normal 2 3 2 6 2 4" xfId="25159"/>
    <cellStyle name="Normal 2 3 2 6 2 4 2" xfId="25160"/>
    <cellStyle name="Normal 2 3 2 6 2 4 3" xfId="25161"/>
    <cellStyle name="Normal 2 3 2 6 2 4 4" xfId="25162"/>
    <cellStyle name="Normal 2 3 2 6 2 5" xfId="25163"/>
    <cellStyle name="Normal 2 3 2 6 2 5 2" xfId="25164"/>
    <cellStyle name="Normal 2 3 2 6 2 6" xfId="25165"/>
    <cellStyle name="Normal 2 3 2 6 2 7" xfId="25166"/>
    <cellStyle name="Normal 2 3 2 6 2 8" xfId="25167"/>
    <cellStyle name="Normal 2 3 2 6 2 9" xfId="25168"/>
    <cellStyle name="Normal 2 3 2 6 3" xfId="25169"/>
    <cellStyle name="Normal 2 3 2 6 3 2" xfId="25170"/>
    <cellStyle name="Normal 2 3 2 6 3 2 2" xfId="25171"/>
    <cellStyle name="Normal 2 3 2 6 3 2 2 2" xfId="25172"/>
    <cellStyle name="Normal 2 3 2 6 3 2 2 3" xfId="25173"/>
    <cellStyle name="Normal 2 3 2 6 3 2 3" xfId="25174"/>
    <cellStyle name="Normal 2 3 2 6 3 2 4" xfId="25175"/>
    <cellStyle name="Normal 2 3 2 6 3 2 5" xfId="25176"/>
    <cellStyle name="Normal 2 3 2 6 3 2 6" xfId="25177"/>
    <cellStyle name="Normal 2 3 2 6 3 3" xfId="25178"/>
    <cellStyle name="Normal 2 3 2 6 3 3 2" xfId="25179"/>
    <cellStyle name="Normal 2 3 2 6 3 3 2 2" xfId="25180"/>
    <cellStyle name="Normal 2 3 2 6 3 3 3" xfId="25181"/>
    <cellStyle name="Normal 2 3 2 6 3 3 4" xfId="25182"/>
    <cellStyle name="Normal 2 3 2 6 3 3 5" xfId="25183"/>
    <cellStyle name="Normal 2 3 2 6 3 4" xfId="25184"/>
    <cellStyle name="Normal 2 3 2 6 3 4 2" xfId="25185"/>
    <cellStyle name="Normal 2 3 2 6 3 4 3" xfId="25186"/>
    <cellStyle name="Normal 2 3 2 6 3 4 4" xfId="25187"/>
    <cellStyle name="Normal 2 3 2 6 3 5" xfId="25188"/>
    <cellStyle name="Normal 2 3 2 6 3 5 2" xfId="25189"/>
    <cellStyle name="Normal 2 3 2 6 3 6" xfId="25190"/>
    <cellStyle name="Normal 2 3 2 6 3 7" xfId="25191"/>
    <cellStyle name="Normal 2 3 2 6 3 8" xfId="25192"/>
    <cellStyle name="Normal 2 3 2 6 3 9" xfId="25193"/>
    <cellStyle name="Normal 2 3 2 6 4" xfId="25194"/>
    <cellStyle name="Normal 2 3 2 6 4 2" xfId="25195"/>
    <cellStyle name="Normal 2 3 2 6 4 2 2" xfId="25196"/>
    <cellStyle name="Normal 2 3 2 6 4 2 3" xfId="25197"/>
    <cellStyle name="Normal 2 3 2 6 4 3" xfId="25198"/>
    <cellStyle name="Normal 2 3 2 6 4 4" xfId="25199"/>
    <cellStyle name="Normal 2 3 2 6 4 5" xfId="25200"/>
    <cellStyle name="Normal 2 3 2 6 4 6" xfId="25201"/>
    <cellStyle name="Normal 2 3 2 6 5" xfId="25202"/>
    <cellStyle name="Normal 2 3 2 6 5 2" xfId="25203"/>
    <cellStyle name="Normal 2 3 2 6 5 2 2" xfId="25204"/>
    <cellStyle name="Normal 2 3 2 6 5 3" xfId="25205"/>
    <cellStyle name="Normal 2 3 2 6 5 4" xfId="25206"/>
    <cellStyle name="Normal 2 3 2 6 5 5" xfId="25207"/>
    <cellStyle name="Normal 2 3 2 6 6" xfId="25208"/>
    <cellStyle name="Normal 2 3 2 6 6 2" xfId="25209"/>
    <cellStyle name="Normal 2 3 2 6 6 3" xfId="25210"/>
    <cellStyle name="Normal 2 3 2 6 6 4" xfId="25211"/>
    <cellStyle name="Normal 2 3 2 6 7" xfId="25212"/>
    <cellStyle name="Normal 2 3 2 6 7 2" xfId="25213"/>
    <cellStyle name="Normal 2 3 2 6 8" xfId="25214"/>
    <cellStyle name="Normal 2 3 2 6 9" xfId="25215"/>
    <cellStyle name="Normal 2 3 2 7" xfId="25216"/>
    <cellStyle name="Normal 2 3 2 7 10" xfId="25217"/>
    <cellStyle name="Normal 2 3 2 7 11" xfId="25218"/>
    <cellStyle name="Normal 2 3 2 7 2" xfId="25219"/>
    <cellStyle name="Normal 2 3 2 7 2 2" xfId="25220"/>
    <cellStyle name="Normal 2 3 2 7 2 2 2" xfId="25221"/>
    <cellStyle name="Normal 2 3 2 7 2 2 2 2" xfId="25222"/>
    <cellStyle name="Normal 2 3 2 7 2 2 2 3" xfId="25223"/>
    <cellStyle name="Normal 2 3 2 7 2 2 3" xfId="25224"/>
    <cellStyle name="Normal 2 3 2 7 2 2 4" xfId="25225"/>
    <cellStyle name="Normal 2 3 2 7 2 2 5" xfId="25226"/>
    <cellStyle name="Normal 2 3 2 7 2 2 6" xfId="25227"/>
    <cellStyle name="Normal 2 3 2 7 2 3" xfId="25228"/>
    <cellStyle name="Normal 2 3 2 7 2 3 2" xfId="25229"/>
    <cellStyle name="Normal 2 3 2 7 2 3 2 2" xfId="25230"/>
    <cellStyle name="Normal 2 3 2 7 2 3 3" xfId="25231"/>
    <cellStyle name="Normal 2 3 2 7 2 3 4" xfId="25232"/>
    <cellStyle name="Normal 2 3 2 7 2 3 5" xfId="25233"/>
    <cellStyle name="Normal 2 3 2 7 2 4" xfId="25234"/>
    <cellStyle name="Normal 2 3 2 7 2 4 2" xfId="25235"/>
    <cellStyle name="Normal 2 3 2 7 2 4 3" xfId="25236"/>
    <cellStyle name="Normal 2 3 2 7 2 4 4" xfId="25237"/>
    <cellStyle name="Normal 2 3 2 7 2 5" xfId="25238"/>
    <cellStyle name="Normal 2 3 2 7 2 5 2" xfId="25239"/>
    <cellStyle name="Normal 2 3 2 7 2 6" xfId="25240"/>
    <cellStyle name="Normal 2 3 2 7 2 7" xfId="25241"/>
    <cellStyle name="Normal 2 3 2 7 2 8" xfId="25242"/>
    <cellStyle name="Normal 2 3 2 7 2 9" xfId="25243"/>
    <cellStyle name="Normal 2 3 2 7 3" xfId="25244"/>
    <cellStyle name="Normal 2 3 2 7 3 2" xfId="25245"/>
    <cellStyle name="Normal 2 3 2 7 3 2 2" xfId="25246"/>
    <cellStyle name="Normal 2 3 2 7 3 2 2 2" xfId="25247"/>
    <cellStyle name="Normal 2 3 2 7 3 2 2 3" xfId="25248"/>
    <cellStyle name="Normal 2 3 2 7 3 2 3" xfId="25249"/>
    <cellStyle name="Normal 2 3 2 7 3 2 4" xfId="25250"/>
    <cellStyle name="Normal 2 3 2 7 3 2 5" xfId="25251"/>
    <cellStyle name="Normal 2 3 2 7 3 2 6" xfId="25252"/>
    <cellStyle name="Normal 2 3 2 7 3 3" xfId="25253"/>
    <cellStyle name="Normal 2 3 2 7 3 3 2" xfId="25254"/>
    <cellStyle name="Normal 2 3 2 7 3 3 2 2" xfId="25255"/>
    <cellStyle name="Normal 2 3 2 7 3 3 3" xfId="25256"/>
    <cellStyle name="Normal 2 3 2 7 3 3 4" xfId="25257"/>
    <cellStyle name="Normal 2 3 2 7 3 3 5" xfId="25258"/>
    <cellStyle name="Normal 2 3 2 7 3 4" xfId="25259"/>
    <cellStyle name="Normal 2 3 2 7 3 4 2" xfId="25260"/>
    <cellStyle name="Normal 2 3 2 7 3 4 3" xfId="25261"/>
    <cellStyle name="Normal 2 3 2 7 3 4 4" xfId="25262"/>
    <cellStyle name="Normal 2 3 2 7 3 5" xfId="25263"/>
    <cellStyle name="Normal 2 3 2 7 3 5 2" xfId="25264"/>
    <cellStyle name="Normal 2 3 2 7 3 6" xfId="25265"/>
    <cellStyle name="Normal 2 3 2 7 3 7" xfId="25266"/>
    <cellStyle name="Normal 2 3 2 7 3 8" xfId="25267"/>
    <cellStyle name="Normal 2 3 2 7 3 9" xfId="25268"/>
    <cellStyle name="Normal 2 3 2 7 4" xfId="25269"/>
    <cellStyle name="Normal 2 3 2 7 4 2" xfId="25270"/>
    <cellStyle name="Normal 2 3 2 7 4 2 2" xfId="25271"/>
    <cellStyle name="Normal 2 3 2 7 4 2 3" xfId="25272"/>
    <cellStyle name="Normal 2 3 2 7 4 3" xfId="25273"/>
    <cellStyle name="Normal 2 3 2 7 4 4" xfId="25274"/>
    <cellStyle name="Normal 2 3 2 7 4 5" xfId="25275"/>
    <cellStyle name="Normal 2 3 2 7 4 6" xfId="25276"/>
    <cellStyle name="Normal 2 3 2 7 5" xfId="25277"/>
    <cellStyle name="Normal 2 3 2 7 5 2" xfId="25278"/>
    <cellStyle name="Normal 2 3 2 7 5 2 2" xfId="25279"/>
    <cellStyle name="Normal 2 3 2 7 5 3" xfId="25280"/>
    <cellStyle name="Normal 2 3 2 7 5 4" xfId="25281"/>
    <cellStyle name="Normal 2 3 2 7 5 5" xfId="25282"/>
    <cellStyle name="Normal 2 3 2 7 6" xfId="25283"/>
    <cellStyle name="Normal 2 3 2 7 6 2" xfId="25284"/>
    <cellStyle name="Normal 2 3 2 7 6 3" xfId="25285"/>
    <cellStyle name="Normal 2 3 2 7 6 4" xfId="25286"/>
    <cellStyle name="Normal 2 3 2 7 7" xfId="25287"/>
    <cellStyle name="Normal 2 3 2 7 7 2" xfId="25288"/>
    <cellStyle name="Normal 2 3 2 7 8" xfId="25289"/>
    <cellStyle name="Normal 2 3 2 7 9" xfId="25290"/>
    <cellStyle name="Normal 2 3 2 8" xfId="25291"/>
    <cellStyle name="Normal 2 3 2 8 10" xfId="25292"/>
    <cellStyle name="Normal 2 3 2 8 2" xfId="25293"/>
    <cellStyle name="Normal 2 3 2 8 2 2" xfId="25294"/>
    <cellStyle name="Normal 2 3 2 8 2 2 2" xfId="25295"/>
    <cellStyle name="Normal 2 3 2 8 2 2 3" xfId="25296"/>
    <cellStyle name="Normal 2 3 2 8 2 3" xfId="25297"/>
    <cellStyle name="Normal 2 3 2 8 2 4" xfId="25298"/>
    <cellStyle name="Normal 2 3 2 8 2 5" xfId="25299"/>
    <cellStyle name="Normal 2 3 2 8 2 6" xfId="25300"/>
    <cellStyle name="Normal 2 3 2 8 3" xfId="25301"/>
    <cellStyle name="Normal 2 3 2 8 3 2" xfId="25302"/>
    <cellStyle name="Normal 2 3 2 8 3 2 2" xfId="25303"/>
    <cellStyle name="Normal 2 3 2 8 3 2 3" xfId="25304"/>
    <cellStyle name="Normal 2 3 2 8 3 3" xfId="25305"/>
    <cellStyle name="Normal 2 3 2 8 3 4" xfId="25306"/>
    <cellStyle name="Normal 2 3 2 8 3 5" xfId="25307"/>
    <cellStyle name="Normal 2 3 2 8 3 6" xfId="25308"/>
    <cellStyle name="Normal 2 3 2 8 4" xfId="25309"/>
    <cellStyle name="Normal 2 3 2 8 4 2" xfId="25310"/>
    <cellStyle name="Normal 2 3 2 8 4 2 2" xfId="25311"/>
    <cellStyle name="Normal 2 3 2 8 4 3" xfId="25312"/>
    <cellStyle name="Normal 2 3 2 8 4 4" xfId="25313"/>
    <cellStyle name="Normal 2 3 2 8 4 5" xfId="25314"/>
    <cellStyle name="Normal 2 3 2 8 5" xfId="25315"/>
    <cellStyle name="Normal 2 3 2 8 5 2" xfId="25316"/>
    <cellStyle name="Normal 2 3 2 8 5 3" xfId="25317"/>
    <cellStyle name="Normal 2 3 2 8 5 4" xfId="25318"/>
    <cellStyle name="Normal 2 3 2 8 6" xfId="25319"/>
    <cellStyle name="Normal 2 3 2 8 6 2" xfId="25320"/>
    <cellStyle name="Normal 2 3 2 8 7" xfId="25321"/>
    <cellStyle name="Normal 2 3 2 8 8" xfId="25322"/>
    <cellStyle name="Normal 2 3 2 8 9" xfId="25323"/>
    <cellStyle name="Normal 2 3 2 9" xfId="25324"/>
    <cellStyle name="Normal 2 3 2 9 10" xfId="25325"/>
    <cellStyle name="Normal 2 3 2 9 2" xfId="25326"/>
    <cellStyle name="Normal 2 3 2 9 2 2" xfId="25327"/>
    <cellStyle name="Normal 2 3 2 9 2 2 2" xfId="25328"/>
    <cellStyle name="Normal 2 3 2 9 2 2 3" xfId="25329"/>
    <cellStyle name="Normal 2 3 2 9 2 3" xfId="25330"/>
    <cellStyle name="Normal 2 3 2 9 2 4" xfId="25331"/>
    <cellStyle name="Normal 2 3 2 9 2 5" xfId="25332"/>
    <cellStyle name="Normal 2 3 2 9 2 6" xfId="25333"/>
    <cellStyle name="Normal 2 3 2 9 3" xfId="25334"/>
    <cellStyle name="Normal 2 3 2 9 3 2" xfId="25335"/>
    <cellStyle name="Normal 2 3 2 9 3 2 2" xfId="25336"/>
    <cellStyle name="Normal 2 3 2 9 3 2 3" xfId="25337"/>
    <cellStyle name="Normal 2 3 2 9 3 3" xfId="25338"/>
    <cellStyle name="Normal 2 3 2 9 3 4" xfId="25339"/>
    <cellStyle name="Normal 2 3 2 9 3 5" xfId="25340"/>
    <cellStyle name="Normal 2 3 2 9 3 6" xfId="25341"/>
    <cellStyle name="Normal 2 3 2 9 4" xfId="25342"/>
    <cellStyle name="Normal 2 3 2 9 4 2" xfId="25343"/>
    <cellStyle name="Normal 2 3 2 9 4 2 2" xfId="25344"/>
    <cellStyle name="Normal 2 3 2 9 4 3" xfId="25345"/>
    <cellStyle name="Normal 2 3 2 9 4 4" xfId="25346"/>
    <cellStyle name="Normal 2 3 2 9 4 5" xfId="25347"/>
    <cellStyle name="Normal 2 3 2 9 5" xfId="25348"/>
    <cellStyle name="Normal 2 3 2 9 5 2" xfId="25349"/>
    <cellStyle name="Normal 2 3 2 9 5 3" xfId="25350"/>
    <cellStyle name="Normal 2 3 2 9 5 4" xfId="25351"/>
    <cellStyle name="Normal 2 3 2 9 6" xfId="25352"/>
    <cellStyle name="Normal 2 3 2 9 6 2" xfId="25353"/>
    <cellStyle name="Normal 2 3 2 9 7" xfId="25354"/>
    <cellStyle name="Normal 2 3 2 9 8" xfId="25355"/>
    <cellStyle name="Normal 2 3 2 9 9" xfId="25356"/>
    <cellStyle name="Normal 2 3 3" xfId="25357"/>
    <cellStyle name="Normal 2 3 3 2" xfId="25358"/>
    <cellStyle name="Normal 2 3 4" xfId="25359"/>
    <cellStyle name="Normal 2 3 4 2" xfId="25360"/>
    <cellStyle name="Normal 2 3 5" xfId="25361"/>
    <cellStyle name="Normal 2 3 6" xfId="25362"/>
    <cellStyle name="Normal 2 3 7" xfId="25363"/>
    <cellStyle name="Normal 2 3 8" xfId="25364"/>
    <cellStyle name="Normal 2 3 9" xfId="25365"/>
    <cellStyle name="Normal 2 30" xfId="25366"/>
    <cellStyle name="Normal 2 30 2" xfId="25367"/>
    <cellStyle name="Normal 2 30 2 2" xfId="25368"/>
    <cellStyle name="Normal 2 30 2 2 2" xfId="25369"/>
    <cellStyle name="Normal 2 30 2 3" xfId="25370"/>
    <cellStyle name="Normal 2 30 3" xfId="25371"/>
    <cellStyle name="Normal 2 30 3 2" xfId="25372"/>
    <cellStyle name="Normal 2 30 3 2 2" xfId="25373"/>
    <cellStyle name="Normal 2 30 3 2 2 2" xfId="25374"/>
    <cellStyle name="Normal 2 30 3 2 2 3" xfId="25375"/>
    <cellStyle name="Normal 2 30 3 2 3" xfId="25376"/>
    <cellStyle name="Normal 2 30 3 2 4" xfId="25377"/>
    <cellStyle name="Normal 2 30 3 2 5" xfId="25378"/>
    <cellStyle name="Normal 2 30 3 2 6" xfId="25379"/>
    <cellStyle name="Normal 2 30 3 3" xfId="25380"/>
    <cellStyle name="Normal 2 30 3 3 2" xfId="25381"/>
    <cellStyle name="Normal 2 30 3 3 2 2" xfId="25382"/>
    <cellStyle name="Normal 2 30 3 3 3" xfId="25383"/>
    <cellStyle name="Normal 2 30 3 3 4" xfId="25384"/>
    <cellStyle name="Normal 2 30 3 3 5" xfId="25385"/>
    <cellStyle name="Normal 2 30 3 4" xfId="25386"/>
    <cellStyle name="Normal 2 30 3 4 2" xfId="25387"/>
    <cellStyle name="Normal 2 30 3 4 3" xfId="25388"/>
    <cellStyle name="Normal 2 30 3 4 4" xfId="25389"/>
    <cellStyle name="Normal 2 30 3 5" xfId="25390"/>
    <cellStyle name="Normal 2 30 3 5 2" xfId="25391"/>
    <cellStyle name="Normal 2 30 3 6" xfId="25392"/>
    <cellStyle name="Normal 2 30 3 7" xfId="25393"/>
    <cellStyle name="Normal 2 30 3 8" xfId="25394"/>
    <cellStyle name="Normal 2 30 3 9" xfId="25395"/>
    <cellStyle name="Normal 2 30 4" xfId="25396"/>
    <cellStyle name="Normal 2 30 4 2" xfId="25397"/>
    <cellStyle name="Normal 2 30 4 2 2" xfId="25398"/>
    <cellStyle name="Normal 2 30 4 3" xfId="25399"/>
    <cellStyle name="Normal 2 30 4 4" xfId="25400"/>
    <cellStyle name="Normal 2 30 4 5" xfId="25401"/>
    <cellStyle name="Normal 2 30 4 6" xfId="25402"/>
    <cellStyle name="Normal 2 30 5" xfId="25403"/>
    <cellStyle name="Normal 2 30 5 2" xfId="25404"/>
    <cellStyle name="Normal 2 30 5 3" xfId="25405"/>
    <cellStyle name="Normal 2 30 6" xfId="25406"/>
    <cellStyle name="Normal 2 30 6 2" xfId="25407"/>
    <cellStyle name="Normal 2 30 7" xfId="25408"/>
    <cellStyle name="Normal 2 30 8" xfId="25409"/>
    <cellStyle name="Normal 2 31" xfId="25410"/>
    <cellStyle name="Normal 2 31 2" xfId="25411"/>
    <cellStyle name="Normal 2 31 2 2" xfId="25412"/>
    <cellStyle name="Normal 2 31 2 2 2" xfId="25413"/>
    <cellStyle name="Normal 2 31 2 3" xfId="25414"/>
    <cellStyle name="Normal 2 31 3" xfId="25415"/>
    <cellStyle name="Normal 2 31 3 2" xfId="25416"/>
    <cellStyle name="Normal 2 31 3 2 2" xfId="25417"/>
    <cellStyle name="Normal 2 31 3 2 2 2" xfId="25418"/>
    <cellStyle name="Normal 2 31 3 2 2 3" xfId="25419"/>
    <cellStyle name="Normal 2 31 3 2 3" xfId="25420"/>
    <cellStyle name="Normal 2 31 3 2 4" xfId="25421"/>
    <cellStyle name="Normal 2 31 3 2 5" xfId="25422"/>
    <cellStyle name="Normal 2 31 3 2 6" xfId="25423"/>
    <cellStyle name="Normal 2 31 3 3" xfId="25424"/>
    <cellStyle name="Normal 2 31 3 3 2" xfId="25425"/>
    <cellStyle name="Normal 2 31 3 3 2 2" xfId="25426"/>
    <cellStyle name="Normal 2 31 3 3 3" xfId="25427"/>
    <cellStyle name="Normal 2 31 3 3 4" xfId="25428"/>
    <cellStyle name="Normal 2 31 3 3 5" xfId="25429"/>
    <cellStyle name="Normal 2 31 3 4" xfId="25430"/>
    <cellStyle name="Normal 2 31 3 4 2" xfId="25431"/>
    <cellStyle name="Normal 2 31 3 4 3" xfId="25432"/>
    <cellStyle name="Normal 2 31 3 4 4" xfId="25433"/>
    <cellStyle name="Normal 2 31 3 5" xfId="25434"/>
    <cellStyle name="Normal 2 31 3 5 2" xfId="25435"/>
    <cellStyle name="Normal 2 31 3 6" xfId="25436"/>
    <cellStyle name="Normal 2 31 3 7" xfId="25437"/>
    <cellStyle name="Normal 2 31 3 8" xfId="25438"/>
    <cellStyle name="Normal 2 31 3 9" xfId="25439"/>
    <cellStyle name="Normal 2 31 4" xfId="25440"/>
    <cellStyle name="Normal 2 31 4 2" xfId="25441"/>
    <cellStyle name="Normal 2 31 4 2 2" xfId="25442"/>
    <cellStyle name="Normal 2 31 4 3" xfId="25443"/>
    <cellStyle name="Normal 2 31 4 4" xfId="25444"/>
    <cellStyle name="Normal 2 31 4 5" xfId="25445"/>
    <cellStyle name="Normal 2 31 4 6" xfId="25446"/>
    <cellStyle name="Normal 2 31 5" xfId="25447"/>
    <cellStyle name="Normal 2 31 5 2" xfId="25448"/>
    <cellStyle name="Normal 2 31 5 3" xfId="25449"/>
    <cellStyle name="Normal 2 31 6" xfId="25450"/>
    <cellStyle name="Normal 2 31 6 2" xfId="25451"/>
    <cellStyle name="Normal 2 31 7" xfId="25452"/>
    <cellStyle name="Normal 2 31 8" xfId="25453"/>
    <cellStyle name="Normal 2 32" xfId="25454"/>
    <cellStyle name="Normal 2 32 2" xfId="25455"/>
    <cellStyle name="Normal 2 32 2 2" xfId="25456"/>
    <cellStyle name="Normal 2 32 2 2 2" xfId="25457"/>
    <cellStyle name="Normal 2 32 2 3" xfId="25458"/>
    <cellStyle name="Normal 2 32 3" xfId="25459"/>
    <cellStyle name="Normal 2 32 3 2" xfId="25460"/>
    <cellStyle name="Normal 2 32 3 2 2" xfId="25461"/>
    <cellStyle name="Normal 2 32 3 2 2 2" xfId="25462"/>
    <cellStyle name="Normal 2 32 3 2 2 3" xfId="25463"/>
    <cellStyle name="Normal 2 32 3 2 3" xfId="25464"/>
    <cellStyle name="Normal 2 32 3 2 4" xfId="25465"/>
    <cellStyle name="Normal 2 32 3 2 5" xfId="25466"/>
    <cellStyle name="Normal 2 32 3 2 6" xfId="25467"/>
    <cellStyle name="Normal 2 32 3 3" xfId="25468"/>
    <cellStyle name="Normal 2 32 3 3 2" xfId="25469"/>
    <cellStyle name="Normal 2 32 3 3 2 2" xfId="25470"/>
    <cellStyle name="Normal 2 32 3 3 3" xfId="25471"/>
    <cellStyle name="Normal 2 32 3 3 4" xfId="25472"/>
    <cellStyle name="Normal 2 32 3 3 5" xfId="25473"/>
    <cellStyle name="Normal 2 32 3 4" xfId="25474"/>
    <cellStyle name="Normal 2 32 3 4 2" xfId="25475"/>
    <cellStyle name="Normal 2 32 3 4 3" xfId="25476"/>
    <cellStyle name="Normal 2 32 3 4 4" xfId="25477"/>
    <cellStyle name="Normal 2 32 3 5" xfId="25478"/>
    <cellStyle name="Normal 2 32 3 5 2" xfId="25479"/>
    <cellStyle name="Normal 2 32 3 6" xfId="25480"/>
    <cellStyle name="Normal 2 32 3 7" xfId="25481"/>
    <cellStyle name="Normal 2 32 3 8" xfId="25482"/>
    <cellStyle name="Normal 2 32 3 9" xfId="25483"/>
    <cellStyle name="Normal 2 32 4" xfId="25484"/>
    <cellStyle name="Normal 2 32 4 2" xfId="25485"/>
    <cellStyle name="Normal 2 32 4 2 2" xfId="25486"/>
    <cellStyle name="Normal 2 32 4 3" xfId="25487"/>
    <cellStyle name="Normal 2 32 4 4" xfId="25488"/>
    <cellStyle name="Normal 2 32 4 5" xfId="25489"/>
    <cellStyle name="Normal 2 32 4 6" xfId="25490"/>
    <cellStyle name="Normal 2 32 5" xfId="25491"/>
    <cellStyle name="Normal 2 32 5 2" xfId="25492"/>
    <cellStyle name="Normal 2 32 5 3" xfId="25493"/>
    <cellStyle name="Normal 2 32 6" xfId="25494"/>
    <cellStyle name="Normal 2 32 6 2" xfId="25495"/>
    <cellStyle name="Normal 2 32 7" xfId="25496"/>
    <cellStyle name="Normal 2 32 8" xfId="25497"/>
    <cellStyle name="Normal 2 33" xfId="25498"/>
    <cellStyle name="Normal 2 33 2" xfId="25499"/>
    <cellStyle name="Normal 2 33 2 2" xfId="25500"/>
    <cellStyle name="Normal 2 33 2 2 2" xfId="25501"/>
    <cellStyle name="Normal 2 33 2 3" xfId="25502"/>
    <cellStyle name="Normal 2 33 3" xfId="25503"/>
    <cellStyle name="Normal 2 33 3 2" xfId="25504"/>
    <cellStyle name="Normal 2 33 3 2 2" xfId="25505"/>
    <cellStyle name="Normal 2 33 3 2 2 2" xfId="25506"/>
    <cellStyle name="Normal 2 33 3 2 2 3" xfId="25507"/>
    <cellStyle name="Normal 2 33 3 2 3" xfId="25508"/>
    <cellStyle name="Normal 2 33 3 2 4" xfId="25509"/>
    <cellStyle name="Normal 2 33 3 2 5" xfId="25510"/>
    <cellStyle name="Normal 2 33 3 2 6" xfId="25511"/>
    <cellStyle name="Normal 2 33 3 3" xfId="25512"/>
    <cellStyle name="Normal 2 33 3 3 2" xfId="25513"/>
    <cellStyle name="Normal 2 33 3 3 2 2" xfId="25514"/>
    <cellStyle name="Normal 2 33 3 3 3" xfId="25515"/>
    <cellStyle name="Normal 2 33 3 3 4" xfId="25516"/>
    <cellStyle name="Normal 2 33 3 3 5" xfId="25517"/>
    <cellStyle name="Normal 2 33 3 4" xfId="25518"/>
    <cellStyle name="Normal 2 33 3 4 2" xfId="25519"/>
    <cellStyle name="Normal 2 33 3 4 3" xfId="25520"/>
    <cellStyle name="Normal 2 33 3 4 4" xfId="25521"/>
    <cellStyle name="Normal 2 33 3 5" xfId="25522"/>
    <cellStyle name="Normal 2 33 3 5 2" xfId="25523"/>
    <cellStyle name="Normal 2 33 3 6" xfId="25524"/>
    <cellStyle name="Normal 2 33 3 7" xfId="25525"/>
    <cellStyle name="Normal 2 33 3 8" xfId="25526"/>
    <cellStyle name="Normal 2 33 3 9" xfId="25527"/>
    <cellStyle name="Normal 2 33 4" xfId="25528"/>
    <cellStyle name="Normal 2 33 4 2" xfId="25529"/>
    <cellStyle name="Normal 2 33 4 2 2" xfId="25530"/>
    <cellStyle name="Normal 2 33 4 3" xfId="25531"/>
    <cellStyle name="Normal 2 33 4 4" xfId="25532"/>
    <cellStyle name="Normal 2 33 4 5" xfId="25533"/>
    <cellStyle name="Normal 2 33 4 6" xfId="25534"/>
    <cellStyle name="Normal 2 33 5" xfId="25535"/>
    <cellStyle name="Normal 2 33 5 2" xfId="25536"/>
    <cellStyle name="Normal 2 33 5 3" xfId="25537"/>
    <cellStyle name="Normal 2 33 6" xfId="25538"/>
    <cellStyle name="Normal 2 33 6 2" xfId="25539"/>
    <cellStyle name="Normal 2 33 7" xfId="25540"/>
    <cellStyle name="Normal 2 33 8" xfId="25541"/>
    <cellStyle name="Normal 2 34" xfId="25542"/>
    <cellStyle name="Normal 2 34 2" xfId="25543"/>
    <cellStyle name="Normal 2 34 2 2" xfId="25544"/>
    <cellStyle name="Normal 2 34 2 2 2" xfId="25545"/>
    <cellStyle name="Normal 2 34 2 3" xfId="25546"/>
    <cellStyle name="Normal 2 34 3" xfId="25547"/>
    <cellStyle name="Normal 2 34 3 2" xfId="25548"/>
    <cellStyle name="Normal 2 34 3 2 2" xfId="25549"/>
    <cellStyle name="Normal 2 34 3 2 2 2" xfId="25550"/>
    <cellStyle name="Normal 2 34 3 2 2 3" xfId="25551"/>
    <cellStyle name="Normal 2 34 3 2 3" xfId="25552"/>
    <cellStyle name="Normal 2 34 3 2 4" xfId="25553"/>
    <cellStyle name="Normal 2 34 3 2 5" xfId="25554"/>
    <cellStyle name="Normal 2 34 3 2 6" xfId="25555"/>
    <cellStyle name="Normal 2 34 3 3" xfId="25556"/>
    <cellStyle name="Normal 2 34 3 3 2" xfId="25557"/>
    <cellStyle name="Normal 2 34 3 3 2 2" xfId="25558"/>
    <cellStyle name="Normal 2 34 3 3 3" xfId="25559"/>
    <cellStyle name="Normal 2 34 3 3 4" xfId="25560"/>
    <cellStyle name="Normal 2 34 3 3 5" xfId="25561"/>
    <cellStyle name="Normal 2 34 3 4" xfId="25562"/>
    <cellStyle name="Normal 2 34 3 4 2" xfId="25563"/>
    <cellStyle name="Normal 2 34 3 4 3" xfId="25564"/>
    <cellStyle name="Normal 2 34 3 4 4" xfId="25565"/>
    <cellStyle name="Normal 2 34 3 5" xfId="25566"/>
    <cellStyle name="Normal 2 34 3 5 2" xfId="25567"/>
    <cellStyle name="Normal 2 34 3 6" xfId="25568"/>
    <cellStyle name="Normal 2 34 3 7" xfId="25569"/>
    <cellStyle name="Normal 2 34 3 8" xfId="25570"/>
    <cellStyle name="Normal 2 34 3 9" xfId="25571"/>
    <cellStyle name="Normal 2 34 4" xfId="25572"/>
    <cellStyle name="Normal 2 34 4 2" xfId="25573"/>
    <cellStyle name="Normal 2 34 4 2 2" xfId="25574"/>
    <cellStyle name="Normal 2 34 4 3" xfId="25575"/>
    <cellStyle name="Normal 2 34 4 4" xfId="25576"/>
    <cellStyle name="Normal 2 34 4 5" xfId="25577"/>
    <cellStyle name="Normal 2 34 4 6" xfId="25578"/>
    <cellStyle name="Normal 2 34 5" xfId="25579"/>
    <cellStyle name="Normal 2 34 5 2" xfId="25580"/>
    <cellStyle name="Normal 2 34 5 3" xfId="25581"/>
    <cellStyle name="Normal 2 34 6" xfId="25582"/>
    <cellStyle name="Normal 2 34 6 2" xfId="25583"/>
    <cellStyle name="Normal 2 34 7" xfId="25584"/>
    <cellStyle name="Normal 2 34 8" xfId="25585"/>
    <cellStyle name="Normal 2 35" xfId="25586"/>
    <cellStyle name="Normal 2 35 2" xfId="25587"/>
    <cellStyle name="Normal 2 35 2 2" xfId="25588"/>
    <cellStyle name="Normal 2 35 2 2 2" xfId="25589"/>
    <cellStyle name="Normal 2 35 2 3" xfId="25590"/>
    <cellStyle name="Normal 2 35 3" xfId="25591"/>
    <cellStyle name="Normal 2 35 3 2" xfId="25592"/>
    <cellStyle name="Normal 2 35 3 2 2" xfId="25593"/>
    <cellStyle name="Normal 2 35 3 2 2 2" xfId="25594"/>
    <cellStyle name="Normal 2 35 3 2 2 3" xfId="25595"/>
    <cellStyle name="Normal 2 35 3 2 3" xfId="25596"/>
    <cellStyle name="Normal 2 35 3 2 4" xfId="25597"/>
    <cellStyle name="Normal 2 35 3 2 5" xfId="25598"/>
    <cellStyle name="Normal 2 35 3 2 6" xfId="25599"/>
    <cellStyle name="Normal 2 35 3 3" xfId="25600"/>
    <cellStyle name="Normal 2 35 3 3 2" xfId="25601"/>
    <cellStyle name="Normal 2 35 3 3 2 2" xfId="25602"/>
    <cellStyle name="Normal 2 35 3 3 3" xfId="25603"/>
    <cellStyle name="Normal 2 35 3 3 4" xfId="25604"/>
    <cellStyle name="Normal 2 35 3 3 5" xfId="25605"/>
    <cellStyle name="Normal 2 35 3 4" xfId="25606"/>
    <cellStyle name="Normal 2 35 3 4 2" xfId="25607"/>
    <cellStyle name="Normal 2 35 3 4 3" xfId="25608"/>
    <cellStyle name="Normal 2 35 3 4 4" xfId="25609"/>
    <cellStyle name="Normal 2 35 3 5" xfId="25610"/>
    <cellStyle name="Normal 2 35 3 5 2" xfId="25611"/>
    <cellStyle name="Normal 2 35 3 6" xfId="25612"/>
    <cellStyle name="Normal 2 35 3 7" xfId="25613"/>
    <cellStyle name="Normal 2 35 3 8" xfId="25614"/>
    <cellStyle name="Normal 2 35 3 9" xfId="25615"/>
    <cellStyle name="Normal 2 35 4" xfId="25616"/>
    <cellStyle name="Normal 2 35 4 2" xfId="25617"/>
    <cellStyle name="Normal 2 35 4 2 2" xfId="25618"/>
    <cellStyle name="Normal 2 35 4 3" xfId="25619"/>
    <cellStyle name="Normal 2 35 4 4" xfId="25620"/>
    <cellStyle name="Normal 2 35 4 5" xfId="25621"/>
    <cellStyle name="Normal 2 35 4 6" xfId="25622"/>
    <cellStyle name="Normal 2 35 5" xfId="25623"/>
    <cellStyle name="Normal 2 35 5 2" xfId="25624"/>
    <cellStyle name="Normal 2 35 5 3" xfId="25625"/>
    <cellStyle name="Normal 2 35 6" xfId="25626"/>
    <cellStyle name="Normal 2 35 6 2" xfId="25627"/>
    <cellStyle name="Normal 2 35 7" xfId="25628"/>
    <cellStyle name="Normal 2 35 8" xfId="25629"/>
    <cellStyle name="Normal 2 36" xfId="25630"/>
    <cellStyle name="Normal 2 36 2" xfId="25631"/>
    <cellStyle name="Normal 2 36 2 2" xfId="25632"/>
    <cellStyle name="Normal 2 36 2 2 2" xfId="25633"/>
    <cellStyle name="Normal 2 36 2 3" xfId="25634"/>
    <cellStyle name="Normal 2 36 3" xfId="25635"/>
    <cellStyle name="Normal 2 36 3 2" xfId="25636"/>
    <cellStyle name="Normal 2 36 3 2 2" xfId="25637"/>
    <cellStyle name="Normal 2 36 3 2 2 2" xfId="25638"/>
    <cellStyle name="Normal 2 36 3 2 2 3" xfId="25639"/>
    <cellStyle name="Normal 2 36 3 2 3" xfId="25640"/>
    <cellStyle name="Normal 2 36 3 2 4" xfId="25641"/>
    <cellStyle name="Normal 2 36 3 2 5" xfId="25642"/>
    <cellStyle name="Normal 2 36 3 2 6" xfId="25643"/>
    <cellStyle name="Normal 2 36 3 3" xfId="25644"/>
    <cellStyle name="Normal 2 36 3 3 2" xfId="25645"/>
    <cellStyle name="Normal 2 36 3 3 2 2" xfId="25646"/>
    <cellStyle name="Normal 2 36 3 3 3" xfId="25647"/>
    <cellStyle name="Normal 2 36 3 3 4" xfId="25648"/>
    <cellStyle name="Normal 2 36 3 3 5" xfId="25649"/>
    <cellStyle name="Normal 2 36 3 4" xfId="25650"/>
    <cellStyle name="Normal 2 36 3 4 2" xfId="25651"/>
    <cellStyle name="Normal 2 36 3 4 3" xfId="25652"/>
    <cellStyle name="Normal 2 36 3 4 4" xfId="25653"/>
    <cellStyle name="Normal 2 36 3 5" xfId="25654"/>
    <cellStyle name="Normal 2 36 3 5 2" xfId="25655"/>
    <cellStyle name="Normal 2 36 3 6" xfId="25656"/>
    <cellStyle name="Normal 2 36 3 7" xfId="25657"/>
    <cellStyle name="Normal 2 36 3 8" xfId="25658"/>
    <cellStyle name="Normal 2 36 3 9" xfId="25659"/>
    <cellStyle name="Normal 2 36 4" xfId="25660"/>
    <cellStyle name="Normal 2 36 4 2" xfId="25661"/>
    <cellStyle name="Normal 2 36 4 2 2" xfId="25662"/>
    <cellStyle name="Normal 2 36 4 3" xfId="25663"/>
    <cellStyle name="Normal 2 36 4 4" xfId="25664"/>
    <cellStyle name="Normal 2 36 4 5" xfId="25665"/>
    <cellStyle name="Normal 2 36 4 6" xfId="25666"/>
    <cellStyle name="Normal 2 36 5" xfId="25667"/>
    <cellStyle name="Normal 2 36 5 2" xfId="25668"/>
    <cellStyle name="Normal 2 36 5 3" xfId="25669"/>
    <cellStyle name="Normal 2 36 6" xfId="25670"/>
    <cellStyle name="Normal 2 36 6 2" xfId="25671"/>
    <cellStyle name="Normal 2 36 7" xfId="25672"/>
    <cellStyle name="Normal 2 36 8" xfId="25673"/>
    <cellStyle name="Normal 2 37" xfId="25674"/>
    <cellStyle name="Normal 2 37 2" xfId="25675"/>
    <cellStyle name="Normal 2 37 2 2" xfId="25676"/>
    <cellStyle name="Normal 2 37 2 2 2" xfId="25677"/>
    <cellStyle name="Normal 2 37 2 3" xfId="25678"/>
    <cellStyle name="Normal 2 37 3" xfId="25679"/>
    <cellStyle name="Normal 2 37 3 2" xfId="25680"/>
    <cellStyle name="Normal 2 37 3 2 2" xfId="25681"/>
    <cellStyle name="Normal 2 37 3 2 2 2" xfId="25682"/>
    <cellStyle name="Normal 2 37 3 2 2 3" xfId="25683"/>
    <cellStyle name="Normal 2 37 3 2 3" xfId="25684"/>
    <cellStyle name="Normal 2 37 3 2 4" xfId="25685"/>
    <cellStyle name="Normal 2 37 3 2 5" xfId="25686"/>
    <cellStyle name="Normal 2 37 3 2 6" xfId="25687"/>
    <cellStyle name="Normal 2 37 3 3" xfId="25688"/>
    <cellStyle name="Normal 2 37 3 3 2" xfId="25689"/>
    <cellStyle name="Normal 2 37 3 3 2 2" xfId="25690"/>
    <cellStyle name="Normal 2 37 3 3 3" xfId="25691"/>
    <cellStyle name="Normal 2 37 3 3 4" xfId="25692"/>
    <cellStyle name="Normal 2 37 3 3 5" xfId="25693"/>
    <cellStyle name="Normal 2 37 3 4" xfId="25694"/>
    <cellStyle name="Normal 2 37 3 4 2" xfId="25695"/>
    <cellStyle name="Normal 2 37 3 4 3" xfId="25696"/>
    <cellStyle name="Normal 2 37 3 4 4" xfId="25697"/>
    <cellStyle name="Normal 2 37 3 5" xfId="25698"/>
    <cellStyle name="Normal 2 37 3 5 2" xfId="25699"/>
    <cellStyle name="Normal 2 37 3 6" xfId="25700"/>
    <cellStyle name="Normal 2 37 3 7" xfId="25701"/>
    <cellStyle name="Normal 2 37 3 8" xfId="25702"/>
    <cellStyle name="Normal 2 37 3 9" xfId="25703"/>
    <cellStyle name="Normal 2 37 4" xfId="25704"/>
    <cellStyle name="Normal 2 37 4 2" xfId="25705"/>
    <cellStyle name="Normal 2 37 4 2 2" xfId="25706"/>
    <cellStyle name="Normal 2 37 4 3" xfId="25707"/>
    <cellStyle name="Normal 2 37 4 4" xfId="25708"/>
    <cellStyle name="Normal 2 37 4 5" xfId="25709"/>
    <cellStyle name="Normal 2 37 4 6" xfId="25710"/>
    <cellStyle name="Normal 2 37 5" xfId="25711"/>
    <cellStyle name="Normal 2 37 5 2" xfId="25712"/>
    <cellStyle name="Normal 2 37 5 3" xfId="25713"/>
    <cellStyle name="Normal 2 37 6" xfId="25714"/>
    <cellStyle name="Normal 2 37 6 2" xfId="25715"/>
    <cellStyle name="Normal 2 37 7" xfId="25716"/>
    <cellStyle name="Normal 2 37 8" xfId="25717"/>
    <cellStyle name="Normal 2 38" xfId="25718"/>
    <cellStyle name="Normal 2 38 10" xfId="25719"/>
    <cellStyle name="Normal 2 38 11" xfId="25720"/>
    <cellStyle name="Normal 2 38 2" xfId="25721"/>
    <cellStyle name="Normal 2 38 2 2" xfId="25722"/>
    <cellStyle name="Normal 2 38 2 2 2" xfId="25723"/>
    <cellStyle name="Normal 2 38 2 2 2 2" xfId="25724"/>
    <cellStyle name="Normal 2 38 2 2 2 3" xfId="25725"/>
    <cellStyle name="Normal 2 38 2 2 3" xfId="25726"/>
    <cellStyle name="Normal 2 38 2 2 4" xfId="25727"/>
    <cellStyle name="Normal 2 38 2 2 5" xfId="25728"/>
    <cellStyle name="Normal 2 38 2 2 6" xfId="25729"/>
    <cellStyle name="Normal 2 38 2 3" xfId="25730"/>
    <cellStyle name="Normal 2 38 2 3 2" xfId="25731"/>
    <cellStyle name="Normal 2 38 2 3 2 2" xfId="25732"/>
    <cellStyle name="Normal 2 38 2 3 3" xfId="25733"/>
    <cellStyle name="Normal 2 38 2 3 4" xfId="25734"/>
    <cellStyle name="Normal 2 38 2 3 5" xfId="25735"/>
    <cellStyle name="Normal 2 38 2 4" xfId="25736"/>
    <cellStyle name="Normal 2 38 2 4 2" xfId="25737"/>
    <cellStyle name="Normal 2 38 2 4 3" xfId="25738"/>
    <cellStyle name="Normal 2 38 2 4 4" xfId="25739"/>
    <cellStyle name="Normal 2 38 2 5" xfId="25740"/>
    <cellStyle name="Normal 2 38 2 5 2" xfId="25741"/>
    <cellStyle name="Normal 2 38 2 6" xfId="25742"/>
    <cellStyle name="Normal 2 38 2 7" xfId="25743"/>
    <cellStyle name="Normal 2 38 2 8" xfId="25744"/>
    <cellStyle name="Normal 2 38 2 9" xfId="25745"/>
    <cellStyle name="Normal 2 38 3" xfId="25746"/>
    <cellStyle name="Normal 2 38 3 2" xfId="25747"/>
    <cellStyle name="Normal 2 38 3 2 2" xfId="25748"/>
    <cellStyle name="Normal 2 38 3 2 2 2" xfId="25749"/>
    <cellStyle name="Normal 2 38 3 2 2 3" xfId="25750"/>
    <cellStyle name="Normal 2 38 3 2 3" xfId="25751"/>
    <cellStyle name="Normal 2 38 3 2 4" xfId="25752"/>
    <cellStyle name="Normal 2 38 3 2 5" xfId="25753"/>
    <cellStyle name="Normal 2 38 3 2 6" xfId="25754"/>
    <cellStyle name="Normal 2 38 3 3" xfId="25755"/>
    <cellStyle name="Normal 2 38 3 3 2" xfId="25756"/>
    <cellStyle name="Normal 2 38 3 3 2 2" xfId="25757"/>
    <cellStyle name="Normal 2 38 3 3 3" xfId="25758"/>
    <cellStyle name="Normal 2 38 3 3 4" xfId="25759"/>
    <cellStyle name="Normal 2 38 3 3 5" xfId="25760"/>
    <cellStyle name="Normal 2 38 3 4" xfId="25761"/>
    <cellStyle name="Normal 2 38 3 4 2" xfId="25762"/>
    <cellStyle name="Normal 2 38 3 4 3" xfId="25763"/>
    <cellStyle name="Normal 2 38 3 4 4" xfId="25764"/>
    <cellStyle name="Normal 2 38 3 5" xfId="25765"/>
    <cellStyle name="Normal 2 38 3 5 2" xfId="25766"/>
    <cellStyle name="Normal 2 38 3 6" xfId="25767"/>
    <cellStyle name="Normal 2 38 3 7" xfId="25768"/>
    <cellStyle name="Normal 2 38 3 8" xfId="25769"/>
    <cellStyle name="Normal 2 38 3 9" xfId="25770"/>
    <cellStyle name="Normal 2 38 4" xfId="25771"/>
    <cellStyle name="Normal 2 38 4 2" xfId="25772"/>
    <cellStyle name="Normal 2 38 4 2 2" xfId="25773"/>
    <cellStyle name="Normal 2 38 4 2 3" xfId="25774"/>
    <cellStyle name="Normal 2 38 4 3" xfId="25775"/>
    <cellStyle name="Normal 2 38 4 4" xfId="25776"/>
    <cellStyle name="Normal 2 38 4 5" xfId="25777"/>
    <cellStyle name="Normal 2 38 4 6" xfId="25778"/>
    <cellStyle name="Normal 2 38 5" xfId="25779"/>
    <cellStyle name="Normal 2 38 5 2" xfId="25780"/>
    <cellStyle name="Normal 2 38 5 2 2" xfId="25781"/>
    <cellStyle name="Normal 2 38 5 3" xfId="25782"/>
    <cellStyle name="Normal 2 38 5 4" xfId="25783"/>
    <cellStyle name="Normal 2 38 5 5" xfId="25784"/>
    <cellStyle name="Normal 2 38 5 6" xfId="25785"/>
    <cellStyle name="Normal 2 38 6" xfId="25786"/>
    <cellStyle name="Normal 2 38 6 2" xfId="25787"/>
    <cellStyle name="Normal 2 38 6 3" xfId="25788"/>
    <cellStyle name="Normal 2 38 6 4" xfId="25789"/>
    <cellStyle name="Normal 2 38 6 5" xfId="25790"/>
    <cellStyle name="Normal 2 38 7" xfId="25791"/>
    <cellStyle name="Normal 2 38 7 2" xfId="25792"/>
    <cellStyle name="Normal 2 38 7 3" xfId="25793"/>
    <cellStyle name="Normal 2 38 8" xfId="25794"/>
    <cellStyle name="Normal 2 38 9" xfId="25795"/>
    <cellStyle name="Normal 2 39" xfId="25796"/>
    <cellStyle name="Normal 2 39 10" xfId="25797"/>
    <cellStyle name="Normal 2 39 2" xfId="25798"/>
    <cellStyle name="Normal 2 39 2 2" xfId="25799"/>
    <cellStyle name="Normal 2 39 2 2 2" xfId="25800"/>
    <cellStyle name="Normal 2 39 2 2 3" xfId="25801"/>
    <cellStyle name="Normal 2 39 2 3" xfId="25802"/>
    <cellStyle name="Normal 2 39 2 4" xfId="25803"/>
    <cellStyle name="Normal 2 39 2 5" xfId="25804"/>
    <cellStyle name="Normal 2 39 2 6" xfId="25805"/>
    <cellStyle name="Normal 2 39 3" xfId="25806"/>
    <cellStyle name="Normal 2 39 3 2" xfId="25807"/>
    <cellStyle name="Normal 2 39 3 2 2" xfId="25808"/>
    <cellStyle name="Normal 2 39 3 2 3" xfId="25809"/>
    <cellStyle name="Normal 2 39 3 3" xfId="25810"/>
    <cellStyle name="Normal 2 39 3 4" xfId="25811"/>
    <cellStyle name="Normal 2 39 3 5" xfId="25812"/>
    <cellStyle name="Normal 2 39 3 6" xfId="25813"/>
    <cellStyle name="Normal 2 39 4" xfId="25814"/>
    <cellStyle name="Normal 2 39 4 2" xfId="25815"/>
    <cellStyle name="Normal 2 39 4 2 2" xfId="25816"/>
    <cellStyle name="Normal 2 39 4 3" xfId="25817"/>
    <cellStyle name="Normal 2 39 4 4" xfId="25818"/>
    <cellStyle name="Normal 2 39 4 5" xfId="25819"/>
    <cellStyle name="Normal 2 39 4 6" xfId="25820"/>
    <cellStyle name="Normal 2 39 5" xfId="25821"/>
    <cellStyle name="Normal 2 39 5 2" xfId="25822"/>
    <cellStyle name="Normal 2 39 5 3" xfId="25823"/>
    <cellStyle name="Normal 2 39 5 4" xfId="25824"/>
    <cellStyle name="Normal 2 39 5 5" xfId="25825"/>
    <cellStyle name="Normal 2 39 6" xfId="25826"/>
    <cellStyle name="Normal 2 39 6 2" xfId="25827"/>
    <cellStyle name="Normal 2 39 6 3" xfId="25828"/>
    <cellStyle name="Normal 2 39 7" xfId="25829"/>
    <cellStyle name="Normal 2 39 7 2" xfId="25830"/>
    <cellStyle name="Normal 2 39 8" xfId="25831"/>
    <cellStyle name="Normal 2 39 9" xfId="25832"/>
    <cellStyle name="Normal 2 4" xfId="25833"/>
    <cellStyle name="Normal 2 4 2" xfId="25834"/>
    <cellStyle name="Normal 2 4 2 10" xfId="25835"/>
    <cellStyle name="Normal 2 4 2 10 10" xfId="25836"/>
    <cellStyle name="Normal 2 4 2 10 2" xfId="25837"/>
    <cellStyle name="Normal 2 4 2 10 2 2" xfId="25838"/>
    <cellStyle name="Normal 2 4 2 10 2 2 2" xfId="25839"/>
    <cellStyle name="Normal 2 4 2 10 2 2 3" xfId="25840"/>
    <cellStyle name="Normal 2 4 2 10 2 3" xfId="25841"/>
    <cellStyle name="Normal 2 4 2 10 2 4" xfId="25842"/>
    <cellStyle name="Normal 2 4 2 10 2 5" xfId="25843"/>
    <cellStyle name="Normal 2 4 2 10 2 6" xfId="25844"/>
    <cellStyle name="Normal 2 4 2 10 3" xfId="25845"/>
    <cellStyle name="Normal 2 4 2 10 3 2" xfId="25846"/>
    <cellStyle name="Normal 2 4 2 10 3 2 2" xfId="25847"/>
    <cellStyle name="Normal 2 4 2 10 3 2 3" xfId="25848"/>
    <cellStyle name="Normal 2 4 2 10 3 3" xfId="25849"/>
    <cellStyle name="Normal 2 4 2 10 3 4" xfId="25850"/>
    <cellStyle name="Normal 2 4 2 10 3 5" xfId="25851"/>
    <cellStyle name="Normal 2 4 2 10 3 6" xfId="25852"/>
    <cellStyle name="Normal 2 4 2 10 4" xfId="25853"/>
    <cellStyle name="Normal 2 4 2 10 4 2" xfId="25854"/>
    <cellStyle name="Normal 2 4 2 10 4 2 2" xfId="25855"/>
    <cellStyle name="Normal 2 4 2 10 4 3" xfId="25856"/>
    <cellStyle name="Normal 2 4 2 10 4 4" xfId="25857"/>
    <cellStyle name="Normal 2 4 2 10 4 5" xfId="25858"/>
    <cellStyle name="Normal 2 4 2 10 5" xfId="25859"/>
    <cellStyle name="Normal 2 4 2 10 5 2" xfId="25860"/>
    <cellStyle name="Normal 2 4 2 10 5 3" xfId="25861"/>
    <cellStyle name="Normal 2 4 2 10 5 4" xfId="25862"/>
    <cellStyle name="Normal 2 4 2 10 6" xfId="25863"/>
    <cellStyle name="Normal 2 4 2 10 6 2" xfId="25864"/>
    <cellStyle name="Normal 2 4 2 10 7" xfId="25865"/>
    <cellStyle name="Normal 2 4 2 10 8" xfId="25866"/>
    <cellStyle name="Normal 2 4 2 10 9" xfId="25867"/>
    <cellStyle name="Normal 2 4 2 11" xfId="25868"/>
    <cellStyle name="Normal 2 4 2 11 10" xfId="25869"/>
    <cellStyle name="Normal 2 4 2 11 2" xfId="25870"/>
    <cellStyle name="Normal 2 4 2 11 2 2" xfId="25871"/>
    <cellStyle name="Normal 2 4 2 11 2 2 2" xfId="25872"/>
    <cellStyle name="Normal 2 4 2 11 2 2 3" xfId="25873"/>
    <cellStyle name="Normal 2 4 2 11 2 3" xfId="25874"/>
    <cellStyle name="Normal 2 4 2 11 2 4" xfId="25875"/>
    <cellStyle name="Normal 2 4 2 11 2 5" xfId="25876"/>
    <cellStyle name="Normal 2 4 2 11 2 6" xfId="25877"/>
    <cellStyle name="Normal 2 4 2 11 3" xfId="25878"/>
    <cellStyle name="Normal 2 4 2 11 3 2" xfId="25879"/>
    <cellStyle name="Normal 2 4 2 11 3 2 2" xfId="25880"/>
    <cellStyle name="Normal 2 4 2 11 3 2 3" xfId="25881"/>
    <cellStyle name="Normal 2 4 2 11 3 3" xfId="25882"/>
    <cellStyle name="Normal 2 4 2 11 3 4" xfId="25883"/>
    <cellStyle name="Normal 2 4 2 11 3 5" xfId="25884"/>
    <cellStyle name="Normal 2 4 2 11 3 6" xfId="25885"/>
    <cellStyle name="Normal 2 4 2 11 4" xfId="25886"/>
    <cellStyle name="Normal 2 4 2 11 4 2" xfId="25887"/>
    <cellStyle name="Normal 2 4 2 11 4 2 2" xfId="25888"/>
    <cellStyle name="Normal 2 4 2 11 4 3" xfId="25889"/>
    <cellStyle name="Normal 2 4 2 11 4 4" xfId="25890"/>
    <cellStyle name="Normal 2 4 2 11 4 5" xfId="25891"/>
    <cellStyle name="Normal 2 4 2 11 5" xfId="25892"/>
    <cellStyle name="Normal 2 4 2 11 5 2" xfId="25893"/>
    <cellStyle name="Normal 2 4 2 11 5 3" xfId="25894"/>
    <cellStyle name="Normal 2 4 2 11 5 4" xfId="25895"/>
    <cellStyle name="Normal 2 4 2 11 6" xfId="25896"/>
    <cellStyle name="Normal 2 4 2 11 6 2" xfId="25897"/>
    <cellStyle name="Normal 2 4 2 11 7" xfId="25898"/>
    <cellStyle name="Normal 2 4 2 11 8" xfId="25899"/>
    <cellStyle name="Normal 2 4 2 11 9" xfId="25900"/>
    <cellStyle name="Normal 2 4 2 12" xfId="25901"/>
    <cellStyle name="Normal 2 4 2 12 10" xfId="25902"/>
    <cellStyle name="Normal 2 4 2 12 2" xfId="25903"/>
    <cellStyle name="Normal 2 4 2 12 2 2" xfId="25904"/>
    <cellStyle name="Normal 2 4 2 12 2 2 2" xfId="25905"/>
    <cellStyle name="Normal 2 4 2 12 2 2 3" xfId="25906"/>
    <cellStyle name="Normal 2 4 2 12 2 3" xfId="25907"/>
    <cellStyle name="Normal 2 4 2 12 2 4" xfId="25908"/>
    <cellStyle name="Normal 2 4 2 12 2 5" xfId="25909"/>
    <cellStyle name="Normal 2 4 2 12 2 6" xfId="25910"/>
    <cellStyle name="Normal 2 4 2 12 3" xfId="25911"/>
    <cellStyle name="Normal 2 4 2 12 3 2" xfId="25912"/>
    <cellStyle name="Normal 2 4 2 12 3 2 2" xfId="25913"/>
    <cellStyle name="Normal 2 4 2 12 3 2 3" xfId="25914"/>
    <cellStyle name="Normal 2 4 2 12 3 3" xfId="25915"/>
    <cellStyle name="Normal 2 4 2 12 3 4" xfId="25916"/>
    <cellStyle name="Normal 2 4 2 12 3 5" xfId="25917"/>
    <cellStyle name="Normal 2 4 2 12 3 6" xfId="25918"/>
    <cellStyle name="Normal 2 4 2 12 4" xfId="25919"/>
    <cellStyle name="Normal 2 4 2 12 4 2" xfId="25920"/>
    <cellStyle name="Normal 2 4 2 12 4 2 2" xfId="25921"/>
    <cellStyle name="Normal 2 4 2 12 4 3" xfId="25922"/>
    <cellStyle name="Normal 2 4 2 12 4 4" xfId="25923"/>
    <cellStyle name="Normal 2 4 2 12 4 5" xfId="25924"/>
    <cellStyle name="Normal 2 4 2 12 5" xfId="25925"/>
    <cellStyle name="Normal 2 4 2 12 5 2" xfId="25926"/>
    <cellStyle name="Normal 2 4 2 12 5 3" xfId="25927"/>
    <cellStyle name="Normal 2 4 2 12 5 4" xfId="25928"/>
    <cellStyle name="Normal 2 4 2 12 6" xfId="25929"/>
    <cellStyle name="Normal 2 4 2 12 6 2" xfId="25930"/>
    <cellStyle name="Normal 2 4 2 12 7" xfId="25931"/>
    <cellStyle name="Normal 2 4 2 12 8" xfId="25932"/>
    <cellStyle name="Normal 2 4 2 12 9" xfId="25933"/>
    <cellStyle name="Normal 2 4 2 13" xfId="25934"/>
    <cellStyle name="Normal 2 4 2 13 2" xfId="25935"/>
    <cellStyle name="Normal 2 4 2 13 2 2" xfId="25936"/>
    <cellStyle name="Normal 2 4 2 13 2 2 2" xfId="25937"/>
    <cellStyle name="Normal 2 4 2 13 2 2 3" xfId="25938"/>
    <cellStyle name="Normal 2 4 2 13 2 3" xfId="25939"/>
    <cellStyle name="Normal 2 4 2 13 2 4" xfId="25940"/>
    <cellStyle name="Normal 2 4 2 13 2 5" xfId="25941"/>
    <cellStyle name="Normal 2 4 2 13 2 6" xfId="25942"/>
    <cellStyle name="Normal 2 4 2 13 3" xfId="25943"/>
    <cellStyle name="Normal 2 4 2 13 3 2" xfId="25944"/>
    <cellStyle name="Normal 2 4 2 13 3 2 2" xfId="25945"/>
    <cellStyle name="Normal 2 4 2 13 3 3" xfId="25946"/>
    <cellStyle name="Normal 2 4 2 13 3 4" xfId="25947"/>
    <cellStyle name="Normal 2 4 2 13 3 5" xfId="25948"/>
    <cellStyle name="Normal 2 4 2 13 4" xfId="25949"/>
    <cellStyle name="Normal 2 4 2 13 4 2" xfId="25950"/>
    <cellStyle name="Normal 2 4 2 13 4 3" xfId="25951"/>
    <cellStyle name="Normal 2 4 2 13 4 4" xfId="25952"/>
    <cellStyle name="Normal 2 4 2 13 5" xfId="25953"/>
    <cellStyle name="Normal 2 4 2 13 5 2" xfId="25954"/>
    <cellStyle name="Normal 2 4 2 13 6" xfId="25955"/>
    <cellStyle name="Normal 2 4 2 13 7" xfId="25956"/>
    <cellStyle name="Normal 2 4 2 13 8" xfId="25957"/>
    <cellStyle name="Normal 2 4 2 13 9" xfId="25958"/>
    <cellStyle name="Normal 2 4 2 14" xfId="25959"/>
    <cellStyle name="Normal 2 4 2 14 2" xfId="25960"/>
    <cellStyle name="Normal 2 4 2 14 2 2" xfId="25961"/>
    <cellStyle name="Normal 2 4 2 14 2 2 2" xfId="25962"/>
    <cellStyle name="Normal 2 4 2 14 2 2 3" xfId="25963"/>
    <cellStyle name="Normal 2 4 2 14 2 3" xfId="25964"/>
    <cellStyle name="Normal 2 4 2 14 2 4" xfId="25965"/>
    <cellStyle name="Normal 2 4 2 14 2 5" xfId="25966"/>
    <cellStyle name="Normal 2 4 2 14 2 6" xfId="25967"/>
    <cellStyle name="Normal 2 4 2 14 3" xfId="25968"/>
    <cellStyle name="Normal 2 4 2 14 3 2" xfId="25969"/>
    <cellStyle name="Normal 2 4 2 14 3 2 2" xfId="25970"/>
    <cellStyle name="Normal 2 4 2 14 3 3" xfId="25971"/>
    <cellStyle name="Normal 2 4 2 14 3 4" xfId="25972"/>
    <cellStyle name="Normal 2 4 2 14 3 5" xfId="25973"/>
    <cellStyle name="Normal 2 4 2 14 4" xfId="25974"/>
    <cellStyle name="Normal 2 4 2 14 4 2" xfId="25975"/>
    <cellStyle name="Normal 2 4 2 14 4 3" xfId="25976"/>
    <cellStyle name="Normal 2 4 2 14 4 4" xfId="25977"/>
    <cellStyle name="Normal 2 4 2 14 5" xfId="25978"/>
    <cellStyle name="Normal 2 4 2 14 5 2" xfId="25979"/>
    <cellStyle name="Normal 2 4 2 14 6" xfId="25980"/>
    <cellStyle name="Normal 2 4 2 14 7" xfId="25981"/>
    <cellStyle name="Normal 2 4 2 14 8" xfId="25982"/>
    <cellStyle name="Normal 2 4 2 14 9" xfId="25983"/>
    <cellStyle name="Normal 2 4 2 15" xfId="25984"/>
    <cellStyle name="Normal 2 4 2 15 2" xfId="25985"/>
    <cellStyle name="Normal 2 4 2 15 2 2" xfId="25986"/>
    <cellStyle name="Normal 2 4 2 15 2 3" xfId="25987"/>
    <cellStyle name="Normal 2 4 2 15 3" xfId="25988"/>
    <cellStyle name="Normal 2 4 2 15 4" xfId="25989"/>
    <cellStyle name="Normal 2 4 2 15 5" xfId="25990"/>
    <cellStyle name="Normal 2 4 2 15 6" xfId="25991"/>
    <cellStyle name="Normal 2 4 2 16" xfId="25992"/>
    <cellStyle name="Normal 2 4 2 16 2" xfId="25993"/>
    <cellStyle name="Normal 2 4 2 16 2 2" xfId="25994"/>
    <cellStyle name="Normal 2 4 2 16 3" xfId="25995"/>
    <cellStyle name="Normal 2 4 2 16 4" xfId="25996"/>
    <cellStyle name="Normal 2 4 2 16 5" xfId="25997"/>
    <cellStyle name="Normal 2 4 2 17" xfId="25998"/>
    <cellStyle name="Normal 2 4 2 17 2" xfId="25999"/>
    <cellStyle name="Normal 2 4 2 17 2 2" xfId="26000"/>
    <cellStyle name="Normal 2 4 2 17 3" xfId="26001"/>
    <cellStyle name="Normal 2 4 2 17 4" xfId="26002"/>
    <cellStyle name="Normal 2 4 2 17 5" xfId="26003"/>
    <cellStyle name="Normal 2 4 2 18" xfId="26004"/>
    <cellStyle name="Normal 2 4 2 18 2" xfId="26005"/>
    <cellStyle name="Normal 2 4 2 19" xfId="26006"/>
    <cellStyle name="Normal 2 4 2 2" xfId="26007"/>
    <cellStyle name="Normal 2 4 2 2 10" xfId="26008"/>
    <cellStyle name="Normal 2 4 2 2 11" xfId="26009"/>
    <cellStyle name="Normal 2 4 2 2 2" xfId="26010"/>
    <cellStyle name="Normal 2 4 2 2 2 2" xfId="26011"/>
    <cellStyle name="Normal 2 4 2 2 2 2 2" xfId="26012"/>
    <cellStyle name="Normal 2 4 2 2 2 2 2 2" xfId="26013"/>
    <cellStyle name="Normal 2 4 2 2 2 2 2 3" xfId="26014"/>
    <cellStyle name="Normal 2 4 2 2 2 2 3" xfId="26015"/>
    <cellStyle name="Normal 2 4 2 2 2 2 4" xfId="26016"/>
    <cellStyle name="Normal 2 4 2 2 2 2 5" xfId="26017"/>
    <cellStyle name="Normal 2 4 2 2 2 2 6" xfId="26018"/>
    <cellStyle name="Normal 2 4 2 2 2 3" xfId="26019"/>
    <cellStyle name="Normal 2 4 2 2 2 3 2" xfId="26020"/>
    <cellStyle name="Normal 2 4 2 2 2 3 2 2" xfId="26021"/>
    <cellStyle name="Normal 2 4 2 2 2 3 3" xfId="26022"/>
    <cellStyle name="Normal 2 4 2 2 2 3 4" xfId="26023"/>
    <cellStyle name="Normal 2 4 2 2 2 3 5" xfId="26024"/>
    <cellStyle name="Normal 2 4 2 2 2 4" xfId="26025"/>
    <cellStyle name="Normal 2 4 2 2 2 4 2" xfId="26026"/>
    <cellStyle name="Normal 2 4 2 2 2 4 3" xfId="26027"/>
    <cellStyle name="Normal 2 4 2 2 2 4 4" xfId="26028"/>
    <cellStyle name="Normal 2 4 2 2 2 5" xfId="26029"/>
    <cellStyle name="Normal 2 4 2 2 2 5 2" xfId="26030"/>
    <cellStyle name="Normal 2 4 2 2 2 6" xfId="26031"/>
    <cellStyle name="Normal 2 4 2 2 2 7" xfId="26032"/>
    <cellStyle name="Normal 2 4 2 2 2 8" xfId="26033"/>
    <cellStyle name="Normal 2 4 2 2 2 9" xfId="26034"/>
    <cellStyle name="Normal 2 4 2 2 3" xfId="26035"/>
    <cellStyle name="Normal 2 4 2 2 3 2" xfId="26036"/>
    <cellStyle name="Normal 2 4 2 2 3 2 2" xfId="26037"/>
    <cellStyle name="Normal 2 4 2 2 3 2 2 2" xfId="26038"/>
    <cellStyle name="Normal 2 4 2 2 3 2 2 3" xfId="26039"/>
    <cellStyle name="Normal 2 4 2 2 3 2 3" xfId="26040"/>
    <cellStyle name="Normal 2 4 2 2 3 2 4" xfId="26041"/>
    <cellStyle name="Normal 2 4 2 2 3 2 5" xfId="26042"/>
    <cellStyle name="Normal 2 4 2 2 3 2 6" xfId="26043"/>
    <cellStyle name="Normal 2 4 2 2 3 3" xfId="26044"/>
    <cellStyle name="Normal 2 4 2 2 3 3 2" xfId="26045"/>
    <cellStyle name="Normal 2 4 2 2 3 3 2 2" xfId="26046"/>
    <cellStyle name="Normal 2 4 2 2 3 3 3" xfId="26047"/>
    <cellStyle name="Normal 2 4 2 2 3 3 4" xfId="26048"/>
    <cellStyle name="Normal 2 4 2 2 3 3 5" xfId="26049"/>
    <cellStyle name="Normal 2 4 2 2 3 4" xfId="26050"/>
    <cellStyle name="Normal 2 4 2 2 3 4 2" xfId="26051"/>
    <cellStyle name="Normal 2 4 2 2 3 4 3" xfId="26052"/>
    <cellStyle name="Normal 2 4 2 2 3 4 4" xfId="26053"/>
    <cellStyle name="Normal 2 4 2 2 3 5" xfId="26054"/>
    <cellStyle name="Normal 2 4 2 2 3 5 2" xfId="26055"/>
    <cellStyle name="Normal 2 4 2 2 3 6" xfId="26056"/>
    <cellStyle name="Normal 2 4 2 2 3 7" xfId="26057"/>
    <cellStyle name="Normal 2 4 2 2 3 8" xfId="26058"/>
    <cellStyle name="Normal 2 4 2 2 3 9" xfId="26059"/>
    <cellStyle name="Normal 2 4 2 2 4" xfId="26060"/>
    <cellStyle name="Normal 2 4 2 2 4 2" xfId="26061"/>
    <cellStyle name="Normal 2 4 2 2 4 2 2" xfId="26062"/>
    <cellStyle name="Normal 2 4 2 2 4 2 3" xfId="26063"/>
    <cellStyle name="Normal 2 4 2 2 4 3" xfId="26064"/>
    <cellStyle name="Normal 2 4 2 2 4 4" xfId="26065"/>
    <cellStyle name="Normal 2 4 2 2 4 5" xfId="26066"/>
    <cellStyle name="Normal 2 4 2 2 4 6" xfId="26067"/>
    <cellStyle name="Normal 2 4 2 2 5" xfId="26068"/>
    <cellStyle name="Normal 2 4 2 2 5 2" xfId="26069"/>
    <cellStyle name="Normal 2 4 2 2 5 2 2" xfId="26070"/>
    <cellStyle name="Normal 2 4 2 2 5 3" xfId="26071"/>
    <cellStyle name="Normal 2 4 2 2 5 4" xfId="26072"/>
    <cellStyle name="Normal 2 4 2 2 5 5" xfId="26073"/>
    <cellStyle name="Normal 2 4 2 2 6" xfId="26074"/>
    <cellStyle name="Normal 2 4 2 2 6 2" xfId="26075"/>
    <cellStyle name="Normal 2 4 2 2 6 3" xfId="26076"/>
    <cellStyle name="Normal 2 4 2 2 6 4" xfId="26077"/>
    <cellStyle name="Normal 2 4 2 2 7" xfId="26078"/>
    <cellStyle name="Normal 2 4 2 2 7 2" xfId="26079"/>
    <cellStyle name="Normal 2 4 2 2 8" xfId="26080"/>
    <cellStyle name="Normal 2 4 2 2 9" xfId="26081"/>
    <cellStyle name="Normal 2 4 2 20" xfId="26082"/>
    <cellStyle name="Normal 2 4 2 21" xfId="26083"/>
    <cellStyle name="Normal 2 4 2 22" xfId="26084"/>
    <cellStyle name="Normal 2 4 2 3" xfId="26085"/>
    <cellStyle name="Normal 2 4 2 3 10" xfId="26086"/>
    <cellStyle name="Normal 2 4 2 3 11" xfId="26087"/>
    <cellStyle name="Normal 2 4 2 3 2" xfId="26088"/>
    <cellStyle name="Normal 2 4 2 3 2 2" xfId="26089"/>
    <cellStyle name="Normal 2 4 2 3 2 2 2" xfId="26090"/>
    <cellStyle name="Normal 2 4 2 3 2 2 2 2" xfId="26091"/>
    <cellStyle name="Normal 2 4 2 3 2 2 2 3" xfId="26092"/>
    <cellStyle name="Normal 2 4 2 3 2 2 3" xfId="26093"/>
    <cellStyle name="Normal 2 4 2 3 2 2 4" xfId="26094"/>
    <cellStyle name="Normal 2 4 2 3 2 2 5" xfId="26095"/>
    <cellStyle name="Normal 2 4 2 3 2 2 6" xfId="26096"/>
    <cellStyle name="Normal 2 4 2 3 2 3" xfId="26097"/>
    <cellStyle name="Normal 2 4 2 3 2 3 2" xfId="26098"/>
    <cellStyle name="Normal 2 4 2 3 2 3 2 2" xfId="26099"/>
    <cellStyle name="Normal 2 4 2 3 2 3 3" xfId="26100"/>
    <cellStyle name="Normal 2 4 2 3 2 3 4" xfId="26101"/>
    <cellStyle name="Normal 2 4 2 3 2 3 5" xfId="26102"/>
    <cellStyle name="Normal 2 4 2 3 2 4" xfId="26103"/>
    <cellStyle name="Normal 2 4 2 3 2 4 2" xfId="26104"/>
    <cellStyle name="Normal 2 4 2 3 2 4 3" xfId="26105"/>
    <cellStyle name="Normal 2 4 2 3 2 4 4" xfId="26106"/>
    <cellStyle name="Normal 2 4 2 3 2 5" xfId="26107"/>
    <cellStyle name="Normal 2 4 2 3 2 5 2" xfId="26108"/>
    <cellStyle name="Normal 2 4 2 3 2 6" xfId="26109"/>
    <cellStyle name="Normal 2 4 2 3 2 7" xfId="26110"/>
    <cellStyle name="Normal 2 4 2 3 2 8" xfId="26111"/>
    <cellStyle name="Normal 2 4 2 3 2 9" xfId="26112"/>
    <cellStyle name="Normal 2 4 2 3 3" xfId="26113"/>
    <cellStyle name="Normal 2 4 2 3 3 2" xfId="26114"/>
    <cellStyle name="Normal 2 4 2 3 3 2 2" xfId="26115"/>
    <cellStyle name="Normal 2 4 2 3 3 2 2 2" xfId="26116"/>
    <cellStyle name="Normal 2 4 2 3 3 2 2 3" xfId="26117"/>
    <cellStyle name="Normal 2 4 2 3 3 2 3" xfId="26118"/>
    <cellStyle name="Normal 2 4 2 3 3 2 4" xfId="26119"/>
    <cellStyle name="Normal 2 4 2 3 3 2 5" xfId="26120"/>
    <cellStyle name="Normal 2 4 2 3 3 2 6" xfId="26121"/>
    <cellStyle name="Normal 2 4 2 3 3 3" xfId="26122"/>
    <cellStyle name="Normal 2 4 2 3 3 3 2" xfId="26123"/>
    <cellStyle name="Normal 2 4 2 3 3 3 2 2" xfId="26124"/>
    <cellStyle name="Normal 2 4 2 3 3 3 3" xfId="26125"/>
    <cellStyle name="Normal 2 4 2 3 3 3 4" xfId="26126"/>
    <cellStyle name="Normal 2 4 2 3 3 3 5" xfId="26127"/>
    <cellStyle name="Normal 2 4 2 3 3 4" xfId="26128"/>
    <cellStyle name="Normal 2 4 2 3 3 4 2" xfId="26129"/>
    <cellStyle name="Normal 2 4 2 3 3 4 3" xfId="26130"/>
    <cellStyle name="Normal 2 4 2 3 3 4 4" xfId="26131"/>
    <cellStyle name="Normal 2 4 2 3 3 5" xfId="26132"/>
    <cellStyle name="Normal 2 4 2 3 3 5 2" xfId="26133"/>
    <cellStyle name="Normal 2 4 2 3 3 6" xfId="26134"/>
    <cellStyle name="Normal 2 4 2 3 3 7" xfId="26135"/>
    <cellStyle name="Normal 2 4 2 3 3 8" xfId="26136"/>
    <cellStyle name="Normal 2 4 2 3 3 9" xfId="26137"/>
    <cellStyle name="Normal 2 4 2 3 4" xfId="26138"/>
    <cellStyle name="Normal 2 4 2 3 4 2" xfId="26139"/>
    <cellStyle name="Normal 2 4 2 3 4 2 2" xfId="26140"/>
    <cellStyle name="Normal 2 4 2 3 4 2 3" xfId="26141"/>
    <cellStyle name="Normal 2 4 2 3 4 3" xfId="26142"/>
    <cellStyle name="Normal 2 4 2 3 4 4" xfId="26143"/>
    <cellStyle name="Normal 2 4 2 3 4 5" xfId="26144"/>
    <cellStyle name="Normal 2 4 2 3 4 6" xfId="26145"/>
    <cellStyle name="Normal 2 4 2 3 5" xfId="26146"/>
    <cellStyle name="Normal 2 4 2 3 5 2" xfId="26147"/>
    <cellStyle name="Normal 2 4 2 3 5 2 2" xfId="26148"/>
    <cellStyle name="Normal 2 4 2 3 5 3" xfId="26149"/>
    <cellStyle name="Normal 2 4 2 3 5 4" xfId="26150"/>
    <cellStyle name="Normal 2 4 2 3 5 5" xfId="26151"/>
    <cellStyle name="Normal 2 4 2 3 6" xfId="26152"/>
    <cellStyle name="Normal 2 4 2 3 6 2" xfId="26153"/>
    <cellStyle name="Normal 2 4 2 3 6 3" xfId="26154"/>
    <cellStyle name="Normal 2 4 2 3 6 4" xfId="26155"/>
    <cellStyle name="Normal 2 4 2 3 7" xfId="26156"/>
    <cellStyle name="Normal 2 4 2 3 7 2" xfId="26157"/>
    <cellStyle name="Normal 2 4 2 3 8" xfId="26158"/>
    <cellStyle name="Normal 2 4 2 3 9" xfId="26159"/>
    <cellStyle name="Normal 2 4 2 4" xfId="26160"/>
    <cellStyle name="Normal 2 4 2 4 10" xfId="26161"/>
    <cellStyle name="Normal 2 4 2 4 11" xfId="26162"/>
    <cellStyle name="Normal 2 4 2 4 2" xfId="26163"/>
    <cellStyle name="Normal 2 4 2 4 2 2" xfId="26164"/>
    <cellStyle name="Normal 2 4 2 4 2 2 2" xfId="26165"/>
    <cellStyle name="Normal 2 4 2 4 2 2 2 2" xfId="26166"/>
    <cellStyle name="Normal 2 4 2 4 2 2 2 3" xfId="26167"/>
    <cellStyle name="Normal 2 4 2 4 2 2 3" xfId="26168"/>
    <cellStyle name="Normal 2 4 2 4 2 2 4" xfId="26169"/>
    <cellStyle name="Normal 2 4 2 4 2 2 5" xfId="26170"/>
    <cellStyle name="Normal 2 4 2 4 2 2 6" xfId="26171"/>
    <cellStyle name="Normal 2 4 2 4 2 3" xfId="26172"/>
    <cellStyle name="Normal 2 4 2 4 2 3 2" xfId="26173"/>
    <cellStyle name="Normal 2 4 2 4 2 3 2 2" xfId="26174"/>
    <cellStyle name="Normal 2 4 2 4 2 3 3" xfId="26175"/>
    <cellStyle name="Normal 2 4 2 4 2 3 4" xfId="26176"/>
    <cellStyle name="Normal 2 4 2 4 2 3 5" xfId="26177"/>
    <cellStyle name="Normal 2 4 2 4 2 4" xfId="26178"/>
    <cellStyle name="Normal 2 4 2 4 2 4 2" xfId="26179"/>
    <cellStyle name="Normal 2 4 2 4 2 4 3" xfId="26180"/>
    <cellStyle name="Normal 2 4 2 4 2 4 4" xfId="26181"/>
    <cellStyle name="Normal 2 4 2 4 2 5" xfId="26182"/>
    <cellStyle name="Normal 2 4 2 4 2 5 2" xfId="26183"/>
    <cellStyle name="Normal 2 4 2 4 2 6" xfId="26184"/>
    <cellStyle name="Normal 2 4 2 4 2 7" xfId="26185"/>
    <cellStyle name="Normal 2 4 2 4 2 8" xfId="26186"/>
    <cellStyle name="Normal 2 4 2 4 2 9" xfId="26187"/>
    <cellStyle name="Normal 2 4 2 4 3" xfId="26188"/>
    <cellStyle name="Normal 2 4 2 4 3 2" xfId="26189"/>
    <cellStyle name="Normal 2 4 2 4 3 2 2" xfId="26190"/>
    <cellStyle name="Normal 2 4 2 4 3 2 2 2" xfId="26191"/>
    <cellStyle name="Normal 2 4 2 4 3 2 2 3" xfId="26192"/>
    <cellStyle name="Normal 2 4 2 4 3 2 3" xfId="26193"/>
    <cellStyle name="Normal 2 4 2 4 3 2 4" xfId="26194"/>
    <cellStyle name="Normal 2 4 2 4 3 2 5" xfId="26195"/>
    <cellStyle name="Normal 2 4 2 4 3 2 6" xfId="26196"/>
    <cellStyle name="Normal 2 4 2 4 3 3" xfId="26197"/>
    <cellStyle name="Normal 2 4 2 4 3 3 2" xfId="26198"/>
    <cellStyle name="Normal 2 4 2 4 3 3 2 2" xfId="26199"/>
    <cellStyle name="Normal 2 4 2 4 3 3 3" xfId="26200"/>
    <cellStyle name="Normal 2 4 2 4 3 3 4" xfId="26201"/>
    <cellStyle name="Normal 2 4 2 4 3 3 5" xfId="26202"/>
    <cellStyle name="Normal 2 4 2 4 3 4" xfId="26203"/>
    <cellStyle name="Normal 2 4 2 4 3 4 2" xfId="26204"/>
    <cellStyle name="Normal 2 4 2 4 3 4 3" xfId="26205"/>
    <cellStyle name="Normal 2 4 2 4 3 4 4" xfId="26206"/>
    <cellStyle name="Normal 2 4 2 4 3 5" xfId="26207"/>
    <cellStyle name="Normal 2 4 2 4 3 5 2" xfId="26208"/>
    <cellStyle name="Normal 2 4 2 4 3 6" xfId="26209"/>
    <cellStyle name="Normal 2 4 2 4 3 7" xfId="26210"/>
    <cellStyle name="Normal 2 4 2 4 3 8" xfId="26211"/>
    <cellStyle name="Normal 2 4 2 4 3 9" xfId="26212"/>
    <cellStyle name="Normal 2 4 2 4 4" xfId="26213"/>
    <cellStyle name="Normal 2 4 2 4 4 2" xfId="26214"/>
    <cellStyle name="Normal 2 4 2 4 4 2 2" xfId="26215"/>
    <cellStyle name="Normal 2 4 2 4 4 2 3" xfId="26216"/>
    <cellStyle name="Normal 2 4 2 4 4 3" xfId="26217"/>
    <cellStyle name="Normal 2 4 2 4 4 4" xfId="26218"/>
    <cellStyle name="Normal 2 4 2 4 4 5" xfId="26219"/>
    <cellStyle name="Normal 2 4 2 4 4 6" xfId="26220"/>
    <cellStyle name="Normal 2 4 2 4 5" xfId="26221"/>
    <cellStyle name="Normal 2 4 2 4 5 2" xfId="26222"/>
    <cellStyle name="Normal 2 4 2 4 5 2 2" xfId="26223"/>
    <cellStyle name="Normal 2 4 2 4 5 3" xfId="26224"/>
    <cellStyle name="Normal 2 4 2 4 5 4" xfId="26225"/>
    <cellStyle name="Normal 2 4 2 4 5 5" xfId="26226"/>
    <cellStyle name="Normal 2 4 2 4 6" xfId="26227"/>
    <cellStyle name="Normal 2 4 2 4 6 2" xfId="26228"/>
    <cellStyle name="Normal 2 4 2 4 6 3" xfId="26229"/>
    <cellStyle name="Normal 2 4 2 4 6 4" xfId="26230"/>
    <cellStyle name="Normal 2 4 2 4 7" xfId="26231"/>
    <cellStyle name="Normal 2 4 2 4 7 2" xfId="26232"/>
    <cellStyle name="Normal 2 4 2 4 8" xfId="26233"/>
    <cellStyle name="Normal 2 4 2 4 9" xfId="26234"/>
    <cellStyle name="Normal 2 4 2 5" xfId="26235"/>
    <cellStyle name="Normal 2 4 2 5 10" xfId="26236"/>
    <cellStyle name="Normal 2 4 2 5 11" xfId="26237"/>
    <cellStyle name="Normal 2 4 2 5 2" xfId="26238"/>
    <cellStyle name="Normal 2 4 2 5 2 2" xfId="26239"/>
    <cellStyle name="Normal 2 4 2 5 2 2 2" xfId="26240"/>
    <cellStyle name="Normal 2 4 2 5 2 2 2 2" xfId="26241"/>
    <cellStyle name="Normal 2 4 2 5 2 2 2 3" xfId="26242"/>
    <cellStyle name="Normal 2 4 2 5 2 2 3" xfId="26243"/>
    <cellStyle name="Normal 2 4 2 5 2 2 4" xfId="26244"/>
    <cellStyle name="Normal 2 4 2 5 2 2 5" xfId="26245"/>
    <cellStyle name="Normal 2 4 2 5 2 2 6" xfId="26246"/>
    <cellStyle name="Normal 2 4 2 5 2 3" xfId="26247"/>
    <cellStyle name="Normal 2 4 2 5 2 3 2" xfId="26248"/>
    <cellStyle name="Normal 2 4 2 5 2 3 2 2" xfId="26249"/>
    <cellStyle name="Normal 2 4 2 5 2 3 3" xfId="26250"/>
    <cellStyle name="Normal 2 4 2 5 2 3 4" xfId="26251"/>
    <cellStyle name="Normal 2 4 2 5 2 3 5" xfId="26252"/>
    <cellStyle name="Normal 2 4 2 5 2 4" xfId="26253"/>
    <cellStyle name="Normal 2 4 2 5 2 4 2" xfId="26254"/>
    <cellStyle name="Normal 2 4 2 5 2 4 3" xfId="26255"/>
    <cellStyle name="Normal 2 4 2 5 2 4 4" xfId="26256"/>
    <cellStyle name="Normal 2 4 2 5 2 5" xfId="26257"/>
    <cellStyle name="Normal 2 4 2 5 2 5 2" xfId="26258"/>
    <cellStyle name="Normal 2 4 2 5 2 6" xfId="26259"/>
    <cellStyle name="Normal 2 4 2 5 2 7" xfId="26260"/>
    <cellStyle name="Normal 2 4 2 5 2 8" xfId="26261"/>
    <cellStyle name="Normal 2 4 2 5 2 9" xfId="26262"/>
    <cellStyle name="Normal 2 4 2 5 3" xfId="26263"/>
    <cellStyle name="Normal 2 4 2 5 3 2" xfId="26264"/>
    <cellStyle name="Normal 2 4 2 5 3 2 2" xfId="26265"/>
    <cellStyle name="Normal 2 4 2 5 3 2 2 2" xfId="26266"/>
    <cellStyle name="Normal 2 4 2 5 3 2 2 3" xfId="26267"/>
    <cellStyle name="Normal 2 4 2 5 3 2 3" xfId="26268"/>
    <cellStyle name="Normal 2 4 2 5 3 2 4" xfId="26269"/>
    <cellStyle name="Normal 2 4 2 5 3 2 5" xfId="26270"/>
    <cellStyle name="Normal 2 4 2 5 3 2 6" xfId="26271"/>
    <cellStyle name="Normal 2 4 2 5 3 3" xfId="26272"/>
    <cellStyle name="Normal 2 4 2 5 3 3 2" xfId="26273"/>
    <cellStyle name="Normal 2 4 2 5 3 3 2 2" xfId="26274"/>
    <cellStyle name="Normal 2 4 2 5 3 3 3" xfId="26275"/>
    <cellStyle name="Normal 2 4 2 5 3 3 4" xfId="26276"/>
    <cellStyle name="Normal 2 4 2 5 3 3 5" xfId="26277"/>
    <cellStyle name="Normal 2 4 2 5 3 4" xfId="26278"/>
    <cellStyle name="Normal 2 4 2 5 3 4 2" xfId="26279"/>
    <cellStyle name="Normal 2 4 2 5 3 4 3" xfId="26280"/>
    <cellStyle name="Normal 2 4 2 5 3 4 4" xfId="26281"/>
    <cellStyle name="Normal 2 4 2 5 3 5" xfId="26282"/>
    <cellStyle name="Normal 2 4 2 5 3 5 2" xfId="26283"/>
    <cellStyle name="Normal 2 4 2 5 3 6" xfId="26284"/>
    <cellStyle name="Normal 2 4 2 5 3 7" xfId="26285"/>
    <cellStyle name="Normal 2 4 2 5 3 8" xfId="26286"/>
    <cellStyle name="Normal 2 4 2 5 3 9" xfId="26287"/>
    <cellStyle name="Normal 2 4 2 5 4" xfId="26288"/>
    <cellStyle name="Normal 2 4 2 5 4 2" xfId="26289"/>
    <cellStyle name="Normal 2 4 2 5 4 2 2" xfId="26290"/>
    <cellStyle name="Normal 2 4 2 5 4 2 3" xfId="26291"/>
    <cellStyle name="Normal 2 4 2 5 4 3" xfId="26292"/>
    <cellStyle name="Normal 2 4 2 5 4 4" xfId="26293"/>
    <cellStyle name="Normal 2 4 2 5 4 5" xfId="26294"/>
    <cellStyle name="Normal 2 4 2 5 4 6" xfId="26295"/>
    <cellStyle name="Normal 2 4 2 5 5" xfId="26296"/>
    <cellStyle name="Normal 2 4 2 5 5 2" xfId="26297"/>
    <cellStyle name="Normal 2 4 2 5 5 2 2" xfId="26298"/>
    <cellStyle name="Normal 2 4 2 5 5 3" xfId="26299"/>
    <cellStyle name="Normal 2 4 2 5 5 4" xfId="26300"/>
    <cellStyle name="Normal 2 4 2 5 5 5" xfId="26301"/>
    <cellStyle name="Normal 2 4 2 5 6" xfId="26302"/>
    <cellStyle name="Normal 2 4 2 5 6 2" xfId="26303"/>
    <cellStyle name="Normal 2 4 2 5 6 3" xfId="26304"/>
    <cellStyle name="Normal 2 4 2 5 6 4" xfId="26305"/>
    <cellStyle name="Normal 2 4 2 5 7" xfId="26306"/>
    <cellStyle name="Normal 2 4 2 5 7 2" xfId="26307"/>
    <cellStyle name="Normal 2 4 2 5 8" xfId="26308"/>
    <cellStyle name="Normal 2 4 2 5 9" xfId="26309"/>
    <cellStyle name="Normal 2 4 2 6" xfId="26310"/>
    <cellStyle name="Normal 2 4 2 6 10" xfId="26311"/>
    <cellStyle name="Normal 2 4 2 6 11" xfId="26312"/>
    <cellStyle name="Normal 2 4 2 6 2" xfId="26313"/>
    <cellStyle name="Normal 2 4 2 6 2 2" xfId="26314"/>
    <cellStyle name="Normal 2 4 2 6 2 2 2" xfId="26315"/>
    <cellStyle name="Normal 2 4 2 6 2 2 2 2" xfId="26316"/>
    <cellStyle name="Normal 2 4 2 6 2 2 2 3" xfId="26317"/>
    <cellStyle name="Normal 2 4 2 6 2 2 3" xfId="26318"/>
    <cellStyle name="Normal 2 4 2 6 2 2 4" xfId="26319"/>
    <cellStyle name="Normal 2 4 2 6 2 2 5" xfId="26320"/>
    <cellStyle name="Normal 2 4 2 6 2 2 6" xfId="26321"/>
    <cellStyle name="Normal 2 4 2 6 2 3" xfId="26322"/>
    <cellStyle name="Normal 2 4 2 6 2 3 2" xfId="26323"/>
    <cellStyle name="Normal 2 4 2 6 2 3 2 2" xfId="26324"/>
    <cellStyle name="Normal 2 4 2 6 2 3 3" xfId="26325"/>
    <cellStyle name="Normal 2 4 2 6 2 3 4" xfId="26326"/>
    <cellStyle name="Normal 2 4 2 6 2 3 5" xfId="26327"/>
    <cellStyle name="Normal 2 4 2 6 2 4" xfId="26328"/>
    <cellStyle name="Normal 2 4 2 6 2 4 2" xfId="26329"/>
    <cellStyle name="Normal 2 4 2 6 2 4 3" xfId="26330"/>
    <cellStyle name="Normal 2 4 2 6 2 4 4" xfId="26331"/>
    <cellStyle name="Normal 2 4 2 6 2 5" xfId="26332"/>
    <cellStyle name="Normal 2 4 2 6 2 5 2" xfId="26333"/>
    <cellStyle name="Normal 2 4 2 6 2 6" xfId="26334"/>
    <cellStyle name="Normal 2 4 2 6 2 7" xfId="26335"/>
    <cellStyle name="Normal 2 4 2 6 2 8" xfId="26336"/>
    <cellStyle name="Normal 2 4 2 6 2 9" xfId="26337"/>
    <cellStyle name="Normal 2 4 2 6 3" xfId="26338"/>
    <cellStyle name="Normal 2 4 2 6 3 2" xfId="26339"/>
    <cellStyle name="Normal 2 4 2 6 3 2 2" xfId="26340"/>
    <cellStyle name="Normal 2 4 2 6 3 2 2 2" xfId="26341"/>
    <cellStyle name="Normal 2 4 2 6 3 2 2 3" xfId="26342"/>
    <cellStyle name="Normal 2 4 2 6 3 2 3" xfId="26343"/>
    <cellStyle name="Normal 2 4 2 6 3 2 4" xfId="26344"/>
    <cellStyle name="Normal 2 4 2 6 3 2 5" xfId="26345"/>
    <cellStyle name="Normal 2 4 2 6 3 2 6" xfId="26346"/>
    <cellStyle name="Normal 2 4 2 6 3 3" xfId="26347"/>
    <cellStyle name="Normal 2 4 2 6 3 3 2" xfId="26348"/>
    <cellStyle name="Normal 2 4 2 6 3 3 2 2" xfId="26349"/>
    <cellStyle name="Normal 2 4 2 6 3 3 3" xfId="26350"/>
    <cellStyle name="Normal 2 4 2 6 3 3 4" xfId="26351"/>
    <cellStyle name="Normal 2 4 2 6 3 3 5" xfId="26352"/>
    <cellStyle name="Normal 2 4 2 6 3 4" xfId="26353"/>
    <cellStyle name="Normal 2 4 2 6 3 4 2" xfId="26354"/>
    <cellStyle name="Normal 2 4 2 6 3 4 3" xfId="26355"/>
    <cellStyle name="Normal 2 4 2 6 3 4 4" xfId="26356"/>
    <cellStyle name="Normal 2 4 2 6 3 5" xfId="26357"/>
    <cellStyle name="Normal 2 4 2 6 3 5 2" xfId="26358"/>
    <cellStyle name="Normal 2 4 2 6 3 6" xfId="26359"/>
    <cellStyle name="Normal 2 4 2 6 3 7" xfId="26360"/>
    <cellStyle name="Normal 2 4 2 6 3 8" xfId="26361"/>
    <cellStyle name="Normal 2 4 2 6 3 9" xfId="26362"/>
    <cellStyle name="Normal 2 4 2 6 4" xfId="26363"/>
    <cellStyle name="Normal 2 4 2 6 4 2" xfId="26364"/>
    <cellStyle name="Normal 2 4 2 6 4 2 2" xfId="26365"/>
    <cellStyle name="Normal 2 4 2 6 4 2 3" xfId="26366"/>
    <cellStyle name="Normal 2 4 2 6 4 3" xfId="26367"/>
    <cellStyle name="Normal 2 4 2 6 4 4" xfId="26368"/>
    <cellStyle name="Normal 2 4 2 6 4 5" xfId="26369"/>
    <cellStyle name="Normal 2 4 2 6 4 6" xfId="26370"/>
    <cellStyle name="Normal 2 4 2 6 5" xfId="26371"/>
    <cellStyle name="Normal 2 4 2 6 5 2" xfId="26372"/>
    <cellStyle name="Normal 2 4 2 6 5 2 2" xfId="26373"/>
    <cellStyle name="Normal 2 4 2 6 5 3" xfId="26374"/>
    <cellStyle name="Normal 2 4 2 6 5 4" xfId="26375"/>
    <cellStyle name="Normal 2 4 2 6 5 5" xfId="26376"/>
    <cellStyle name="Normal 2 4 2 6 6" xfId="26377"/>
    <cellStyle name="Normal 2 4 2 6 6 2" xfId="26378"/>
    <cellStyle name="Normal 2 4 2 6 6 3" xfId="26379"/>
    <cellStyle name="Normal 2 4 2 6 6 4" xfId="26380"/>
    <cellStyle name="Normal 2 4 2 6 7" xfId="26381"/>
    <cellStyle name="Normal 2 4 2 6 7 2" xfId="26382"/>
    <cellStyle name="Normal 2 4 2 6 8" xfId="26383"/>
    <cellStyle name="Normal 2 4 2 6 9" xfId="26384"/>
    <cellStyle name="Normal 2 4 2 7" xfId="26385"/>
    <cellStyle name="Normal 2 4 2 7 10" xfId="26386"/>
    <cellStyle name="Normal 2 4 2 7 11" xfId="26387"/>
    <cellStyle name="Normal 2 4 2 7 2" xfId="26388"/>
    <cellStyle name="Normal 2 4 2 7 2 2" xfId="26389"/>
    <cellStyle name="Normal 2 4 2 7 2 2 2" xfId="26390"/>
    <cellStyle name="Normal 2 4 2 7 2 2 2 2" xfId="26391"/>
    <cellStyle name="Normal 2 4 2 7 2 2 2 3" xfId="26392"/>
    <cellStyle name="Normal 2 4 2 7 2 2 3" xfId="26393"/>
    <cellStyle name="Normal 2 4 2 7 2 2 4" xfId="26394"/>
    <cellStyle name="Normal 2 4 2 7 2 2 5" xfId="26395"/>
    <cellStyle name="Normal 2 4 2 7 2 2 6" xfId="26396"/>
    <cellStyle name="Normal 2 4 2 7 2 3" xfId="26397"/>
    <cellStyle name="Normal 2 4 2 7 2 3 2" xfId="26398"/>
    <cellStyle name="Normal 2 4 2 7 2 3 2 2" xfId="26399"/>
    <cellStyle name="Normal 2 4 2 7 2 3 3" xfId="26400"/>
    <cellStyle name="Normal 2 4 2 7 2 3 4" xfId="26401"/>
    <cellStyle name="Normal 2 4 2 7 2 3 5" xfId="26402"/>
    <cellStyle name="Normal 2 4 2 7 2 4" xfId="26403"/>
    <cellStyle name="Normal 2 4 2 7 2 4 2" xfId="26404"/>
    <cellStyle name="Normal 2 4 2 7 2 4 3" xfId="26405"/>
    <cellStyle name="Normal 2 4 2 7 2 4 4" xfId="26406"/>
    <cellStyle name="Normal 2 4 2 7 2 5" xfId="26407"/>
    <cellStyle name="Normal 2 4 2 7 2 5 2" xfId="26408"/>
    <cellStyle name="Normal 2 4 2 7 2 6" xfId="26409"/>
    <cellStyle name="Normal 2 4 2 7 2 7" xfId="26410"/>
    <cellStyle name="Normal 2 4 2 7 2 8" xfId="26411"/>
    <cellStyle name="Normal 2 4 2 7 2 9" xfId="26412"/>
    <cellStyle name="Normal 2 4 2 7 3" xfId="26413"/>
    <cellStyle name="Normal 2 4 2 7 3 2" xfId="26414"/>
    <cellStyle name="Normal 2 4 2 7 3 2 2" xfId="26415"/>
    <cellStyle name="Normal 2 4 2 7 3 2 2 2" xfId="26416"/>
    <cellStyle name="Normal 2 4 2 7 3 2 2 3" xfId="26417"/>
    <cellStyle name="Normal 2 4 2 7 3 2 3" xfId="26418"/>
    <cellStyle name="Normal 2 4 2 7 3 2 4" xfId="26419"/>
    <cellStyle name="Normal 2 4 2 7 3 2 5" xfId="26420"/>
    <cellStyle name="Normal 2 4 2 7 3 2 6" xfId="26421"/>
    <cellStyle name="Normal 2 4 2 7 3 3" xfId="26422"/>
    <cellStyle name="Normal 2 4 2 7 3 3 2" xfId="26423"/>
    <cellStyle name="Normal 2 4 2 7 3 3 2 2" xfId="26424"/>
    <cellStyle name="Normal 2 4 2 7 3 3 3" xfId="26425"/>
    <cellStyle name="Normal 2 4 2 7 3 3 4" xfId="26426"/>
    <cellStyle name="Normal 2 4 2 7 3 3 5" xfId="26427"/>
    <cellStyle name="Normal 2 4 2 7 3 4" xfId="26428"/>
    <cellStyle name="Normal 2 4 2 7 3 4 2" xfId="26429"/>
    <cellStyle name="Normal 2 4 2 7 3 4 3" xfId="26430"/>
    <cellStyle name="Normal 2 4 2 7 3 4 4" xfId="26431"/>
    <cellStyle name="Normal 2 4 2 7 3 5" xfId="26432"/>
    <cellStyle name="Normal 2 4 2 7 3 5 2" xfId="26433"/>
    <cellStyle name="Normal 2 4 2 7 3 6" xfId="26434"/>
    <cellStyle name="Normal 2 4 2 7 3 7" xfId="26435"/>
    <cellStyle name="Normal 2 4 2 7 3 8" xfId="26436"/>
    <cellStyle name="Normal 2 4 2 7 3 9" xfId="26437"/>
    <cellStyle name="Normal 2 4 2 7 4" xfId="26438"/>
    <cellStyle name="Normal 2 4 2 7 4 2" xfId="26439"/>
    <cellStyle name="Normal 2 4 2 7 4 2 2" xfId="26440"/>
    <cellStyle name="Normal 2 4 2 7 4 2 3" xfId="26441"/>
    <cellStyle name="Normal 2 4 2 7 4 3" xfId="26442"/>
    <cellStyle name="Normal 2 4 2 7 4 4" xfId="26443"/>
    <cellStyle name="Normal 2 4 2 7 4 5" xfId="26444"/>
    <cellStyle name="Normal 2 4 2 7 4 6" xfId="26445"/>
    <cellStyle name="Normal 2 4 2 7 5" xfId="26446"/>
    <cellStyle name="Normal 2 4 2 7 5 2" xfId="26447"/>
    <cellStyle name="Normal 2 4 2 7 5 2 2" xfId="26448"/>
    <cellStyle name="Normal 2 4 2 7 5 3" xfId="26449"/>
    <cellStyle name="Normal 2 4 2 7 5 4" xfId="26450"/>
    <cellStyle name="Normal 2 4 2 7 5 5" xfId="26451"/>
    <cellStyle name="Normal 2 4 2 7 6" xfId="26452"/>
    <cellStyle name="Normal 2 4 2 7 6 2" xfId="26453"/>
    <cellStyle name="Normal 2 4 2 7 6 3" xfId="26454"/>
    <cellStyle name="Normal 2 4 2 7 6 4" xfId="26455"/>
    <cellStyle name="Normal 2 4 2 7 7" xfId="26456"/>
    <cellStyle name="Normal 2 4 2 7 7 2" xfId="26457"/>
    <cellStyle name="Normal 2 4 2 7 8" xfId="26458"/>
    <cellStyle name="Normal 2 4 2 7 9" xfId="26459"/>
    <cellStyle name="Normal 2 4 2 8" xfId="26460"/>
    <cellStyle name="Normal 2 4 2 8 10" xfId="26461"/>
    <cellStyle name="Normal 2 4 2 8 2" xfId="26462"/>
    <cellStyle name="Normal 2 4 2 8 2 2" xfId="26463"/>
    <cellStyle name="Normal 2 4 2 8 2 2 2" xfId="26464"/>
    <cellStyle name="Normal 2 4 2 8 2 2 3" xfId="26465"/>
    <cellStyle name="Normal 2 4 2 8 2 3" xfId="26466"/>
    <cellStyle name="Normal 2 4 2 8 2 4" xfId="26467"/>
    <cellStyle name="Normal 2 4 2 8 2 5" xfId="26468"/>
    <cellStyle name="Normal 2 4 2 8 2 6" xfId="26469"/>
    <cellStyle name="Normal 2 4 2 8 3" xfId="26470"/>
    <cellStyle name="Normal 2 4 2 8 3 2" xfId="26471"/>
    <cellStyle name="Normal 2 4 2 8 3 2 2" xfId="26472"/>
    <cellStyle name="Normal 2 4 2 8 3 2 3" xfId="26473"/>
    <cellStyle name="Normal 2 4 2 8 3 3" xfId="26474"/>
    <cellStyle name="Normal 2 4 2 8 3 4" xfId="26475"/>
    <cellStyle name="Normal 2 4 2 8 3 5" xfId="26476"/>
    <cellStyle name="Normal 2 4 2 8 3 6" xfId="26477"/>
    <cellStyle name="Normal 2 4 2 8 4" xfId="26478"/>
    <cellStyle name="Normal 2 4 2 8 4 2" xfId="26479"/>
    <cellStyle name="Normal 2 4 2 8 4 2 2" xfId="26480"/>
    <cellStyle name="Normal 2 4 2 8 4 3" xfId="26481"/>
    <cellStyle name="Normal 2 4 2 8 4 4" xfId="26482"/>
    <cellStyle name="Normal 2 4 2 8 4 5" xfId="26483"/>
    <cellStyle name="Normal 2 4 2 8 5" xfId="26484"/>
    <cellStyle name="Normal 2 4 2 8 5 2" xfId="26485"/>
    <cellStyle name="Normal 2 4 2 8 5 3" xfId="26486"/>
    <cellStyle name="Normal 2 4 2 8 5 4" xfId="26487"/>
    <cellStyle name="Normal 2 4 2 8 6" xfId="26488"/>
    <cellStyle name="Normal 2 4 2 8 6 2" xfId="26489"/>
    <cellStyle name="Normal 2 4 2 8 7" xfId="26490"/>
    <cellStyle name="Normal 2 4 2 8 8" xfId="26491"/>
    <cellStyle name="Normal 2 4 2 8 9" xfId="26492"/>
    <cellStyle name="Normal 2 4 2 9" xfId="26493"/>
    <cellStyle name="Normal 2 4 2 9 10" xfId="26494"/>
    <cellStyle name="Normal 2 4 2 9 2" xfId="26495"/>
    <cellStyle name="Normal 2 4 2 9 2 2" xfId="26496"/>
    <cellStyle name="Normal 2 4 2 9 2 2 2" xfId="26497"/>
    <cellStyle name="Normal 2 4 2 9 2 2 3" xfId="26498"/>
    <cellStyle name="Normal 2 4 2 9 2 3" xfId="26499"/>
    <cellStyle name="Normal 2 4 2 9 2 4" xfId="26500"/>
    <cellStyle name="Normal 2 4 2 9 2 5" xfId="26501"/>
    <cellStyle name="Normal 2 4 2 9 2 6" xfId="26502"/>
    <cellStyle name="Normal 2 4 2 9 3" xfId="26503"/>
    <cellStyle name="Normal 2 4 2 9 3 2" xfId="26504"/>
    <cellStyle name="Normal 2 4 2 9 3 2 2" xfId="26505"/>
    <cellStyle name="Normal 2 4 2 9 3 2 3" xfId="26506"/>
    <cellStyle name="Normal 2 4 2 9 3 3" xfId="26507"/>
    <cellStyle name="Normal 2 4 2 9 3 4" xfId="26508"/>
    <cellStyle name="Normal 2 4 2 9 3 5" xfId="26509"/>
    <cellStyle name="Normal 2 4 2 9 3 6" xfId="26510"/>
    <cellStyle name="Normal 2 4 2 9 4" xfId="26511"/>
    <cellStyle name="Normal 2 4 2 9 4 2" xfId="26512"/>
    <cellStyle name="Normal 2 4 2 9 4 2 2" xfId="26513"/>
    <cellStyle name="Normal 2 4 2 9 4 3" xfId="26514"/>
    <cellStyle name="Normal 2 4 2 9 4 4" xfId="26515"/>
    <cellStyle name="Normal 2 4 2 9 4 5" xfId="26516"/>
    <cellStyle name="Normal 2 4 2 9 5" xfId="26517"/>
    <cellStyle name="Normal 2 4 2 9 5 2" xfId="26518"/>
    <cellStyle name="Normal 2 4 2 9 5 3" xfId="26519"/>
    <cellStyle name="Normal 2 4 2 9 5 4" xfId="26520"/>
    <cellStyle name="Normal 2 4 2 9 6" xfId="26521"/>
    <cellStyle name="Normal 2 4 2 9 6 2" xfId="26522"/>
    <cellStyle name="Normal 2 4 2 9 7" xfId="26523"/>
    <cellStyle name="Normal 2 4 2 9 8" xfId="26524"/>
    <cellStyle name="Normal 2 4 2 9 9" xfId="26525"/>
    <cellStyle name="Normal 2 4 3" xfId="26526"/>
    <cellStyle name="Normal 2 4 3 2" xfId="26527"/>
    <cellStyle name="Normal 2 4 4" xfId="26528"/>
    <cellStyle name="Normal 2 4 4 2" xfId="26529"/>
    <cellStyle name="Normal 2 4 5" xfId="26530"/>
    <cellStyle name="Normal 2 4 6" xfId="26531"/>
    <cellStyle name="Normal 2 4 7" xfId="26532"/>
    <cellStyle name="Normal 2 4 8" xfId="26533"/>
    <cellStyle name="Normal 2 4 9" xfId="26534"/>
    <cellStyle name="Normal 2 40" xfId="26535"/>
    <cellStyle name="Normal 2 40 10" xfId="26536"/>
    <cellStyle name="Normal 2 40 2" xfId="26537"/>
    <cellStyle name="Normal 2 40 2 2" xfId="26538"/>
    <cellStyle name="Normal 2 40 2 2 2" xfId="26539"/>
    <cellStyle name="Normal 2 40 2 2 3" xfId="26540"/>
    <cellStyle name="Normal 2 40 2 3" xfId="26541"/>
    <cellStyle name="Normal 2 40 2 4" xfId="26542"/>
    <cellStyle name="Normal 2 40 2 5" xfId="26543"/>
    <cellStyle name="Normal 2 40 2 6" xfId="26544"/>
    <cellStyle name="Normal 2 40 3" xfId="26545"/>
    <cellStyle name="Normal 2 40 3 2" xfId="26546"/>
    <cellStyle name="Normal 2 40 3 2 2" xfId="26547"/>
    <cellStyle name="Normal 2 40 3 2 3" xfId="26548"/>
    <cellStyle name="Normal 2 40 3 3" xfId="26549"/>
    <cellStyle name="Normal 2 40 3 4" xfId="26550"/>
    <cellStyle name="Normal 2 40 3 5" xfId="26551"/>
    <cellStyle name="Normal 2 40 3 6" xfId="26552"/>
    <cellStyle name="Normal 2 40 4" xfId="26553"/>
    <cellStyle name="Normal 2 40 4 2" xfId="26554"/>
    <cellStyle name="Normal 2 40 4 2 2" xfId="26555"/>
    <cellStyle name="Normal 2 40 4 3" xfId="26556"/>
    <cellStyle name="Normal 2 40 4 4" xfId="26557"/>
    <cellStyle name="Normal 2 40 4 5" xfId="26558"/>
    <cellStyle name="Normal 2 40 4 6" xfId="26559"/>
    <cellStyle name="Normal 2 40 5" xfId="26560"/>
    <cellStyle name="Normal 2 40 5 2" xfId="26561"/>
    <cellStyle name="Normal 2 40 5 3" xfId="26562"/>
    <cellStyle name="Normal 2 40 5 4" xfId="26563"/>
    <cellStyle name="Normal 2 40 5 5" xfId="26564"/>
    <cellStyle name="Normal 2 40 6" xfId="26565"/>
    <cellStyle name="Normal 2 40 6 2" xfId="26566"/>
    <cellStyle name="Normal 2 40 6 3" xfId="26567"/>
    <cellStyle name="Normal 2 40 7" xfId="26568"/>
    <cellStyle name="Normal 2 40 7 2" xfId="26569"/>
    <cellStyle name="Normal 2 40 8" xfId="26570"/>
    <cellStyle name="Normal 2 40 9" xfId="26571"/>
    <cellStyle name="Normal 2 41" xfId="26572"/>
    <cellStyle name="Normal 2 41 10" xfId="26573"/>
    <cellStyle name="Normal 2 41 2" xfId="26574"/>
    <cellStyle name="Normal 2 41 2 2" xfId="26575"/>
    <cellStyle name="Normal 2 41 2 2 2" xfId="26576"/>
    <cellStyle name="Normal 2 41 2 2 3" xfId="26577"/>
    <cellStyle name="Normal 2 41 2 3" xfId="26578"/>
    <cellStyle name="Normal 2 41 2 4" xfId="26579"/>
    <cellStyle name="Normal 2 41 2 5" xfId="26580"/>
    <cellStyle name="Normal 2 41 2 6" xfId="26581"/>
    <cellStyle name="Normal 2 41 3" xfId="26582"/>
    <cellStyle name="Normal 2 41 3 2" xfId="26583"/>
    <cellStyle name="Normal 2 41 3 2 2" xfId="26584"/>
    <cellStyle name="Normal 2 41 3 2 3" xfId="26585"/>
    <cellStyle name="Normal 2 41 3 3" xfId="26586"/>
    <cellStyle name="Normal 2 41 3 4" xfId="26587"/>
    <cellStyle name="Normal 2 41 3 5" xfId="26588"/>
    <cellStyle name="Normal 2 41 3 6" xfId="26589"/>
    <cellStyle name="Normal 2 41 4" xfId="26590"/>
    <cellStyle name="Normal 2 41 4 2" xfId="26591"/>
    <cellStyle name="Normal 2 41 4 2 2" xfId="26592"/>
    <cellStyle name="Normal 2 41 4 3" xfId="26593"/>
    <cellStyle name="Normal 2 41 4 4" xfId="26594"/>
    <cellStyle name="Normal 2 41 4 5" xfId="26595"/>
    <cellStyle name="Normal 2 41 4 6" xfId="26596"/>
    <cellStyle name="Normal 2 41 5" xfId="26597"/>
    <cellStyle name="Normal 2 41 5 2" xfId="26598"/>
    <cellStyle name="Normal 2 41 5 3" xfId="26599"/>
    <cellStyle name="Normal 2 41 5 4" xfId="26600"/>
    <cellStyle name="Normal 2 41 5 5" xfId="26601"/>
    <cellStyle name="Normal 2 41 6" xfId="26602"/>
    <cellStyle name="Normal 2 41 6 2" xfId="26603"/>
    <cellStyle name="Normal 2 41 6 3" xfId="26604"/>
    <cellStyle name="Normal 2 41 7" xfId="26605"/>
    <cellStyle name="Normal 2 41 7 2" xfId="26606"/>
    <cellStyle name="Normal 2 41 8" xfId="26607"/>
    <cellStyle name="Normal 2 41 9" xfId="26608"/>
    <cellStyle name="Normal 2 42" xfId="26609"/>
    <cellStyle name="Normal 2 42 10" xfId="26610"/>
    <cellStyle name="Normal 2 42 2" xfId="26611"/>
    <cellStyle name="Normal 2 42 2 2" xfId="26612"/>
    <cellStyle name="Normal 2 42 2 2 2" xfId="26613"/>
    <cellStyle name="Normal 2 42 2 2 3" xfId="26614"/>
    <cellStyle name="Normal 2 42 2 3" xfId="26615"/>
    <cellStyle name="Normal 2 42 2 4" xfId="26616"/>
    <cellStyle name="Normal 2 42 2 5" xfId="26617"/>
    <cellStyle name="Normal 2 42 2 6" xfId="26618"/>
    <cellStyle name="Normal 2 42 3" xfId="26619"/>
    <cellStyle name="Normal 2 42 3 2" xfId="26620"/>
    <cellStyle name="Normal 2 42 3 2 2" xfId="26621"/>
    <cellStyle name="Normal 2 42 3 2 3" xfId="26622"/>
    <cellStyle name="Normal 2 42 3 3" xfId="26623"/>
    <cellStyle name="Normal 2 42 3 4" xfId="26624"/>
    <cellStyle name="Normal 2 42 3 5" xfId="26625"/>
    <cellStyle name="Normal 2 42 3 6" xfId="26626"/>
    <cellStyle name="Normal 2 42 4" xfId="26627"/>
    <cellStyle name="Normal 2 42 4 2" xfId="26628"/>
    <cellStyle name="Normal 2 42 4 2 2" xfId="26629"/>
    <cellStyle name="Normal 2 42 4 3" xfId="26630"/>
    <cellStyle name="Normal 2 42 4 4" xfId="26631"/>
    <cellStyle name="Normal 2 42 4 5" xfId="26632"/>
    <cellStyle name="Normal 2 42 4 6" xfId="26633"/>
    <cellStyle name="Normal 2 42 5" xfId="26634"/>
    <cellStyle name="Normal 2 42 5 2" xfId="26635"/>
    <cellStyle name="Normal 2 42 5 3" xfId="26636"/>
    <cellStyle name="Normal 2 42 5 4" xfId="26637"/>
    <cellStyle name="Normal 2 42 5 5" xfId="26638"/>
    <cellStyle name="Normal 2 42 6" xfId="26639"/>
    <cellStyle name="Normal 2 42 6 2" xfId="26640"/>
    <cellStyle name="Normal 2 42 6 3" xfId="26641"/>
    <cellStyle name="Normal 2 42 7" xfId="26642"/>
    <cellStyle name="Normal 2 42 7 2" xfId="26643"/>
    <cellStyle name="Normal 2 42 8" xfId="26644"/>
    <cellStyle name="Normal 2 42 9" xfId="26645"/>
    <cellStyle name="Normal 2 43" xfId="26646"/>
    <cellStyle name="Normal 2 43 10" xfId="26647"/>
    <cellStyle name="Normal 2 43 2" xfId="26648"/>
    <cellStyle name="Normal 2 43 2 2" xfId="26649"/>
    <cellStyle name="Normal 2 43 2 2 2" xfId="26650"/>
    <cellStyle name="Normal 2 43 2 2 3" xfId="26651"/>
    <cellStyle name="Normal 2 43 2 3" xfId="26652"/>
    <cellStyle name="Normal 2 43 2 4" xfId="26653"/>
    <cellStyle name="Normal 2 43 2 5" xfId="26654"/>
    <cellStyle name="Normal 2 43 2 6" xfId="26655"/>
    <cellStyle name="Normal 2 43 3" xfId="26656"/>
    <cellStyle name="Normal 2 43 3 2" xfId="26657"/>
    <cellStyle name="Normal 2 43 3 2 2" xfId="26658"/>
    <cellStyle name="Normal 2 43 3 2 3" xfId="26659"/>
    <cellStyle name="Normal 2 43 3 3" xfId="26660"/>
    <cellStyle name="Normal 2 43 3 4" xfId="26661"/>
    <cellStyle name="Normal 2 43 3 5" xfId="26662"/>
    <cellStyle name="Normal 2 43 3 6" xfId="26663"/>
    <cellStyle name="Normal 2 43 4" xfId="26664"/>
    <cellStyle name="Normal 2 43 4 2" xfId="26665"/>
    <cellStyle name="Normal 2 43 4 2 2" xfId="26666"/>
    <cellStyle name="Normal 2 43 4 3" xfId="26667"/>
    <cellStyle name="Normal 2 43 4 4" xfId="26668"/>
    <cellStyle name="Normal 2 43 4 5" xfId="26669"/>
    <cellStyle name="Normal 2 43 4 6" xfId="26670"/>
    <cellStyle name="Normal 2 43 5" xfId="26671"/>
    <cellStyle name="Normal 2 43 5 2" xfId="26672"/>
    <cellStyle name="Normal 2 43 5 3" xfId="26673"/>
    <cellStyle name="Normal 2 43 5 4" xfId="26674"/>
    <cellStyle name="Normal 2 43 5 5" xfId="26675"/>
    <cellStyle name="Normal 2 43 6" xfId="26676"/>
    <cellStyle name="Normal 2 43 6 2" xfId="26677"/>
    <cellStyle name="Normal 2 43 6 3" xfId="26678"/>
    <cellStyle name="Normal 2 43 7" xfId="26679"/>
    <cellStyle name="Normal 2 43 7 2" xfId="26680"/>
    <cellStyle name="Normal 2 43 8" xfId="26681"/>
    <cellStyle name="Normal 2 43 9" xfId="26682"/>
    <cellStyle name="Normal 2 44" xfId="26683"/>
    <cellStyle name="Normal 2 44 10" xfId="26684"/>
    <cellStyle name="Normal 2 44 2" xfId="26685"/>
    <cellStyle name="Normal 2 44 2 2" xfId="26686"/>
    <cellStyle name="Normal 2 44 2 2 2" xfId="26687"/>
    <cellStyle name="Normal 2 44 2 2 3" xfId="26688"/>
    <cellStyle name="Normal 2 44 2 3" xfId="26689"/>
    <cellStyle name="Normal 2 44 2 4" xfId="26690"/>
    <cellStyle name="Normal 2 44 2 5" xfId="26691"/>
    <cellStyle name="Normal 2 44 2 6" xfId="26692"/>
    <cellStyle name="Normal 2 44 3" xfId="26693"/>
    <cellStyle name="Normal 2 44 3 2" xfId="26694"/>
    <cellStyle name="Normal 2 44 3 2 2" xfId="26695"/>
    <cellStyle name="Normal 2 44 3 2 3" xfId="26696"/>
    <cellStyle name="Normal 2 44 3 3" xfId="26697"/>
    <cellStyle name="Normal 2 44 3 4" xfId="26698"/>
    <cellStyle name="Normal 2 44 3 5" xfId="26699"/>
    <cellStyle name="Normal 2 44 3 6" xfId="26700"/>
    <cellStyle name="Normal 2 44 4" xfId="26701"/>
    <cellStyle name="Normal 2 44 4 2" xfId="26702"/>
    <cellStyle name="Normal 2 44 4 2 2" xfId="26703"/>
    <cellStyle name="Normal 2 44 4 3" xfId="26704"/>
    <cellStyle name="Normal 2 44 4 4" xfId="26705"/>
    <cellStyle name="Normal 2 44 4 5" xfId="26706"/>
    <cellStyle name="Normal 2 44 4 6" xfId="26707"/>
    <cellStyle name="Normal 2 44 5" xfId="26708"/>
    <cellStyle name="Normal 2 44 5 2" xfId="26709"/>
    <cellStyle name="Normal 2 44 5 3" xfId="26710"/>
    <cellStyle name="Normal 2 44 5 4" xfId="26711"/>
    <cellStyle name="Normal 2 44 5 5" xfId="26712"/>
    <cellStyle name="Normal 2 44 6" xfId="26713"/>
    <cellStyle name="Normal 2 44 6 2" xfId="26714"/>
    <cellStyle name="Normal 2 44 6 3" xfId="26715"/>
    <cellStyle name="Normal 2 44 7" xfId="26716"/>
    <cellStyle name="Normal 2 44 7 2" xfId="26717"/>
    <cellStyle name="Normal 2 44 8" xfId="26718"/>
    <cellStyle name="Normal 2 44 9" xfId="26719"/>
    <cellStyle name="Normal 2 45" xfId="26720"/>
    <cellStyle name="Normal 2 45 10" xfId="26721"/>
    <cellStyle name="Normal 2 45 2" xfId="26722"/>
    <cellStyle name="Normal 2 45 2 2" xfId="26723"/>
    <cellStyle name="Normal 2 45 2 2 2" xfId="26724"/>
    <cellStyle name="Normal 2 45 2 2 3" xfId="26725"/>
    <cellStyle name="Normal 2 45 2 3" xfId="26726"/>
    <cellStyle name="Normal 2 45 2 4" xfId="26727"/>
    <cellStyle name="Normal 2 45 2 5" xfId="26728"/>
    <cellStyle name="Normal 2 45 2 6" xfId="26729"/>
    <cellStyle name="Normal 2 45 3" xfId="26730"/>
    <cellStyle name="Normal 2 45 3 2" xfId="26731"/>
    <cellStyle name="Normal 2 45 3 2 2" xfId="26732"/>
    <cellStyle name="Normal 2 45 3 2 3" xfId="26733"/>
    <cellStyle name="Normal 2 45 3 3" xfId="26734"/>
    <cellStyle name="Normal 2 45 3 4" xfId="26735"/>
    <cellStyle name="Normal 2 45 3 5" xfId="26736"/>
    <cellStyle name="Normal 2 45 3 6" xfId="26737"/>
    <cellStyle name="Normal 2 45 4" xfId="26738"/>
    <cellStyle name="Normal 2 45 4 2" xfId="26739"/>
    <cellStyle name="Normal 2 45 4 2 2" xfId="26740"/>
    <cellStyle name="Normal 2 45 4 3" xfId="26741"/>
    <cellStyle name="Normal 2 45 4 4" xfId="26742"/>
    <cellStyle name="Normal 2 45 4 5" xfId="26743"/>
    <cellStyle name="Normal 2 45 4 6" xfId="26744"/>
    <cellStyle name="Normal 2 45 5" xfId="26745"/>
    <cellStyle name="Normal 2 45 5 2" xfId="26746"/>
    <cellStyle name="Normal 2 45 5 3" xfId="26747"/>
    <cellStyle name="Normal 2 45 5 4" xfId="26748"/>
    <cellStyle name="Normal 2 45 5 5" xfId="26749"/>
    <cellStyle name="Normal 2 45 6" xfId="26750"/>
    <cellStyle name="Normal 2 45 6 2" xfId="26751"/>
    <cellStyle name="Normal 2 45 6 3" xfId="26752"/>
    <cellStyle name="Normal 2 45 7" xfId="26753"/>
    <cellStyle name="Normal 2 45 7 2" xfId="26754"/>
    <cellStyle name="Normal 2 45 8" xfId="26755"/>
    <cellStyle name="Normal 2 45 9" xfId="26756"/>
    <cellStyle name="Normal 2 46" xfId="26757"/>
    <cellStyle name="Normal 2 46 10" xfId="26758"/>
    <cellStyle name="Normal 2 46 2" xfId="26759"/>
    <cellStyle name="Normal 2 46 2 2" xfId="26760"/>
    <cellStyle name="Normal 2 46 2 2 2" xfId="26761"/>
    <cellStyle name="Normal 2 46 2 2 3" xfId="26762"/>
    <cellStyle name="Normal 2 46 2 3" xfId="26763"/>
    <cellStyle name="Normal 2 46 2 4" xfId="26764"/>
    <cellStyle name="Normal 2 46 2 5" xfId="26765"/>
    <cellStyle name="Normal 2 46 2 6" xfId="26766"/>
    <cellStyle name="Normal 2 46 3" xfId="26767"/>
    <cellStyle name="Normal 2 46 3 2" xfId="26768"/>
    <cellStyle name="Normal 2 46 3 2 2" xfId="26769"/>
    <cellStyle name="Normal 2 46 3 2 3" xfId="26770"/>
    <cellStyle name="Normal 2 46 3 3" xfId="26771"/>
    <cellStyle name="Normal 2 46 3 4" xfId="26772"/>
    <cellStyle name="Normal 2 46 3 5" xfId="26773"/>
    <cellStyle name="Normal 2 46 3 6" xfId="26774"/>
    <cellStyle name="Normal 2 46 4" xfId="26775"/>
    <cellStyle name="Normal 2 46 4 2" xfId="26776"/>
    <cellStyle name="Normal 2 46 4 2 2" xfId="26777"/>
    <cellStyle name="Normal 2 46 4 3" xfId="26778"/>
    <cellStyle name="Normal 2 46 4 4" xfId="26779"/>
    <cellStyle name="Normal 2 46 4 5" xfId="26780"/>
    <cellStyle name="Normal 2 46 4 6" xfId="26781"/>
    <cellStyle name="Normal 2 46 5" xfId="26782"/>
    <cellStyle name="Normal 2 46 5 2" xfId="26783"/>
    <cellStyle name="Normal 2 46 5 3" xfId="26784"/>
    <cellStyle name="Normal 2 46 5 4" xfId="26785"/>
    <cellStyle name="Normal 2 46 5 5" xfId="26786"/>
    <cellStyle name="Normal 2 46 6" xfId="26787"/>
    <cellStyle name="Normal 2 46 6 2" xfId="26788"/>
    <cellStyle name="Normal 2 46 6 3" xfId="26789"/>
    <cellStyle name="Normal 2 46 7" xfId="26790"/>
    <cellStyle name="Normal 2 46 7 2" xfId="26791"/>
    <cellStyle name="Normal 2 46 8" xfId="26792"/>
    <cellStyle name="Normal 2 46 9" xfId="26793"/>
    <cellStyle name="Normal 2 47" xfId="26794"/>
    <cellStyle name="Normal 2 47 10" xfId="26795"/>
    <cellStyle name="Normal 2 47 2" xfId="26796"/>
    <cellStyle name="Normal 2 47 2 2" xfId="26797"/>
    <cellStyle name="Normal 2 47 2 2 2" xfId="26798"/>
    <cellStyle name="Normal 2 47 2 2 3" xfId="26799"/>
    <cellStyle name="Normal 2 47 2 3" xfId="26800"/>
    <cellStyle name="Normal 2 47 2 4" xfId="26801"/>
    <cellStyle name="Normal 2 47 2 5" xfId="26802"/>
    <cellStyle name="Normal 2 47 2 6" xfId="26803"/>
    <cellStyle name="Normal 2 47 3" xfId="26804"/>
    <cellStyle name="Normal 2 47 3 2" xfId="26805"/>
    <cellStyle name="Normal 2 47 3 2 2" xfId="26806"/>
    <cellStyle name="Normal 2 47 3 2 3" xfId="26807"/>
    <cellStyle name="Normal 2 47 3 3" xfId="26808"/>
    <cellStyle name="Normal 2 47 3 4" xfId="26809"/>
    <cellStyle name="Normal 2 47 3 5" xfId="26810"/>
    <cellStyle name="Normal 2 47 3 6" xfId="26811"/>
    <cellStyle name="Normal 2 47 4" xfId="26812"/>
    <cellStyle name="Normal 2 47 4 2" xfId="26813"/>
    <cellStyle name="Normal 2 47 4 2 2" xfId="26814"/>
    <cellStyle name="Normal 2 47 4 3" xfId="26815"/>
    <cellStyle name="Normal 2 47 4 4" xfId="26816"/>
    <cellStyle name="Normal 2 47 4 5" xfId="26817"/>
    <cellStyle name="Normal 2 47 4 6" xfId="26818"/>
    <cellStyle name="Normal 2 47 5" xfId="26819"/>
    <cellStyle name="Normal 2 47 5 2" xfId="26820"/>
    <cellStyle name="Normal 2 47 5 3" xfId="26821"/>
    <cellStyle name="Normal 2 47 5 4" xfId="26822"/>
    <cellStyle name="Normal 2 47 5 5" xfId="26823"/>
    <cellStyle name="Normal 2 47 6" xfId="26824"/>
    <cellStyle name="Normal 2 47 6 2" xfId="26825"/>
    <cellStyle name="Normal 2 47 6 3" xfId="26826"/>
    <cellStyle name="Normal 2 47 7" xfId="26827"/>
    <cellStyle name="Normal 2 47 7 2" xfId="26828"/>
    <cellStyle name="Normal 2 47 8" xfId="26829"/>
    <cellStyle name="Normal 2 47 9" xfId="26830"/>
    <cellStyle name="Normal 2 48" xfId="26831"/>
    <cellStyle name="Normal 2 48 10" xfId="26832"/>
    <cellStyle name="Normal 2 48 2" xfId="26833"/>
    <cellStyle name="Normal 2 48 2 2" xfId="26834"/>
    <cellStyle name="Normal 2 48 2 2 2" xfId="26835"/>
    <cellStyle name="Normal 2 48 2 2 3" xfId="26836"/>
    <cellStyle name="Normal 2 48 2 3" xfId="26837"/>
    <cellStyle name="Normal 2 48 2 4" xfId="26838"/>
    <cellStyle name="Normal 2 48 2 5" xfId="26839"/>
    <cellStyle name="Normal 2 48 2 6" xfId="26840"/>
    <cellStyle name="Normal 2 48 3" xfId="26841"/>
    <cellStyle name="Normal 2 48 3 2" xfId="26842"/>
    <cellStyle name="Normal 2 48 3 2 2" xfId="26843"/>
    <cellStyle name="Normal 2 48 3 2 3" xfId="26844"/>
    <cellStyle name="Normal 2 48 3 3" xfId="26845"/>
    <cellStyle name="Normal 2 48 3 4" xfId="26846"/>
    <cellStyle name="Normal 2 48 3 5" xfId="26847"/>
    <cellStyle name="Normal 2 48 3 6" xfId="26848"/>
    <cellStyle name="Normal 2 48 4" xfId="26849"/>
    <cellStyle name="Normal 2 48 4 2" xfId="26850"/>
    <cellStyle name="Normal 2 48 4 2 2" xfId="26851"/>
    <cellStyle name="Normal 2 48 4 3" xfId="26852"/>
    <cellStyle name="Normal 2 48 4 4" xfId="26853"/>
    <cellStyle name="Normal 2 48 4 5" xfId="26854"/>
    <cellStyle name="Normal 2 48 4 6" xfId="26855"/>
    <cellStyle name="Normal 2 48 5" xfId="26856"/>
    <cellStyle name="Normal 2 48 5 2" xfId="26857"/>
    <cellStyle name="Normal 2 48 5 3" xfId="26858"/>
    <cellStyle name="Normal 2 48 5 4" xfId="26859"/>
    <cellStyle name="Normal 2 48 5 5" xfId="26860"/>
    <cellStyle name="Normal 2 48 6" xfId="26861"/>
    <cellStyle name="Normal 2 48 6 2" xfId="26862"/>
    <cellStyle name="Normal 2 48 6 3" xfId="26863"/>
    <cellStyle name="Normal 2 48 7" xfId="26864"/>
    <cellStyle name="Normal 2 48 7 2" xfId="26865"/>
    <cellStyle name="Normal 2 48 8" xfId="26866"/>
    <cellStyle name="Normal 2 48 9" xfId="26867"/>
    <cellStyle name="Normal 2 49" xfId="26868"/>
    <cellStyle name="Normal 2 49 10" xfId="26869"/>
    <cellStyle name="Normal 2 49 2" xfId="26870"/>
    <cellStyle name="Normal 2 49 2 2" xfId="26871"/>
    <cellStyle name="Normal 2 49 2 2 2" xfId="26872"/>
    <cellStyle name="Normal 2 49 2 2 3" xfId="26873"/>
    <cellStyle name="Normal 2 49 2 3" xfId="26874"/>
    <cellStyle name="Normal 2 49 2 4" xfId="26875"/>
    <cellStyle name="Normal 2 49 2 5" xfId="26876"/>
    <cellStyle name="Normal 2 49 2 6" xfId="26877"/>
    <cellStyle name="Normal 2 49 3" xfId="26878"/>
    <cellStyle name="Normal 2 49 3 2" xfId="26879"/>
    <cellStyle name="Normal 2 49 3 2 2" xfId="26880"/>
    <cellStyle name="Normal 2 49 3 2 3" xfId="26881"/>
    <cellStyle name="Normal 2 49 3 3" xfId="26882"/>
    <cellStyle name="Normal 2 49 3 4" xfId="26883"/>
    <cellStyle name="Normal 2 49 3 5" xfId="26884"/>
    <cellStyle name="Normal 2 49 3 6" xfId="26885"/>
    <cellStyle name="Normal 2 49 4" xfId="26886"/>
    <cellStyle name="Normal 2 49 4 2" xfId="26887"/>
    <cellStyle name="Normal 2 49 4 2 2" xfId="26888"/>
    <cellStyle name="Normal 2 49 4 3" xfId="26889"/>
    <cellStyle name="Normal 2 49 4 4" xfId="26890"/>
    <cellStyle name="Normal 2 49 4 5" xfId="26891"/>
    <cellStyle name="Normal 2 49 4 6" xfId="26892"/>
    <cellStyle name="Normal 2 49 5" xfId="26893"/>
    <cellStyle name="Normal 2 49 5 2" xfId="26894"/>
    <cellStyle name="Normal 2 49 5 3" xfId="26895"/>
    <cellStyle name="Normal 2 49 5 4" xfId="26896"/>
    <cellStyle name="Normal 2 49 5 5" xfId="26897"/>
    <cellStyle name="Normal 2 49 6" xfId="26898"/>
    <cellStyle name="Normal 2 49 6 2" xfId="26899"/>
    <cellStyle name="Normal 2 49 6 3" xfId="26900"/>
    <cellStyle name="Normal 2 49 7" xfId="26901"/>
    <cellStyle name="Normal 2 49 7 2" xfId="26902"/>
    <cellStyle name="Normal 2 49 8" xfId="26903"/>
    <cellStyle name="Normal 2 49 9" xfId="26904"/>
    <cellStyle name="Normal 2 5" xfId="26905"/>
    <cellStyle name="Normal 2 5 2" xfId="26906"/>
    <cellStyle name="Normal 2 5 2 10" xfId="26907"/>
    <cellStyle name="Normal 2 5 2 10 10" xfId="26908"/>
    <cellStyle name="Normal 2 5 2 10 2" xfId="26909"/>
    <cellStyle name="Normal 2 5 2 10 2 2" xfId="26910"/>
    <cellStyle name="Normal 2 5 2 10 2 2 2" xfId="26911"/>
    <cellStyle name="Normal 2 5 2 10 2 2 3" xfId="26912"/>
    <cellStyle name="Normal 2 5 2 10 2 3" xfId="26913"/>
    <cellStyle name="Normal 2 5 2 10 2 4" xfId="26914"/>
    <cellStyle name="Normal 2 5 2 10 2 5" xfId="26915"/>
    <cellStyle name="Normal 2 5 2 10 2 6" xfId="26916"/>
    <cellStyle name="Normal 2 5 2 10 3" xfId="26917"/>
    <cellStyle name="Normal 2 5 2 10 3 2" xfId="26918"/>
    <cellStyle name="Normal 2 5 2 10 3 2 2" xfId="26919"/>
    <cellStyle name="Normal 2 5 2 10 3 2 3" xfId="26920"/>
    <cellStyle name="Normal 2 5 2 10 3 3" xfId="26921"/>
    <cellStyle name="Normal 2 5 2 10 3 4" xfId="26922"/>
    <cellStyle name="Normal 2 5 2 10 3 5" xfId="26923"/>
    <cellStyle name="Normal 2 5 2 10 3 6" xfId="26924"/>
    <cellStyle name="Normal 2 5 2 10 4" xfId="26925"/>
    <cellStyle name="Normal 2 5 2 10 4 2" xfId="26926"/>
    <cellStyle name="Normal 2 5 2 10 4 2 2" xfId="26927"/>
    <cellStyle name="Normal 2 5 2 10 4 3" xfId="26928"/>
    <cellStyle name="Normal 2 5 2 10 4 4" xfId="26929"/>
    <cellStyle name="Normal 2 5 2 10 4 5" xfId="26930"/>
    <cellStyle name="Normal 2 5 2 10 5" xfId="26931"/>
    <cellStyle name="Normal 2 5 2 10 5 2" xfId="26932"/>
    <cellStyle name="Normal 2 5 2 10 5 3" xfId="26933"/>
    <cellStyle name="Normal 2 5 2 10 5 4" xfId="26934"/>
    <cellStyle name="Normal 2 5 2 10 6" xfId="26935"/>
    <cellStyle name="Normal 2 5 2 10 6 2" xfId="26936"/>
    <cellStyle name="Normal 2 5 2 10 7" xfId="26937"/>
    <cellStyle name="Normal 2 5 2 10 8" xfId="26938"/>
    <cellStyle name="Normal 2 5 2 10 9" xfId="26939"/>
    <cellStyle name="Normal 2 5 2 11" xfId="26940"/>
    <cellStyle name="Normal 2 5 2 11 10" xfId="26941"/>
    <cellStyle name="Normal 2 5 2 11 2" xfId="26942"/>
    <cellStyle name="Normal 2 5 2 11 2 2" xfId="26943"/>
    <cellStyle name="Normal 2 5 2 11 2 2 2" xfId="26944"/>
    <cellStyle name="Normal 2 5 2 11 2 2 3" xfId="26945"/>
    <cellStyle name="Normal 2 5 2 11 2 3" xfId="26946"/>
    <cellStyle name="Normal 2 5 2 11 2 4" xfId="26947"/>
    <cellStyle name="Normal 2 5 2 11 2 5" xfId="26948"/>
    <cellStyle name="Normal 2 5 2 11 2 6" xfId="26949"/>
    <cellStyle name="Normal 2 5 2 11 3" xfId="26950"/>
    <cellStyle name="Normal 2 5 2 11 3 2" xfId="26951"/>
    <cellStyle name="Normal 2 5 2 11 3 2 2" xfId="26952"/>
    <cellStyle name="Normal 2 5 2 11 3 2 3" xfId="26953"/>
    <cellStyle name="Normal 2 5 2 11 3 3" xfId="26954"/>
    <cellStyle name="Normal 2 5 2 11 3 4" xfId="26955"/>
    <cellStyle name="Normal 2 5 2 11 3 5" xfId="26956"/>
    <cellStyle name="Normal 2 5 2 11 3 6" xfId="26957"/>
    <cellStyle name="Normal 2 5 2 11 4" xfId="26958"/>
    <cellStyle name="Normal 2 5 2 11 4 2" xfId="26959"/>
    <cellStyle name="Normal 2 5 2 11 4 2 2" xfId="26960"/>
    <cellStyle name="Normal 2 5 2 11 4 3" xfId="26961"/>
    <cellStyle name="Normal 2 5 2 11 4 4" xfId="26962"/>
    <cellStyle name="Normal 2 5 2 11 4 5" xfId="26963"/>
    <cellStyle name="Normal 2 5 2 11 5" xfId="26964"/>
    <cellStyle name="Normal 2 5 2 11 5 2" xfId="26965"/>
    <cellStyle name="Normal 2 5 2 11 5 3" xfId="26966"/>
    <cellStyle name="Normal 2 5 2 11 5 4" xfId="26967"/>
    <cellStyle name="Normal 2 5 2 11 6" xfId="26968"/>
    <cellStyle name="Normal 2 5 2 11 6 2" xfId="26969"/>
    <cellStyle name="Normal 2 5 2 11 7" xfId="26970"/>
    <cellStyle name="Normal 2 5 2 11 8" xfId="26971"/>
    <cellStyle name="Normal 2 5 2 11 9" xfId="26972"/>
    <cellStyle name="Normal 2 5 2 12" xfId="26973"/>
    <cellStyle name="Normal 2 5 2 12 10" xfId="26974"/>
    <cellStyle name="Normal 2 5 2 12 2" xfId="26975"/>
    <cellStyle name="Normal 2 5 2 12 2 2" xfId="26976"/>
    <cellStyle name="Normal 2 5 2 12 2 2 2" xfId="26977"/>
    <cellStyle name="Normal 2 5 2 12 2 2 3" xfId="26978"/>
    <cellStyle name="Normal 2 5 2 12 2 3" xfId="26979"/>
    <cellStyle name="Normal 2 5 2 12 2 4" xfId="26980"/>
    <cellStyle name="Normal 2 5 2 12 2 5" xfId="26981"/>
    <cellStyle name="Normal 2 5 2 12 2 6" xfId="26982"/>
    <cellStyle name="Normal 2 5 2 12 3" xfId="26983"/>
    <cellStyle name="Normal 2 5 2 12 3 2" xfId="26984"/>
    <cellStyle name="Normal 2 5 2 12 3 2 2" xfId="26985"/>
    <cellStyle name="Normal 2 5 2 12 3 2 3" xfId="26986"/>
    <cellStyle name="Normal 2 5 2 12 3 3" xfId="26987"/>
    <cellStyle name="Normal 2 5 2 12 3 4" xfId="26988"/>
    <cellStyle name="Normal 2 5 2 12 3 5" xfId="26989"/>
    <cellStyle name="Normal 2 5 2 12 3 6" xfId="26990"/>
    <cellStyle name="Normal 2 5 2 12 4" xfId="26991"/>
    <cellStyle name="Normal 2 5 2 12 4 2" xfId="26992"/>
    <cellStyle name="Normal 2 5 2 12 4 2 2" xfId="26993"/>
    <cellStyle name="Normal 2 5 2 12 4 3" xfId="26994"/>
    <cellStyle name="Normal 2 5 2 12 4 4" xfId="26995"/>
    <cellStyle name="Normal 2 5 2 12 4 5" xfId="26996"/>
    <cellStyle name="Normal 2 5 2 12 5" xfId="26997"/>
    <cellStyle name="Normal 2 5 2 12 5 2" xfId="26998"/>
    <cellStyle name="Normal 2 5 2 12 5 3" xfId="26999"/>
    <cellStyle name="Normal 2 5 2 12 5 4" xfId="27000"/>
    <cellStyle name="Normal 2 5 2 12 6" xfId="27001"/>
    <cellStyle name="Normal 2 5 2 12 6 2" xfId="27002"/>
    <cellStyle name="Normal 2 5 2 12 7" xfId="27003"/>
    <cellStyle name="Normal 2 5 2 12 8" xfId="27004"/>
    <cellStyle name="Normal 2 5 2 12 9" xfId="27005"/>
    <cellStyle name="Normal 2 5 2 13" xfId="27006"/>
    <cellStyle name="Normal 2 5 2 13 2" xfId="27007"/>
    <cellStyle name="Normal 2 5 2 13 2 2" xfId="27008"/>
    <cellStyle name="Normal 2 5 2 13 2 2 2" xfId="27009"/>
    <cellStyle name="Normal 2 5 2 13 2 2 3" xfId="27010"/>
    <cellStyle name="Normal 2 5 2 13 2 3" xfId="27011"/>
    <cellStyle name="Normal 2 5 2 13 2 4" xfId="27012"/>
    <cellStyle name="Normal 2 5 2 13 2 5" xfId="27013"/>
    <cellStyle name="Normal 2 5 2 13 2 6" xfId="27014"/>
    <cellStyle name="Normal 2 5 2 13 3" xfId="27015"/>
    <cellStyle name="Normal 2 5 2 13 3 2" xfId="27016"/>
    <cellStyle name="Normal 2 5 2 13 3 2 2" xfId="27017"/>
    <cellStyle name="Normal 2 5 2 13 3 3" xfId="27018"/>
    <cellStyle name="Normal 2 5 2 13 3 4" xfId="27019"/>
    <cellStyle name="Normal 2 5 2 13 3 5" xfId="27020"/>
    <cellStyle name="Normal 2 5 2 13 4" xfId="27021"/>
    <cellStyle name="Normal 2 5 2 13 4 2" xfId="27022"/>
    <cellStyle name="Normal 2 5 2 13 4 3" xfId="27023"/>
    <cellStyle name="Normal 2 5 2 13 4 4" xfId="27024"/>
    <cellStyle name="Normal 2 5 2 13 5" xfId="27025"/>
    <cellStyle name="Normal 2 5 2 13 5 2" xfId="27026"/>
    <cellStyle name="Normal 2 5 2 13 6" xfId="27027"/>
    <cellStyle name="Normal 2 5 2 13 7" xfId="27028"/>
    <cellStyle name="Normal 2 5 2 13 8" xfId="27029"/>
    <cellStyle name="Normal 2 5 2 13 9" xfId="27030"/>
    <cellStyle name="Normal 2 5 2 14" xfId="27031"/>
    <cellStyle name="Normal 2 5 2 14 2" xfId="27032"/>
    <cellStyle name="Normal 2 5 2 14 2 2" xfId="27033"/>
    <cellStyle name="Normal 2 5 2 14 2 2 2" xfId="27034"/>
    <cellStyle name="Normal 2 5 2 14 2 2 3" xfId="27035"/>
    <cellStyle name="Normal 2 5 2 14 2 3" xfId="27036"/>
    <cellStyle name="Normal 2 5 2 14 2 4" xfId="27037"/>
    <cellStyle name="Normal 2 5 2 14 2 5" xfId="27038"/>
    <cellStyle name="Normal 2 5 2 14 2 6" xfId="27039"/>
    <cellStyle name="Normal 2 5 2 14 3" xfId="27040"/>
    <cellStyle name="Normal 2 5 2 14 3 2" xfId="27041"/>
    <cellStyle name="Normal 2 5 2 14 3 2 2" xfId="27042"/>
    <cellStyle name="Normal 2 5 2 14 3 3" xfId="27043"/>
    <cellStyle name="Normal 2 5 2 14 3 4" xfId="27044"/>
    <cellStyle name="Normal 2 5 2 14 3 5" xfId="27045"/>
    <cellStyle name="Normal 2 5 2 14 4" xfId="27046"/>
    <cellStyle name="Normal 2 5 2 14 4 2" xfId="27047"/>
    <cellStyle name="Normal 2 5 2 14 4 3" xfId="27048"/>
    <cellStyle name="Normal 2 5 2 14 4 4" xfId="27049"/>
    <cellStyle name="Normal 2 5 2 14 5" xfId="27050"/>
    <cellStyle name="Normal 2 5 2 14 5 2" xfId="27051"/>
    <cellStyle name="Normal 2 5 2 14 6" xfId="27052"/>
    <cellStyle name="Normal 2 5 2 14 7" xfId="27053"/>
    <cellStyle name="Normal 2 5 2 14 8" xfId="27054"/>
    <cellStyle name="Normal 2 5 2 14 9" xfId="27055"/>
    <cellStyle name="Normal 2 5 2 15" xfId="27056"/>
    <cellStyle name="Normal 2 5 2 15 2" xfId="27057"/>
    <cellStyle name="Normal 2 5 2 15 2 2" xfId="27058"/>
    <cellStyle name="Normal 2 5 2 15 2 3" xfId="27059"/>
    <cellStyle name="Normal 2 5 2 15 3" xfId="27060"/>
    <cellStyle name="Normal 2 5 2 15 4" xfId="27061"/>
    <cellStyle name="Normal 2 5 2 15 5" xfId="27062"/>
    <cellStyle name="Normal 2 5 2 15 6" xfId="27063"/>
    <cellStyle name="Normal 2 5 2 16" xfId="27064"/>
    <cellStyle name="Normal 2 5 2 16 2" xfId="27065"/>
    <cellStyle name="Normal 2 5 2 16 2 2" xfId="27066"/>
    <cellStyle name="Normal 2 5 2 16 3" xfId="27067"/>
    <cellStyle name="Normal 2 5 2 16 4" xfId="27068"/>
    <cellStyle name="Normal 2 5 2 16 5" xfId="27069"/>
    <cellStyle name="Normal 2 5 2 17" xfId="27070"/>
    <cellStyle name="Normal 2 5 2 17 2" xfId="27071"/>
    <cellStyle name="Normal 2 5 2 17 2 2" xfId="27072"/>
    <cellStyle name="Normal 2 5 2 17 3" xfId="27073"/>
    <cellStyle name="Normal 2 5 2 17 4" xfId="27074"/>
    <cellStyle name="Normal 2 5 2 17 5" xfId="27075"/>
    <cellStyle name="Normal 2 5 2 18" xfId="27076"/>
    <cellStyle name="Normal 2 5 2 18 2" xfId="27077"/>
    <cellStyle name="Normal 2 5 2 19" xfId="27078"/>
    <cellStyle name="Normal 2 5 2 2" xfId="27079"/>
    <cellStyle name="Normal 2 5 2 2 10" xfId="27080"/>
    <cellStyle name="Normal 2 5 2 2 11" xfId="27081"/>
    <cellStyle name="Normal 2 5 2 2 2" xfId="27082"/>
    <cellStyle name="Normal 2 5 2 2 2 2" xfId="27083"/>
    <cellStyle name="Normal 2 5 2 2 2 2 2" xfId="27084"/>
    <cellStyle name="Normal 2 5 2 2 2 2 2 2" xfId="27085"/>
    <cellStyle name="Normal 2 5 2 2 2 2 2 3" xfId="27086"/>
    <cellStyle name="Normal 2 5 2 2 2 2 3" xfId="27087"/>
    <cellStyle name="Normal 2 5 2 2 2 2 4" xfId="27088"/>
    <cellStyle name="Normal 2 5 2 2 2 2 5" xfId="27089"/>
    <cellStyle name="Normal 2 5 2 2 2 2 6" xfId="27090"/>
    <cellStyle name="Normal 2 5 2 2 2 3" xfId="27091"/>
    <cellStyle name="Normal 2 5 2 2 2 3 2" xfId="27092"/>
    <cellStyle name="Normal 2 5 2 2 2 3 2 2" xfId="27093"/>
    <cellStyle name="Normal 2 5 2 2 2 3 3" xfId="27094"/>
    <cellStyle name="Normal 2 5 2 2 2 3 4" xfId="27095"/>
    <cellStyle name="Normal 2 5 2 2 2 3 5" xfId="27096"/>
    <cellStyle name="Normal 2 5 2 2 2 4" xfId="27097"/>
    <cellStyle name="Normal 2 5 2 2 2 4 2" xfId="27098"/>
    <cellStyle name="Normal 2 5 2 2 2 4 3" xfId="27099"/>
    <cellStyle name="Normal 2 5 2 2 2 4 4" xfId="27100"/>
    <cellStyle name="Normal 2 5 2 2 2 5" xfId="27101"/>
    <cellStyle name="Normal 2 5 2 2 2 5 2" xfId="27102"/>
    <cellStyle name="Normal 2 5 2 2 2 6" xfId="27103"/>
    <cellStyle name="Normal 2 5 2 2 2 7" xfId="27104"/>
    <cellStyle name="Normal 2 5 2 2 2 8" xfId="27105"/>
    <cellStyle name="Normal 2 5 2 2 2 9" xfId="27106"/>
    <cellStyle name="Normal 2 5 2 2 3" xfId="27107"/>
    <cellStyle name="Normal 2 5 2 2 3 2" xfId="27108"/>
    <cellStyle name="Normal 2 5 2 2 3 2 2" xfId="27109"/>
    <cellStyle name="Normal 2 5 2 2 3 2 2 2" xfId="27110"/>
    <cellStyle name="Normal 2 5 2 2 3 2 2 3" xfId="27111"/>
    <cellStyle name="Normal 2 5 2 2 3 2 3" xfId="27112"/>
    <cellStyle name="Normal 2 5 2 2 3 2 4" xfId="27113"/>
    <cellStyle name="Normal 2 5 2 2 3 2 5" xfId="27114"/>
    <cellStyle name="Normal 2 5 2 2 3 2 6" xfId="27115"/>
    <cellStyle name="Normal 2 5 2 2 3 3" xfId="27116"/>
    <cellStyle name="Normal 2 5 2 2 3 3 2" xfId="27117"/>
    <cellStyle name="Normal 2 5 2 2 3 3 2 2" xfId="27118"/>
    <cellStyle name="Normal 2 5 2 2 3 3 3" xfId="27119"/>
    <cellStyle name="Normal 2 5 2 2 3 3 4" xfId="27120"/>
    <cellStyle name="Normal 2 5 2 2 3 3 5" xfId="27121"/>
    <cellStyle name="Normal 2 5 2 2 3 4" xfId="27122"/>
    <cellStyle name="Normal 2 5 2 2 3 4 2" xfId="27123"/>
    <cellStyle name="Normal 2 5 2 2 3 4 3" xfId="27124"/>
    <cellStyle name="Normal 2 5 2 2 3 4 4" xfId="27125"/>
    <cellStyle name="Normal 2 5 2 2 3 5" xfId="27126"/>
    <cellStyle name="Normal 2 5 2 2 3 5 2" xfId="27127"/>
    <cellStyle name="Normal 2 5 2 2 3 6" xfId="27128"/>
    <cellStyle name="Normal 2 5 2 2 3 7" xfId="27129"/>
    <cellStyle name="Normal 2 5 2 2 3 8" xfId="27130"/>
    <cellStyle name="Normal 2 5 2 2 3 9" xfId="27131"/>
    <cellStyle name="Normal 2 5 2 2 4" xfId="27132"/>
    <cellStyle name="Normal 2 5 2 2 4 2" xfId="27133"/>
    <cellStyle name="Normal 2 5 2 2 4 2 2" xfId="27134"/>
    <cellStyle name="Normal 2 5 2 2 4 2 3" xfId="27135"/>
    <cellStyle name="Normal 2 5 2 2 4 3" xfId="27136"/>
    <cellStyle name="Normal 2 5 2 2 4 4" xfId="27137"/>
    <cellStyle name="Normal 2 5 2 2 4 5" xfId="27138"/>
    <cellStyle name="Normal 2 5 2 2 4 6" xfId="27139"/>
    <cellStyle name="Normal 2 5 2 2 5" xfId="27140"/>
    <cellStyle name="Normal 2 5 2 2 5 2" xfId="27141"/>
    <cellStyle name="Normal 2 5 2 2 5 2 2" xfId="27142"/>
    <cellStyle name="Normal 2 5 2 2 5 3" xfId="27143"/>
    <cellStyle name="Normal 2 5 2 2 5 4" xfId="27144"/>
    <cellStyle name="Normal 2 5 2 2 5 5" xfId="27145"/>
    <cellStyle name="Normal 2 5 2 2 6" xfId="27146"/>
    <cellStyle name="Normal 2 5 2 2 6 2" xfId="27147"/>
    <cellStyle name="Normal 2 5 2 2 6 3" xfId="27148"/>
    <cellStyle name="Normal 2 5 2 2 6 4" xfId="27149"/>
    <cellStyle name="Normal 2 5 2 2 7" xfId="27150"/>
    <cellStyle name="Normal 2 5 2 2 7 2" xfId="27151"/>
    <cellStyle name="Normal 2 5 2 2 8" xfId="27152"/>
    <cellStyle name="Normal 2 5 2 2 9" xfId="27153"/>
    <cellStyle name="Normal 2 5 2 20" xfId="27154"/>
    <cellStyle name="Normal 2 5 2 21" xfId="27155"/>
    <cellStyle name="Normal 2 5 2 22" xfId="27156"/>
    <cellStyle name="Normal 2 5 2 3" xfId="27157"/>
    <cellStyle name="Normal 2 5 2 3 10" xfId="27158"/>
    <cellStyle name="Normal 2 5 2 3 11" xfId="27159"/>
    <cellStyle name="Normal 2 5 2 3 2" xfId="27160"/>
    <cellStyle name="Normal 2 5 2 3 2 2" xfId="27161"/>
    <cellStyle name="Normal 2 5 2 3 2 2 2" xfId="27162"/>
    <cellStyle name="Normal 2 5 2 3 2 2 2 2" xfId="27163"/>
    <cellStyle name="Normal 2 5 2 3 2 2 2 3" xfId="27164"/>
    <cellStyle name="Normal 2 5 2 3 2 2 3" xfId="27165"/>
    <cellStyle name="Normal 2 5 2 3 2 2 4" xfId="27166"/>
    <cellStyle name="Normal 2 5 2 3 2 2 5" xfId="27167"/>
    <cellStyle name="Normal 2 5 2 3 2 2 6" xfId="27168"/>
    <cellStyle name="Normal 2 5 2 3 2 3" xfId="27169"/>
    <cellStyle name="Normal 2 5 2 3 2 3 2" xfId="27170"/>
    <cellStyle name="Normal 2 5 2 3 2 3 2 2" xfId="27171"/>
    <cellStyle name="Normal 2 5 2 3 2 3 3" xfId="27172"/>
    <cellStyle name="Normal 2 5 2 3 2 3 4" xfId="27173"/>
    <cellStyle name="Normal 2 5 2 3 2 3 5" xfId="27174"/>
    <cellStyle name="Normal 2 5 2 3 2 4" xfId="27175"/>
    <cellStyle name="Normal 2 5 2 3 2 4 2" xfId="27176"/>
    <cellStyle name="Normal 2 5 2 3 2 4 3" xfId="27177"/>
    <cellStyle name="Normal 2 5 2 3 2 4 4" xfId="27178"/>
    <cellStyle name="Normal 2 5 2 3 2 5" xfId="27179"/>
    <cellStyle name="Normal 2 5 2 3 2 5 2" xfId="27180"/>
    <cellStyle name="Normal 2 5 2 3 2 6" xfId="27181"/>
    <cellStyle name="Normal 2 5 2 3 2 7" xfId="27182"/>
    <cellStyle name="Normal 2 5 2 3 2 8" xfId="27183"/>
    <cellStyle name="Normal 2 5 2 3 2 9" xfId="27184"/>
    <cellStyle name="Normal 2 5 2 3 3" xfId="27185"/>
    <cellStyle name="Normal 2 5 2 3 3 2" xfId="27186"/>
    <cellStyle name="Normal 2 5 2 3 3 2 2" xfId="27187"/>
    <cellStyle name="Normal 2 5 2 3 3 2 2 2" xfId="27188"/>
    <cellStyle name="Normal 2 5 2 3 3 2 2 3" xfId="27189"/>
    <cellStyle name="Normal 2 5 2 3 3 2 3" xfId="27190"/>
    <cellStyle name="Normal 2 5 2 3 3 2 4" xfId="27191"/>
    <cellStyle name="Normal 2 5 2 3 3 2 5" xfId="27192"/>
    <cellStyle name="Normal 2 5 2 3 3 2 6" xfId="27193"/>
    <cellStyle name="Normal 2 5 2 3 3 3" xfId="27194"/>
    <cellStyle name="Normal 2 5 2 3 3 3 2" xfId="27195"/>
    <cellStyle name="Normal 2 5 2 3 3 3 2 2" xfId="27196"/>
    <cellStyle name="Normal 2 5 2 3 3 3 3" xfId="27197"/>
    <cellStyle name="Normal 2 5 2 3 3 3 4" xfId="27198"/>
    <cellStyle name="Normal 2 5 2 3 3 3 5" xfId="27199"/>
    <cellStyle name="Normal 2 5 2 3 3 4" xfId="27200"/>
    <cellStyle name="Normal 2 5 2 3 3 4 2" xfId="27201"/>
    <cellStyle name="Normal 2 5 2 3 3 4 3" xfId="27202"/>
    <cellStyle name="Normal 2 5 2 3 3 4 4" xfId="27203"/>
    <cellStyle name="Normal 2 5 2 3 3 5" xfId="27204"/>
    <cellStyle name="Normal 2 5 2 3 3 5 2" xfId="27205"/>
    <cellStyle name="Normal 2 5 2 3 3 6" xfId="27206"/>
    <cellStyle name="Normal 2 5 2 3 3 7" xfId="27207"/>
    <cellStyle name="Normal 2 5 2 3 3 8" xfId="27208"/>
    <cellStyle name="Normal 2 5 2 3 3 9" xfId="27209"/>
    <cellStyle name="Normal 2 5 2 3 4" xfId="27210"/>
    <cellStyle name="Normal 2 5 2 3 4 2" xfId="27211"/>
    <cellStyle name="Normal 2 5 2 3 4 2 2" xfId="27212"/>
    <cellStyle name="Normal 2 5 2 3 4 2 3" xfId="27213"/>
    <cellStyle name="Normal 2 5 2 3 4 3" xfId="27214"/>
    <cellStyle name="Normal 2 5 2 3 4 4" xfId="27215"/>
    <cellStyle name="Normal 2 5 2 3 4 5" xfId="27216"/>
    <cellStyle name="Normal 2 5 2 3 4 6" xfId="27217"/>
    <cellStyle name="Normal 2 5 2 3 5" xfId="27218"/>
    <cellStyle name="Normal 2 5 2 3 5 2" xfId="27219"/>
    <cellStyle name="Normal 2 5 2 3 5 2 2" xfId="27220"/>
    <cellStyle name="Normal 2 5 2 3 5 3" xfId="27221"/>
    <cellStyle name="Normal 2 5 2 3 5 4" xfId="27222"/>
    <cellStyle name="Normal 2 5 2 3 5 5" xfId="27223"/>
    <cellStyle name="Normal 2 5 2 3 6" xfId="27224"/>
    <cellStyle name="Normal 2 5 2 3 6 2" xfId="27225"/>
    <cellStyle name="Normal 2 5 2 3 6 3" xfId="27226"/>
    <cellStyle name="Normal 2 5 2 3 6 4" xfId="27227"/>
    <cellStyle name="Normal 2 5 2 3 7" xfId="27228"/>
    <cellStyle name="Normal 2 5 2 3 7 2" xfId="27229"/>
    <cellStyle name="Normal 2 5 2 3 8" xfId="27230"/>
    <cellStyle name="Normal 2 5 2 3 9" xfId="27231"/>
    <cellStyle name="Normal 2 5 2 4" xfId="27232"/>
    <cellStyle name="Normal 2 5 2 4 10" xfId="27233"/>
    <cellStyle name="Normal 2 5 2 4 11" xfId="27234"/>
    <cellStyle name="Normal 2 5 2 4 2" xfId="27235"/>
    <cellStyle name="Normal 2 5 2 4 2 2" xfId="27236"/>
    <cellStyle name="Normal 2 5 2 4 2 2 2" xfId="27237"/>
    <cellStyle name="Normal 2 5 2 4 2 2 2 2" xfId="27238"/>
    <cellStyle name="Normal 2 5 2 4 2 2 2 3" xfId="27239"/>
    <cellStyle name="Normal 2 5 2 4 2 2 3" xfId="27240"/>
    <cellStyle name="Normal 2 5 2 4 2 2 4" xfId="27241"/>
    <cellStyle name="Normal 2 5 2 4 2 2 5" xfId="27242"/>
    <cellStyle name="Normal 2 5 2 4 2 2 6" xfId="27243"/>
    <cellStyle name="Normal 2 5 2 4 2 3" xfId="27244"/>
    <cellStyle name="Normal 2 5 2 4 2 3 2" xfId="27245"/>
    <cellStyle name="Normal 2 5 2 4 2 3 2 2" xfId="27246"/>
    <cellStyle name="Normal 2 5 2 4 2 3 3" xfId="27247"/>
    <cellStyle name="Normal 2 5 2 4 2 3 4" xfId="27248"/>
    <cellStyle name="Normal 2 5 2 4 2 3 5" xfId="27249"/>
    <cellStyle name="Normal 2 5 2 4 2 4" xfId="27250"/>
    <cellStyle name="Normal 2 5 2 4 2 4 2" xfId="27251"/>
    <cellStyle name="Normal 2 5 2 4 2 4 3" xfId="27252"/>
    <cellStyle name="Normal 2 5 2 4 2 4 4" xfId="27253"/>
    <cellStyle name="Normal 2 5 2 4 2 5" xfId="27254"/>
    <cellStyle name="Normal 2 5 2 4 2 5 2" xfId="27255"/>
    <cellStyle name="Normal 2 5 2 4 2 6" xfId="27256"/>
    <cellStyle name="Normal 2 5 2 4 2 7" xfId="27257"/>
    <cellStyle name="Normal 2 5 2 4 2 8" xfId="27258"/>
    <cellStyle name="Normal 2 5 2 4 2 9" xfId="27259"/>
    <cellStyle name="Normal 2 5 2 4 3" xfId="27260"/>
    <cellStyle name="Normal 2 5 2 4 3 2" xfId="27261"/>
    <cellStyle name="Normal 2 5 2 4 3 2 2" xfId="27262"/>
    <cellStyle name="Normal 2 5 2 4 3 2 2 2" xfId="27263"/>
    <cellStyle name="Normal 2 5 2 4 3 2 2 3" xfId="27264"/>
    <cellStyle name="Normal 2 5 2 4 3 2 3" xfId="27265"/>
    <cellStyle name="Normal 2 5 2 4 3 2 4" xfId="27266"/>
    <cellStyle name="Normal 2 5 2 4 3 2 5" xfId="27267"/>
    <cellStyle name="Normal 2 5 2 4 3 2 6" xfId="27268"/>
    <cellStyle name="Normal 2 5 2 4 3 3" xfId="27269"/>
    <cellStyle name="Normal 2 5 2 4 3 3 2" xfId="27270"/>
    <cellStyle name="Normal 2 5 2 4 3 3 2 2" xfId="27271"/>
    <cellStyle name="Normal 2 5 2 4 3 3 3" xfId="27272"/>
    <cellStyle name="Normal 2 5 2 4 3 3 4" xfId="27273"/>
    <cellStyle name="Normal 2 5 2 4 3 3 5" xfId="27274"/>
    <cellStyle name="Normal 2 5 2 4 3 4" xfId="27275"/>
    <cellStyle name="Normal 2 5 2 4 3 4 2" xfId="27276"/>
    <cellStyle name="Normal 2 5 2 4 3 4 3" xfId="27277"/>
    <cellStyle name="Normal 2 5 2 4 3 4 4" xfId="27278"/>
    <cellStyle name="Normal 2 5 2 4 3 5" xfId="27279"/>
    <cellStyle name="Normal 2 5 2 4 3 5 2" xfId="27280"/>
    <cellStyle name="Normal 2 5 2 4 3 6" xfId="27281"/>
    <cellStyle name="Normal 2 5 2 4 3 7" xfId="27282"/>
    <cellStyle name="Normal 2 5 2 4 3 8" xfId="27283"/>
    <cellStyle name="Normal 2 5 2 4 3 9" xfId="27284"/>
    <cellStyle name="Normal 2 5 2 4 4" xfId="27285"/>
    <cellStyle name="Normal 2 5 2 4 4 2" xfId="27286"/>
    <cellStyle name="Normal 2 5 2 4 4 2 2" xfId="27287"/>
    <cellStyle name="Normal 2 5 2 4 4 2 3" xfId="27288"/>
    <cellStyle name="Normal 2 5 2 4 4 3" xfId="27289"/>
    <cellStyle name="Normal 2 5 2 4 4 4" xfId="27290"/>
    <cellStyle name="Normal 2 5 2 4 4 5" xfId="27291"/>
    <cellStyle name="Normal 2 5 2 4 4 6" xfId="27292"/>
    <cellStyle name="Normal 2 5 2 4 5" xfId="27293"/>
    <cellStyle name="Normal 2 5 2 4 5 2" xfId="27294"/>
    <cellStyle name="Normal 2 5 2 4 5 2 2" xfId="27295"/>
    <cellStyle name="Normal 2 5 2 4 5 3" xfId="27296"/>
    <cellStyle name="Normal 2 5 2 4 5 4" xfId="27297"/>
    <cellStyle name="Normal 2 5 2 4 5 5" xfId="27298"/>
    <cellStyle name="Normal 2 5 2 4 6" xfId="27299"/>
    <cellStyle name="Normal 2 5 2 4 6 2" xfId="27300"/>
    <cellStyle name="Normal 2 5 2 4 6 3" xfId="27301"/>
    <cellStyle name="Normal 2 5 2 4 6 4" xfId="27302"/>
    <cellStyle name="Normal 2 5 2 4 7" xfId="27303"/>
    <cellStyle name="Normal 2 5 2 4 7 2" xfId="27304"/>
    <cellStyle name="Normal 2 5 2 4 8" xfId="27305"/>
    <cellStyle name="Normal 2 5 2 4 9" xfId="27306"/>
    <cellStyle name="Normal 2 5 2 5" xfId="27307"/>
    <cellStyle name="Normal 2 5 2 5 10" xfId="27308"/>
    <cellStyle name="Normal 2 5 2 5 11" xfId="27309"/>
    <cellStyle name="Normal 2 5 2 5 2" xfId="27310"/>
    <cellStyle name="Normal 2 5 2 5 2 2" xfId="27311"/>
    <cellStyle name="Normal 2 5 2 5 2 2 2" xfId="27312"/>
    <cellStyle name="Normal 2 5 2 5 2 2 2 2" xfId="27313"/>
    <cellStyle name="Normal 2 5 2 5 2 2 2 3" xfId="27314"/>
    <cellStyle name="Normal 2 5 2 5 2 2 3" xfId="27315"/>
    <cellStyle name="Normal 2 5 2 5 2 2 4" xfId="27316"/>
    <cellStyle name="Normal 2 5 2 5 2 2 5" xfId="27317"/>
    <cellStyle name="Normal 2 5 2 5 2 2 6" xfId="27318"/>
    <cellStyle name="Normal 2 5 2 5 2 3" xfId="27319"/>
    <cellStyle name="Normal 2 5 2 5 2 3 2" xfId="27320"/>
    <cellStyle name="Normal 2 5 2 5 2 3 2 2" xfId="27321"/>
    <cellStyle name="Normal 2 5 2 5 2 3 3" xfId="27322"/>
    <cellStyle name="Normal 2 5 2 5 2 3 4" xfId="27323"/>
    <cellStyle name="Normal 2 5 2 5 2 3 5" xfId="27324"/>
    <cellStyle name="Normal 2 5 2 5 2 4" xfId="27325"/>
    <cellStyle name="Normal 2 5 2 5 2 4 2" xfId="27326"/>
    <cellStyle name="Normal 2 5 2 5 2 4 3" xfId="27327"/>
    <cellStyle name="Normal 2 5 2 5 2 4 4" xfId="27328"/>
    <cellStyle name="Normal 2 5 2 5 2 5" xfId="27329"/>
    <cellStyle name="Normal 2 5 2 5 2 5 2" xfId="27330"/>
    <cellStyle name="Normal 2 5 2 5 2 6" xfId="27331"/>
    <cellStyle name="Normal 2 5 2 5 2 7" xfId="27332"/>
    <cellStyle name="Normal 2 5 2 5 2 8" xfId="27333"/>
    <cellStyle name="Normal 2 5 2 5 2 9" xfId="27334"/>
    <cellStyle name="Normal 2 5 2 5 3" xfId="27335"/>
    <cellStyle name="Normal 2 5 2 5 3 2" xfId="27336"/>
    <cellStyle name="Normal 2 5 2 5 3 2 2" xfId="27337"/>
    <cellStyle name="Normal 2 5 2 5 3 2 2 2" xfId="27338"/>
    <cellStyle name="Normal 2 5 2 5 3 2 2 3" xfId="27339"/>
    <cellStyle name="Normal 2 5 2 5 3 2 3" xfId="27340"/>
    <cellStyle name="Normal 2 5 2 5 3 2 4" xfId="27341"/>
    <cellStyle name="Normal 2 5 2 5 3 2 5" xfId="27342"/>
    <cellStyle name="Normal 2 5 2 5 3 2 6" xfId="27343"/>
    <cellStyle name="Normal 2 5 2 5 3 3" xfId="27344"/>
    <cellStyle name="Normal 2 5 2 5 3 3 2" xfId="27345"/>
    <cellStyle name="Normal 2 5 2 5 3 3 2 2" xfId="27346"/>
    <cellStyle name="Normal 2 5 2 5 3 3 3" xfId="27347"/>
    <cellStyle name="Normal 2 5 2 5 3 3 4" xfId="27348"/>
    <cellStyle name="Normal 2 5 2 5 3 3 5" xfId="27349"/>
    <cellStyle name="Normal 2 5 2 5 3 4" xfId="27350"/>
    <cellStyle name="Normal 2 5 2 5 3 4 2" xfId="27351"/>
    <cellStyle name="Normal 2 5 2 5 3 4 3" xfId="27352"/>
    <cellStyle name="Normal 2 5 2 5 3 4 4" xfId="27353"/>
    <cellStyle name="Normal 2 5 2 5 3 5" xfId="27354"/>
    <cellStyle name="Normal 2 5 2 5 3 5 2" xfId="27355"/>
    <cellStyle name="Normal 2 5 2 5 3 6" xfId="27356"/>
    <cellStyle name="Normal 2 5 2 5 3 7" xfId="27357"/>
    <cellStyle name="Normal 2 5 2 5 3 8" xfId="27358"/>
    <cellStyle name="Normal 2 5 2 5 3 9" xfId="27359"/>
    <cellStyle name="Normal 2 5 2 5 4" xfId="27360"/>
    <cellStyle name="Normal 2 5 2 5 4 2" xfId="27361"/>
    <cellStyle name="Normal 2 5 2 5 4 2 2" xfId="27362"/>
    <cellStyle name="Normal 2 5 2 5 4 2 3" xfId="27363"/>
    <cellStyle name="Normal 2 5 2 5 4 3" xfId="27364"/>
    <cellStyle name="Normal 2 5 2 5 4 4" xfId="27365"/>
    <cellStyle name="Normal 2 5 2 5 4 5" xfId="27366"/>
    <cellStyle name="Normal 2 5 2 5 4 6" xfId="27367"/>
    <cellStyle name="Normal 2 5 2 5 5" xfId="27368"/>
    <cellStyle name="Normal 2 5 2 5 5 2" xfId="27369"/>
    <cellStyle name="Normal 2 5 2 5 5 2 2" xfId="27370"/>
    <cellStyle name="Normal 2 5 2 5 5 3" xfId="27371"/>
    <cellStyle name="Normal 2 5 2 5 5 4" xfId="27372"/>
    <cellStyle name="Normal 2 5 2 5 5 5" xfId="27373"/>
    <cellStyle name="Normal 2 5 2 5 6" xfId="27374"/>
    <cellStyle name="Normal 2 5 2 5 6 2" xfId="27375"/>
    <cellStyle name="Normal 2 5 2 5 6 3" xfId="27376"/>
    <cellStyle name="Normal 2 5 2 5 6 4" xfId="27377"/>
    <cellStyle name="Normal 2 5 2 5 7" xfId="27378"/>
    <cellStyle name="Normal 2 5 2 5 7 2" xfId="27379"/>
    <cellStyle name="Normal 2 5 2 5 8" xfId="27380"/>
    <cellStyle name="Normal 2 5 2 5 9" xfId="27381"/>
    <cellStyle name="Normal 2 5 2 6" xfId="27382"/>
    <cellStyle name="Normal 2 5 2 6 10" xfId="27383"/>
    <cellStyle name="Normal 2 5 2 6 11" xfId="27384"/>
    <cellStyle name="Normal 2 5 2 6 2" xfId="27385"/>
    <cellStyle name="Normal 2 5 2 6 2 2" xfId="27386"/>
    <cellStyle name="Normal 2 5 2 6 2 2 2" xfId="27387"/>
    <cellStyle name="Normal 2 5 2 6 2 2 2 2" xfId="27388"/>
    <cellStyle name="Normal 2 5 2 6 2 2 2 3" xfId="27389"/>
    <cellStyle name="Normal 2 5 2 6 2 2 3" xfId="27390"/>
    <cellStyle name="Normal 2 5 2 6 2 2 4" xfId="27391"/>
    <cellStyle name="Normal 2 5 2 6 2 2 5" xfId="27392"/>
    <cellStyle name="Normal 2 5 2 6 2 2 6" xfId="27393"/>
    <cellStyle name="Normal 2 5 2 6 2 3" xfId="27394"/>
    <cellStyle name="Normal 2 5 2 6 2 3 2" xfId="27395"/>
    <cellStyle name="Normal 2 5 2 6 2 3 2 2" xfId="27396"/>
    <cellStyle name="Normal 2 5 2 6 2 3 3" xfId="27397"/>
    <cellStyle name="Normal 2 5 2 6 2 3 4" xfId="27398"/>
    <cellStyle name="Normal 2 5 2 6 2 3 5" xfId="27399"/>
    <cellStyle name="Normal 2 5 2 6 2 4" xfId="27400"/>
    <cellStyle name="Normal 2 5 2 6 2 4 2" xfId="27401"/>
    <cellStyle name="Normal 2 5 2 6 2 4 3" xfId="27402"/>
    <cellStyle name="Normal 2 5 2 6 2 4 4" xfId="27403"/>
    <cellStyle name="Normal 2 5 2 6 2 5" xfId="27404"/>
    <cellStyle name="Normal 2 5 2 6 2 5 2" xfId="27405"/>
    <cellStyle name="Normal 2 5 2 6 2 6" xfId="27406"/>
    <cellStyle name="Normal 2 5 2 6 2 7" xfId="27407"/>
    <cellStyle name="Normal 2 5 2 6 2 8" xfId="27408"/>
    <cellStyle name="Normal 2 5 2 6 2 9" xfId="27409"/>
    <cellStyle name="Normal 2 5 2 6 3" xfId="27410"/>
    <cellStyle name="Normal 2 5 2 6 3 2" xfId="27411"/>
    <cellStyle name="Normal 2 5 2 6 3 2 2" xfId="27412"/>
    <cellStyle name="Normal 2 5 2 6 3 2 2 2" xfId="27413"/>
    <cellStyle name="Normal 2 5 2 6 3 2 2 3" xfId="27414"/>
    <cellStyle name="Normal 2 5 2 6 3 2 3" xfId="27415"/>
    <cellStyle name="Normal 2 5 2 6 3 2 4" xfId="27416"/>
    <cellStyle name="Normal 2 5 2 6 3 2 5" xfId="27417"/>
    <cellStyle name="Normal 2 5 2 6 3 2 6" xfId="27418"/>
    <cellStyle name="Normal 2 5 2 6 3 3" xfId="27419"/>
    <cellStyle name="Normal 2 5 2 6 3 3 2" xfId="27420"/>
    <cellStyle name="Normal 2 5 2 6 3 3 2 2" xfId="27421"/>
    <cellStyle name="Normal 2 5 2 6 3 3 3" xfId="27422"/>
    <cellStyle name="Normal 2 5 2 6 3 3 4" xfId="27423"/>
    <cellStyle name="Normal 2 5 2 6 3 3 5" xfId="27424"/>
    <cellStyle name="Normal 2 5 2 6 3 4" xfId="27425"/>
    <cellStyle name="Normal 2 5 2 6 3 4 2" xfId="27426"/>
    <cellStyle name="Normal 2 5 2 6 3 4 3" xfId="27427"/>
    <cellStyle name="Normal 2 5 2 6 3 4 4" xfId="27428"/>
    <cellStyle name="Normal 2 5 2 6 3 5" xfId="27429"/>
    <cellStyle name="Normal 2 5 2 6 3 5 2" xfId="27430"/>
    <cellStyle name="Normal 2 5 2 6 3 6" xfId="27431"/>
    <cellStyle name="Normal 2 5 2 6 3 7" xfId="27432"/>
    <cellStyle name="Normal 2 5 2 6 3 8" xfId="27433"/>
    <cellStyle name="Normal 2 5 2 6 3 9" xfId="27434"/>
    <cellStyle name="Normal 2 5 2 6 4" xfId="27435"/>
    <cellStyle name="Normal 2 5 2 6 4 2" xfId="27436"/>
    <cellStyle name="Normal 2 5 2 6 4 2 2" xfId="27437"/>
    <cellStyle name="Normal 2 5 2 6 4 2 3" xfId="27438"/>
    <cellStyle name="Normal 2 5 2 6 4 3" xfId="27439"/>
    <cellStyle name="Normal 2 5 2 6 4 4" xfId="27440"/>
    <cellStyle name="Normal 2 5 2 6 4 5" xfId="27441"/>
    <cellStyle name="Normal 2 5 2 6 4 6" xfId="27442"/>
    <cellStyle name="Normal 2 5 2 6 5" xfId="27443"/>
    <cellStyle name="Normal 2 5 2 6 5 2" xfId="27444"/>
    <cellStyle name="Normal 2 5 2 6 5 2 2" xfId="27445"/>
    <cellStyle name="Normal 2 5 2 6 5 3" xfId="27446"/>
    <cellStyle name="Normal 2 5 2 6 5 4" xfId="27447"/>
    <cellStyle name="Normal 2 5 2 6 5 5" xfId="27448"/>
    <cellStyle name="Normal 2 5 2 6 6" xfId="27449"/>
    <cellStyle name="Normal 2 5 2 6 6 2" xfId="27450"/>
    <cellStyle name="Normal 2 5 2 6 6 3" xfId="27451"/>
    <cellStyle name="Normal 2 5 2 6 6 4" xfId="27452"/>
    <cellStyle name="Normal 2 5 2 6 7" xfId="27453"/>
    <cellStyle name="Normal 2 5 2 6 7 2" xfId="27454"/>
    <cellStyle name="Normal 2 5 2 6 8" xfId="27455"/>
    <cellStyle name="Normal 2 5 2 6 9" xfId="27456"/>
    <cellStyle name="Normal 2 5 2 7" xfId="27457"/>
    <cellStyle name="Normal 2 5 2 7 10" xfId="27458"/>
    <cellStyle name="Normal 2 5 2 7 11" xfId="27459"/>
    <cellStyle name="Normal 2 5 2 7 2" xfId="27460"/>
    <cellStyle name="Normal 2 5 2 7 2 2" xfId="27461"/>
    <cellStyle name="Normal 2 5 2 7 2 2 2" xfId="27462"/>
    <cellStyle name="Normal 2 5 2 7 2 2 2 2" xfId="27463"/>
    <cellStyle name="Normal 2 5 2 7 2 2 2 3" xfId="27464"/>
    <cellStyle name="Normal 2 5 2 7 2 2 3" xfId="27465"/>
    <cellStyle name="Normal 2 5 2 7 2 2 4" xfId="27466"/>
    <cellStyle name="Normal 2 5 2 7 2 2 5" xfId="27467"/>
    <cellStyle name="Normal 2 5 2 7 2 2 6" xfId="27468"/>
    <cellStyle name="Normal 2 5 2 7 2 3" xfId="27469"/>
    <cellStyle name="Normal 2 5 2 7 2 3 2" xfId="27470"/>
    <cellStyle name="Normal 2 5 2 7 2 3 2 2" xfId="27471"/>
    <cellStyle name="Normal 2 5 2 7 2 3 3" xfId="27472"/>
    <cellStyle name="Normal 2 5 2 7 2 3 4" xfId="27473"/>
    <cellStyle name="Normal 2 5 2 7 2 3 5" xfId="27474"/>
    <cellStyle name="Normal 2 5 2 7 2 4" xfId="27475"/>
    <cellStyle name="Normal 2 5 2 7 2 4 2" xfId="27476"/>
    <cellStyle name="Normal 2 5 2 7 2 4 3" xfId="27477"/>
    <cellStyle name="Normal 2 5 2 7 2 4 4" xfId="27478"/>
    <cellStyle name="Normal 2 5 2 7 2 5" xfId="27479"/>
    <cellStyle name="Normal 2 5 2 7 2 5 2" xfId="27480"/>
    <cellStyle name="Normal 2 5 2 7 2 6" xfId="27481"/>
    <cellStyle name="Normal 2 5 2 7 2 7" xfId="27482"/>
    <cellStyle name="Normal 2 5 2 7 2 8" xfId="27483"/>
    <cellStyle name="Normal 2 5 2 7 2 9" xfId="27484"/>
    <cellStyle name="Normal 2 5 2 7 3" xfId="27485"/>
    <cellStyle name="Normal 2 5 2 7 3 2" xfId="27486"/>
    <cellStyle name="Normal 2 5 2 7 3 2 2" xfId="27487"/>
    <cellStyle name="Normal 2 5 2 7 3 2 2 2" xfId="27488"/>
    <cellStyle name="Normal 2 5 2 7 3 2 2 3" xfId="27489"/>
    <cellStyle name="Normal 2 5 2 7 3 2 3" xfId="27490"/>
    <cellStyle name="Normal 2 5 2 7 3 2 4" xfId="27491"/>
    <cellStyle name="Normal 2 5 2 7 3 2 5" xfId="27492"/>
    <cellStyle name="Normal 2 5 2 7 3 2 6" xfId="27493"/>
    <cellStyle name="Normal 2 5 2 7 3 3" xfId="27494"/>
    <cellStyle name="Normal 2 5 2 7 3 3 2" xfId="27495"/>
    <cellStyle name="Normal 2 5 2 7 3 3 2 2" xfId="27496"/>
    <cellStyle name="Normal 2 5 2 7 3 3 3" xfId="27497"/>
    <cellStyle name="Normal 2 5 2 7 3 3 4" xfId="27498"/>
    <cellStyle name="Normal 2 5 2 7 3 3 5" xfId="27499"/>
    <cellStyle name="Normal 2 5 2 7 3 4" xfId="27500"/>
    <cellStyle name="Normal 2 5 2 7 3 4 2" xfId="27501"/>
    <cellStyle name="Normal 2 5 2 7 3 4 3" xfId="27502"/>
    <cellStyle name="Normal 2 5 2 7 3 4 4" xfId="27503"/>
    <cellStyle name="Normal 2 5 2 7 3 5" xfId="27504"/>
    <cellStyle name="Normal 2 5 2 7 3 5 2" xfId="27505"/>
    <cellStyle name="Normal 2 5 2 7 3 6" xfId="27506"/>
    <cellStyle name="Normal 2 5 2 7 3 7" xfId="27507"/>
    <cellStyle name="Normal 2 5 2 7 3 8" xfId="27508"/>
    <cellStyle name="Normal 2 5 2 7 3 9" xfId="27509"/>
    <cellStyle name="Normal 2 5 2 7 4" xfId="27510"/>
    <cellStyle name="Normal 2 5 2 7 4 2" xfId="27511"/>
    <cellStyle name="Normal 2 5 2 7 4 2 2" xfId="27512"/>
    <cellStyle name="Normal 2 5 2 7 4 2 3" xfId="27513"/>
    <cellStyle name="Normal 2 5 2 7 4 3" xfId="27514"/>
    <cellStyle name="Normal 2 5 2 7 4 4" xfId="27515"/>
    <cellStyle name="Normal 2 5 2 7 4 5" xfId="27516"/>
    <cellStyle name="Normal 2 5 2 7 4 6" xfId="27517"/>
    <cellStyle name="Normal 2 5 2 7 5" xfId="27518"/>
    <cellStyle name="Normal 2 5 2 7 5 2" xfId="27519"/>
    <cellStyle name="Normal 2 5 2 7 5 2 2" xfId="27520"/>
    <cellStyle name="Normal 2 5 2 7 5 3" xfId="27521"/>
    <cellStyle name="Normal 2 5 2 7 5 4" xfId="27522"/>
    <cellStyle name="Normal 2 5 2 7 5 5" xfId="27523"/>
    <cellStyle name="Normal 2 5 2 7 6" xfId="27524"/>
    <cellStyle name="Normal 2 5 2 7 6 2" xfId="27525"/>
    <cellStyle name="Normal 2 5 2 7 6 3" xfId="27526"/>
    <cellStyle name="Normal 2 5 2 7 6 4" xfId="27527"/>
    <cellStyle name="Normal 2 5 2 7 7" xfId="27528"/>
    <cellStyle name="Normal 2 5 2 7 7 2" xfId="27529"/>
    <cellStyle name="Normal 2 5 2 7 8" xfId="27530"/>
    <cellStyle name="Normal 2 5 2 7 9" xfId="27531"/>
    <cellStyle name="Normal 2 5 2 8" xfId="27532"/>
    <cellStyle name="Normal 2 5 2 8 10" xfId="27533"/>
    <cellStyle name="Normal 2 5 2 8 2" xfId="27534"/>
    <cellStyle name="Normal 2 5 2 8 2 2" xfId="27535"/>
    <cellStyle name="Normal 2 5 2 8 2 2 2" xfId="27536"/>
    <cellStyle name="Normal 2 5 2 8 2 2 3" xfId="27537"/>
    <cellStyle name="Normal 2 5 2 8 2 3" xfId="27538"/>
    <cellStyle name="Normal 2 5 2 8 2 4" xfId="27539"/>
    <cellStyle name="Normal 2 5 2 8 2 5" xfId="27540"/>
    <cellStyle name="Normal 2 5 2 8 2 6" xfId="27541"/>
    <cellStyle name="Normal 2 5 2 8 3" xfId="27542"/>
    <cellStyle name="Normal 2 5 2 8 3 2" xfId="27543"/>
    <cellStyle name="Normal 2 5 2 8 3 2 2" xfId="27544"/>
    <cellStyle name="Normal 2 5 2 8 3 2 3" xfId="27545"/>
    <cellStyle name="Normal 2 5 2 8 3 3" xfId="27546"/>
    <cellStyle name="Normal 2 5 2 8 3 4" xfId="27547"/>
    <cellStyle name="Normal 2 5 2 8 3 5" xfId="27548"/>
    <cellStyle name="Normal 2 5 2 8 3 6" xfId="27549"/>
    <cellStyle name="Normal 2 5 2 8 4" xfId="27550"/>
    <cellStyle name="Normal 2 5 2 8 4 2" xfId="27551"/>
    <cellStyle name="Normal 2 5 2 8 4 2 2" xfId="27552"/>
    <cellStyle name="Normal 2 5 2 8 4 3" xfId="27553"/>
    <cellStyle name="Normal 2 5 2 8 4 4" xfId="27554"/>
    <cellStyle name="Normal 2 5 2 8 4 5" xfId="27555"/>
    <cellStyle name="Normal 2 5 2 8 5" xfId="27556"/>
    <cellStyle name="Normal 2 5 2 8 5 2" xfId="27557"/>
    <cellStyle name="Normal 2 5 2 8 5 3" xfId="27558"/>
    <cellStyle name="Normal 2 5 2 8 5 4" xfId="27559"/>
    <cellStyle name="Normal 2 5 2 8 6" xfId="27560"/>
    <cellStyle name="Normal 2 5 2 8 6 2" xfId="27561"/>
    <cellStyle name="Normal 2 5 2 8 7" xfId="27562"/>
    <cellStyle name="Normal 2 5 2 8 8" xfId="27563"/>
    <cellStyle name="Normal 2 5 2 8 9" xfId="27564"/>
    <cellStyle name="Normal 2 5 2 9" xfId="27565"/>
    <cellStyle name="Normal 2 5 2 9 10" xfId="27566"/>
    <cellStyle name="Normal 2 5 2 9 2" xfId="27567"/>
    <cellStyle name="Normal 2 5 2 9 2 2" xfId="27568"/>
    <cellStyle name="Normal 2 5 2 9 2 2 2" xfId="27569"/>
    <cellStyle name="Normal 2 5 2 9 2 2 3" xfId="27570"/>
    <cellStyle name="Normal 2 5 2 9 2 3" xfId="27571"/>
    <cellStyle name="Normal 2 5 2 9 2 4" xfId="27572"/>
    <cellStyle name="Normal 2 5 2 9 2 5" xfId="27573"/>
    <cellStyle name="Normal 2 5 2 9 2 6" xfId="27574"/>
    <cellStyle name="Normal 2 5 2 9 3" xfId="27575"/>
    <cellStyle name="Normal 2 5 2 9 3 2" xfId="27576"/>
    <cellStyle name="Normal 2 5 2 9 3 2 2" xfId="27577"/>
    <cellStyle name="Normal 2 5 2 9 3 2 3" xfId="27578"/>
    <cellStyle name="Normal 2 5 2 9 3 3" xfId="27579"/>
    <cellStyle name="Normal 2 5 2 9 3 4" xfId="27580"/>
    <cellStyle name="Normal 2 5 2 9 3 5" xfId="27581"/>
    <cellStyle name="Normal 2 5 2 9 3 6" xfId="27582"/>
    <cellStyle name="Normal 2 5 2 9 4" xfId="27583"/>
    <cellStyle name="Normal 2 5 2 9 4 2" xfId="27584"/>
    <cellStyle name="Normal 2 5 2 9 4 2 2" xfId="27585"/>
    <cellStyle name="Normal 2 5 2 9 4 3" xfId="27586"/>
    <cellStyle name="Normal 2 5 2 9 4 4" xfId="27587"/>
    <cellStyle name="Normal 2 5 2 9 4 5" xfId="27588"/>
    <cellStyle name="Normal 2 5 2 9 5" xfId="27589"/>
    <cellStyle name="Normal 2 5 2 9 5 2" xfId="27590"/>
    <cellStyle name="Normal 2 5 2 9 5 3" xfId="27591"/>
    <cellStyle name="Normal 2 5 2 9 5 4" xfId="27592"/>
    <cellStyle name="Normal 2 5 2 9 6" xfId="27593"/>
    <cellStyle name="Normal 2 5 2 9 6 2" xfId="27594"/>
    <cellStyle name="Normal 2 5 2 9 7" xfId="27595"/>
    <cellStyle name="Normal 2 5 2 9 8" xfId="27596"/>
    <cellStyle name="Normal 2 5 2 9 9" xfId="27597"/>
    <cellStyle name="Normal 2 5 3" xfId="27598"/>
    <cellStyle name="Normal 2 5 3 2" xfId="27599"/>
    <cellStyle name="Normal 2 5 4" xfId="27600"/>
    <cellStyle name="Normal 2 5 4 2" xfId="27601"/>
    <cellStyle name="Normal 2 5 5" xfId="27602"/>
    <cellStyle name="Normal 2 5 6" xfId="27603"/>
    <cellStyle name="Normal 2 5 7" xfId="27604"/>
    <cellStyle name="Normal 2 5 8" xfId="27605"/>
    <cellStyle name="Normal 2 5 9" xfId="27606"/>
    <cellStyle name="Normal 2 50" xfId="27607"/>
    <cellStyle name="Normal 2 50 10" xfId="27608"/>
    <cellStyle name="Normal 2 50 2" xfId="27609"/>
    <cellStyle name="Normal 2 50 2 2" xfId="27610"/>
    <cellStyle name="Normal 2 50 2 2 2" xfId="27611"/>
    <cellStyle name="Normal 2 50 2 2 3" xfId="27612"/>
    <cellStyle name="Normal 2 50 2 3" xfId="27613"/>
    <cellStyle name="Normal 2 50 2 4" xfId="27614"/>
    <cellStyle name="Normal 2 50 2 5" xfId="27615"/>
    <cellStyle name="Normal 2 50 2 6" xfId="27616"/>
    <cellStyle name="Normal 2 50 3" xfId="27617"/>
    <cellStyle name="Normal 2 50 3 2" xfId="27618"/>
    <cellStyle name="Normal 2 50 3 2 2" xfId="27619"/>
    <cellStyle name="Normal 2 50 3 2 3" xfId="27620"/>
    <cellStyle name="Normal 2 50 3 3" xfId="27621"/>
    <cellStyle name="Normal 2 50 3 4" xfId="27622"/>
    <cellStyle name="Normal 2 50 3 5" xfId="27623"/>
    <cellStyle name="Normal 2 50 3 6" xfId="27624"/>
    <cellStyle name="Normal 2 50 4" xfId="27625"/>
    <cellStyle name="Normal 2 50 4 2" xfId="27626"/>
    <cellStyle name="Normal 2 50 4 2 2" xfId="27627"/>
    <cellStyle name="Normal 2 50 4 3" xfId="27628"/>
    <cellStyle name="Normal 2 50 4 4" xfId="27629"/>
    <cellStyle name="Normal 2 50 4 5" xfId="27630"/>
    <cellStyle name="Normal 2 50 5" xfId="27631"/>
    <cellStyle name="Normal 2 50 5 2" xfId="27632"/>
    <cellStyle name="Normal 2 50 5 3" xfId="27633"/>
    <cellStyle name="Normal 2 50 5 4" xfId="27634"/>
    <cellStyle name="Normal 2 50 6" xfId="27635"/>
    <cellStyle name="Normal 2 50 6 2" xfId="27636"/>
    <cellStyle name="Normal 2 50 7" xfId="27637"/>
    <cellStyle name="Normal 2 50 8" xfId="27638"/>
    <cellStyle name="Normal 2 50 9" xfId="27639"/>
    <cellStyle name="Normal 2 51" xfId="27640"/>
    <cellStyle name="Normal 2 51 10" xfId="27641"/>
    <cellStyle name="Normal 2 51 2" xfId="27642"/>
    <cellStyle name="Normal 2 51 2 2" xfId="27643"/>
    <cellStyle name="Normal 2 51 2 2 2" xfId="27644"/>
    <cellStyle name="Normal 2 51 2 2 3" xfId="27645"/>
    <cellStyle name="Normal 2 51 2 3" xfId="27646"/>
    <cellStyle name="Normal 2 51 2 4" xfId="27647"/>
    <cellStyle name="Normal 2 51 2 5" xfId="27648"/>
    <cellStyle name="Normal 2 51 2 6" xfId="27649"/>
    <cellStyle name="Normal 2 51 3" xfId="27650"/>
    <cellStyle name="Normal 2 51 3 2" xfId="27651"/>
    <cellStyle name="Normal 2 51 3 2 2" xfId="27652"/>
    <cellStyle name="Normal 2 51 3 2 3" xfId="27653"/>
    <cellStyle name="Normal 2 51 3 3" xfId="27654"/>
    <cellStyle name="Normal 2 51 3 4" xfId="27655"/>
    <cellStyle name="Normal 2 51 3 5" xfId="27656"/>
    <cellStyle name="Normal 2 51 3 6" xfId="27657"/>
    <cellStyle name="Normal 2 51 4" xfId="27658"/>
    <cellStyle name="Normal 2 51 4 2" xfId="27659"/>
    <cellStyle name="Normal 2 51 4 2 2" xfId="27660"/>
    <cellStyle name="Normal 2 51 4 3" xfId="27661"/>
    <cellStyle name="Normal 2 51 4 4" xfId="27662"/>
    <cellStyle name="Normal 2 51 4 5" xfId="27663"/>
    <cellStyle name="Normal 2 51 5" xfId="27664"/>
    <cellStyle name="Normal 2 51 5 2" xfId="27665"/>
    <cellStyle name="Normal 2 51 5 3" xfId="27666"/>
    <cellStyle name="Normal 2 51 5 4" xfId="27667"/>
    <cellStyle name="Normal 2 51 6" xfId="27668"/>
    <cellStyle name="Normal 2 51 6 2" xfId="27669"/>
    <cellStyle name="Normal 2 51 7" xfId="27670"/>
    <cellStyle name="Normal 2 51 8" xfId="27671"/>
    <cellStyle name="Normal 2 51 9" xfId="27672"/>
    <cellStyle name="Normal 2 52" xfId="27673"/>
    <cellStyle name="Normal 2 52 10" xfId="27674"/>
    <cellStyle name="Normal 2 52 2" xfId="27675"/>
    <cellStyle name="Normal 2 52 2 2" xfId="27676"/>
    <cellStyle name="Normal 2 52 2 2 2" xfId="27677"/>
    <cellStyle name="Normal 2 52 2 2 3" xfId="27678"/>
    <cellStyle name="Normal 2 52 2 3" xfId="27679"/>
    <cellStyle name="Normal 2 52 2 4" xfId="27680"/>
    <cellStyle name="Normal 2 52 2 5" xfId="27681"/>
    <cellStyle name="Normal 2 52 2 6" xfId="27682"/>
    <cellStyle name="Normal 2 52 3" xfId="27683"/>
    <cellStyle name="Normal 2 52 3 2" xfId="27684"/>
    <cellStyle name="Normal 2 52 3 2 2" xfId="27685"/>
    <cellStyle name="Normal 2 52 3 2 3" xfId="27686"/>
    <cellStyle name="Normal 2 52 3 3" xfId="27687"/>
    <cellStyle name="Normal 2 52 3 4" xfId="27688"/>
    <cellStyle name="Normal 2 52 3 5" xfId="27689"/>
    <cellStyle name="Normal 2 52 3 6" xfId="27690"/>
    <cellStyle name="Normal 2 52 4" xfId="27691"/>
    <cellStyle name="Normal 2 52 4 2" xfId="27692"/>
    <cellStyle name="Normal 2 52 4 2 2" xfId="27693"/>
    <cellStyle name="Normal 2 52 4 3" xfId="27694"/>
    <cellStyle name="Normal 2 52 4 4" xfId="27695"/>
    <cellStyle name="Normal 2 52 4 5" xfId="27696"/>
    <cellStyle name="Normal 2 52 5" xfId="27697"/>
    <cellStyle name="Normal 2 52 5 2" xfId="27698"/>
    <cellStyle name="Normal 2 52 5 3" xfId="27699"/>
    <cellStyle name="Normal 2 52 5 4" xfId="27700"/>
    <cellStyle name="Normal 2 52 6" xfId="27701"/>
    <cellStyle name="Normal 2 52 6 2" xfId="27702"/>
    <cellStyle name="Normal 2 52 7" xfId="27703"/>
    <cellStyle name="Normal 2 52 8" xfId="27704"/>
    <cellStyle name="Normal 2 52 9" xfId="27705"/>
    <cellStyle name="Normal 2 53" xfId="27706"/>
    <cellStyle name="Normal 2 53 10" xfId="27707"/>
    <cellStyle name="Normal 2 53 2" xfId="27708"/>
    <cellStyle name="Normal 2 53 2 2" xfId="27709"/>
    <cellStyle name="Normal 2 53 2 2 2" xfId="27710"/>
    <cellStyle name="Normal 2 53 2 2 3" xfId="27711"/>
    <cellStyle name="Normal 2 53 2 3" xfId="27712"/>
    <cellStyle name="Normal 2 53 2 4" xfId="27713"/>
    <cellStyle name="Normal 2 53 2 5" xfId="27714"/>
    <cellStyle name="Normal 2 53 2 6" xfId="27715"/>
    <cellStyle name="Normal 2 53 3" xfId="27716"/>
    <cellStyle name="Normal 2 53 3 2" xfId="27717"/>
    <cellStyle name="Normal 2 53 3 2 2" xfId="27718"/>
    <cellStyle name="Normal 2 53 3 2 3" xfId="27719"/>
    <cellStyle name="Normal 2 53 3 3" xfId="27720"/>
    <cellStyle name="Normal 2 53 3 4" xfId="27721"/>
    <cellStyle name="Normal 2 53 3 5" xfId="27722"/>
    <cellStyle name="Normal 2 53 3 6" xfId="27723"/>
    <cellStyle name="Normal 2 53 4" xfId="27724"/>
    <cellStyle name="Normal 2 53 4 2" xfId="27725"/>
    <cellStyle name="Normal 2 53 4 2 2" xfId="27726"/>
    <cellStyle name="Normal 2 53 4 3" xfId="27727"/>
    <cellStyle name="Normal 2 53 4 4" xfId="27728"/>
    <cellStyle name="Normal 2 53 4 5" xfId="27729"/>
    <cellStyle name="Normal 2 53 5" xfId="27730"/>
    <cellStyle name="Normal 2 53 5 2" xfId="27731"/>
    <cellStyle name="Normal 2 53 5 3" xfId="27732"/>
    <cellStyle name="Normal 2 53 5 4" xfId="27733"/>
    <cellStyle name="Normal 2 53 6" xfId="27734"/>
    <cellStyle name="Normal 2 53 6 2" xfId="27735"/>
    <cellStyle name="Normal 2 53 7" xfId="27736"/>
    <cellStyle name="Normal 2 53 8" xfId="27737"/>
    <cellStyle name="Normal 2 53 9" xfId="27738"/>
    <cellStyle name="Normal 2 54" xfId="27739"/>
    <cellStyle name="Normal 2 54 10" xfId="27740"/>
    <cellStyle name="Normal 2 54 2" xfId="27741"/>
    <cellStyle name="Normal 2 54 2 2" xfId="27742"/>
    <cellStyle name="Normal 2 54 2 2 2" xfId="27743"/>
    <cellStyle name="Normal 2 54 2 2 3" xfId="27744"/>
    <cellStyle name="Normal 2 54 2 3" xfId="27745"/>
    <cellStyle name="Normal 2 54 2 4" xfId="27746"/>
    <cellStyle name="Normal 2 54 2 5" xfId="27747"/>
    <cellStyle name="Normal 2 54 2 6" xfId="27748"/>
    <cellStyle name="Normal 2 54 3" xfId="27749"/>
    <cellStyle name="Normal 2 54 3 2" xfId="27750"/>
    <cellStyle name="Normal 2 54 3 2 2" xfId="27751"/>
    <cellStyle name="Normal 2 54 3 2 3" xfId="27752"/>
    <cellStyle name="Normal 2 54 3 3" xfId="27753"/>
    <cellStyle name="Normal 2 54 3 4" xfId="27754"/>
    <cellStyle name="Normal 2 54 3 5" xfId="27755"/>
    <cellStyle name="Normal 2 54 3 6" xfId="27756"/>
    <cellStyle name="Normal 2 54 4" xfId="27757"/>
    <cellStyle name="Normal 2 54 4 2" xfId="27758"/>
    <cellStyle name="Normal 2 54 4 2 2" xfId="27759"/>
    <cellStyle name="Normal 2 54 4 3" xfId="27760"/>
    <cellStyle name="Normal 2 54 4 4" xfId="27761"/>
    <cellStyle name="Normal 2 54 4 5" xfId="27762"/>
    <cellStyle name="Normal 2 54 5" xfId="27763"/>
    <cellStyle name="Normal 2 54 5 2" xfId="27764"/>
    <cellStyle name="Normal 2 54 5 3" xfId="27765"/>
    <cellStyle name="Normal 2 54 5 4" xfId="27766"/>
    <cellStyle name="Normal 2 54 6" xfId="27767"/>
    <cellStyle name="Normal 2 54 6 2" xfId="27768"/>
    <cellStyle name="Normal 2 54 7" xfId="27769"/>
    <cellStyle name="Normal 2 54 8" xfId="27770"/>
    <cellStyle name="Normal 2 54 9" xfId="27771"/>
    <cellStyle name="Normal 2 55" xfId="27772"/>
    <cellStyle name="Normal 2 55 10" xfId="27773"/>
    <cellStyle name="Normal 2 55 2" xfId="27774"/>
    <cellStyle name="Normal 2 55 2 2" xfId="27775"/>
    <cellStyle name="Normal 2 55 2 2 2" xfId="27776"/>
    <cellStyle name="Normal 2 55 2 2 3" xfId="27777"/>
    <cellStyle name="Normal 2 55 2 3" xfId="27778"/>
    <cellStyle name="Normal 2 55 2 4" xfId="27779"/>
    <cellStyle name="Normal 2 55 2 5" xfId="27780"/>
    <cellStyle name="Normal 2 55 2 6" xfId="27781"/>
    <cellStyle name="Normal 2 55 3" xfId="27782"/>
    <cellStyle name="Normal 2 55 3 2" xfId="27783"/>
    <cellStyle name="Normal 2 55 3 2 2" xfId="27784"/>
    <cellStyle name="Normal 2 55 3 2 3" xfId="27785"/>
    <cellStyle name="Normal 2 55 3 3" xfId="27786"/>
    <cellStyle name="Normal 2 55 3 4" xfId="27787"/>
    <cellStyle name="Normal 2 55 3 5" xfId="27788"/>
    <cellStyle name="Normal 2 55 3 6" xfId="27789"/>
    <cellStyle name="Normal 2 55 4" xfId="27790"/>
    <cellStyle name="Normal 2 55 4 2" xfId="27791"/>
    <cellStyle name="Normal 2 55 4 2 2" xfId="27792"/>
    <cellStyle name="Normal 2 55 4 3" xfId="27793"/>
    <cellStyle name="Normal 2 55 4 4" xfId="27794"/>
    <cellStyle name="Normal 2 55 4 5" xfId="27795"/>
    <cellStyle name="Normal 2 55 5" xfId="27796"/>
    <cellStyle name="Normal 2 55 5 2" xfId="27797"/>
    <cellStyle name="Normal 2 55 5 3" xfId="27798"/>
    <cellStyle name="Normal 2 55 5 4" xfId="27799"/>
    <cellStyle name="Normal 2 55 6" xfId="27800"/>
    <cellStyle name="Normal 2 55 6 2" xfId="27801"/>
    <cellStyle name="Normal 2 55 7" xfId="27802"/>
    <cellStyle name="Normal 2 55 8" xfId="27803"/>
    <cellStyle name="Normal 2 55 9" xfId="27804"/>
    <cellStyle name="Normal 2 56" xfId="27805"/>
    <cellStyle name="Normal 2 56 10" xfId="27806"/>
    <cellStyle name="Normal 2 56 2" xfId="27807"/>
    <cellStyle name="Normal 2 56 2 2" xfId="27808"/>
    <cellStyle name="Normal 2 56 2 2 2" xfId="27809"/>
    <cellStyle name="Normal 2 56 2 2 3" xfId="27810"/>
    <cellStyle name="Normal 2 56 2 3" xfId="27811"/>
    <cellStyle name="Normal 2 56 2 4" xfId="27812"/>
    <cellStyle name="Normal 2 56 2 5" xfId="27813"/>
    <cellStyle name="Normal 2 56 2 6" xfId="27814"/>
    <cellStyle name="Normal 2 56 3" xfId="27815"/>
    <cellStyle name="Normal 2 56 3 2" xfId="27816"/>
    <cellStyle name="Normal 2 56 3 2 2" xfId="27817"/>
    <cellStyle name="Normal 2 56 3 2 3" xfId="27818"/>
    <cellStyle name="Normal 2 56 3 3" xfId="27819"/>
    <cellStyle name="Normal 2 56 3 4" xfId="27820"/>
    <cellStyle name="Normal 2 56 3 5" xfId="27821"/>
    <cellStyle name="Normal 2 56 3 6" xfId="27822"/>
    <cellStyle name="Normal 2 56 4" xfId="27823"/>
    <cellStyle name="Normal 2 56 4 2" xfId="27824"/>
    <cellStyle name="Normal 2 56 4 2 2" xfId="27825"/>
    <cellStyle name="Normal 2 56 4 3" xfId="27826"/>
    <cellStyle name="Normal 2 56 4 4" xfId="27827"/>
    <cellStyle name="Normal 2 56 4 5" xfId="27828"/>
    <cellStyle name="Normal 2 56 5" xfId="27829"/>
    <cellStyle name="Normal 2 56 5 2" xfId="27830"/>
    <cellStyle name="Normal 2 56 5 3" xfId="27831"/>
    <cellStyle name="Normal 2 56 5 4" xfId="27832"/>
    <cellStyle name="Normal 2 56 6" xfId="27833"/>
    <cellStyle name="Normal 2 56 6 2" xfId="27834"/>
    <cellStyle name="Normal 2 56 7" xfId="27835"/>
    <cellStyle name="Normal 2 56 8" xfId="27836"/>
    <cellStyle name="Normal 2 56 9" xfId="27837"/>
    <cellStyle name="Normal 2 57" xfId="27838"/>
    <cellStyle name="Normal 2 57 10" xfId="27839"/>
    <cellStyle name="Normal 2 57 2" xfId="27840"/>
    <cellStyle name="Normal 2 57 2 2" xfId="27841"/>
    <cellStyle name="Normal 2 57 2 2 2" xfId="27842"/>
    <cellStyle name="Normal 2 57 2 2 3" xfId="27843"/>
    <cellStyle name="Normal 2 57 2 3" xfId="27844"/>
    <cellStyle name="Normal 2 57 2 4" xfId="27845"/>
    <cellStyle name="Normal 2 57 2 5" xfId="27846"/>
    <cellStyle name="Normal 2 57 2 6" xfId="27847"/>
    <cellStyle name="Normal 2 57 3" xfId="27848"/>
    <cellStyle name="Normal 2 57 3 2" xfId="27849"/>
    <cellStyle name="Normal 2 57 3 2 2" xfId="27850"/>
    <cellStyle name="Normal 2 57 3 2 3" xfId="27851"/>
    <cellStyle name="Normal 2 57 3 3" xfId="27852"/>
    <cellStyle name="Normal 2 57 3 4" xfId="27853"/>
    <cellStyle name="Normal 2 57 3 5" xfId="27854"/>
    <cellStyle name="Normal 2 57 3 6" xfId="27855"/>
    <cellStyle name="Normal 2 57 4" xfId="27856"/>
    <cellStyle name="Normal 2 57 4 2" xfId="27857"/>
    <cellStyle name="Normal 2 57 4 2 2" xfId="27858"/>
    <cellStyle name="Normal 2 57 4 3" xfId="27859"/>
    <cellStyle name="Normal 2 57 4 4" xfId="27860"/>
    <cellStyle name="Normal 2 57 4 5" xfId="27861"/>
    <cellStyle name="Normal 2 57 5" xfId="27862"/>
    <cellStyle name="Normal 2 57 5 2" xfId="27863"/>
    <cellStyle name="Normal 2 57 5 3" xfId="27864"/>
    <cellStyle name="Normal 2 57 5 4" xfId="27865"/>
    <cellStyle name="Normal 2 57 6" xfId="27866"/>
    <cellStyle name="Normal 2 57 6 2" xfId="27867"/>
    <cellStyle name="Normal 2 57 7" xfId="27868"/>
    <cellStyle name="Normal 2 57 8" xfId="27869"/>
    <cellStyle name="Normal 2 57 9" xfId="27870"/>
    <cellStyle name="Normal 2 58" xfId="27871"/>
    <cellStyle name="Normal 2 58 10" xfId="27872"/>
    <cellStyle name="Normal 2 58 2" xfId="27873"/>
    <cellStyle name="Normal 2 58 2 2" xfId="27874"/>
    <cellStyle name="Normal 2 58 2 2 2" xfId="27875"/>
    <cellStyle name="Normal 2 58 2 2 3" xfId="27876"/>
    <cellStyle name="Normal 2 58 2 3" xfId="27877"/>
    <cellStyle name="Normal 2 58 2 4" xfId="27878"/>
    <cellStyle name="Normal 2 58 2 5" xfId="27879"/>
    <cellStyle name="Normal 2 58 2 6" xfId="27880"/>
    <cellStyle name="Normal 2 58 3" xfId="27881"/>
    <cellStyle name="Normal 2 58 3 2" xfId="27882"/>
    <cellStyle name="Normal 2 58 3 2 2" xfId="27883"/>
    <cellStyle name="Normal 2 58 3 2 3" xfId="27884"/>
    <cellStyle name="Normal 2 58 3 3" xfId="27885"/>
    <cellStyle name="Normal 2 58 3 4" xfId="27886"/>
    <cellStyle name="Normal 2 58 3 5" xfId="27887"/>
    <cellStyle name="Normal 2 58 3 6" xfId="27888"/>
    <cellStyle name="Normal 2 58 4" xfId="27889"/>
    <cellStyle name="Normal 2 58 4 2" xfId="27890"/>
    <cellStyle name="Normal 2 58 4 2 2" xfId="27891"/>
    <cellStyle name="Normal 2 58 4 3" xfId="27892"/>
    <cellStyle name="Normal 2 58 4 4" xfId="27893"/>
    <cellStyle name="Normal 2 58 4 5" xfId="27894"/>
    <cellStyle name="Normal 2 58 5" xfId="27895"/>
    <cellStyle name="Normal 2 58 5 2" xfId="27896"/>
    <cellStyle name="Normal 2 58 5 3" xfId="27897"/>
    <cellStyle name="Normal 2 58 5 4" xfId="27898"/>
    <cellStyle name="Normal 2 58 6" xfId="27899"/>
    <cellStyle name="Normal 2 58 6 2" xfId="27900"/>
    <cellStyle name="Normal 2 58 7" xfId="27901"/>
    <cellStyle name="Normal 2 58 8" xfId="27902"/>
    <cellStyle name="Normal 2 58 9" xfId="27903"/>
    <cellStyle name="Normal 2 59" xfId="27904"/>
    <cellStyle name="Normal 2 59 10" xfId="27905"/>
    <cellStyle name="Normal 2 59 2" xfId="27906"/>
    <cellStyle name="Normal 2 59 2 2" xfId="27907"/>
    <cellStyle name="Normal 2 59 2 2 2" xfId="27908"/>
    <cellStyle name="Normal 2 59 2 2 3" xfId="27909"/>
    <cellStyle name="Normal 2 59 2 3" xfId="27910"/>
    <cellStyle name="Normal 2 59 2 4" xfId="27911"/>
    <cellStyle name="Normal 2 59 2 5" xfId="27912"/>
    <cellStyle name="Normal 2 59 2 6" xfId="27913"/>
    <cellStyle name="Normal 2 59 3" xfId="27914"/>
    <cellStyle name="Normal 2 59 3 2" xfId="27915"/>
    <cellStyle name="Normal 2 59 3 2 2" xfId="27916"/>
    <cellStyle name="Normal 2 59 3 2 3" xfId="27917"/>
    <cellStyle name="Normal 2 59 3 3" xfId="27918"/>
    <cellStyle name="Normal 2 59 3 4" xfId="27919"/>
    <cellStyle name="Normal 2 59 3 5" xfId="27920"/>
    <cellStyle name="Normal 2 59 3 6" xfId="27921"/>
    <cellStyle name="Normal 2 59 4" xfId="27922"/>
    <cellStyle name="Normal 2 59 4 2" xfId="27923"/>
    <cellStyle name="Normal 2 59 4 2 2" xfId="27924"/>
    <cellStyle name="Normal 2 59 4 3" xfId="27925"/>
    <cellStyle name="Normal 2 59 4 4" xfId="27926"/>
    <cellStyle name="Normal 2 59 4 5" xfId="27927"/>
    <cellStyle name="Normal 2 59 5" xfId="27928"/>
    <cellStyle name="Normal 2 59 5 2" xfId="27929"/>
    <cellStyle name="Normal 2 59 5 3" xfId="27930"/>
    <cellStyle name="Normal 2 59 5 4" xfId="27931"/>
    <cellStyle name="Normal 2 59 6" xfId="27932"/>
    <cellStyle name="Normal 2 59 6 2" xfId="27933"/>
    <cellStyle name="Normal 2 59 7" xfId="27934"/>
    <cellStyle name="Normal 2 59 8" xfId="27935"/>
    <cellStyle name="Normal 2 59 9" xfId="27936"/>
    <cellStyle name="Normal 2 6" xfId="27937"/>
    <cellStyle name="Normal 2 6 10" xfId="27938"/>
    <cellStyle name="Normal 2 6 10 10" xfId="27939"/>
    <cellStyle name="Normal 2 6 10 11" xfId="27940"/>
    <cellStyle name="Normal 2 6 10 2" xfId="27941"/>
    <cellStyle name="Normal 2 6 10 2 2" xfId="27942"/>
    <cellStyle name="Normal 2 6 10 2 2 2" xfId="27943"/>
    <cellStyle name="Normal 2 6 10 2 2 2 2" xfId="27944"/>
    <cellStyle name="Normal 2 6 10 2 2 2 3" xfId="27945"/>
    <cellStyle name="Normal 2 6 10 2 2 3" xfId="27946"/>
    <cellStyle name="Normal 2 6 10 2 2 4" xfId="27947"/>
    <cellStyle name="Normal 2 6 10 2 2 5" xfId="27948"/>
    <cellStyle name="Normal 2 6 10 2 2 6" xfId="27949"/>
    <cellStyle name="Normal 2 6 10 2 3" xfId="27950"/>
    <cellStyle name="Normal 2 6 10 2 3 2" xfId="27951"/>
    <cellStyle name="Normal 2 6 10 2 3 2 2" xfId="27952"/>
    <cellStyle name="Normal 2 6 10 2 3 3" xfId="27953"/>
    <cellStyle name="Normal 2 6 10 2 3 4" xfId="27954"/>
    <cellStyle name="Normal 2 6 10 2 3 5" xfId="27955"/>
    <cellStyle name="Normal 2 6 10 2 4" xfId="27956"/>
    <cellStyle name="Normal 2 6 10 2 4 2" xfId="27957"/>
    <cellStyle name="Normal 2 6 10 2 4 3" xfId="27958"/>
    <cellStyle name="Normal 2 6 10 2 4 4" xfId="27959"/>
    <cellStyle name="Normal 2 6 10 2 5" xfId="27960"/>
    <cellStyle name="Normal 2 6 10 2 5 2" xfId="27961"/>
    <cellStyle name="Normal 2 6 10 2 6" xfId="27962"/>
    <cellStyle name="Normal 2 6 10 2 7" xfId="27963"/>
    <cellStyle name="Normal 2 6 10 2 8" xfId="27964"/>
    <cellStyle name="Normal 2 6 10 2 9" xfId="27965"/>
    <cellStyle name="Normal 2 6 10 3" xfId="27966"/>
    <cellStyle name="Normal 2 6 10 3 2" xfId="27967"/>
    <cellStyle name="Normal 2 6 10 3 2 2" xfId="27968"/>
    <cellStyle name="Normal 2 6 10 3 2 2 2" xfId="27969"/>
    <cellStyle name="Normal 2 6 10 3 2 2 3" xfId="27970"/>
    <cellStyle name="Normal 2 6 10 3 2 3" xfId="27971"/>
    <cellStyle name="Normal 2 6 10 3 2 4" xfId="27972"/>
    <cellStyle name="Normal 2 6 10 3 2 5" xfId="27973"/>
    <cellStyle name="Normal 2 6 10 3 2 6" xfId="27974"/>
    <cellStyle name="Normal 2 6 10 3 3" xfId="27975"/>
    <cellStyle name="Normal 2 6 10 3 3 2" xfId="27976"/>
    <cellStyle name="Normal 2 6 10 3 3 2 2" xfId="27977"/>
    <cellStyle name="Normal 2 6 10 3 3 3" xfId="27978"/>
    <cellStyle name="Normal 2 6 10 3 3 4" xfId="27979"/>
    <cellStyle name="Normal 2 6 10 3 3 5" xfId="27980"/>
    <cellStyle name="Normal 2 6 10 3 4" xfId="27981"/>
    <cellStyle name="Normal 2 6 10 3 4 2" xfId="27982"/>
    <cellStyle name="Normal 2 6 10 3 4 3" xfId="27983"/>
    <cellStyle name="Normal 2 6 10 3 4 4" xfId="27984"/>
    <cellStyle name="Normal 2 6 10 3 5" xfId="27985"/>
    <cellStyle name="Normal 2 6 10 3 5 2" xfId="27986"/>
    <cellStyle name="Normal 2 6 10 3 6" xfId="27987"/>
    <cellStyle name="Normal 2 6 10 3 7" xfId="27988"/>
    <cellStyle name="Normal 2 6 10 3 8" xfId="27989"/>
    <cellStyle name="Normal 2 6 10 3 9" xfId="27990"/>
    <cellStyle name="Normal 2 6 10 4" xfId="27991"/>
    <cellStyle name="Normal 2 6 10 4 2" xfId="27992"/>
    <cellStyle name="Normal 2 6 10 4 2 2" xfId="27993"/>
    <cellStyle name="Normal 2 6 10 4 2 3" xfId="27994"/>
    <cellStyle name="Normal 2 6 10 4 3" xfId="27995"/>
    <cellStyle name="Normal 2 6 10 4 4" xfId="27996"/>
    <cellStyle name="Normal 2 6 10 4 5" xfId="27997"/>
    <cellStyle name="Normal 2 6 10 4 6" xfId="27998"/>
    <cellStyle name="Normal 2 6 10 5" xfId="27999"/>
    <cellStyle name="Normal 2 6 10 5 2" xfId="28000"/>
    <cellStyle name="Normal 2 6 10 5 2 2" xfId="28001"/>
    <cellStyle name="Normal 2 6 10 5 3" xfId="28002"/>
    <cellStyle name="Normal 2 6 10 5 4" xfId="28003"/>
    <cellStyle name="Normal 2 6 10 5 5" xfId="28004"/>
    <cellStyle name="Normal 2 6 10 6" xfId="28005"/>
    <cellStyle name="Normal 2 6 10 6 2" xfId="28006"/>
    <cellStyle name="Normal 2 6 10 6 3" xfId="28007"/>
    <cellStyle name="Normal 2 6 10 6 4" xfId="28008"/>
    <cellStyle name="Normal 2 6 10 7" xfId="28009"/>
    <cellStyle name="Normal 2 6 10 7 2" xfId="28010"/>
    <cellStyle name="Normal 2 6 10 8" xfId="28011"/>
    <cellStyle name="Normal 2 6 10 9" xfId="28012"/>
    <cellStyle name="Normal 2 6 11" xfId="28013"/>
    <cellStyle name="Normal 2 6 11 10" xfId="28014"/>
    <cellStyle name="Normal 2 6 11 2" xfId="28015"/>
    <cellStyle name="Normal 2 6 11 2 2" xfId="28016"/>
    <cellStyle name="Normal 2 6 11 2 2 2" xfId="28017"/>
    <cellStyle name="Normal 2 6 11 2 2 3" xfId="28018"/>
    <cellStyle name="Normal 2 6 11 2 3" xfId="28019"/>
    <cellStyle name="Normal 2 6 11 2 4" xfId="28020"/>
    <cellStyle name="Normal 2 6 11 2 5" xfId="28021"/>
    <cellStyle name="Normal 2 6 11 2 6" xfId="28022"/>
    <cellStyle name="Normal 2 6 11 3" xfId="28023"/>
    <cellStyle name="Normal 2 6 11 3 2" xfId="28024"/>
    <cellStyle name="Normal 2 6 11 3 2 2" xfId="28025"/>
    <cellStyle name="Normal 2 6 11 3 2 3" xfId="28026"/>
    <cellStyle name="Normal 2 6 11 3 3" xfId="28027"/>
    <cellStyle name="Normal 2 6 11 3 4" xfId="28028"/>
    <cellStyle name="Normal 2 6 11 3 5" xfId="28029"/>
    <cellStyle name="Normal 2 6 11 3 6" xfId="28030"/>
    <cellStyle name="Normal 2 6 11 4" xfId="28031"/>
    <cellStyle name="Normal 2 6 11 4 2" xfId="28032"/>
    <cellStyle name="Normal 2 6 11 4 2 2" xfId="28033"/>
    <cellStyle name="Normal 2 6 11 4 3" xfId="28034"/>
    <cellStyle name="Normal 2 6 11 4 4" xfId="28035"/>
    <cellStyle name="Normal 2 6 11 4 5" xfId="28036"/>
    <cellStyle name="Normal 2 6 11 5" xfId="28037"/>
    <cellStyle name="Normal 2 6 11 5 2" xfId="28038"/>
    <cellStyle name="Normal 2 6 11 5 3" xfId="28039"/>
    <cellStyle name="Normal 2 6 11 5 4" xfId="28040"/>
    <cellStyle name="Normal 2 6 11 6" xfId="28041"/>
    <cellStyle name="Normal 2 6 11 6 2" xfId="28042"/>
    <cellStyle name="Normal 2 6 11 7" xfId="28043"/>
    <cellStyle name="Normal 2 6 11 8" xfId="28044"/>
    <cellStyle name="Normal 2 6 11 9" xfId="28045"/>
    <cellStyle name="Normal 2 6 12" xfId="28046"/>
    <cellStyle name="Normal 2 6 12 10" xfId="28047"/>
    <cellStyle name="Normal 2 6 12 2" xfId="28048"/>
    <cellStyle name="Normal 2 6 12 2 2" xfId="28049"/>
    <cellStyle name="Normal 2 6 12 2 2 2" xfId="28050"/>
    <cellStyle name="Normal 2 6 12 2 2 3" xfId="28051"/>
    <cellStyle name="Normal 2 6 12 2 3" xfId="28052"/>
    <cellStyle name="Normal 2 6 12 2 4" xfId="28053"/>
    <cellStyle name="Normal 2 6 12 2 5" xfId="28054"/>
    <cellStyle name="Normal 2 6 12 2 6" xfId="28055"/>
    <cellStyle name="Normal 2 6 12 3" xfId="28056"/>
    <cellStyle name="Normal 2 6 12 3 2" xfId="28057"/>
    <cellStyle name="Normal 2 6 12 3 2 2" xfId="28058"/>
    <cellStyle name="Normal 2 6 12 3 2 3" xfId="28059"/>
    <cellStyle name="Normal 2 6 12 3 3" xfId="28060"/>
    <cellStyle name="Normal 2 6 12 3 4" xfId="28061"/>
    <cellStyle name="Normal 2 6 12 3 5" xfId="28062"/>
    <cellStyle name="Normal 2 6 12 3 6" xfId="28063"/>
    <cellStyle name="Normal 2 6 12 4" xfId="28064"/>
    <cellStyle name="Normal 2 6 12 4 2" xfId="28065"/>
    <cellStyle name="Normal 2 6 12 4 2 2" xfId="28066"/>
    <cellStyle name="Normal 2 6 12 4 3" xfId="28067"/>
    <cellStyle name="Normal 2 6 12 4 4" xfId="28068"/>
    <cellStyle name="Normal 2 6 12 4 5" xfId="28069"/>
    <cellStyle name="Normal 2 6 12 5" xfId="28070"/>
    <cellStyle name="Normal 2 6 12 5 2" xfId="28071"/>
    <cellStyle name="Normal 2 6 12 5 3" xfId="28072"/>
    <cellStyle name="Normal 2 6 12 5 4" xfId="28073"/>
    <cellStyle name="Normal 2 6 12 6" xfId="28074"/>
    <cellStyle name="Normal 2 6 12 6 2" xfId="28075"/>
    <cellStyle name="Normal 2 6 12 7" xfId="28076"/>
    <cellStyle name="Normal 2 6 12 8" xfId="28077"/>
    <cellStyle name="Normal 2 6 12 9" xfId="28078"/>
    <cellStyle name="Normal 2 6 13" xfId="28079"/>
    <cellStyle name="Normal 2 6 13 10" xfId="28080"/>
    <cellStyle name="Normal 2 6 13 2" xfId="28081"/>
    <cellStyle name="Normal 2 6 13 2 2" xfId="28082"/>
    <cellStyle name="Normal 2 6 13 2 2 2" xfId="28083"/>
    <cellStyle name="Normal 2 6 13 2 2 3" xfId="28084"/>
    <cellStyle name="Normal 2 6 13 2 3" xfId="28085"/>
    <cellStyle name="Normal 2 6 13 2 4" xfId="28086"/>
    <cellStyle name="Normal 2 6 13 2 5" xfId="28087"/>
    <cellStyle name="Normal 2 6 13 2 6" xfId="28088"/>
    <cellStyle name="Normal 2 6 13 3" xfId="28089"/>
    <cellStyle name="Normal 2 6 13 3 2" xfId="28090"/>
    <cellStyle name="Normal 2 6 13 3 2 2" xfId="28091"/>
    <cellStyle name="Normal 2 6 13 3 2 3" xfId="28092"/>
    <cellStyle name="Normal 2 6 13 3 3" xfId="28093"/>
    <cellStyle name="Normal 2 6 13 3 4" xfId="28094"/>
    <cellStyle name="Normal 2 6 13 3 5" xfId="28095"/>
    <cellStyle name="Normal 2 6 13 3 6" xfId="28096"/>
    <cellStyle name="Normal 2 6 13 4" xfId="28097"/>
    <cellStyle name="Normal 2 6 13 4 2" xfId="28098"/>
    <cellStyle name="Normal 2 6 13 4 2 2" xfId="28099"/>
    <cellStyle name="Normal 2 6 13 4 3" xfId="28100"/>
    <cellStyle name="Normal 2 6 13 4 4" xfId="28101"/>
    <cellStyle name="Normal 2 6 13 4 5" xfId="28102"/>
    <cellStyle name="Normal 2 6 13 5" xfId="28103"/>
    <cellStyle name="Normal 2 6 13 5 2" xfId="28104"/>
    <cellStyle name="Normal 2 6 13 5 3" xfId="28105"/>
    <cellStyle name="Normal 2 6 13 5 4" xfId="28106"/>
    <cellStyle name="Normal 2 6 13 6" xfId="28107"/>
    <cellStyle name="Normal 2 6 13 6 2" xfId="28108"/>
    <cellStyle name="Normal 2 6 13 7" xfId="28109"/>
    <cellStyle name="Normal 2 6 13 8" xfId="28110"/>
    <cellStyle name="Normal 2 6 13 9" xfId="28111"/>
    <cellStyle name="Normal 2 6 14" xfId="28112"/>
    <cellStyle name="Normal 2 6 14 10" xfId="28113"/>
    <cellStyle name="Normal 2 6 14 2" xfId="28114"/>
    <cellStyle name="Normal 2 6 14 2 2" xfId="28115"/>
    <cellStyle name="Normal 2 6 14 2 2 2" xfId="28116"/>
    <cellStyle name="Normal 2 6 14 2 2 3" xfId="28117"/>
    <cellStyle name="Normal 2 6 14 2 3" xfId="28118"/>
    <cellStyle name="Normal 2 6 14 2 4" xfId="28119"/>
    <cellStyle name="Normal 2 6 14 2 5" xfId="28120"/>
    <cellStyle name="Normal 2 6 14 2 6" xfId="28121"/>
    <cellStyle name="Normal 2 6 14 3" xfId="28122"/>
    <cellStyle name="Normal 2 6 14 3 2" xfId="28123"/>
    <cellStyle name="Normal 2 6 14 3 2 2" xfId="28124"/>
    <cellStyle name="Normal 2 6 14 3 2 3" xfId="28125"/>
    <cellStyle name="Normal 2 6 14 3 3" xfId="28126"/>
    <cellStyle name="Normal 2 6 14 3 4" xfId="28127"/>
    <cellStyle name="Normal 2 6 14 3 5" xfId="28128"/>
    <cellStyle name="Normal 2 6 14 3 6" xfId="28129"/>
    <cellStyle name="Normal 2 6 14 4" xfId="28130"/>
    <cellStyle name="Normal 2 6 14 4 2" xfId="28131"/>
    <cellStyle name="Normal 2 6 14 4 2 2" xfId="28132"/>
    <cellStyle name="Normal 2 6 14 4 3" xfId="28133"/>
    <cellStyle name="Normal 2 6 14 4 4" xfId="28134"/>
    <cellStyle name="Normal 2 6 14 4 5" xfId="28135"/>
    <cellStyle name="Normal 2 6 14 5" xfId="28136"/>
    <cellStyle name="Normal 2 6 14 5 2" xfId="28137"/>
    <cellStyle name="Normal 2 6 14 5 3" xfId="28138"/>
    <cellStyle name="Normal 2 6 14 5 4" xfId="28139"/>
    <cellStyle name="Normal 2 6 14 6" xfId="28140"/>
    <cellStyle name="Normal 2 6 14 6 2" xfId="28141"/>
    <cellStyle name="Normal 2 6 14 7" xfId="28142"/>
    <cellStyle name="Normal 2 6 14 8" xfId="28143"/>
    <cellStyle name="Normal 2 6 14 9" xfId="28144"/>
    <cellStyle name="Normal 2 6 15" xfId="28145"/>
    <cellStyle name="Normal 2 6 15 10" xfId="28146"/>
    <cellStyle name="Normal 2 6 15 2" xfId="28147"/>
    <cellStyle name="Normal 2 6 15 2 2" xfId="28148"/>
    <cellStyle name="Normal 2 6 15 2 2 2" xfId="28149"/>
    <cellStyle name="Normal 2 6 15 2 2 3" xfId="28150"/>
    <cellStyle name="Normal 2 6 15 2 3" xfId="28151"/>
    <cellStyle name="Normal 2 6 15 2 4" xfId="28152"/>
    <cellStyle name="Normal 2 6 15 2 5" xfId="28153"/>
    <cellStyle name="Normal 2 6 15 2 6" xfId="28154"/>
    <cellStyle name="Normal 2 6 15 3" xfId="28155"/>
    <cellStyle name="Normal 2 6 15 3 2" xfId="28156"/>
    <cellStyle name="Normal 2 6 15 3 2 2" xfId="28157"/>
    <cellStyle name="Normal 2 6 15 3 2 3" xfId="28158"/>
    <cellStyle name="Normal 2 6 15 3 3" xfId="28159"/>
    <cellStyle name="Normal 2 6 15 3 4" xfId="28160"/>
    <cellStyle name="Normal 2 6 15 3 5" xfId="28161"/>
    <cellStyle name="Normal 2 6 15 3 6" xfId="28162"/>
    <cellStyle name="Normal 2 6 15 4" xfId="28163"/>
    <cellStyle name="Normal 2 6 15 4 2" xfId="28164"/>
    <cellStyle name="Normal 2 6 15 4 2 2" xfId="28165"/>
    <cellStyle name="Normal 2 6 15 4 3" xfId="28166"/>
    <cellStyle name="Normal 2 6 15 4 4" xfId="28167"/>
    <cellStyle name="Normal 2 6 15 4 5" xfId="28168"/>
    <cellStyle name="Normal 2 6 15 5" xfId="28169"/>
    <cellStyle name="Normal 2 6 15 5 2" xfId="28170"/>
    <cellStyle name="Normal 2 6 15 5 3" xfId="28171"/>
    <cellStyle name="Normal 2 6 15 5 4" xfId="28172"/>
    <cellStyle name="Normal 2 6 15 6" xfId="28173"/>
    <cellStyle name="Normal 2 6 15 6 2" xfId="28174"/>
    <cellStyle name="Normal 2 6 15 7" xfId="28175"/>
    <cellStyle name="Normal 2 6 15 8" xfId="28176"/>
    <cellStyle name="Normal 2 6 15 9" xfId="28177"/>
    <cellStyle name="Normal 2 6 16" xfId="28178"/>
    <cellStyle name="Normal 2 6 16 10" xfId="28179"/>
    <cellStyle name="Normal 2 6 16 2" xfId="28180"/>
    <cellStyle name="Normal 2 6 16 2 2" xfId="28181"/>
    <cellStyle name="Normal 2 6 16 2 2 2" xfId="28182"/>
    <cellStyle name="Normal 2 6 16 2 2 3" xfId="28183"/>
    <cellStyle name="Normal 2 6 16 2 3" xfId="28184"/>
    <cellStyle name="Normal 2 6 16 2 4" xfId="28185"/>
    <cellStyle name="Normal 2 6 16 2 5" xfId="28186"/>
    <cellStyle name="Normal 2 6 16 2 6" xfId="28187"/>
    <cellStyle name="Normal 2 6 16 3" xfId="28188"/>
    <cellStyle name="Normal 2 6 16 3 2" xfId="28189"/>
    <cellStyle name="Normal 2 6 16 3 2 2" xfId="28190"/>
    <cellStyle name="Normal 2 6 16 3 2 3" xfId="28191"/>
    <cellStyle name="Normal 2 6 16 3 3" xfId="28192"/>
    <cellStyle name="Normal 2 6 16 3 4" xfId="28193"/>
    <cellStyle name="Normal 2 6 16 3 5" xfId="28194"/>
    <cellStyle name="Normal 2 6 16 3 6" xfId="28195"/>
    <cellStyle name="Normal 2 6 16 4" xfId="28196"/>
    <cellStyle name="Normal 2 6 16 4 2" xfId="28197"/>
    <cellStyle name="Normal 2 6 16 4 2 2" xfId="28198"/>
    <cellStyle name="Normal 2 6 16 4 3" xfId="28199"/>
    <cellStyle name="Normal 2 6 16 4 4" xfId="28200"/>
    <cellStyle name="Normal 2 6 16 4 5" xfId="28201"/>
    <cellStyle name="Normal 2 6 16 5" xfId="28202"/>
    <cellStyle name="Normal 2 6 16 5 2" xfId="28203"/>
    <cellStyle name="Normal 2 6 16 5 3" xfId="28204"/>
    <cellStyle name="Normal 2 6 16 5 4" xfId="28205"/>
    <cellStyle name="Normal 2 6 16 6" xfId="28206"/>
    <cellStyle name="Normal 2 6 16 6 2" xfId="28207"/>
    <cellStyle name="Normal 2 6 16 7" xfId="28208"/>
    <cellStyle name="Normal 2 6 16 8" xfId="28209"/>
    <cellStyle name="Normal 2 6 16 9" xfId="28210"/>
    <cellStyle name="Normal 2 6 17" xfId="28211"/>
    <cellStyle name="Normal 2 6 17 10" xfId="28212"/>
    <cellStyle name="Normal 2 6 17 2" xfId="28213"/>
    <cellStyle name="Normal 2 6 17 2 2" xfId="28214"/>
    <cellStyle name="Normal 2 6 17 2 2 2" xfId="28215"/>
    <cellStyle name="Normal 2 6 17 2 2 3" xfId="28216"/>
    <cellStyle name="Normal 2 6 17 2 3" xfId="28217"/>
    <cellStyle name="Normal 2 6 17 2 4" xfId="28218"/>
    <cellStyle name="Normal 2 6 17 2 5" xfId="28219"/>
    <cellStyle name="Normal 2 6 17 2 6" xfId="28220"/>
    <cellStyle name="Normal 2 6 17 3" xfId="28221"/>
    <cellStyle name="Normal 2 6 17 3 2" xfId="28222"/>
    <cellStyle name="Normal 2 6 17 3 2 2" xfId="28223"/>
    <cellStyle name="Normal 2 6 17 3 2 3" xfId="28224"/>
    <cellStyle name="Normal 2 6 17 3 3" xfId="28225"/>
    <cellStyle name="Normal 2 6 17 3 4" xfId="28226"/>
    <cellStyle name="Normal 2 6 17 3 5" xfId="28227"/>
    <cellStyle name="Normal 2 6 17 3 6" xfId="28228"/>
    <cellStyle name="Normal 2 6 17 4" xfId="28229"/>
    <cellStyle name="Normal 2 6 17 4 2" xfId="28230"/>
    <cellStyle name="Normal 2 6 17 4 2 2" xfId="28231"/>
    <cellStyle name="Normal 2 6 17 4 3" xfId="28232"/>
    <cellStyle name="Normal 2 6 17 4 4" xfId="28233"/>
    <cellStyle name="Normal 2 6 17 4 5" xfId="28234"/>
    <cellStyle name="Normal 2 6 17 5" xfId="28235"/>
    <cellStyle name="Normal 2 6 17 5 2" xfId="28236"/>
    <cellStyle name="Normal 2 6 17 5 3" xfId="28237"/>
    <cellStyle name="Normal 2 6 17 5 4" xfId="28238"/>
    <cellStyle name="Normal 2 6 17 6" xfId="28239"/>
    <cellStyle name="Normal 2 6 17 6 2" xfId="28240"/>
    <cellStyle name="Normal 2 6 17 7" xfId="28241"/>
    <cellStyle name="Normal 2 6 17 8" xfId="28242"/>
    <cellStyle name="Normal 2 6 17 9" xfId="28243"/>
    <cellStyle name="Normal 2 6 18" xfId="28244"/>
    <cellStyle name="Normal 2 6 18 10" xfId="28245"/>
    <cellStyle name="Normal 2 6 18 2" xfId="28246"/>
    <cellStyle name="Normal 2 6 18 2 2" xfId="28247"/>
    <cellStyle name="Normal 2 6 18 2 2 2" xfId="28248"/>
    <cellStyle name="Normal 2 6 18 2 2 3" xfId="28249"/>
    <cellStyle name="Normal 2 6 18 2 3" xfId="28250"/>
    <cellStyle name="Normal 2 6 18 2 4" xfId="28251"/>
    <cellStyle name="Normal 2 6 18 2 5" xfId="28252"/>
    <cellStyle name="Normal 2 6 18 2 6" xfId="28253"/>
    <cellStyle name="Normal 2 6 18 3" xfId="28254"/>
    <cellStyle name="Normal 2 6 18 3 2" xfId="28255"/>
    <cellStyle name="Normal 2 6 18 3 2 2" xfId="28256"/>
    <cellStyle name="Normal 2 6 18 3 2 3" xfId="28257"/>
    <cellStyle name="Normal 2 6 18 3 3" xfId="28258"/>
    <cellStyle name="Normal 2 6 18 3 4" xfId="28259"/>
    <cellStyle name="Normal 2 6 18 3 5" xfId="28260"/>
    <cellStyle name="Normal 2 6 18 3 6" xfId="28261"/>
    <cellStyle name="Normal 2 6 18 4" xfId="28262"/>
    <cellStyle name="Normal 2 6 18 4 2" xfId="28263"/>
    <cellStyle name="Normal 2 6 18 4 2 2" xfId="28264"/>
    <cellStyle name="Normal 2 6 18 4 3" xfId="28265"/>
    <cellStyle name="Normal 2 6 18 4 4" xfId="28266"/>
    <cellStyle name="Normal 2 6 18 4 5" xfId="28267"/>
    <cellStyle name="Normal 2 6 18 5" xfId="28268"/>
    <cellStyle name="Normal 2 6 18 5 2" xfId="28269"/>
    <cellStyle name="Normal 2 6 18 5 3" xfId="28270"/>
    <cellStyle name="Normal 2 6 18 5 4" xfId="28271"/>
    <cellStyle name="Normal 2 6 18 6" xfId="28272"/>
    <cellStyle name="Normal 2 6 18 6 2" xfId="28273"/>
    <cellStyle name="Normal 2 6 18 7" xfId="28274"/>
    <cellStyle name="Normal 2 6 18 8" xfId="28275"/>
    <cellStyle name="Normal 2 6 18 9" xfId="28276"/>
    <cellStyle name="Normal 2 6 19" xfId="28277"/>
    <cellStyle name="Normal 2 6 19 10" xfId="28278"/>
    <cellStyle name="Normal 2 6 19 2" xfId="28279"/>
    <cellStyle name="Normal 2 6 19 2 2" xfId="28280"/>
    <cellStyle name="Normal 2 6 19 2 2 2" xfId="28281"/>
    <cellStyle name="Normal 2 6 19 2 2 3" xfId="28282"/>
    <cellStyle name="Normal 2 6 19 2 3" xfId="28283"/>
    <cellStyle name="Normal 2 6 19 2 4" xfId="28284"/>
    <cellStyle name="Normal 2 6 19 2 5" xfId="28285"/>
    <cellStyle name="Normal 2 6 19 2 6" xfId="28286"/>
    <cellStyle name="Normal 2 6 19 3" xfId="28287"/>
    <cellStyle name="Normal 2 6 19 3 2" xfId="28288"/>
    <cellStyle name="Normal 2 6 19 3 2 2" xfId="28289"/>
    <cellStyle name="Normal 2 6 19 3 2 3" xfId="28290"/>
    <cellStyle name="Normal 2 6 19 3 3" xfId="28291"/>
    <cellStyle name="Normal 2 6 19 3 4" xfId="28292"/>
    <cellStyle name="Normal 2 6 19 3 5" xfId="28293"/>
    <cellStyle name="Normal 2 6 19 3 6" xfId="28294"/>
    <cellStyle name="Normal 2 6 19 4" xfId="28295"/>
    <cellStyle name="Normal 2 6 19 4 2" xfId="28296"/>
    <cellStyle name="Normal 2 6 19 4 2 2" xfId="28297"/>
    <cellStyle name="Normal 2 6 19 4 3" xfId="28298"/>
    <cellStyle name="Normal 2 6 19 4 4" xfId="28299"/>
    <cellStyle name="Normal 2 6 19 4 5" xfId="28300"/>
    <cellStyle name="Normal 2 6 19 5" xfId="28301"/>
    <cellStyle name="Normal 2 6 19 5 2" xfId="28302"/>
    <cellStyle name="Normal 2 6 19 5 3" xfId="28303"/>
    <cellStyle name="Normal 2 6 19 5 4" xfId="28304"/>
    <cellStyle name="Normal 2 6 19 6" xfId="28305"/>
    <cellStyle name="Normal 2 6 19 6 2" xfId="28306"/>
    <cellStyle name="Normal 2 6 19 7" xfId="28307"/>
    <cellStyle name="Normal 2 6 19 8" xfId="28308"/>
    <cellStyle name="Normal 2 6 19 9" xfId="28309"/>
    <cellStyle name="Normal 2 6 2" xfId="28310"/>
    <cellStyle name="Normal 2 6 2 10" xfId="28311"/>
    <cellStyle name="Normal 2 6 2 10 10" xfId="28312"/>
    <cellStyle name="Normal 2 6 2 10 2" xfId="28313"/>
    <cellStyle name="Normal 2 6 2 10 2 2" xfId="28314"/>
    <cellStyle name="Normal 2 6 2 10 2 2 2" xfId="28315"/>
    <cellStyle name="Normal 2 6 2 10 2 2 3" xfId="28316"/>
    <cellStyle name="Normal 2 6 2 10 2 3" xfId="28317"/>
    <cellStyle name="Normal 2 6 2 10 2 4" xfId="28318"/>
    <cellStyle name="Normal 2 6 2 10 2 5" xfId="28319"/>
    <cellStyle name="Normal 2 6 2 10 2 6" xfId="28320"/>
    <cellStyle name="Normal 2 6 2 10 3" xfId="28321"/>
    <cellStyle name="Normal 2 6 2 10 3 2" xfId="28322"/>
    <cellStyle name="Normal 2 6 2 10 3 2 2" xfId="28323"/>
    <cellStyle name="Normal 2 6 2 10 3 2 3" xfId="28324"/>
    <cellStyle name="Normal 2 6 2 10 3 3" xfId="28325"/>
    <cellStyle name="Normal 2 6 2 10 3 4" xfId="28326"/>
    <cellStyle name="Normal 2 6 2 10 3 5" xfId="28327"/>
    <cellStyle name="Normal 2 6 2 10 3 6" xfId="28328"/>
    <cellStyle name="Normal 2 6 2 10 4" xfId="28329"/>
    <cellStyle name="Normal 2 6 2 10 4 2" xfId="28330"/>
    <cellStyle name="Normal 2 6 2 10 4 2 2" xfId="28331"/>
    <cellStyle name="Normal 2 6 2 10 4 3" xfId="28332"/>
    <cellStyle name="Normal 2 6 2 10 4 4" xfId="28333"/>
    <cellStyle name="Normal 2 6 2 10 4 5" xfId="28334"/>
    <cellStyle name="Normal 2 6 2 10 5" xfId="28335"/>
    <cellStyle name="Normal 2 6 2 10 5 2" xfId="28336"/>
    <cellStyle name="Normal 2 6 2 10 5 3" xfId="28337"/>
    <cellStyle name="Normal 2 6 2 10 5 4" xfId="28338"/>
    <cellStyle name="Normal 2 6 2 10 6" xfId="28339"/>
    <cellStyle name="Normal 2 6 2 10 6 2" xfId="28340"/>
    <cellStyle name="Normal 2 6 2 10 7" xfId="28341"/>
    <cellStyle name="Normal 2 6 2 10 8" xfId="28342"/>
    <cellStyle name="Normal 2 6 2 10 9" xfId="28343"/>
    <cellStyle name="Normal 2 6 2 11" xfId="28344"/>
    <cellStyle name="Normal 2 6 2 11 10" xfId="28345"/>
    <cellStyle name="Normal 2 6 2 11 2" xfId="28346"/>
    <cellStyle name="Normal 2 6 2 11 2 2" xfId="28347"/>
    <cellStyle name="Normal 2 6 2 11 2 2 2" xfId="28348"/>
    <cellStyle name="Normal 2 6 2 11 2 2 3" xfId="28349"/>
    <cellStyle name="Normal 2 6 2 11 2 3" xfId="28350"/>
    <cellStyle name="Normal 2 6 2 11 2 4" xfId="28351"/>
    <cellStyle name="Normal 2 6 2 11 2 5" xfId="28352"/>
    <cellStyle name="Normal 2 6 2 11 2 6" xfId="28353"/>
    <cellStyle name="Normal 2 6 2 11 3" xfId="28354"/>
    <cellStyle name="Normal 2 6 2 11 3 2" xfId="28355"/>
    <cellStyle name="Normal 2 6 2 11 3 2 2" xfId="28356"/>
    <cellStyle name="Normal 2 6 2 11 3 2 3" xfId="28357"/>
    <cellStyle name="Normal 2 6 2 11 3 3" xfId="28358"/>
    <cellStyle name="Normal 2 6 2 11 3 4" xfId="28359"/>
    <cellStyle name="Normal 2 6 2 11 3 5" xfId="28360"/>
    <cellStyle name="Normal 2 6 2 11 3 6" xfId="28361"/>
    <cellStyle name="Normal 2 6 2 11 4" xfId="28362"/>
    <cellStyle name="Normal 2 6 2 11 4 2" xfId="28363"/>
    <cellStyle name="Normal 2 6 2 11 4 2 2" xfId="28364"/>
    <cellStyle name="Normal 2 6 2 11 4 3" xfId="28365"/>
    <cellStyle name="Normal 2 6 2 11 4 4" xfId="28366"/>
    <cellStyle name="Normal 2 6 2 11 4 5" xfId="28367"/>
    <cellStyle name="Normal 2 6 2 11 5" xfId="28368"/>
    <cellStyle name="Normal 2 6 2 11 5 2" xfId="28369"/>
    <cellStyle name="Normal 2 6 2 11 5 3" xfId="28370"/>
    <cellStyle name="Normal 2 6 2 11 5 4" xfId="28371"/>
    <cellStyle name="Normal 2 6 2 11 6" xfId="28372"/>
    <cellStyle name="Normal 2 6 2 11 6 2" xfId="28373"/>
    <cellStyle name="Normal 2 6 2 11 7" xfId="28374"/>
    <cellStyle name="Normal 2 6 2 11 8" xfId="28375"/>
    <cellStyle name="Normal 2 6 2 11 9" xfId="28376"/>
    <cellStyle name="Normal 2 6 2 12" xfId="28377"/>
    <cellStyle name="Normal 2 6 2 12 10" xfId="28378"/>
    <cellStyle name="Normal 2 6 2 12 2" xfId="28379"/>
    <cellStyle name="Normal 2 6 2 12 2 2" xfId="28380"/>
    <cellStyle name="Normal 2 6 2 12 2 2 2" xfId="28381"/>
    <cellStyle name="Normal 2 6 2 12 2 2 3" xfId="28382"/>
    <cellStyle name="Normal 2 6 2 12 2 3" xfId="28383"/>
    <cellStyle name="Normal 2 6 2 12 2 4" xfId="28384"/>
    <cellStyle name="Normal 2 6 2 12 2 5" xfId="28385"/>
    <cellStyle name="Normal 2 6 2 12 2 6" xfId="28386"/>
    <cellStyle name="Normal 2 6 2 12 3" xfId="28387"/>
    <cellStyle name="Normal 2 6 2 12 3 2" xfId="28388"/>
    <cellStyle name="Normal 2 6 2 12 3 2 2" xfId="28389"/>
    <cellStyle name="Normal 2 6 2 12 3 2 3" xfId="28390"/>
    <cellStyle name="Normal 2 6 2 12 3 3" xfId="28391"/>
    <cellStyle name="Normal 2 6 2 12 3 4" xfId="28392"/>
    <cellStyle name="Normal 2 6 2 12 3 5" xfId="28393"/>
    <cellStyle name="Normal 2 6 2 12 3 6" xfId="28394"/>
    <cellStyle name="Normal 2 6 2 12 4" xfId="28395"/>
    <cellStyle name="Normal 2 6 2 12 4 2" xfId="28396"/>
    <cellStyle name="Normal 2 6 2 12 4 2 2" xfId="28397"/>
    <cellStyle name="Normal 2 6 2 12 4 3" xfId="28398"/>
    <cellStyle name="Normal 2 6 2 12 4 4" xfId="28399"/>
    <cellStyle name="Normal 2 6 2 12 4 5" xfId="28400"/>
    <cellStyle name="Normal 2 6 2 12 5" xfId="28401"/>
    <cellStyle name="Normal 2 6 2 12 5 2" xfId="28402"/>
    <cellStyle name="Normal 2 6 2 12 5 3" xfId="28403"/>
    <cellStyle name="Normal 2 6 2 12 5 4" xfId="28404"/>
    <cellStyle name="Normal 2 6 2 12 6" xfId="28405"/>
    <cellStyle name="Normal 2 6 2 12 6 2" xfId="28406"/>
    <cellStyle name="Normal 2 6 2 12 7" xfId="28407"/>
    <cellStyle name="Normal 2 6 2 12 8" xfId="28408"/>
    <cellStyle name="Normal 2 6 2 12 9" xfId="28409"/>
    <cellStyle name="Normal 2 6 2 13" xfId="28410"/>
    <cellStyle name="Normal 2 6 2 13 2" xfId="28411"/>
    <cellStyle name="Normal 2 6 2 13 2 2" xfId="28412"/>
    <cellStyle name="Normal 2 6 2 13 2 2 2" xfId="28413"/>
    <cellStyle name="Normal 2 6 2 13 2 2 3" xfId="28414"/>
    <cellStyle name="Normal 2 6 2 13 2 3" xfId="28415"/>
    <cellStyle name="Normal 2 6 2 13 2 4" xfId="28416"/>
    <cellStyle name="Normal 2 6 2 13 2 5" xfId="28417"/>
    <cellStyle name="Normal 2 6 2 13 2 6" xfId="28418"/>
    <cellStyle name="Normal 2 6 2 13 3" xfId="28419"/>
    <cellStyle name="Normal 2 6 2 13 3 2" xfId="28420"/>
    <cellStyle name="Normal 2 6 2 13 3 2 2" xfId="28421"/>
    <cellStyle name="Normal 2 6 2 13 3 3" xfId="28422"/>
    <cellStyle name="Normal 2 6 2 13 3 4" xfId="28423"/>
    <cellStyle name="Normal 2 6 2 13 3 5" xfId="28424"/>
    <cellStyle name="Normal 2 6 2 13 4" xfId="28425"/>
    <cellStyle name="Normal 2 6 2 13 4 2" xfId="28426"/>
    <cellStyle name="Normal 2 6 2 13 4 3" xfId="28427"/>
    <cellStyle name="Normal 2 6 2 13 4 4" xfId="28428"/>
    <cellStyle name="Normal 2 6 2 13 5" xfId="28429"/>
    <cellStyle name="Normal 2 6 2 13 5 2" xfId="28430"/>
    <cellStyle name="Normal 2 6 2 13 6" xfId="28431"/>
    <cellStyle name="Normal 2 6 2 13 7" xfId="28432"/>
    <cellStyle name="Normal 2 6 2 13 8" xfId="28433"/>
    <cellStyle name="Normal 2 6 2 13 9" xfId="28434"/>
    <cellStyle name="Normal 2 6 2 14" xfId="28435"/>
    <cellStyle name="Normal 2 6 2 14 2" xfId="28436"/>
    <cellStyle name="Normal 2 6 2 14 2 2" xfId="28437"/>
    <cellStyle name="Normal 2 6 2 14 2 2 2" xfId="28438"/>
    <cellStyle name="Normal 2 6 2 14 2 2 3" xfId="28439"/>
    <cellStyle name="Normal 2 6 2 14 2 3" xfId="28440"/>
    <cellStyle name="Normal 2 6 2 14 2 4" xfId="28441"/>
    <cellStyle name="Normal 2 6 2 14 2 5" xfId="28442"/>
    <cellStyle name="Normal 2 6 2 14 2 6" xfId="28443"/>
    <cellStyle name="Normal 2 6 2 14 3" xfId="28444"/>
    <cellStyle name="Normal 2 6 2 14 3 2" xfId="28445"/>
    <cellStyle name="Normal 2 6 2 14 3 2 2" xfId="28446"/>
    <cellStyle name="Normal 2 6 2 14 3 3" xfId="28447"/>
    <cellStyle name="Normal 2 6 2 14 3 4" xfId="28448"/>
    <cellStyle name="Normal 2 6 2 14 3 5" xfId="28449"/>
    <cellStyle name="Normal 2 6 2 14 4" xfId="28450"/>
    <cellStyle name="Normal 2 6 2 14 4 2" xfId="28451"/>
    <cellStyle name="Normal 2 6 2 14 4 3" xfId="28452"/>
    <cellStyle name="Normal 2 6 2 14 4 4" xfId="28453"/>
    <cellStyle name="Normal 2 6 2 14 5" xfId="28454"/>
    <cellStyle name="Normal 2 6 2 14 5 2" xfId="28455"/>
    <cellStyle name="Normal 2 6 2 14 6" xfId="28456"/>
    <cellStyle name="Normal 2 6 2 14 7" xfId="28457"/>
    <cellStyle name="Normal 2 6 2 14 8" xfId="28458"/>
    <cellStyle name="Normal 2 6 2 14 9" xfId="28459"/>
    <cellStyle name="Normal 2 6 2 15" xfId="28460"/>
    <cellStyle name="Normal 2 6 2 15 2" xfId="28461"/>
    <cellStyle name="Normal 2 6 2 15 2 2" xfId="28462"/>
    <cellStyle name="Normal 2 6 2 15 2 3" xfId="28463"/>
    <cellStyle name="Normal 2 6 2 15 3" xfId="28464"/>
    <cellStyle name="Normal 2 6 2 15 4" xfId="28465"/>
    <cellStyle name="Normal 2 6 2 15 5" xfId="28466"/>
    <cellStyle name="Normal 2 6 2 15 6" xfId="28467"/>
    <cellStyle name="Normal 2 6 2 16" xfId="28468"/>
    <cellStyle name="Normal 2 6 2 16 2" xfId="28469"/>
    <cellStyle name="Normal 2 6 2 16 2 2" xfId="28470"/>
    <cellStyle name="Normal 2 6 2 16 3" xfId="28471"/>
    <cellStyle name="Normal 2 6 2 16 4" xfId="28472"/>
    <cellStyle name="Normal 2 6 2 16 5" xfId="28473"/>
    <cellStyle name="Normal 2 6 2 17" xfId="28474"/>
    <cellStyle name="Normal 2 6 2 17 2" xfId="28475"/>
    <cellStyle name="Normal 2 6 2 17 2 2" xfId="28476"/>
    <cellStyle name="Normal 2 6 2 17 3" xfId="28477"/>
    <cellStyle name="Normal 2 6 2 17 4" xfId="28478"/>
    <cellStyle name="Normal 2 6 2 17 5" xfId="28479"/>
    <cellStyle name="Normal 2 6 2 18" xfId="28480"/>
    <cellStyle name="Normal 2 6 2 18 2" xfId="28481"/>
    <cellStyle name="Normal 2 6 2 19" xfId="28482"/>
    <cellStyle name="Normal 2 6 2 2" xfId="28483"/>
    <cellStyle name="Normal 2 6 2 2 10" xfId="28484"/>
    <cellStyle name="Normal 2 6 2 2 11" xfId="28485"/>
    <cellStyle name="Normal 2 6 2 2 2" xfId="28486"/>
    <cellStyle name="Normal 2 6 2 2 2 2" xfId="28487"/>
    <cellStyle name="Normal 2 6 2 2 2 2 2" xfId="28488"/>
    <cellStyle name="Normal 2 6 2 2 2 2 2 2" xfId="28489"/>
    <cellStyle name="Normal 2 6 2 2 2 2 2 3" xfId="28490"/>
    <cellStyle name="Normal 2 6 2 2 2 2 3" xfId="28491"/>
    <cellStyle name="Normal 2 6 2 2 2 2 4" xfId="28492"/>
    <cellStyle name="Normal 2 6 2 2 2 2 5" xfId="28493"/>
    <cellStyle name="Normal 2 6 2 2 2 2 6" xfId="28494"/>
    <cellStyle name="Normal 2 6 2 2 2 3" xfId="28495"/>
    <cellStyle name="Normal 2 6 2 2 2 3 2" xfId="28496"/>
    <cellStyle name="Normal 2 6 2 2 2 3 2 2" xfId="28497"/>
    <cellStyle name="Normal 2 6 2 2 2 3 3" xfId="28498"/>
    <cellStyle name="Normal 2 6 2 2 2 3 4" xfId="28499"/>
    <cellStyle name="Normal 2 6 2 2 2 3 5" xfId="28500"/>
    <cellStyle name="Normal 2 6 2 2 2 4" xfId="28501"/>
    <cellStyle name="Normal 2 6 2 2 2 4 2" xfId="28502"/>
    <cellStyle name="Normal 2 6 2 2 2 4 3" xfId="28503"/>
    <cellStyle name="Normal 2 6 2 2 2 4 4" xfId="28504"/>
    <cellStyle name="Normal 2 6 2 2 2 5" xfId="28505"/>
    <cellStyle name="Normal 2 6 2 2 2 5 2" xfId="28506"/>
    <cellStyle name="Normal 2 6 2 2 2 6" xfId="28507"/>
    <cellStyle name="Normal 2 6 2 2 2 7" xfId="28508"/>
    <cellStyle name="Normal 2 6 2 2 2 8" xfId="28509"/>
    <cellStyle name="Normal 2 6 2 2 2 9" xfId="28510"/>
    <cellStyle name="Normal 2 6 2 2 3" xfId="28511"/>
    <cellStyle name="Normal 2 6 2 2 3 2" xfId="28512"/>
    <cellStyle name="Normal 2 6 2 2 3 2 2" xfId="28513"/>
    <cellStyle name="Normal 2 6 2 2 3 2 2 2" xfId="28514"/>
    <cellStyle name="Normal 2 6 2 2 3 2 2 3" xfId="28515"/>
    <cellStyle name="Normal 2 6 2 2 3 2 3" xfId="28516"/>
    <cellStyle name="Normal 2 6 2 2 3 2 4" xfId="28517"/>
    <cellStyle name="Normal 2 6 2 2 3 2 5" xfId="28518"/>
    <cellStyle name="Normal 2 6 2 2 3 2 6" xfId="28519"/>
    <cellStyle name="Normal 2 6 2 2 3 3" xfId="28520"/>
    <cellStyle name="Normal 2 6 2 2 3 3 2" xfId="28521"/>
    <cellStyle name="Normal 2 6 2 2 3 3 2 2" xfId="28522"/>
    <cellStyle name="Normal 2 6 2 2 3 3 3" xfId="28523"/>
    <cellStyle name="Normal 2 6 2 2 3 3 4" xfId="28524"/>
    <cellStyle name="Normal 2 6 2 2 3 3 5" xfId="28525"/>
    <cellStyle name="Normal 2 6 2 2 3 4" xfId="28526"/>
    <cellStyle name="Normal 2 6 2 2 3 4 2" xfId="28527"/>
    <cellStyle name="Normal 2 6 2 2 3 4 3" xfId="28528"/>
    <cellStyle name="Normal 2 6 2 2 3 4 4" xfId="28529"/>
    <cellStyle name="Normal 2 6 2 2 3 5" xfId="28530"/>
    <cellStyle name="Normal 2 6 2 2 3 5 2" xfId="28531"/>
    <cellStyle name="Normal 2 6 2 2 3 6" xfId="28532"/>
    <cellStyle name="Normal 2 6 2 2 3 7" xfId="28533"/>
    <cellStyle name="Normal 2 6 2 2 3 8" xfId="28534"/>
    <cellStyle name="Normal 2 6 2 2 3 9" xfId="28535"/>
    <cellStyle name="Normal 2 6 2 2 4" xfId="28536"/>
    <cellStyle name="Normal 2 6 2 2 4 2" xfId="28537"/>
    <cellStyle name="Normal 2 6 2 2 4 2 2" xfId="28538"/>
    <cellStyle name="Normal 2 6 2 2 4 2 3" xfId="28539"/>
    <cellStyle name="Normal 2 6 2 2 4 3" xfId="28540"/>
    <cellStyle name="Normal 2 6 2 2 4 4" xfId="28541"/>
    <cellStyle name="Normal 2 6 2 2 4 5" xfId="28542"/>
    <cellStyle name="Normal 2 6 2 2 4 6" xfId="28543"/>
    <cellStyle name="Normal 2 6 2 2 5" xfId="28544"/>
    <cellStyle name="Normal 2 6 2 2 5 2" xfId="28545"/>
    <cellStyle name="Normal 2 6 2 2 5 2 2" xfId="28546"/>
    <cellStyle name="Normal 2 6 2 2 5 3" xfId="28547"/>
    <cellStyle name="Normal 2 6 2 2 5 4" xfId="28548"/>
    <cellStyle name="Normal 2 6 2 2 5 5" xfId="28549"/>
    <cellStyle name="Normal 2 6 2 2 6" xfId="28550"/>
    <cellStyle name="Normal 2 6 2 2 6 2" xfId="28551"/>
    <cellStyle name="Normal 2 6 2 2 6 3" xfId="28552"/>
    <cellStyle name="Normal 2 6 2 2 6 4" xfId="28553"/>
    <cellStyle name="Normal 2 6 2 2 7" xfId="28554"/>
    <cellStyle name="Normal 2 6 2 2 7 2" xfId="28555"/>
    <cellStyle name="Normal 2 6 2 2 8" xfId="28556"/>
    <cellStyle name="Normal 2 6 2 2 9" xfId="28557"/>
    <cellStyle name="Normal 2 6 2 20" xfId="28558"/>
    <cellStyle name="Normal 2 6 2 21" xfId="28559"/>
    <cellStyle name="Normal 2 6 2 22" xfId="28560"/>
    <cellStyle name="Normal 2 6 2 3" xfId="28561"/>
    <cellStyle name="Normal 2 6 2 3 10" xfId="28562"/>
    <cellStyle name="Normal 2 6 2 3 11" xfId="28563"/>
    <cellStyle name="Normal 2 6 2 3 2" xfId="28564"/>
    <cellStyle name="Normal 2 6 2 3 2 2" xfId="28565"/>
    <cellStyle name="Normal 2 6 2 3 2 2 2" xfId="28566"/>
    <cellStyle name="Normal 2 6 2 3 2 2 2 2" xfId="28567"/>
    <cellStyle name="Normal 2 6 2 3 2 2 2 3" xfId="28568"/>
    <cellStyle name="Normal 2 6 2 3 2 2 3" xfId="28569"/>
    <cellStyle name="Normal 2 6 2 3 2 2 4" xfId="28570"/>
    <cellStyle name="Normal 2 6 2 3 2 2 5" xfId="28571"/>
    <cellStyle name="Normal 2 6 2 3 2 2 6" xfId="28572"/>
    <cellStyle name="Normal 2 6 2 3 2 3" xfId="28573"/>
    <cellStyle name="Normal 2 6 2 3 2 3 2" xfId="28574"/>
    <cellStyle name="Normal 2 6 2 3 2 3 2 2" xfId="28575"/>
    <cellStyle name="Normal 2 6 2 3 2 3 3" xfId="28576"/>
    <cellStyle name="Normal 2 6 2 3 2 3 4" xfId="28577"/>
    <cellStyle name="Normal 2 6 2 3 2 3 5" xfId="28578"/>
    <cellStyle name="Normal 2 6 2 3 2 4" xfId="28579"/>
    <cellStyle name="Normal 2 6 2 3 2 4 2" xfId="28580"/>
    <cellStyle name="Normal 2 6 2 3 2 4 3" xfId="28581"/>
    <cellStyle name="Normal 2 6 2 3 2 4 4" xfId="28582"/>
    <cellStyle name="Normal 2 6 2 3 2 5" xfId="28583"/>
    <cellStyle name="Normal 2 6 2 3 2 5 2" xfId="28584"/>
    <cellStyle name="Normal 2 6 2 3 2 6" xfId="28585"/>
    <cellStyle name="Normal 2 6 2 3 2 7" xfId="28586"/>
    <cellStyle name="Normal 2 6 2 3 2 8" xfId="28587"/>
    <cellStyle name="Normal 2 6 2 3 2 9" xfId="28588"/>
    <cellStyle name="Normal 2 6 2 3 3" xfId="28589"/>
    <cellStyle name="Normal 2 6 2 3 3 2" xfId="28590"/>
    <cellStyle name="Normal 2 6 2 3 3 2 2" xfId="28591"/>
    <cellStyle name="Normal 2 6 2 3 3 2 2 2" xfId="28592"/>
    <cellStyle name="Normal 2 6 2 3 3 2 2 3" xfId="28593"/>
    <cellStyle name="Normal 2 6 2 3 3 2 3" xfId="28594"/>
    <cellStyle name="Normal 2 6 2 3 3 2 4" xfId="28595"/>
    <cellStyle name="Normal 2 6 2 3 3 2 5" xfId="28596"/>
    <cellStyle name="Normal 2 6 2 3 3 2 6" xfId="28597"/>
    <cellStyle name="Normal 2 6 2 3 3 3" xfId="28598"/>
    <cellStyle name="Normal 2 6 2 3 3 3 2" xfId="28599"/>
    <cellStyle name="Normal 2 6 2 3 3 3 2 2" xfId="28600"/>
    <cellStyle name="Normal 2 6 2 3 3 3 3" xfId="28601"/>
    <cellStyle name="Normal 2 6 2 3 3 3 4" xfId="28602"/>
    <cellStyle name="Normal 2 6 2 3 3 3 5" xfId="28603"/>
    <cellStyle name="Normal 2 6 2 3 3 4" xfId="28604"/>
    <cellStyle name="Normal 2 6 2 3 3 4 2" xfId="28605"/>
    <cellStyle name="Normal 2 6 2 3 3 4 3" xfId="28606"/>
    <cellStyle name="Normal 2 6 2 3 3 4 4" xfId="28607"/>
    <cellStyle name="Normal 2 6 2 3 3 5" xfId="28608"/>
    <cellStyle name="Normal 2 6 2 3 3 5 2" xfId="28609"/>
    <cellStyle name="Normal 2 6 2 3 3 6" xfId="28610"/>
    <cellStyle name="Normal 2 6 2 3 3 7" xfId="28611"/>
    <cellStyle name="Normal 2 6 2 3 3 8" xfId="28612"/>
    <cellStyle name="Normal 2 6 2 3 3 9" xfId="28613"/>
    <cellStyle name="Normal 2 6 2 3 4" xfId="28614"/>
    <cellStyle name="Normal 2 6 2 3 4 2" xfId="28615"/>
    <cellStyle name="Normal 2 6 2 3 4 2 2" xfId="28616"/>
    <cellStyle name="Normal 2 6 2 3 4 2 3" xfId="28617"/>
    <cellStyle name="Normal 2 6 2 3 4 3" xfId="28618"/>
    <cellStyle name="Normal 2 6 2 3 4 4" xfId="28619"/>
    <cellStyle name="Normal 2 6 2 3 4 5" xfId="28620"/>
    <cellStyle name="Normal 2 6 2 3 4 6" xfId="28621"/>
    <cellStyle name="Normal 2 6 2 3 5" xfId="28622"/>
    <cellStyle name="Normal 2 6 2 3 5 2" xfId="28623"/>
    <cellStyle name="Normal 2 6 2 3 5 2 2" xfId="28624"/>
    <cellStyle name="Normal 2 6 2 3 5 3" xfId="28625"/>
    <cellStyle name="Normal 2 6 2 3 5 4" xfId="28626"/>
    <cellStyle name="Normal 2 6 2 3 5 5" xfId="28627"/>
    <cellStyle name="Normal 2 6 2 3 6" xfId="28628"/>
    <cellStyle name="Normal 2 6 2 3 6 2" xfId="28629"/>
    <cellStyle name="Normal 2 6 2 3 6 3" xfId="28630"/>
    <cellStyle name="Normal 2 6 2 3 6 4" xfId="28631"/>
    <cellStyle name="Normal 2 6 2 3 7" xfId="28632"/>
    <cellStyle name="Normal 2 6 2 3 7 2" xfId="28633"/>
    <cellStyle name="Normal 2 6 2 3 8" xfId="28634"/>
    <cellStyle name="Normal 2 6 2 3 9" xfId="28635"/>
    <cellStyle name="Normal 2 6 2 4" xfId="28636"/>
    <cellStyle name="Normal 2 6 2 4 10" xfId="28637"/>
    <cellStyle name="Normal 2 6 2 4 11" xfId="28638"/>
    <cellStyle name="Normal 2 6 2 4 2" xfId="28639"/>
    <cellStyle name="Normal 2 6 2 4 2 2" xfId="28640"/>
    <cellStyle name="Normal 2 6 2 4 2 2 2" xfId="28641"/>
    <cellStyle name="Normal 2 6 2 4 2 2 2 2" xfId="28642"/>
    <cellStyle name="Normal 2 6 2 4 2 2 2 3" xfId="28643"/>
    <cellStyle name="Normal 2 6 2 4 2 2 3" xfId="28644"/>
    <cellStyle name="Normal 2 6 2 4 2 2 4" xfId="28645"/>
    <cellStyle name="Normal 2 6 2 4 2 2 5" xfId="28646"/>
    <cellStyle name="Normal 2 6 2 4 2 2 6" xfId="28647"/>
    <cellStyle name="Normal 2 6 2 4 2 3" xfId="28648"/>
    <cellStyle name="Normal 2 6 2 4 2 3 2" xfId="28649"/>
    <cellStyle name="Normal 2 6 2 4 2 3 2 2" xfId="28650"/>
    <cellStyle name="Normal 2 6 2 4 2 3 3" xfId="28651"/>
    <cellStyle name="Normal 2 6 2 4 2 3 4" xfId="28652"/>
    <cellStyle name="Normal 2 6 2 4 2 3 5" xfId="28653"/>
    <cellStyle name="Normal 2 6 2 4 2 4" xfId="28654"/>
    <cellStyle name="Normal 2 6 2 4 2 4 2" xfId="28655"/>
    <cellStyle name="Normal 2 6 2 4 2 4 3" xfId="28656"/>
    <cellStyle name="Normal 2 6 2 4 2 4 4" xfId="28657"/>
    <cellStyle name="Normal 2 6 2 4 2 5" xfId="28658"/>
    <cellStyle name="Normal 2 6 2 4 2 5 2" xfId="28659"/>
    <cellStyle name="Normal 2 6 2 4 2 6" xfId="28660"/>
    <cellStyle name="Normal 2 6 2 4 2 7" xfId="28661"/>
    <cellStyle name="Normal 2 6 2 4 2 8" xfId="28662"/>
    <cellStyle name="Normal 2 6 2 4 2 9" xfId="28663"/>
    <cellStyle name="Normal 2 6 2 4 3" xfId="28664"/>
    <cellStyle name="Normal 2 6 2 4 3 2" xfId="28665"/>
    <cellStyle name="Normal 2 6 2 4 3 2 2" xfId="28666"/>
    <cellStyle name="Normal 2 6 2 4 3 2 2 2" xfId="28667"/>
    <cellStyle name="Normal 2 6 2 4 3 2 2 3" xfId="28668"/>
    <cellStyle name="Normal 2 6 2 4 3 2 3" xfId="28669"/>
    <cellStyle name="Normal 2 6 2 4 3 2 4" xfId="28670"/>
    <cellStyle name="Normal 2 6 2 4 3 2 5" xfId="28671"/>
    <cellStyle name="Normal 2 6 2 4 3 2 6" xfId="28672"/>
    <cellStyle name="Normal 2 6 2 4 3 3" xfId="28673"/>
    <cellStyle name="Normal 2 6 2 4 3 3 2" xfId="28674"/>
    <cellStyle name="Normal 2 6 2 4 3 3 2 2" xfId="28675"/>
    <cellStyle name="Normal 2 6 2 4 3 3 3" xfId="28676"/>
    <cellStyle name="Normal 2 6 2 4 3 3 4" xfId="28677"/>
    <cellStyle name="Normal 2 6 2 4 3 3 5" xfId="28678"/>
    <cellStyle name="Normal 2 6 2 4 3 4" xfId="28679"/>
    <cellStyle name="Normal 2 6 2 4 3 4 2" xfId="28680"/>
    <cellStyle name="Normal 2 6 2 4 3 4 3" xfId="28681"/>
    <cellStyle name="Normal 2 6 2 4 3 4 4" xfId="28682"/>
    <cellStyle name="Normal 2 6 2 4 3 5" xfId="28683"/>
    <cellStyle name="Normal 2 6 2 4 3 5 2" xfId="28684"/>
    <cellStyle name="Normal 2 6 2 4 3 6" xfId="28685"/>
    <cellStyle name="Normal 2 6 2 4 3 7" xfId="28686"/>
    <cellStyle name="Normal 2 6 2 4 3 8" xfId="28687"/>
    <cellStyle name="Normal 2 6 2 4 3 9" xfId="28688"/>
    <cellStyle name="Normal 2 6 2 4 4" xfId="28689"/>
    <cellStyle name="Normal 2 6 2 4 4 2" xfId="28690"/>
    <cellStyle name="Normal 2 6 2 4 4 2 2" xfId="28691"/>
    <cellStyle name="Normal 2 6 2 4 4 2 3" xfId="28692"/>
    <cellStyle name="Normal 2 6 2 4 4 3" xfId="28693"/>
    <cellStyle name="Normal 2 6 2 4 4 4" xfId="28694"/>
    <cellStyle name="Normal 2 6 2 4 4 5" xfId="28695"/>
    <cellStyle name="Normal 2 6 2 4 4 6" xfId="28696"/>
    <cellStyle name="Normal 2 6 2 4 5" xfId="28697"/>
    <cellStyle name="Normal 2 6 2 4 5 2" xfId="28698"/>
    <cellStyle name="Normal 2 6 2 4 5 2 2" xfId="28699"/>
    <cellStyle name="Normal 2 6 2 4 5 3" xfId="28700"/>
    <cellStyle name="Normal 2 6 2 4 5 4" xfId="28701"/>
    <cellStyle name="Normal 2 6 2 4 5 5" xfId="28702"/>
    <cellStyle name="Normal 2 6 2 4 6" xfId="28703"/>
    <cellStyle name="Normal 2 6 2 4 6 2" xfId="28704"/>
    <cellStyle name="Normal 2 6 2 4 6 3" xfId="28705"/>
    <cellStyle name="Normal 2 6 2 4 6 4" xfId="28706"/>
    <cellStyle name="Normal 2 6 2 4 7" xfId="28707"/>
    <cellStyle name="Normal 2 6 2 4 7 2" xfId="28708"/>
    <cellStyle name="Normal 2 6 2 4 8" xfId="28709"/>
    <cellStyle name="Normal 2 6 2 4 9" xfId="28710"/>
    <cellStyle name="Normal 2 6 2 5" xfId="28711"/>
    <cellStyle name="Normal 2 6 2 5 10" xfId="28712"/>
    <cellStyle name="Normal 2 6 2 5 11" xfId="28713"/>
    <cellStyle name="Normal 2 6 2 5 2" xfId="28714"/>
    <cellStyle name="Normal 2 6 2 5 2 2" xfId="28715"/>
    <cellStyle name="Normal 2 6 2 5 2 2 2" xfId="28716"/>
    <cellStyle name="Normal 2 6 2 5 2 2 2 2" xfId="28717"/>
    <cellStyle name="Normal 2 6 2 5 2 2 2 3" xfId="28718"/>
    <cellStyle name="Normal 2 6 2 5 2 2 3" xfId="28719"/>
    <cellStyle name="Normal 2 6 2 5 2 2 4" xfId="28720"/>
    <cellStyle name="Normal 2 6 2 5 2 2 5" xfId="28721"/>
    <cellStyle name="Normal 2 6 2 5 2 2 6" xfId="28722"/>
    <cellStyle name="Normal 2 6 2 5 2 3" xfId="28723"/>
    <cellStyle name="Normal 2 6 2 5 2 3 2" xfId="28724"/>
    <cellStyle name="Normal 2 6 2 5 2 3 2 2" xfId="28725"/>
    <cellStyle name="Normal 2 6 2 5 2 3 3" xfId="28726"/>
    <cellStyle name="Normal 2 6 2 5 2 3 4" xfId="28727"/>
    <cellStyle name="Normal 2 6 2 5 2 3 5" xfId="28728"/>
    <cellStyle name="Normal 2 6 2 5 2 4" xfId="28729"/>
    <cellStyle name="Normal 2 6 2 5 2 4 2" xfId="28730"/>
    <cellStyle name="Normal 2 6 2 5 2 4 3" xfId="28731"/>
    <cellStyle name="Normal 2 6 2 5 2 4 4" xfId="28732"/>
    <cellStyle name="Normal 2 6 2 5 2 5" xfId="28733"/>
    <cellStyle name="Normal 2 6 2 5 2 5 2" xfId="28734"/>
    <cellStyle name="Normal 2 6 2 5 2 6" xfId="28735"/>
    <cellStyle name="Normal 2 6 2 5 2 7" xfId="28736"/>
    <cellStyle name="Normal 2 6 2 5 2 8" xfId="28737"/>
    <cellStyle name="Normal 2 6 2 5 2 9" xfId="28738"/>
    <cellStyle name="Normal 2 6 2 5 3" xfId="28739"/>
    <cellStyle name="Normal 2 6 2 5 3 2" xfId="28740"/>
    <cellStyle name="Normal 2 6 2 5 3 2 2" xfId="28741"/>
    <cellStyle name="Normal 2 6 2 5 3 2 2 2" xfId="28742"/>
    <cellStyle name="Normal 2 6 2 5 3 2 2 3" xfId="28743"/>
    <cellStyle name="Normal 2 6 2 5 3 2 3" xfId="28744"/>
    <cellStyle name="Normal 2 6 2 5 3 2 4" xfId="28745"/>
    <cellStyle name="Normal 2 6 2 5 3 2 5" xfId="28746"/>
    <cellStyle name="Normal 2 6 2 5 3 2 6" xfId="28747"/>
    <cellStyle name="Normal 2 6 2 5 3 3" xfId="28748"/>
    <cellStyle name="Normal 2 6 2 5 3 3 2" xfId="28749"/>
    <cellStyle name="Normal 2 6 2 5 3 3 2 2" xfId="28750"/>
    <cellStyle name="Normal 2 6 2 5 3 3 3" xfId="28751"/>
    <cellStyle name="Normal 2 6 2 5 3 3 4" xfId="28752"/>
    <cellStyle name="Normal 2 6 2 5 3 3 5" xfId="28753"/>
    <cellStyle name="Normal 2 6 2 5 3 4" xfId="28754"/>
    <cellStyle name="Normal 2 6 2 5 3 4 2" xfId="28755"/>
    <cellStyle name="Normal 2 6 2 5 3 4 3" xfId="28756"/>
    <cellStyle name="Normal 2 6 2 5 3 4 4" xfId="28757"/>
    <cellStyle name="Normal 2 6 2 5 3 5" xfId="28758"/>
    <cellStyle name="Normal 2 6 2 5 3 5 2" xfId="28759"/>
    <cellStyle name="Normal 2 6 2 5 3 6" xfId="28760"/>
    <cellStyle name="Normal 2 6 2 5 3 7" xfId="28761"/>
    <cellStyle name="Normal 2 6 2 5 3 8" xfId="28762"/>
    <cellStyle name="Normal 2 6 2 5 3 9" xfId="28763"/>
    <cellStyle name="Normal 2 6 2 5 4" xfId="28764"/>
    <cellStyle name="Normal 2 6 2 5 4 2" xfId="28765"/>
    <cellStyle name="Normal 2 6 2 5 4 2 2" xfId="28766"/>
    <cellStyle name="Normal 2 6 2 5 4 2 3" xfId="28767"/>
    <cellStyle name="Normal 2 6 2 5 4 3" xfId="28768"/>
    <cellStyle name="Normal 2 6 2 5 4 4" xfId="28769"/>
    <cellStyle name="Normal 2 6 2 5 4 5" xfId="28770"/>
    <cellStyle name="Normal 2 6 2 5 4 6" xfId="28771"/>
    <cellStyle name="Normal 2 6 2 5 5" xfId="28772"/>
    <cellStyle name="Normal 2 6 2 5 5 2" xfId="28773"/>
    <cellStyle name="Normal 2 6 2 5 5 2 2" xfId="28774"/>
    <cellStyle name="Normal 2 6 2 5 5 3" xfId="28775"/>
    <cellStyle name="Normal 2 6 2 5 5 4" xfId="28776"/>
    <cellStyle name="Normal 2 6 2 5 5 5" xfId="28777"/>
    <cellStyle name="Normal 2 6 2 5 6" xfId="28778"/>
    <cellStyle name="Normal 2 6 2 5 6 2" xfId="28779"/>
    <cellStyle name="Normal 2 6 2 5 6 3" xfId="28780"/>
    <cellStyle name="Normal 2 6 2 5 6 4" xfId="28781"/>
    <cellStyle name="Normal 2 6 2 5 7" xfId="28782"/>
    <cellStyle name="Normal 2 6 2 5 7 2" xfId="28783"/>
    <cellStyle name="Normal 2 6 2 5 8" xfId="28784"/>
    <cellStyle name="Normal 2 6 2 5 9" xfId="28785"/>
    <cellStyle name="Normal 2 6 2 6" xfId="28786"/>
    <cellStyle name="Normal 2 6 2 6 10" xfId="28787"/>
    <cellStyle name="Normal 2 6 2 6 11" xfId="28788"/>
    <cellStyle name="Normal 2 6 2 6 2" xfId="28789"/>
    <cellStyle name="Normal 2 6 2 6 2 2" xfId="28790"/>
    <cellStyle name="Normal 2 6 2 6 2 2 2" xfId="28791"/>
    <cellStyle name="Normal 2 6 2 6 2 2 2 2" xfId="28792"/>
    <cellStyle name="Normal 2 6 2 6 2 2 2 3" xfId="28793"/>
    <cellStyle name="Normal 2 6 2 6 2 2 3" xfId="28794"/>
    <cellStyle name="Normal 2 6 2 6 2 2 4" xfId="28795"/>
    <cellStyle name="Normal 2 6 2 6 2 2 5" xfId="28796"/>
    <cellStyle name="Normal 2 6 2 6 2 2 6" xfId="28797"/>
    <cellStyle name="Normal 2 6 2 6 2 3" xfId="28798"/>
    <cellStyle name="Normal 2 6 2 6 2 3 2" xfId="28799"/>
    <cellStyle name="Normal 2 6 2 6 2 3 2 2" xfId="28800"/>
    <cellStyle name="Normal 2 6 2 6 2 3 3" xfId="28801"/>
    <cellStyle name="Normal 2 6 2 6 2 3 4" xfId="28802"/>
    <cellStyle name="Normal 2 6 2 6 2 3 5" xfId="28803"/>
    <cellStyle name="Normal 2 6 2 6 2 4" xfId="28804"/>
    <cellStyle name="Normal 2 6 2 6 2 4 2" xfId="28805"/>
    <cellStyle name="Normal 2 6 2 6 2 4 3" xfId="28806"/>
    <cellStyle name="Normal 2 6 2 6 2 4 4" xfId="28807"/>
    <cellStyle name="Normal 2 6 2 6 2 5" xfId="28808"/>
    <cellStyle name="Normal 2 6 2 6 2 5 2" xfId="28809"/>
    <cellStyle name="Normal 2 6 2 6 2 6" xfId="28810"/>
    <cellStyle name="Normal 2 6 2 6 2 7" xfId="28811"/>
    <cellStyle name="Normal 2 6 2 6 2 8" xfId="28812"/>
    <cellStyle name="Normal 2 6 2 6 2 9" xfId="28813"/>
    <cellStyle name="Normal 2 6 2 6 3" xfId="28814"/>
    <cellStyle name="Normal 2 6 2 6 3 2" xfId="28815"/>
    <cellStyle name="Normal 2 6 2 6 3 2 2" xfId="28816"/>
    <cellStyle name="Normal 2 6 2 6 3 2 2 2" xfId="28817"/>
    <cellStyle name="Normal 2 6 2 6 3 2 2 3" xfId="28818"/>
    <cellStyle name="Normal 2 6 2 6 3 2 3" xfId="28819"/>
    <cellStyle name="Normal 2 6 2 6 3 2 4" xfId="28820"/>
    <cellStyle name="Normal 2 6 2 6 3 2 5" xfId="28821"/>
    <cellStyle name="Normal 2 6 2 6 3 2 6" xfId="28822"/>
    <cellStyle name="Normal 2 6 2 6 3 3" xfId="28823"/>
    <cellStyle name="Normal 2 6 2 6 3 3 2" xfId="28824"/>
    <cellStyle name="Normal 2 6 2 6 3 3 2 2" xfId="28825"/>
    <cellStyle name="Normal 2 6 2 6 3 3 3" xfId="28826"/>
    <cellStyle name="Normal 2 6 2 6 3 3 4" xfId="28827"/>
    <cellStyle name="Normal 2 6 2 6 3 3 5" xfId="28828"/>
    <cellStyle name="Normal 2 6 2 6 3 4" xfId="28829"/>
    <cellStyle name="Normal 2 6 2 6 3 4 2" xfId="28830"/>
    <cellStyle name="Normal 2 6 2 6 3 4 3" xfId="28831"/>
    <cellStyle name="Normal 2 6 2 6 3 4 4" xfId="28832"/>
    <cellStyle name="Normal 2 6 2 6 3 5" xfId="28833"/>
    <cellStyle name="Normal 2 6 2 6 3 5 2" xfId="28834"/>
    <cellStyle name="Normal 2 6 2 6 3 6" xfId="28835"/>
    <cellStyle name="Normal 2 6 2 6 3 7" xfId="28836"/>
    <cellStyle name="Normal 2 6 2 6 3 8" xfId="28837"/>
    <cellStyle name="Normal 2 6 2 6 3 9" xfId="28838"/>
    <cellStyle name="Normal 2 6 2 6 4" xfId="28839"/>
    <cellStyle name="Normal 2 6 2 6 4 2" xfId="28840"/>
    <cellStyle name="Normal 2 6 2 6 4 2 2" xfId="28841"/>
    <cellStyle name="Normal 2 6 2 6 4 2 3" xfId="28842"/>
    <cellStyle name="Normal 2 6 2 6 4 3" xfId="28843"/>
    <cellStyle name="Normal 2 6 2 6 4 4" xfId="28844"/>
    <cellStyle name="Normal 2 6 2 6 4 5" xfId="28845"/>
    <cellStyle name="Normal 2 6 2 6 4 6" xfId="28846"/>
    <cellStyle name="Normal 2 6 2 6 5" xfId="28847"/>
    <cellStyle name="Normal 2 6 2 6 5 2" xfId="28848"/>
    <cellStyle name="Normal 2 6 2 6 5 2 2" xfId="28849"/>
    <cellStyle name="Normal 2 6 2 6 5 3" xfId="28850"/>
    <cellStyle name="Normal 2 6 2 6 5 4" xfId="28851"/>
    <cellStyle name="Normal 2 6 2 6 5 5" xfId="28852"/>
    <cellStyle name="Normal 2 6 2 6 6" xfId="28853"/>
    <cellStyle name="Normal 2 6 2 6 6 2" xfId="28854"/>
    <cellStyle name="Normal 2 6 2 6 6 3" xfId="28855"/>
    <cellStyle name="Normal 2 6 2 6 6 4" xfId="28856"/>
    <cellStyle name="Normal 2 6 2 6 7" xfId="28857"/>
    <cellStyle name="Normal 2 6 2 6 7 2" xfId="28858"/>
    <cellStyle name="Normal 2 6 2 6 8" xfId="28859"/>
    <cellStyle name="Normal 2 6 2 6 9" xfId="28860"/>
    <cellStyle name="Normal 2 6 2 7" xfId="28861"/>
    <cellStyle name="Normal 2 6 2 7 10" xfId="28862"/>
    <cellStyle name="Normal 2 6 2 7 11" xfId="28863"/>
    <cellStyle name="Normal 2 6 2 7 2" xfId="28864"/>
    <cellStyle name="Normal 2 6 2 7 2 2" xfId="28865"/>
    <cellStyle name="Normal 2 6 2 7 2 2 2" xfId="28866"/>
    <cellStyle name="Normal 2 6 2 7 2 2 2 2" xfId="28867"/>
    <cellStyle name="Normal 2 6 2 7 2 2 2 3" xfId="28868"/>
    <cellStyle name="Normal 2 6 2 7 2 2 3" xfId="28869"/>
    <cellStyle name="Normal 2 6 2 7 2 2 4" xfId="28870"/>
    <cellStyle name="Normal 2 6 2 7 2 2 5" xfId="28871"/>
    <cellStyle name="Normal 2 6 2 7 2 2 6" xfId="28872"/>
    <cellStyle name="Normal 2 6 2 7 2 3" xfId="28873"/>
    <cellStyle name="Normal 2 6 2 7 2 3 2" xfId="28874"/>
    <cellStyle name="Normal 2 6 2 7 2 3 2 2" xfId="28875"/>
    <cellStyle name="Normal 2 6 2 7 2 3 3" xfId="28876"/>
    <cellStyle name="Normal 2 6 2 7 2 3 4" xfId="28877"/>
    <cellStyle name="Normal 2 6 2 7 2 3 5" xfId="28878"/>
    <cellStyle name="Normal 2 6 2 7 2 4" xfId="28879"/>
    <cellStyle name="Normal 2 6 2 7 2 4 2" xfId="28880"/>
    <cellStyle name="Normal 2 6 2 7 2 4 3" xfId="28881"/>
    <cellStyle name="Normal 2 6 2 7 2 4 4" xfId="28882"/>
    <cellStyle name="Normal 2 6 2 7 2 5" xfId="28883"/>
    <cellStyle name="Normal 2 6 2 7 2 5 2" xfId="28884"/>
    <cellStyle name="Normal 2 6 2 7 2 6" xfId="28885"/>
    <cellStyle name="Normal 2 6 2 7 2 7" xfId="28886"/>
    <cellStyle name="Normal 2 6 2 7 2 8" xfId="28887"/>
    <cellStyle name="Normal 2 6 2 7 2 9" xfId="28888"/>
    <cellStyle name="Normal 2 6 2 7 3" xfId="28889"/>
    <cellStyle name="Normal 2 6 2 7 3 2" xfId="28890"/>
    <cellStyle name="Normal 2 6 2 7 3 2 2" xfId="28891"/>
    <cellStyle name="Normal 2 6 2 7 3 2 2 2" xfId="28892"/>
    <cellStyle name="Normal 2 6 2 7 3 2 2 3" xfId="28893"/>
    <cellStyle name="Normal 2 6 2 7 3 2 3" xfId="28894"/>
    <cellStyle name="Normal 2 6 2 7 3 2 4" xfId="28895"/>
    <cellStyle name="Normal 2 6 2 7 3 2 5" xfId="28896"/>
    <cellStyle name="Normal 2 6 2 7 3 2 6" xfId="28897"/>
    <cellStyle name="Normal 2 6 2 7 3 3" xfId="28898"/>
    <cellStyle name="Normal 2 6 2 7 3 3 2" xfId="28899"/>
    <cellStyle name="Normal 2 6 2 7 3 3 2 2" xfId="28900"/>
    <cellStyle name="Normal 2 6 2 7 3 3 3" xfId="28901"/>
    <cellStyle name="Normal 2 6 2 7 3 3 4" xfId="28902"/>
    <cellStyle name="Normal 2 6 2 7 3 3 5" xfId="28903"/>
    <cellStyle name="Normal 2 6 2 7 3 4" xfId="28904"/>
    <cellStyle name="Normal 2 6 2 7 3 4 2" xfId="28905"/>
    <cellStyle name="Normal 2 6 2 7 3 4 3" xfId="28906"/>
    <cellStyle name="Normal 2 6 2 7 3 4 4" xfId="28907"/>
    <cellStyle name="Normal 2 6 2 7 3 5" xfId="28908"/>
    <cellStyle name="Normal 2 6 2 7 3 5 2" xfId="28909"/>
    <cellStyle name="Normal 2 6 2 7 3 6" xfId="28910"/>
    <cellStyle name="Normal 2 6 2 7 3 7" xfId="28911"/>
    <cellStyle name="Normal 2 6 2 7 3 8" xfId="28912"/>
    <cellStyle name="Normal 2 6 2 7 3 9" xfId="28913"/>
    <cellStyle name="Normal 2 6 2 7 4" xfId="28914"/>
    <cellStyle name="Normal 2 6 2 7 4 2" xfId="28915"/>
    <cellStyle name="Normal 2 6 2 7 4 2 2" xfId="28916"/>
    <cellStyle name="Normal 2 6 2 7 4 2 3" xfId="28917"/>
    <cellStyle name="Normal 2 6 2 7 4 3" xfId="28918"/>
    <cellStyle name="Normal 2 6 2 7 4 4" xfId="28919"/>
    <cellStyle name="Normal 2 6 2 7 4 5" xfId="28920"/>
    <cellStyle name="Normal 2 6 2 7 4 6" xfId="28921"/>
    <cellStyle name="Normal 2 6 2 7 5" xfId="28922"/>
    <cellStyle name="Normal 2 6 2 7 5 2" xfId="28923"/>
    <cellStyle name="Normal 2 6 2 7 5 2 2" xfId="28924"/>
    <cellStyle name="Normal 2 6 2 7 5 3" xfId="28925"/>
    <cellStyle name="Normal 2 6 2 7 5 4" xfId="28926"/>
    <cellStyle name="Normal 2 6 2 7 5 5" xfId="28927"/>
    <cellStyle name="Normal 2 6 2 7 6" xfId="28928"/>
    <cellStyle name="Normal 2 6 2 7 6 2" xfId="28929"/>
    <cellStyle name="Normal 2 6 2 7 6 3" xfId="28930"/>
    <cellStyle name="Normal 2 6 2 7 6 4" xfId="28931"/>
    <cellStyle name="Normal 2 6 2 7 7" xfId="28932"/>
    <cellStyle name="Normal 2 6 2 7 7 2" xfId="28933"/>
    <cellStyle name="Normal 2 6 2 7 8" xfId="28934"/>
    <cellStyle name="Normal 2 6 2 7 9" xfId="28935"/>
    <cellStyle name="Normal 2 6 2 8" xfId="28936"/>
    <cellStyle name="Normal 2 6 2 8 10" xfId="28937"/>
    <cellStyle name="Normal 2 6 2 8 2" xfId="28938"/>
    <cellStyle name="Normal 2 6 2 8 2 2" xfId="28939"/>
    <cellStyle name="Normal 2 6 2 8 2 2 2" xfId="28940"/>
    <cellStyle name="Normal 2 6 2 8 2 2 3" xfId="28941"/>
    <cellStyle name="Normal 2 6 2 8 2 3" xfId="28942"/>
    <cellStyle name="Normal 2 6 2 8 2 4" xfId="28943"/>
    <cellStyle name="Normal 2 6 2 8 2 5" xfId="28944"/>
    <cellStyle name="Normal 2 6 2 8 2 6" xfId="28945"/>
    <cellStyle name="Normal 2 6 2 8 3" xfId="28946"/>
    <cellStyle name="Normal 2 6 2 8 3 2" xfId="28947"/>
    <cellStyle name="Normal 2 6 2 8 3 2 2" xfId="28948"/>
    <cellStyle name="Normal 2 6 2 8 3 2 3" xfId="28949"/>
    <cellStyle name="Normal 2 6 2 8 3 3" xfId="28950"/>
    <cellStyle name="Normal 2 6 2 8 3 4" xfId="28951"/>
    <cellStyle name="Normal 2 6 2 8 3 5" xfId="28952"/>
    <cellStyle name="Normal 2 6 2 8 3 6" xfId="28953"/>
    <cellStyle name="Normal 2 6 2 8 4" xfId="28954"/>
    <cellStyle name="Normal 2 6 2 8 4 2" xfId="28955"/>
    <cellStyle name="Normal 2 6 2 8 4 2 2" xfId="28956"/>
    <cellStyle name="Normal 2 6 2 8 4 3" xfId="28957"/>
    <cellStyle name="Normal 2 6 2 8 4 4" xfId="28958"/>
    <cellStyle name="Normal 2 6 2 8 4 5" xfId="28959"/>
    <cellStyle name="Normal 2 6 2 8 5" xfId="28960"/>
    <cellStyle name="Normal 2 6 2 8 5 2" xfId="28961"/>
    <cellStyle name="Normal 2 6 2 8 5 3" xfId="28962"/>
    <cellStyle name="Normal 2 6 2 8 5 4" xfId="28963"/>
    <cellStyle name="Normal 2 6 2 8 6" xfId="28964"/>
    <cellStyle name="Normal 2 6 2 8 6 2" xfId="28965"/>
    <cellStyle name="Normal 2 6 2 8 7" xfId="28966"/>
    <cellStyle name="Normal 2 6 2 8 8" xfId="28967"/>
    <cellStyle name="Normal 2 6 2 8 9" xfId="28968"/>
    <cellStyle name="Normal 2 6 2 9" xfId="28969"/>
    <cellStyle name="Normal 2 6 2 9 10" xfId="28970"/>
    <cellStyle name="Normal 2 6 2 9 2" xfId="28971"/>
    <cellStyle name="Normal 2 6 2 9 2 2" xfId="28972"/>
    <cellStyle name="Normal 2 6 2 9 2 2 2" xfId="28973"/>
    <cellStyle name="Normal 2 6 2 9 2 2 3" xfId="28974"/>
    <cellStyle name="Normal 2 6 2 9 2 3" xfId="28975"/>
    <cellStyle name="Normal 2 6 2 9 2 4" xfId="28976"/>
    <cellStyle name="Normal 2 6 2 9 2 5" xfId="28977"/>
    <cellStyle name="Normal 2 6 2 9 2 6" xfId="28978"/>
    <cellStyle name="Normal 2 6 2 9 3" xfId="28979"/>
    <cellStyle name="Normal 2 6 2 9 3 2" xfId="28980"/>
    <cellStyle name="Normal 2 6 2 9 3 2 2" xfId="28981"/>
    <cellStyle name="Normal 2 6 2 9 3 2 3" xfId="28982"/>
    <cellStyle name="Normal 2 6 2 9 3 3" xfId="28983"/>
    <cellStyle name="Normal 2 6 2 9 3 4" xfId="28984"/>
    <cellStyle name="Normal 2 6 2 9 3 5" xfId="28985"/>
    <cellStyle name="Normal 2 6 2 9 3 6" xfId="28986"/>
    <cellStyle name="Normal 2 6 2 9 4" xfId="28987"/>
    <cellStyle name="Normal 2 6 2 9 4 2" xfId="28988"/>
    <cellStyle name="Normal 2 6 2 9 4 2 2" xfId="28989"/>
    <cellStyle name="Normal 2 6 2 9 4 3" xfId="28990"/>
    <cellStyle name="Normal 2 6 2 9 4 4" xfId="28991"/>
    <cellStyle name="Normal 2 6 2 9 4 5" xfId="28992"/>
    <cellStyle name="Normal 2 6 2 9 5" xfId="28993"/>
    <cellStyle name="Normal 2 6 2 9 5 2" xfId="28994"/>
    <cellStyle name="Normal 2 6 2 9 5 3" xfId="28995"/>
    <cellStyle name="Normal 2 6 2 9 5 4" xfId="28996"/>
    <cellStyle name="Normal 2 6 2 9 6" xfId="28997"/>
    <cellStyle name="Normal 2 6 2 9 6 2" xfId="28998"/>
    <cellStyle name="Normal 2 6 2 9 7" xfId="28999"/>
    <cellStyle name="Normal 2 6 2 9 8" xfId="29000"/>
    <cellStyle name="Normal 2 6 2 9 9" xfId="29001"/>
    <cellStyle name="Normal 2 6 20" xfId="29002"/>
    <cellStyle name="Normal 2 6 20 10" xfId="29003"/>
    <cellStyle name="Normal 2 6 20 2" xfId="29004"/>
    <cellStyle name="Normal 2 6 20 2 2" xfId="29005"/>
    <cellStyle name="Normal 2 6 20 2 2 2" xfId="29006"/>
    <cellStyle name="Normal 2 6 20 2 2 3" xfId="29007"/>
    <cellStyle name="Normal 2 6 20 2 3" xfId="29008"/>
    <cellStyle name="Normal 2 6 20 2 4" xfId="29009"/>
    <cellStyle name="Normal 2 6 20 2 5" xfId="29010"/>
    <cellStyle name="Normal 2 6 20 2 6" xfId="29011"/>
    <cellStyle name="Normal 2 6 20 3" xfId="29012"/>
    <cellStyle name="Normal 2 6 20 3 2" xfId="29013"/>
    <cellStyle name="Normal 2 6 20 3 2 2" xfId="29014"/>
    <cellStyle name="Normal 2 6 20 3 2 3" xfId="29015"/>
    <cellStyle name="Normal 2 6 20 3 3" xfId="29016"/>
    <cellStyle name="Normal 2 6 20 3 4" xfId="29017"/>
    <cellStyle name="Normal 2 6 20 3 5" xfId="29018"/>
    <cellStyle name="Normal 2 6 20 3 6" xfId="29019"/>
    <cellStyle name="Normal 2 6 20 4" xfId="29020"/>
    <cellStyle name="Normal 2 6 20 4 2" xfId="29021"/>
    <cellStyle name="Normal 2 6 20 4 2 2" xfId="29022"/>
    <cellStyle name="Normal 2 6 20 4 3" xfId="29023"/>
    <cellStyle name="Normal 2 6 20 4 4" xfId="29024"/>
    <cellStyle name="Normal 2 6 20 4 5" xfId="29025"/>
    <cellStyle name="Normal 2 6 20 5" xfId="29026"/>
    <cellStyle name="Normal 2 6 20 5 2" xfId="29027"/>
    <cellStyle name="Normal 2 6 20 5 3" xfId="29028"/>
    <cellStyle name="Normal 2 6 20 5 4" xfId="29029"/>
    <cellStyle name="Normal 2 6 20 6" xfId="29030"/>
    <cellStyle name="Normal 2 6 20 6 2" xfId="29031"/>
    <cellStyle name="Normal 2 6 20 7" xfId="29032"/>
    <cellStyle name="Normal 2 6 20 8" xfId="29033"/>
    <cellStyle name="Normal 2 6 20 9" xfId="29034"/>
    <cellStyle name="Normal 2 6 21" xfId="29035"/>
    <cellStyle name="Normal 2 6 21 10" xfId="29036"/>
    <cellStyle name="Normal 2 6 21 2" xfId="29037"/>
    <cellStyle name="Normal 2 6 21 2 2" xfId="29038"/>
    <cellStyle name="Normal 2 6 21 2 2 2" xfId="29039"/>
    <cellStyle name="Normal 2 6 21 2 2 3" xfId="29040"/>
    <cellStyle name="Normal 2 6 21 2 3" xfId="29041"/>
    <cellStyle name="Normal 2 6 21 2 4" xfId="29042"/>
    <cellStyle name="Normal 2 6 21 2 5" xfId="29043"/>
    <cellStyle name="Normal 2 6 21 2 6" xfId="29044"/>
    <cellStyle name="Normal 2 6 21 3" xfId="29045"/>
    <cellStyle name="Normal 2 6 21 3 2" xfId="29046"/>
    <cellStyle name="Normal 2 6 21 3 2 2" xfId="29047"/>
    <cellStyle name="Normal 2 6 21 3 2 3" xfId="29048"/>
    <cellStyle name="Normal 2 6 21 3 3" xfId="29049"/>
    <cellStyle name="Normal 2 6 21 3 4" xfId="29050"/>
    <cellStyle name="Normal 2 6 21 3 5" xfId="29051"/>
    <cellStyle name="Normal 2 6 21 3 6" xfId="29052"/>
    <cellStyle name="Normal 2 6 21 4" xfId="29053"/>
    <cellStyle name="Normal 2 6 21 4 2" xfId="29054"/>
    <cellStyle name="Normal 2 6 21 4 2 2" xfId="29055"/>
    <cellStyle name="Normal 2 6 21 4 3" xfId="29056"/>
    <cellStyle name="Normal 2 6 21 4 4" xfId="29057"/>
    <cellStyle name="Normal 2 6 21 4 5" xfId="29058"/>
    <cellStyle name="Normal 2 6 21 5" xfId="29059"/>
    <cellStyle name="Normal 2 6 21 5 2" xfId="29060"/>
    <cellStyle name="Normal 2 6 21 5 3" xfId="29061"/>
    <cellStyle name="Normal 2 6 21 5 4" xfId="29062"/>
    <cellStyle name="Normal 2 6 21 6" xfId="29063"/>
    <cellStyle name="Normal 2 6 21 6 2" xfId="29064"/>
    <cellStyle name="Normal 2 6 21 7" xfId="29065"/>
    <cellStyle name="Normal 2 6 21 8" xfId="29066"/>
    <cellStyle name="Normal 2 6 21 9" xfId="29067"/>
    <cellStyle name="Normal 2 6 22" xfId="29068"/>
    <cellStyle name="Normal 2 6 22 10" xfId="29069"/>
    <cellStyle name="Normal 2 6 22 2" xfId="29070"/>
    <cellStyle name="Normal 2 6 22 2 2" xfId="29071"/>
    <cellStyle name="Normal 2 6 22 2 2 2" xfId="29072"/>
    <cellStyle name="Normal 2 6 22 2 2 3" xfId="29073"/>
    <cellStyle name="Normal 2 6 22 2 3" xfId="29074"/>
    <cellStyle name="Normal 2 6 22 2 4" xfId="29075"/>
    <cellStyle name="Normal 2 6 22 2 5" xfId="29076"/>
    <cellStyle name="Normal 2 6 22 2 6" xfId="29077"/>
    <cellStyle name="Normal 2 6 22 3" xfId="29078"/>
    <cellStyle name="Normal 2 6 22 3 2" xfId="29079"/>
    <cellStyle name="Normal 2 6 22 3 2 2" xfId="29080"/>
    <cellStyle name="Normal 2 6 22 3 2 3" xfId="29081"/>
    <cellStyle name="Normal 2 6 22 3 3" xfId="29082"/>
    <cellStyle name="Normal 2 6 22 3 4" xfId="29083"/>
    <cellStyle name="Normal 2 6 22 3 5" xfId="29084"/>
    <cellStyle name="Normal 2 6 22 3 6" xfId="29085"/>
    <cellStyle name="Normal 2 6 22 4" xfId="29086"/>
    <cellStyle name="Normal 2 6 22 4 2" xfId="29087"/>
    <cellStyle name="Normal 2 6 22 4 2 2" xfId="29088"/>
    <cellStyle name="Normal 2 6 22 4 3" xfId="29089"/>
    <cellStyle name="Normal 2 6 22 4 4" xfId="29090"/>
    <cellStyle name="Normal 2 6 22 4 5" xfId="29091"/>
    <cellStyle name="Normal 2 6 22 5" xfId="29092"/>
    <cellStyle name="Normal 2 6 22 5 2" xfId="29093"/>
    <cellStyle name="Normal 2 6 22 5 3" xfId="29094"/>
    <cellStyle name="Normal 2 6 22 5 4" xfId="29095"/>
    <cellStyle name="Normal 2 6 22 6" xfId="29096"/>
    <cellStyle name="Normal 2 6 22 6 2" xfId="29097"/>
    <cellStyle name="Normal 2 6 22 7" xfId="29098"/>
    <cellStyle name="Normal 2 6 22 8" xfId="29099"/>
    <cellStyle name="Normal 2 6 22 9" xfId="29100"/>
    <cellStyle name="Normal 2 6 23" xfId="29101"/>
    <cellStyle name="Normal 2 6 23 10" xfId="29102"/>
    <cellStyle name="Normal 2 6 23 2" xfId="29103"/>
    <cellStyle name="Normal 2 6 23 2 2" xfId="29104"/>
    <cellStyle name="Normal 2 6 23 2 2 2" xfId="29105"/>
    <cellStyle name="Normal 2 6 23 2 2 3" xfId="29106"/>
    <cellStyle name="Normal 2 6 23 2 3" xfId="29107"/>
    <cellStyle name="Normal 2 6 23 2 4" xfId="29108"/>
    <cellStyle name="Normal 2 6 23 2 5" xfId="29109"/>
    <cellStyle name="Normal 2 6 23 2 6" xfId="29110"/>
    <cellStyle name="Normal 2 6 23 3" xfId="29111"/>
    <cellStyle name="Normal 2 6 23 3 2" xfId="29112"/>
    <cellStyle name="Normal 2 6 23 3 2 2" xfId="29113"/>
    <cellStyle name="Normal 2 6 23 3 2 3" xfId="29114"/>
    <cellStyle name="Normal 2 6 23 3 3" xfId="29115"/>
    <cellStyle name="Normal 2 6 23 3 4" xfId="29116"/>
    <cellStyle name="Normal 2 6 23 3 5" xfId="29117"/>
    <cellStyle name="Normal 2 6 23 3 6" xfId="29118"/>
    <cellStyle name="Normal 2 6 23 4" xfId="29119"/>
    <cellStyle name="Normal 2 6 23 4 2" xfId="29120"/>
    <cellStyle name="Normal 2 6 23 4 2 2" xfId="29121"/>
    <cellStyle name="Normal 2 6 23 4 3" xfId="29122"/>
    <cellStyle name="Normal 2 6 23 4 4" xfId="29123"/>
    <cellStyle name="Normal 2 6 23 4 5" xfId="29124"/>
    <cellStyle name="Normal 2 6 23 5" xfId="29125"/>
    <cellStyle name="Normal 2 6 23 5 2" xfId="29126"/>
    <cellStyle name="Normal 2 6 23 5 3" xfId="29127"/>
    <cellStyle name="Normal 2 6 23 5 4" xfId="29128"/>
    <cellStyle name="Normal 2 6 23 6" xfId="29129"/>
    <cellStyle name="Normal 2 6 23 6 2" xfId="29130"/>
    <cellStyle name="Normal 2 6 23 7" xfId="29131"/>
    <cellStyle name="Normal 2 6 23 8" xfId="29132"/>
    <cellStyle name="Normal 2 6 23 9" xfId="29133"/>
    <cellStyle name="Normal 2 6 24" xfId="29134"/>
    <cellStyle name="Normal 2 6 24 10" xfId="29135"/>
    <cellStyle name="Normal 2 6 24 2" xfId="29136"/>
    <cellStyle name="Normal 2 6 24 2 2" xfId="29137"/>
    <cellStyle name="Normal 2 6 24 2 2 2" xfId="29138"/>
    <cellStyle name="Normal 2 6 24 2 2 3" xfId="29139"/>
    <cellStyle name="Normal 2 6 24 2 3" xfId="29140"/>
    <cellStyle name="Normal 2 6 24 2 4" xfId="29141"/>
    <cellStyle name="Normal 2 6 24 2 5" xfId="29142"/>
    <cellStyle name="Normal 2 6 24 2 6" xfId="29143"/>
    <cellStyle name="Normal 2 6 24 3" xfId="29144"/>
    <cellStyle name="Normal 2 6 24 3 2" xfId="29145"/>
    <cellStyle name="Normal 2 6 24 3 2 2" xfId="29146"/>
    <cellStyle name="Normal 2 6 24 3 2 3" xfId="29147"/>
    <cellStyle name="Normal 2 6 24 3 3" xfId="29148"/>
    <cellStyle name="Normal 2 6 24 3 4" xfId="29149"/>
    <cellStyle name="Normal 2 6 24 3 5" xfId="29150"/>
    <cellStyle name="Normal 2 6 24 3 6" xfId="29151"/>
    <cellStyle name="Normal 2 6 24 4" xfId="29152"/>
    <cellStyle name="Normal 2 6 24 4 2" xfId="29153"/>
    <cellStyle name="Normal 2 6 24 4 2 2" xfId="29154"/>
    <cellStyle name="Normal 2 6 24 4 3" xfId="29155"/>
    <cellStyle name="Normal 2 6 24 4 4" xfId="29156"/>
    <cellStyle name="Normal 2 6 24 4 5" xfId="29157"/>
    <cellStyle name="Normal 2 6 24 5" xfId="29158"/>
    <cellStyle name="Normal 2 6 24 5 2" xfId="29159"/>
    <cellStyle name="Normal 2 6 24 5 3" xfId="29160"/>
    <cellStyle name="Normal 2 6 24 5 4" xfId="29161"/>
    <cellStyle name="Normal 2 6 24 6" xfId="29162"/>
    <cellStyle name="Normal 2 6 24 6 2" xfId="29163"/>
    <cellStyle name="Normal 2 6 24 7" xfId="29164"/>
    <cellStyle name="Normal 2 6 24 8" xfId="29165"/>
    <cellStyle name="Normal 2 6 24 9" xfId="29166"/>
    <cellStyle name="Normal 2 6 25" xfId="29167"/>
    <cellStyle name="Normal 2 6 25 10" xfId="29168"/>
    <cellStyle name="Normal 2 6 25 2" xfId="29169"/>
    <cellStyle name="Normal 2 6 25 2 2" xfId="29170"/>
    <cellStyle name="Normal 2 6 25 2 2 2" xfId="29171"/>
    <cellStyle name="Normal 2 6 25 2 2 3" xfId="29172"/>
    <cellStyle name="Normal 2 6 25 2 3" xfId="29173"/>
    <cellStyle name="Normal 2 6 25 2 4" xfId="29174"/>
    <cellStyle name="Normal 2 6 25 2 5" xfId="29175"/>
    <cellStyle name="Normal 2 6 25 2 6" xfId="29176"/>
    <cellStyle name="Normal 2 6 25 3" xfId="29177"/>
    <cellStyle name="Normal 2 6 25 3 2" xfId="29178"/>
    <cellStyle name="Normal 2 6 25 3 2 2" xfId="29179"/>
    <cellStyle name="Normal 2 6 25 3 2 3" xfId="29180"/>
    <cellStyle name="Normal 2 6 25 3 3" xfId="29181"/>
    <cellStyle name="Normal 2 6 25 3 4" xfId="29182"/>
    <cellStyle name="Normal 2 6 25 3 5" xfId="29183"/>
    <cellStyle name="Normal 2 6 25 3 6" xfId="29184"/>
    <cellStyle name="Normal 2 6 25 4" xfId="29185"/>
    <cellStyle name="Normal 2 6 25 4 2" xfId="29186"/>
    <cellStyle name="Normal 2 6 25 4 2 2" xfId="29187"/>
    <cellStyle name="Normal 2 6 25 4 3" xfId="29188"/>
    <cellStyle name="Normal 2 6 25 4 4" xfId="29189"/>
    <cellStyle name="Normal 2 6 25 4 5" xfId="29190"/>
    <cellStyle name="Normal 2 6 25 5" xfId="29191"/>
    <cellStyle name="Normal 2 6 25 5 2" xfId="29192"/>
    <cellStyle name="Normal 2 6 25 5 3" xfId="29193"/>
    <cellStyle name="Normal 2 6 25 5 4" xfId="29194"/>
    <cellStyle name="Normal 2 6 25 6" xfId="29195"/>
    <cellStyle name="Normal 2 6 25 6 2" xfId="29196"/>
    <cellStyle name="Normal 2 6 25 7" xfId="29197"/>
    <cellStyle name="Normal 2 6 25 8" xfId="29198"/>
    <cellStyle name="Normal 2 6 25 9" xfId="29199"/>
    <cellStyle name="Normal 2 6 26" xfId="29200"/>
    <cellStyle name="Normal 2 6 26 10" xfId="29201"/>
    <cellStyle name="Normal 2 6 26 2" xfId="29202"/>
    <cellStyle name="Normal 2 6 26 2 2" xfId="29203"/>
    <cellStyle name="Normal 2 6 26 2 2 2" xfId="29204"/>
    <cellStyle name="Normal 2 6 26 2 2 3" xfId="29205"/>
    <cellStyle name="Normal 2 6 26 2 3" xfId="29206"/>
    <cellStyle name="Normal 2 6 26 2 4" xfId="29207"/>
    <cellStyle name="Normal 2 6 26 2 5" xfId="29208"/>
    <cellStyle name="Normal 2 6 26 2 6" xfId="29209"/>
    <cellStyle name="Normal 2 6 26 3" xfId="29210"/>
    <cellStyle name="Normal 2 6 26 3 2" xfId="29211"/>
    <cellStyle name="Normal 2 6 26 3 2 2" xfId="29212"/>
    <cellStyle name="Normal 2 6 26 3 2 3" xfId="29213"/>
    <cellStyle name="Normal 2 6 26 3 3" xfId="29214"/>
    <cellStyle name="Normal 2 6 26 3 4" xfId="29215"/>
    <cellStyle name="Normal 2 6 26 3 5" xfId="29216"/>
    <cellStyle name="Normal 2 6 26 3 6" xfId="29217"/>
    <cellStyle name="Normal 2 6 26 4" xfId="29218"/>
    <cellStyle name="Normal 2 6 26 4 2" xfId="29219"/>
    <cellStyle name="Normal 2 6 26 4 2 2" xfId="29220"/>
    <cellStyle name="Normal 2 6 26 4 3" xfId="29221"/>
    <cellStyle name="Normal 2 6 26 4 4" xfId="29222"/>
    <cellStyle name="Normal 2 6 26 4 5" xfId="29223"/>
    <cellStyle name="Normal 2 6 26 5" xfId="29224"/>
    <cellStyle name="Normal 2 6 26 5 2" xfId="29225"/>
    <cellStyle name="Normal 2 6 26 5 3" xfId="29226"/>
    <cellStyle name="Normal 2 6 26 5 4" xfId="29227"/>
    <cellStyle name="Normal 2 6 26 6" xfId="29228"/>
    <cellStyle name="Normal 2 6 26 6 2" xfId="29229"/>
    <cellStyle name="Normal 2 6 26 7" xfId="29230"/>
    <cellStyle name="Normal 2 6 26 8" xfId="29231"/>
    <cellStyle name="Normal 2 6 26 9" xfId="29232"/>
    <cellStyle name="Normal 2 6 27" xfId="29233"/>
    <cellStyle name="Normal 2 6 27 10" xfId="29234"/>
    <cellStyle name="Normal 2 6 27 2" xfId="29235"/>
    <cellStyle name="Normal 2 6 27 2 2" xfId="29236"/>
    <cellStyle name="Normal 2 6 27 2 2 2" xfId="29237"/>
    <cellStyle name="Normal 2 6 27 2 2 3" xfId="29238"/>
    <cellStyle name="Normal 2 6 27 2 3" xfId="29239"/>
    <cellStyle name="Normal 2 6 27 2 4" xfId="29240"/>
    <cellStyle name="Normal 2 6 27 2 5" xfId="29241"/>
    <cellStyle name="Normal 2 6 27 2 6" xfId="29242"/>
    <cellStyle name="Normal 2 6 27 3" xfId="29243"/>
    <cellStyle name="Normal 2 6 27 3 2" xfId="29244"/>
    <cellStyle name="Normal 2 6 27 3 2 2" xfId="29245"/>
    <cellStyle name="Normal 2 6 27 3 2 3" xfId="29246"/>
    <cellStyle name="Normal 2 6 27 3 3" xfId="29247"/>
    <cellStyle name="Normal 2 6 27 3 4" xfId="29248"/>
    <cellStyle name="Normal 2 6 27 3 5" xfId="29249"/>
    <cellStyle name="Normal 2 6 27 3 6" xfId="29250"/>
    <cellStyle name="Normal 2 6 27 4" xfId="29251"/>
    <cellStyle name="Normal 2 6 27 4 2" xfId="29252"/>
    <cellStyle name="Normal 2 6 27 4 2 2" xfId="29253"/>
    <cellStyle name="Normal 2 6 27 4 3" xfId="29254"/>
    <cellStyle name="Normal 2 6 27 4 4" xfId="29255"/>
    <cellStyle name="Normal 2 6 27 4 5" xfId="29256"/>
    <cellStyle name="Normal 2 6 27 5" xfId="29257"/>
    <cellStyle name="Normal 2 6 27 5 2" xfId="29258"/>
    <cellStyle name="Normal 2 6 27 5 3" xfId="29259"/>
    <cellStyle name="Normal 2 6 27 5 4" xfId="29260"/>
    <cellStyle name="Normal 2 6 27 6" xfId="29261"/>
    <cellStyle name="Normal 2 6 27 6 2" xfId="29262"/>
    <cellStyle name="Normal 2 6 27 7" xfId="29263"/>
    <cellStyle name="Normal 2 6 27 8" xfId="29264"/>
    <cellStyle name="Normal 2 6 27 9" xfId="29265"/>
    <cellStyle name="Normal 2 6 28" xfId="29266"/>
    <cellStyle name="Normal 2 6 28 10" xfId="29267"/>
    <cellStyle name="Normal 2 6 28 2" xfId="29268"/>
    <cellStyle name="Normal 2 6 28 2 2" xfId="29269"/>
    <cellStyle name="Normal 2 6 28 2 2 2" xfId="29270"/>
    <cellStyle name="Normal 2 6 28 2 2 3" xfId="29271"/>
    <cellStyle name="Normal 2 6 28 2 3" xfId="29272"/>
    <cellStyle name="Normal 2 6 28 2 4" xfId="29273"/>
    <cellStyle name="Normal 2 6 28 2 5" xfId="29274"/>
    <cellStyle name="Normal 2 6 28 2 6" xfId="29275"/>
    <cellStyle name="Normal 2 6 28 3" xfId="29276"/>
    <cellStyle name="Normal 2 6 28 3 2" xfId="29277"/>
    <cellStyle name="Normal 2 6 28 3 2 2" xfId="29278"/>
    <cellStyle name="Normal 2 6 28 3 2 3" xfId="29279"/>
    <cellStyle name="Normal 2 6 28 3 3" xfId="29280"/>
    <cellStyle name="Normal 2 6 28 3 4" xfId="29281"/>
    <cellStyle name="Normal 2 6 28 3 5" xfId="29282"/>
    <cellStyle name="Normal 2 6 28 3 6" xfId="29283"/>
    <cellStyle name="Normal 2 6 28 4" xfId="29284"/>
    <cellStyle name="Normal 2 6 28 4 2" xfId="29285"/>
    <cellStyle name="Normal 2 6 28 4 2 2" xfId="29286"/>
    <cellStyle name="Normal 2 6 28 4 3" xfId="29287"/>
    <cellStyle name="Normal 2 6 28 4 4" xfId="29288"/>
    <cellStyle name="Normal 2 6 28 4 5" xfId="29289"/>
    <cellStyle name="Normal 2 6 28 5" xfId="29290"/>
    <cellStyle name="Normal 2 6 28 5 2" xfId="29291"/>
    <cellStyle name="Normal 2 6 28 5 3" xfId="29292"/>
    <cellStyle name="Normal 2 6 28 5 4" xfId="29293"/>
    <cellStyle name="Normal 2 6 28 6" xfId="29294"/>
    <cellStyle name="Normal 2 6 28 6 2" xfId="29295"/>
    <cellStyle name="Normal 2 6 28 7" xfId="29296"/>
    <cellStyle name="Normal 2 6 28 8" xfId="29297"/>
    <cellStyle name="Normal 2 6 28 9" xfId="29298"/>
    <cellStyle name="Normal 2 6 29" xfId="29299"/>
    <cellStyle name="Normal 2 6 29 10" xfId="29300"/>
    <cellStyle name="Normal 2 6 29 2" xfId="29301"/>
    <cellStyle name="Normal 2 6 29 2 2" xfId="29302"/>
    <cellStyle name="Normal 2 6 29 2 2 2" xfId="29303"/>
    <cellStyle name="Normal 2 6 29 2 2 3" xfId="29304"/>
    <cellStyle name="Normal 2 6 29 2 3" xfId="29305"/>
    <cellStyle name="Normal 2 6 29 2 4" xfId="29306"/>
    <cellStyle name="Normal 2 6 29 2 5" xfId="29307"/>
    <cellStyle name="Normal 2 6 29 2 6" xfId="29308"/>
    <cellStyle name="Normal 2 6 29 3" xfId="29309"/>
    <cellStyle name="Normal 2 6 29 3 2" xfId="29310"/>
    <cellStyle name="Normal 2 6 29 3 2 2" xfId="29311"/>
    <cellStyle name="Normal 2 6 29 3 2 3" xfId="29312"/>
    <cellStyle name="Normal 2 6 29 3 3" xfId="29313"/>
    <cellStyle name="Normal 2 6 29 3 4" xfId="29314"/>
    <cellStyle name="Normal 2 6 29 3 5" xfId="29315"/>
    <cellStyle name="Normal 2 6 29 3 6" xfId="29316"/>
    <cellStyle name="Normal 2 6 29 4" xfId="29317"/>
    <cellStyle name="Normal 2 6 29 4 2" xfId="29318"/>
    <cellStyle name="Normal 2 6 29 4 2 2" xfId="29319"/>
    <cellStyle name="Normal 2 6 29 4 3" xfId="29320"/>
    <cellStyle name="Normal 2 6 29 4 4" xfId="29321"/>
    <cellStyle name="Normal 2 6 29 4 5" xfId="29322"/>
    <cellStyle name="Normal 2 6 29 5" xfId="29323"/>
    <cellStyle name="Normal 2 6 29 5 2" xfId="29324"/>
    <cellStyle name="Normal 2 6 29 5 3" xfId="29325"/>
    <cellStyle name="Normal 2 6 29 5 4" xfId="29326"/>
    <cellStyle name="Normal 2 6 29 6" xfId="29327"/>
    <cellStyle name="Normal 2 6 29 6 2" xfId="29328"/>
    <cellStyle name="Normal 2 6 29 7" xfId="29329"/>
    <cellStyle name="Normal 2 6 29 8" xfId="29330"/>
    <cellStyle name="Normal 2 6 29 9" xfId="29331"/>
    <cellStyle name="Normal 2 6 3" xfId="29332"/>
    <cellStyle name="Normal 2 6 3 10" xfId="29333"/>
    <cellStyle name="Normal 2 6 3 10 10" xfId="29334"/>
    <cellStyle name="Normal 2 6 3 10 2" xfId="29335"/>
    <cellStyle name="Normal 2 6 3 10 2 2" xfId="29336"/>
    <cellStyle name="Normal 2 6 3 10 2 2 2" xfId="29337"/>
    <cellStyle name="Normal 2 6 3 10 2 2 3" xfId="29338"/>
    <cellStyle name="Normal 2 6 3 10 2 3" xfId="29339"/>
    <cellStyle name="Normal 2 6 3 10 2 4" xfId="29340"/>
    <cellStyle name="Normal 2 6 3 10 2 5" xfId="29341"/>
    <cellStyle name="Normal 2 6 3 10 2 6" xfId="29342"/>
    <cellStyle name="Normal 2 6 3 10 3" xfId="29343"/>
    <cellStyle name="Normal 2 6 3 10 3 2" xfId="29344"/>
    <cellStyle name="Normal 2 6 3 10 3 2 2" xfId="29345"/>
    <cellStyle name="Normal 2 6 3 10 3 2 3" xfId="29346"/>
    <cellStyle name="Normal 2 6 3 10 3 3" xfId="29347"/>
    <cellStyle name="Normal 2 6 3 10 3 4" xfId="29348"/>
    <cellStyle name="Normal 2 6 3 10 3 5" xfId="29349"/>
    <cellStyle name="Normal 2 6 3 10 3 6" xfId="29350"/>
    <cellStyle name="Normal 2 6 3 10 4" xfId="29351"/>
    <cellStyle name="Normal 2 6 3 10 4 2" xfId="29352"/>
    <cellStyle name="Normal 2 6 3 10 4 2 2" xfId="29353"/>
    <cellStyle name="Normal 2 6 3 10 4 3" xfId="29354"/>
    <cellStyle name="Normal 2 6 3 10 4 4" xfId="29355"/>
    <cellStyle name="Normal 2 6 3 10 4 5" xfId="29356"/>
    <cellStyle name="Normal 2 6 3 10 5" xfId="29357"/>
    <cellStyle name="Normal 2 6 3 10 5 2" xfId="29358"/>
    <cellStyle name="Normal 2 6 3 10 5 3" xfId="29359"/>
    <cellStyle name="Normal 2 6 3 10 5 4" xfId="29360"/>
    <cellStyle name="Normal 2 6 3 10 6" xfId="29361"/>
    <cellStyle name="Normal 2 6 3 10 6 2" xfId="29362"/>
    <cellStyle name="Normal 2 6 3 10 7" xfId="29363"/>
    <cellStyle name="Normal 2 6 3 10 8" xfId="29364"/>
    <cellStyle name="Normal 2 6 3 10 9" xfId="29365"/>
    <cellStyle name="Normal 2 6 3 11" xfId="29366"/>
    <cellStyle name="Normal 2 6 3 11 10" xfId="29367"/>
    <cellStyle name="Normal 2 6 3 11 2" xfId="29368"/>
    <cellStyle name="Normal 2 6 3 11 2 2" xfId="29369"/>
    <cellStyle name="Normal 2 6 3 11 2 2 2" xfId="29370"/>
    <cellStyle name="Normal 2 6 3 11 2 2 3" xfId="29371"/>
    <cellStyle name="Normal 2 6 3 11 2 3" xfId="29372"/>
    <cellStyle name="Normal 2 6 3 11 2 4" xfId="29373"/>
    <cellStyle name="Normal 2 6 3 11 2 5" xfId="29374"/>
    <cellStyle name="Normal 2 6 3 11 2 6" xfId="29375"/>
    <cellStyle name="Normal 2 6 3 11 3" xfId="29376"/>
    <cellStyle name="Normal 2 6 3 11 3 2" xfId="29377"/>
    <cellStyle name="Normal 2 6 3 11 3 2 2" xfId="29378"/>
    <cellStyle name="Normal 2 6 3 11 3 2 3" xfId="29379"/>
    <cellStyle name="Normal 2 6 3 11 3 3" xfId="29380"/>
    <cellStyle name="Normal 2 6 3 11 3 4" xfId="29381"/>
    <cellStyle name="Normal 2 6 3 11 3 5" xfId="29382"/>
    <cellStyle name="Normal 2 6 3 11 3 6" xfId="29383"/>
    <cellStyle name="Normal 2 6 3 11 4" xfId="29384"/>
    <cellStyle name="Normal 2 6 3 11 4 2" xfId="29385"/>
    <cellStyle name="Normal 2 6 3 11 4 2 2" xfId="29386"/>
    <cellStyle name="Normal 2 6 3 11 4 3" xfId="29387"/>
    <cellStyle name="Normal 2 6 3 11 4 4" xfId="29388"/>
    <cellStyle name="Normal 2 6 3 11 4 5" xfId="29389"/>
    <cellStyle name="Normal 2 6 3 11 5" xfId="29390"/>
    <cellStyle name="Normal 2 6 3 11 5 2" xfId="29391"/>
    <cellStyle name="Normal 2 6 3 11 5 3" xfId="29392"/>
    <cellStyle name="Normal 2 6 3 11 5 4" xfId="29393"/>
    <cellStyle name="Normal 2 6 3 11 6" xfId="29394"/>
    <cellStyle name="Normal 2 6 3 11 6 2" xfId="29395"/>
    <cellStyle name="Normal 2 6 3 11 7" xfId="29396"/>
    <cellStyle name="Normal 2 6 3 11 8" xfId="29397"/>
    <cellStyle name="Normal 2 6 3 11 9" xfId="29398"/>
    <cellStyle name="Normal 2 6 3 12" xfId="29399"/>
    <cellStyle name="Normal 2 6 3 12 10" xfId="29400"/>
    <cellStyle name="Normal 2 6 3 12 2" xfId="29401"/>
    <cellStyle name="Normal 2 6 3 12 2 2" xfId="29402"/>
    <cellStyle name="Normal 2 6 3 12 2 2 2" xfId="29403"/>
    <cellStyle name="Normal 2 6 3 12 2 2 3" xfId="29404"/>
    <cellStyle name="Normal 2 6 3 12 2 3" xfId="29405"/>
    <cellStyle name="Normal 2 6 3 12 2 4" xfId="29406"/>
    <cellStyle name="Normal 2 6 3 12 2 5" xfId="29407"/>
    <cellStyle name="Normal 2 6 3 12 2 6" xfId="29408"/>
    <cellStyle name="Normal 2 6 3 12 3" xfId="29409"/>
    <cellStyle name="Normal 2 6 3 12 3 2" xfId="29410"/>
    <cellStyle name="Normal 2 6 3 12 3 2 2" xfId="29411"/>
    <cellStyle name="Normal 2 6 3 12 3 2 3" xfId="29412"/>
    <cellStyle name="Normal 2 6 3 12 3 3" xfId="29413"/>
    <cellStyle name="Normal 2 6 3 12 3 4" xfId="29414"/>
    <cellStyle name="Normal 2 6 3 12 3 5" xfId="29415"/>
    <cellStyle name="Normal 2 6 3 12 3 6" xfId="29416"/>
    <cellStyle name="Normal 2 6 3 12 4" xfId="29417"/>
    <cellStyle name="Normal 2 6 3 12 4 2" xfId="29418"/>
    <cellStyle name="Normal 2 6 3 12 4 2 2" xfId="29419"/>
    <cellStyle name="Normal 2 6 3 12 4 3" xfId="29420"/>
    <cellStyle name="Normal 2 6 3 12 4 4" xfId="29421"/>
    <cellStyle name="Normal 2 6 3 12 4 5" xfId="29422"/>
    <cellStyle name="Normal 2 6 3 12 5" xfId="29423"/>
    <cellStyle name="Normal 2 6 3 12 5 2" xfId="29424"/>
    <cellStyle name="Normal 2 6 3 12 5 3" xfId="29425"/>
    <cellStyle name="Normal 2 6 3 12 5 4" xfId="29426"/>
    <cellStyle name="Normal 2 6 3 12 6" xfId="29427"/>
    <cellStyle name="Normal 2 6 3 12 6 2" xfId="29428"/>
    <cellStyle name="Normal 2 6 3 12 7" xfId="29429"/>
    <cellStyle name="Normal 2 6 3 12 8" xfId="29430"/>
    <cellStyle name="Normal 2 6 3 12 9" xfId="29431"/>
    <cellStyle name="Normal 2 6 3 13" xfId="29432"/>
    <cellStyle name="Normal 2 6 3 13 2" xfId="29433"/>
    <cellStyle name="Normal 2 6 3 13 2 2" xfId="29434"/>
    <cellStyle name="Normal 2 6 3 13 2 2 2" xfId="29435"/>
    <cellStyle name="Normal 2 6 3 13 2 2 3" xfId="29436"/>
    <cellStyle name="Normal 2 6 3 13 2 3" xfId="29437"/>
    <cellStyle name="Normal 2 6 3 13 2 4" xfId="29438"/>
    <cellStyle name="Normal 2 6 3 13 2 5" xfId="29439"/>
    <cellStyle name="Normal 2 6 3 13 2 6" xfId="29440"/>
    <cellStyle name="Normal 2 6 3 13 3" xfId="29441"/>
    <cellStyle name="Normal 2 6 3 13 3 2" xfId="29442"/>
    <cellStyle name="Normal 2 6 3 13 3 2 2" xfId="29443"/>
    <cellStyle name="Normal 2 6 3 13 3 3" xfId="29444"/>
    <cellStyle name="Normal 2 6 3 13 3 4" xfId="29445"/>
    <cellStyle name="Normal 2 6 3 13 3 5" xfId="29446"/>
    <cellStyle name="Normal 2 6 3 13 4" xfId="29447"/>
    <cellStyle name="Normal 2 6 3 13 4 2" xfId="29448"/>
    <cellStyle name="Normal 2 6 3 13 4 3" xfId="29449"/>
    <cellStyle name="Normal 2 6 3 13 4 4" xfId="29450"/>
    <cellStyle name="Normal 2 6 3 13 5" xfId="29451"/>
    <cellStyle name="Normal 2 6 3 13 5 2" xfId="29452"/>
    <cellStyle name="Normal 2 6 3 13 6" xfId="29453"/>
    <cellStyle name="Normal 2 6 3 13 7" xfId="29454"/>
    <cellStyle name="Normal 2 6 3 13 8" xfId="29455"/>
    <cellStyle name="Normal 2 6 3 13 9" xfId="29456"/>
    <cellStyle name="Normal 2 6 3 14" xfId="29457"/>
    <cellStyle name="Normal 2 6 3 14 2" xfId="29458"/>
    <cellStyle name="Normal 2 6 3 14 2 2" xfId="29459"/>
    <cellStyle name="Normal 2 6 3 14 2 2 2" xfId="29460"/>
    <cellStyle name="Normal 2 6 3 14 2 2 3" xfId="29461"/>
    <cellStyle name="Normal 2 6 3 14 2 3" xfId="29462"/>
    <cellStyle name="Normal 2 6 3 14 2 4" xfId="29463"/>
    <cellStyle name="Normal 2 6 3 14 2 5" xfId="29464"/>
    <cellStyle name="Normal 2 6 3 14 2 6" xfId="29465"/>
    <cellStyle name="Normal 2 6 3 14 3" xfId="29466"/>
    <cellStyle name="Normal 2 6 3 14 3 2" xfId="29467"/>
    <cellStyle name="Normal 2 6 3 14 3 2 2" xfId="29468"/>
    <cellStyle name="Normal 2 6 3 14 3 3" xfId="29469"/>
    <cellStyle name="Normal 2 6 3 14 3 4" xfId="29470"/>
    <cellStyle name="Normal 2 6 3 14 3 5" xfId="29471"/>
    <cellStyle name="Normal 2 6 3 14 4" xfId="29472"/>
    <cellStyle name="Normal 2 6 3 14 4 2" xfId="29473"/>
    <cellStyle name="Normal 2 6 3 14 4 3" xfId="29474"/>
    <cellStyle name="Normal 2 6 3 14 4 4" xfId="29475"/>
    <cellStyle name="Normal 2 6 3 14 5" xfId="29476"/>
    <cellStyle name="Normal 2 6 3 14 5 2" xfId="29477"/>
    <cellStyle name="Normal 2 6 3 14 6" xfId="29478"/>
    <cellStyle name="Normal 2 6 3 14 7" xfId="29479"/>
    <cellStyle name="Normal 2 6 3 14 8" xfId="29480"/>
    <cellStyle name="Normal 2 6 3 14 9" xfId="29481"/>
    <cellStyle name="Normal 2 6 3 15" xfId="29482"/>
    <cellStyle name="Normal 2 6 3 15 2" xfId="29483"/>
    <cellStyle name="Normal 2 6 3 15 2 2" xfId="29484"/>
    <cellStyle name="Normal 2 6 3 15 2 3" xfId="29485"/>
    <cellStyle name="Normal 2 6 3 15 3" xfId="29486"/>
    <cellStyle name="Normal 2 6 3 15 4" xfId="29487"/>
    <cellStyle name="Normal 2 6 3 15 5" xfId="29488"/>
    <cellStyle name="Normal 2 6 3 15 6" xfId="29489"/>
    <cellStyle name="Normal 2 6 3 16" xfId="29490"/>
    <cellStyle name="Normal 2 6 3 16 2" xfId="29491"/>
    <cellStyle name="Normal 2 6 3 16 2 2" xfId="29492"/>
    <cellStyle name="Normal 2 6 3 16 3" xfId="29493"/>
    <cellStyle name="Normal 2 6 3 16 4" xfId="29494"/>
    <cellStyle name="Normal 2 6 3 16 5" xfId="29495"/>
    <cellStyle name="Normal 2 6 3 17" xfId="29496"/>
    <cellStyle name="Normal 2 6 3 17 2" xfId="29497"/>
    <cellStyle name="Normal 2 6 3 17 2 2" xfId="29498"/>
    <cellStyle name="Normal 2 6 3 17 3" xfId="29499"/>
    <cellStyle name="Normal 2 6 3 17 4" xfId="29500"/>
    <cellStyle name="Normal 2 6 3 17 5" xfId="29501"/>
    <cellStyle name="Normal 2 6 3 18" xfId="29502"/>
    <cellStyle name="Normal 2 6 3 18 2" xfId="29503"/>
    <cellStyle name="Normal 2 6 3 19" xfId="29504"/>
    <cellStyle name="Normal 2 6 3 2" xfId="29505"/>
    <cellStyle name="Normal 2 6 3 2 10" xfId="29506"/>
    <cellStyle name="Normal 2 6 3 2 11" xfId="29507"/>
    <cellStyle name="Normal 2 6 3 2 2" xfId="29508"/>
    <cellStyle name="Normal 2 6 3 2 2 2" xfId="29509"/>
    <cellStyle name="Normal 2 6 3 2 2 2 2" xfId="29510"/>
    <cellStyle name="Normal 2 6 3 2 2 2 2 2" xfId="29511"/>
    <cellStyle name="Normal 2 6 3 2 2 2 2 3" xfId="29512"/>
    <cellStyle name="Normal 2 6 3 2 2 2 3" xfId="29513"/>
    <cellStyle name="Normal 2 6 3 2 2 2 4" xfId="29514"/>
    <cellStyle name="Normal 2 6 3 2 2 2 5" xfId="29515"/>
    <cellStyle name="Normal 2 6 3 2 2 2 6" xfId="29516"/>
    <cellStyle name="Normal 2 6 3 2 2 3" xfId="29517"/>
    <cellStyle name="Normal 2 6 3 2 2 3 2" xfId="29518"/>
    <cellStyle name="Normal 2 6 3 2 2 3 2 2" xfId="29519"/>
    <cellStyle name="Normal 2 6 3 2 2 3 3" xfId="29520"/>
    <cellStyle name="Normal 2 6 3 2 2 3 4" xfId="29521"/>
    <cellStyle name="Normal 2 6 3 2 2 3 5" xfId="29522"/>
    <cellStyle name="Normal 2 6 3 2 2 4" xfId="29523"/>
    <cellStyle name="Normal 2 6 3 2 2 4 2" xfId="29524"/>
    <cellStyle name="Normal 2 6 3 2 2 4 3" xfId="29525"/>
    <cellStyle name="Normal 2 6 3 2 2 4 4" xfId="29526"/>
    <cellStyle name="Normal 2 6 3 2 2 5" xfId="29527"/>
    <cellStyle name="Normal 2 6 3 2 2 5 2" xfId="29528"/>
    <cellStyle name="Normal 2 6 3 2 2 6" xfId="29529"/>
    <cellStyle name="Normal 2 6 3 2 2 7" xfId="29530"/>
    <cellStyle name="Normal 2 6 3 2 2 8" xfId="29531"/>
    <cellStyle name="Normal 2 6 3 2 2 9" xfId="29532"/>
    <cellStyle name="Normal 2 6 3 2 3" xfId="29533"/>
    <cellStyle name="Normal 2 6 3 2 3 2" xfId="29534"/>
    <cellStyle name="Normal 2 6 3 2 3 2 2" xfId="29535"/>
    <cellStyle name="Normal 2 6 3 2 3 2 2 2" xfId="29536"/>
    <cellStyle name="Normal 2 6 3 2 3 2 2 3" xfId="29537"/>
    <cellStyle name="Normal 2 6 3 2 3 2 3" xfId="29538"/>
    <cellStyle name="Normal 2 6 3 2 3 2 4" xfId="29539"/>
    <cellStyle name="Normal 2 6 3 2 3 2 5" xfId="29540"/>
    <cellStyle name="Normal 2 6 3 2 3 2 6" xfId="29541"/>
    <cellStyle name="Normal 2 6 3 2 3 3" xfId="29542"/>
    <cellStyle name="Normal 2 6 3 2 3 3 2" xfId="29543"/>
    <cellStyle name="Normal 2 6 3 2 3 3 2 2" xfId="29544"/>
    <cellStyle name="Normal 2 6 3 2 3 3 3" xfId="29545"/>
    <cellStyle name="Normal 2 6 3 2 3 3 4" xfId="29546"/>
    <cellStyle name="Normal 2 6 3 2 3 3 5" xfId="29547"/>
    <cellStyle name="Normal 2 6 3 2 3 4" xfId="29548"/>
    <cellStyle name="Normal 2 6 3 2 3 4 2" xfId="29549"/>
    <cellStyle name="Normal 2 6 3 2 3 4 3" xfId="29550"/>
    <cellStyle name="Normal 2 6 3 2 3 4 4" xfId="29551"/>
    <cellStyle name="Normal 2 6 3 2 3 5" xfId="29552"/>
    <cellStyle name="Normal 2 6 3 2 3 5 2" xfId="29553"/>
    <cellStyle name="Normal 2 6 3 2 3 6" xfId="29554"/>
    <cellStyle name="Normal 2 6 3 2 3 7" xfId="29555"/>
    <cellStyle name="Normal 2 6 3 2 3 8" xfId="29556"/>
    <cellStyle name="Normal 2 6 3 2 3 9" xfId="29557"/>
    <cellStyle name="Normal 2 6 3 2 4" xfId="29558"/>
    <cellStyle name="Normal 2 6 3 2 4 2" xfId="29559"/>
    <cellStyle name="Normal 2 6 3 2 4 2 2" xfId="29560"/>
    <cellStyle name="Normal 2 6 3 2 4 2 3" xfId="29561"/>
    <cellStyle name="Normal 2 6 3 2 4 3" xfId="29562"/>
    <cellStyle name="Normal 2 6 3 2 4 4" xfId="29563"/>
    <cellStyle name="Normal 2 6 3 2 4 5" xfId="29564"/>
    <cellStyle name="Normal 2 6 3 2 4 6" xfId="29565"/>
    <cellStyle name="Normal 2 6 3 2 5" xfId="29566"/>
    <cellStyle name="Normal 2 6 3 2 5 2" xfId="29567"/>
    <cellStyle name="Normal 2 6 3 2 5 2 2" xfId="29568"/>
    <cellStyle name="Normal 2 6 3 2 5 3" xfId="29569"/>
    <cellStyle name="Normal 2 6 3 2 5 4" xfId="29570"/>
    <cellStyle name="Normal 2 6 3 2 5 5" xfId="29571"/>
    <cellStyle name="Normal 2 6 3 2 6" xfId="29572"/>
    <cellStyle name="Normal 2 6 3 2 6 2" xfId="29573"/>
    <cellStyle name="Normal 2 6 3 2 6 3" xfId="29574"/>
    <cellStyle name="Normal 2 6 3 2 6 4" xfId="29575"/>
    <cellStyle name="Normal 2 6 3 2 7" xfId="29576"/>
    <cellStyle name="Normal 2 6 3 2 7 2" xfId="29577"/>
    <cellStyle name="Normal 2 6 3 2 8" xfId="29578"/>
    <cellStyle name="Normal 2 6 3 2 9" xfId="29579"/>
    <cellStyle name="Normal 2 6 3 20" xfId="29580"/>
    <cellStyle name="Normal 2 6 3 21" xfId="29581"/>
    <cellStyle name="Normal 2 6 3 22" xfId="29582"/>
    <cellStyle name="Normal 2 6 3 3" xfId="29583"/>
    <cellStyle name="Normal 2 6 3 3 10" xfId="29584"/>
    <cellStyle name="Normal 2 6 3 3 11" xfId="29585"/>
    <cellStyle name="Normal 2 6 3 3 2" xfId="29586"/>
    <cellStyle name="Normal 2 6 3 3 2 2" xfId="29587"/>
    <cellStyle name="Normal 2 6 3 3 2 2 2" xfId="29588"/>
    <cellStyle name="Normal 2 6 3 3 2 2 2 2" xfId="29589"/>
    <cellStyle name="Normal 2 6 3 3 2 2 2 3" xfId="29590"/>
    <cellStyle name="Normal 2 6 3 3 2 2 3" xfId="29591"/>
    <cellStyle name="Normal 2 6 3 3 2 2 4" xfId="29592"/>
    <cellStyle name="Normal 2 6 3 3 2 2 5" xfId="29593"/>
    <cellStyle name="Normal 2 6 3 3 2 2 6" xfId="29594"/>
    <cellStyle name="Normal 2 6 3 3 2 3" xfId="29595"/>
    <cellStyle name="Normal 2 6 3 3 2 3 2" xfId="29596"/>
    <cellStyle name="Normal 2 6 3 3 2 3 2 2" xfId="29597"/>
    <cellStyle name="Normal 2 6 3 3 2 3 3" xfId="29598"/>
    <cellStyle name="Normal 2 6 3 3 2 3 4" xfId="29599"/>
    <cellStyle name="Normal 2 6 3 3 2 3 5" xfId="29600"/>
    <cellStyle name="Normal 2 6 3 3 2 4" xfId="29601"/>
    <cellStyle name="Normal 2 6 3 3 2 4 2" xfId="29602"/>
    <cellStyle name="Normal 2 6 3 3 2 4 3" xfId="29603"/>
    <cellStyle name="Normal 2 6 3 3 2 4 4" xfId="29604"/>
    <cellStyle name="Normal 2 6 3 3 2 5" xfId="29605"/>
    <cellStyle name="Normal 2 6 3 3 2 5 2" xfId="29606"/>
    <cellStyle name="Normal 2 6 3 3 2 6" xfId="29607"/>
    <cellStyle name="Normal 2 6 3 3 2 7" xfId="29608"/>
    <cellStyle name="Normal 2 6 3 3 2 8" xfId="29609"/>
    <cellStyle name="Normal 2 6 3 3 2 9" xfId="29610"/>
    <cellStyle name="Normal 2 6 3 3 3" xfId="29611"/>
    <cellStyle name="Normal 2 6 3 3 3 2" xfId="29612"/>
    <cellStyle name="Normal 2 6 3 3 3 2 2" xfId="29613"/>
    <cellStyle name="Normal 2 6 3 3 3 2 2 2" xfId="29614"/>
    <cellStyle name="Normal 2 6 3 3 3 2 2 3" xfId="29615"/>
    <cellStyle name="Normal 2 6 3 3 3 2 3" xfId="29616"/>
    <cellStyle name="Normal 2 6 3 3 3 2 4" xfId="29617"/>
    <cellStyle name="Normal 2 6 3 3 3 2 5" xfId="29618"/>
    <cellStyle name="Normal 2 6 3 3 3 2 6" xfId="29619"/>
    <cellStyle name="Normal 2 6 3 3 3 3" xfId="29620"/>
    <cellStyle name="Normal 2 6 3 3 3 3 2" xfId="29621"/>
    <cellStyle name="Normal 2 6 3 3 3 3 2 2" xfId="29622"/>
    <cellStyle name="Normal 2 6 3 3 3 3 3" xfId="29623"/>
    <cellStyle name="Normal 2 6 3 3 3 3 4" xfId="29624"/>
    <cellStyle name="Normal 2 6 3 3 3 3 5" xfId="29625"/>
    <cellStyle name="Normal 2 6 3 3 3 4" xfId="29626"/>
    <cellStyle name="Normal 2 6 3 3 3 4 2" xfId="29627"/>
    <cellStyle name="Normal 2 6 3 3 3 4 3" xfId="29628"/>
    <cellStyle name="Normal 2 6 3 3 3 4 4" xfId="29629"/>
    <cellStyle name="Normal 2 6 3 3 3 5" xfId="29630"/>
    <cellStyle name="Normal 2 6 3 3 3 5 2" xfId="29631"/>
    <cellStyle name="Normal 2 6 3 3 3 6" xfId="29632"/>
    <cellStyle name="Normal 2 6 3 3 3 7" xfId="29633"/>
    <cellStyle name="Normal 2 6 3 3 3 8" xfId="29634"/>
    <cellStyle name="Normal 2 6 3 3 3 9" xfId="29635"/>
    <cellStyle name="Normal 2 6 3 3 4" xfId="29636"/>
    <cellStyle name="Normal 2 6 3 3 4 2" xfId="29637"/>
    <cellStyle name="Normal 2 6 3 3 4 2 2" xfId="29638"/>
    <cellStyle name="Normal 2 6 3 3 4 2 3" xfId="29639"/>
    <cellStyle name="Normal 2 6 3 3 4 3" xfId="29640"/>
    <cellStyle name="Normal 2 6 3 3 4 4" xfId="29641"/>
    <cellStyle name="Normal 2 6 3 3 4 5" xfId="29642"/>
    <cellStyle name="Normal 2 6 3 3 4 6" xfId="29643"/>
    <cellStyle name="Normal 2 6 3 3 5" xfId="29644"/>
    <cellStyle name="Normal 2 6 3 3 5 2" xfId="29645"/>
    <cellStyle name="Normal 2 6 3 3 5 2 2" xfId="29646"/>
    <cellStyle name="Normal 2 6 3 3 5 3" xfId="29647"/>
    <cellStyle name="Normal 2 6 3 3 5 4" xfId="29648"/>
    <cellStyle name="Normal 2 6 3 3 5 5" xfId="29649"/>
    <cellStyle name="Normal 2 6 3 3 6" xfId="29650"/>
    <cellStyle name="Normal 2 6 3 3 6 2" xfId="29651"/>
    <cellStyle name="Normal 2 6 3 3 6 3" xfId="29652"/>
    <cellStyle name="Normal 2 6 3 3 6 4" xfId="29653"/>
    <cellStyle name="Normal 2 6 3 3 7" xfId="29654"/>
    <cellStyle name="Normal 2 6 3 3 7 2" xfId="29655"/>
    <cellStyle name="Normal 2 6 3 3 8" xfId="29656"/>
    <cellStyle name="Normal 2 6 3 3 9" xfId="29657"/>
    <cellStyle name="Normal 2 6 3 4" xfId="29658"/>
    <cellStyle name="Normal 2 6 3 4 10" xfId="29659"/>
    <cellStyle name="Normal 2 6 3 4 11" xfId="29660"/>
    <cellStyle name="Normal 2 6 3 4 2" xfId="29661"/>
    <cellStyle name="Normal 2 6 3 4 2 2" xfId="29662"/>
    <cellStyle name="Normal 2 6 3 4 2 2 2" xfId="29663"/>
    <cellStyle name="Normal 2 6 3 4 2 2 2 2" xfId="29664"/>
    <cellStyle name="Normal 2 6 3 4 2 2 2 3" xfId="29665"/>
    <cellStyle name="Normal 2 6 3 4 2 2 3" xfId="29666"/>
    <cellStyle name="Normal 2 6 3 4 2 2 4" xfId="29667"/>
    <cellStyle name="Normal 2 6 3 4 2 2 5" xfId="29668"/>
    <cellStyle name="Normal 2 6 3 4 2 2 6" xfId="29669"/>
    <cellStyle name="Normal 2 6 3 4 2 3" xfId="29670"/>
    <cellStyle name="Normal 2 6 3 4 2 3 2" xfId="29671"/>
    <cellStyle name="Normal 2 6 3 4 2 3 2 2" xfId="29672"/>
    <cellStyle name="Normal 2 6 3 4 2 3 3" xfId="29673"/>
    <cellStyle name="Normal 2 6 3 4 2 3 4" xfId="29674"/>
    <cellStyle name="Normal 2 6 3 4 2 3 5" xfId="29675"/>
    <cellStyle name="Normal 2 6 3 4 2 4" xfId="29676"/>
    <cellStyle name="Normal 2 6 3 4 2 4 2" xfId="29677"/>
    <cellStyle name="Normal 2 6 3 4 2 4 3" xfId="29678"/>
    <cellStyle name="Normal 2 6 3 4 2 4 4" xfId="29679"/>
    <cellStyle name="Normal 2 6 3 4 2 5" xfId="29680"/>
    <cellStyle name="Normal 2 6 3 4 2 5 2" xfId="29681"/>
    <cellStyle name="Normal 2 6 3 4 2 6" xfId="29682"/>
    <cellStyle name="Normal 2 6 3 4 2 7" xfId="29683"/>
    <cellStyle name="Normal 2 6 3 4 2 8" xfId="29684"/>
    <cellStyle name="Normal 2 6 3 4 2 9" xfId="29685"/>
    <cellStyle name="Normal 2 6 3 4 3" xfId="29686"/>
    <cellStyle name="Normal 2 6 3 4 3 2" xfId="29687"/>
    <cellStyle name="Normal 2 6 3 4 3 2 2" xfId="29688"/>
    <cellStyle name="Normal 2 6 3 4 3 2 2 2" xfId="29689"/>
    <cellStyle name="Normal 2 6 3 4 3 2 2 3" xfId="29690"/>
    <cellStyle name="Normal 2 6 3 4 3 2 3" xfId="29691"/>
    <cellStyle name="Normal 2 6 3 4 3 2 4" xfId="29692"/>
    <cellStyle name="Normal 2 6 3 4 3 2 5" xfId="29693"/>
    <cellStyle name="Normal 2 6 3 4 3 2 6" xfId="29694"/>
    <cellStyle name="Normal 2 6 3 4 3 3" xfId="29695"/>
    <cellStyle name="Normal 2 6 3 4 3 3 2" xfId="29696"/>
    <cellStyle name="Normal 2 6 3 4 3 3 2 2" xfId="29697"/>
    <cellStyle name="Normal 2 6 3 4 3 3 3" xfId="29698"/>
    <cellStyle name="Normal 2 6 3 4 3 3 4" xfId="29699"/>
    <cellStyle name="Normal 2 6 3 4 3 3 5" xfId="29700"/>
    <cellStyle name="Normal 2 6 3 4 3 4" xfId="29701"/>
    <cellStyle name="Normal 2 6 3 4 3 4 2" xfId="29702"/>
    <cellStyle name="Normal 2 6 3 4 3 4 3" xfId="29703"/>
    <cellStyle name="Normal 2 6 3 4 3 4 4" xfId="29704"/>
    <cellStyle name="Normal 2 6 3 4 3 5" xfId="29705"/>
    <cellStyle name="Normal 2 6 3 4 3 5 2" xfId="29706"/>
    <cellStyle name="Normal 2 6 3 4 3 6" xfId="29707"/>
    <cellStyle name="Normal 2 6 3 4 3 7" xfId="29708"/>
    <cellStyle name="Normal 2 6 3 4 3 8" xfId="29709"/>
    <cellStyle name="Normal 2 6 3 4 3 9" xfId="29710"/>
    <cellStyle name="Normal 2 6 3 4 4" xfId="29711"/>
    <cellStyle name="Normal 2 6 3 4 4 2" xfId="29712"/>
    <cellStyle name="Normal 2 6 3 4 4 2 2" xfId="29713"/>
    <cellStyle name="Normal 2 6 3 4 4 2 3" xfId="29714"/>
    <cellStyle name="Normal 2 6 3 4 4 3" xfId="29715"/>
    <cellStyle name="Normal 2 6 3 4 4 4" xfId="29716"/>
    <cellStyle name="Normal 2 6 3 4 4 5" xfId="29717"/>
    <cellStyle name="Normal 2 6 3 4 4 6" xfId="29718"/>
    <cellStyle name="Normal 2 6 3 4 5" xfId="29719"/>
    <cellStyle name="Normal 2 6 3 4 5 2" xfId="29720"/>
    <cellStyle name="Normal 2 6 3 4 5 2 2" xfId="29721"/>
    <cellStyle name="Normal 2 6 3 4 5 3" xfId="29722"/>
    <cellStyle name="Normal 2 6 3 4 5 4" xfId="29723"/>
    <cellStyle name="Normal 2 6 3 4 5 5" xfId="29724"/>
    <cellStyle name="Normal 2 6 3 4 6" xfId="29725"/>
    <cellStyle name="Normal 2 6 3 4 6 2" xfId="29726"/>
    <cellStyle name="Normal 2 6 3 4 6 3" xfId="29727"/>
    <cellStyle name="Normal 2 6 3 4 6 4" xfId="29728"/>
    <cellStyle name="Normal 2 6 3 4 7" xfId="29729"/>
    <cellStyle name="Normal 2 6 3 4 7 2" xfId="29730"/>
    <cellStyle name="Normal 2 6 3 4 8" xfId="29731"/>
    <cellStyle name="Normal 2 6 3 4 9" xfId="29732"/>
    <cellStyle name="Normal 2 6 3 5" xfId="29733"/>
    <cellStyle name="Normal 2 6 3 5 10" xfId="29734"/>
    <cellStyle name="Normal 2 6 3 5 11" xfId="29735"/>
    <cellStyle name="Normal 2 6 3 5 2" xfId="29736"/>
    <cellStyle name="Normal 2 6 3 5 2 2" xfId="29737"/>
    <cellStyle name="Normal 2 6 3 5 2 2 2" xfId="29738"/>
    <cellStyle name="Normal 2 6 3 5 2 2 2 2" xfId="29739"/>
    <cellStyle name="Normal 2 6 3 5 2 2 2 3" xfId="29740"/>
    <cellStyle name="Normal 2 6 3 5 2 2 3" xfId="29741"/>
    <cellStyle name="Normal 2 6 3 5 2 2 4" xfId="29742"/>
    <cellStyle name="Normal 2 6 3 5 2 2 5" xfId="29743"/>
    <cellStyle name="Normal 2 6 3 5 2 2 6" xfId="29744"/>
    <cellStyle name="Normal 2 6 3 5 2 3" xfId="29745"/>
    <cellStyle name="Normal 2 6 3 5 2 3 2" xfId="29746"/>
    <cellStyle name="Normal 2 6 3 5 2 3 2 2" xfId="29747"/>
    <cellStyle name="Normal 2 6 3 5 2 3 3" xfId="29748"/>
    <cellStyle name="Normal 2 6 3 5 2 3 4" xfId="29749"/>
    <cellStyle name="Normal 2 6 3 5 2 3 5" xfId="29750"/>
    <cellStyle name="Normal 2 6 3 5 2 4" xfId="29751"/>
    <cellStyle name="Normal 2 6 3 5 2 4 2" xfId="29752"/>
    <cellStyle name="Normal 2 6 3 5 2 4 3" xfId="29753"/>
    <cellStyle name="Normal 2 6 3 5 2 4 4" xfId="29754"/>
    <cellStyle name="Normal 2 6 3 5 2 5" xfId="29755"/>
    <cellStyle name="Normal 2 6 3 5 2 5 2" xfId="29756"/>
    <cellStyle name="Normal 2 6 3 5 2 6" xfId="29757"/>
    <cellStyle name="Normal 2 6 3 5 2 7" xfId="29758"/>
    <cellStyle name="Normal 2 6 3 5 2 8" xfId="29759"/>
    <cellStyle name="Normal 2 6 3 5 2 9" xfId="29760"/>
    <cellStyle name="Normal 2 6 3 5 3" xfId="29761"/>
    <cellStyle name="Normal 2 6 3 5 3 2" xfId="29762"/>
    <cellStyle name="Normal 2 6 3 5 3 2 2" xfId="29763"/>
    <cellStyle name="Normal 2 6 3 5 3 2 2 2" xfId="29764"/>
    <cellStyle name="Normal 2 6 3 5 3 2 2 3" xfId="29765"/>
    <cellStyle name="Normal 2 6 3 5 3 2 3" xfId="29766"/>
    <cellStyle name="Normal 2 6 3 5 3 2 4" xfId="29767"/>
    <cellStyle name="Normal 2 6 3 5 3 2 5" xfId="29768"/>
    <cellStyle name="Normal 2 6 3 5 3 2 6" xfId="29769"/>
    <cellStyle name="Normal 2 6 3 5 3 3" xfId="29770"/>
    <cellStyle name="Normal 2 6 3 5 3 3 2" xfId="29771"/>
    <cellStyle name="Normal 2 6 3 5 3 3 2 2" xfId="29772"/>
    <cellStyle name="Normal 2 6 3 5 3 3 3" xfId="29773"/>
    <cellStyle name="Normal 2 6 3 5 3 3 4" xfId="29774"/>
    <cellStyle name="Normal 2 6 3 5 3 3 5" xfId="29775"/>
    <cellStyle name="Normal 2 6 3 5 3 4" xfId="29776"/>
    <cellStyle name="Normal 2 6 3 5 3 4 2" xfId="29777"/>
    <cellStyle name="Normal 2 6 3 5 3 4 3" xfId="29778"/>
    <cellStyle name="Normal 2 6 3 5 3 4 4" xfId="29779"/>
    <cellStyle name="Normal 2 6 3 5 3 5" xfId="29780"/>
    <cellStyle name="Normal 2 6 3 5 3 5 2" xfId="29781"/>
    <cellStyle name="Normal 2 6 3 5 3 6" xfId="29782"/>
    <cellStyle name="Normal 2 6 3 5 3 7" xfId="29783"/>
    <cellStyle name="Normal 2 6 3 5 3 8" xfId="29784"/>
    <cellStyle name="Normal 2 6 3 5 3 9" xfId="29785"/>
    <cellStyle name="Normal 2 6 3 5 4" xfId="29786"/>
    <cellStyle name="Normal 2 6 3 5 4 2" xfId="29787"/>
    <cellStyle name="Normal 2 6 3 5 4 2 2" xfId="29788"/>
    <cellStyle name="Normal 2 6 3 5 4 2 3" xfId="29789"/>
    <cellStyle name="Normal 2 6 3 5 4 3" xfId="29790"/>
    <cellStyle name="Normal 2 6 3 5 4 4" xfId="29791"/>
    <cellStyle name="Normal 2 6 3 5 4 5" xfId="29792"/>
    <cellStyle name="Normal 2 6 3 5 4 6" xfId="29793"/>
    <cellStyle name="Normal 2 6 3 5 5" xfId="29794"/>
    <cellStyle name="Normal 2 6 3 5 5 2" xfId="29795"/>
    <cellStyle name="Normal 2 6 3 5 5 2 2" xfId="29796"/>
    <cellStyle name="Normal 2 6 3 5 5 3" xfId="29797"/>
    <cellStyle name="Normal 2 6 3 5 5 4" xfId="29798"/>
    <cellStyle name="Normal 2 6 3 5 5 5" xfId="29799"/>
    <cellStyle name="Normal 2 6 3 5 6" xfId="29800"/>
    <cellStyle name="Normal 2 6 3 5 6 2" xfId="29801"/>
    <cellStyle name="Normal 2 6 3 5 6 3" xfId="29802"/>
    <cellStyle name="Normal 2 6 3 5 6 4" xfId="29803"/>
    <cellStyle name="Normal 2 6 3 5 7" xfId="29804"/>
    <cellStyle name="Normal 2 6 3 5 7 2" xfId="29805"/>
    <cellStyle name="Normal 2 6 3 5 8" xfId="29806"/>
    <cellStyle name="Normal 2 6 3 5 9" xfId="29807"/>
    <cellStyle name="Normal 2 6 3 6" xfId="29808"/>
    <cellStyle name="Normal 2 6 3 6 10" xfId="29809"/>
    <cellStyle name="Normal 2 6 3 6 11" xfId="29810"/>
    <cellStyle name="Normal 2 6 3 6 2" xfId="29811"/>
    <cellStyle name="Normal 2 6 3 6 2 2" xfId="29812"/>
    <cellStyle name="Normal 2 6 3 6 2 2 2" xfId="29813"/>
    <cellStyle name="Normal 2 6 3 6 2 2 2 2" xfId="29814"/>
    <cellStyle name="Normal 2 6 3 6 2 2 2 3" xfId="29815"/>
    <cellStyle name="Normal 2 6 3 6 2 2 3" xfId="29816"/>
    <cellStyle name="Normal 2 6 3 6 2 2 4" xfId="29817"/>
    <cellStyle name="Normal 2 6 3 6 2 2 5" xfId="29818"/>
    <cellStyle name="Normal 2 6 3 6 2 2 6" xfId="29819"/>
    <cellStyle name="Normal 2 6 3 6 2 3" xfId="29820"/>
    <cellStyle name="Normal 2 6 3 6 2 3 2" xfId="29821"/>
    <cellStyle name="Normal 2 6 3 6 2 3 2 2" xfId="29822"/>
    <cellStyle name="Normal 2 6 3 6 2 3 3" xfId="29823"/>
    <cellStyle name="Normal 2 6 3 6 2 3 4" xfId="29824"/>
    <cellStyle name="Normal 2 6 3 6 2 3 5" xfId="29825"/>
    <cellStyle name="Normal 2 6 3 6 2 4" xfId="29826"/>
    <cellStyle name="Normal 2 6 3 6 2 4 2" xfId="29827"/>
    <cellStyle name="Normal 2 6 3 6 2 4 3" xfId="29828"/>
    <cellStyle name="Normal 2 6 3 6 2 4 4" xfId="29829"/>
    <cellStyle name="Normal 2 6 3 6 2 5" xfId="29830"/>
    <cellStyle name="Normal 2 6 3 6 2 5 2" xfId="29831"/>
    <cellStyle name="Normal 2 6 3 6 2 6" xfId="29832"/>
    <cellStyle name="Normal 2 6 3 6 2 7" xfId="29833"/>
    <cellStyle name="Normal 2 6 3 6 2 8" xfId="29834"/>
    <cellStyle name="Normal 2 6 3 6 2 9" xfId="29835"/>
    <cellStyle name="Normal 2 6 3 6 3" xfId="29836"/>
    <cellStyle name="Normal 2 6 3 6 3 2" xfId="29837"/>
    <cellStyle name="Normal 2 6 3 6 3 2 2" xfId="29838"/>
    <cellStyle name="Normal 2 6 3 6 3 2 2 2" xfId="29839"/>
    <cellStyle name="Normal 2 6 3 6 3 2 2 3" xfId="29840"/>
    <cellStyle name="Normal 2 6 3 6 3 2 3" xfId="29841"/>
    <cellStyle name="Normal 2 6 3 6 3 2 4" xfId="29842"/>
    <cellStyle name="Normal 2 6 3 6 3 2 5" xfId="29843"/>
    <cellStyle name="Normal 2 6 3 6 3 2 6" xfId="29844"/>
    <cellStyle name="Normal 2 6 3 6 3 3" xfId="29845"/>
    <cellStyle name="Normal 2 6 3 6 3 3 2" xfId="29846"/>
    <cellStyle name="Normal 2 6 3 6 3 3 2 2" xfId="29847"/>
    <cellStyle name="Normal 2 6 3 6 3 3 3" xfId="29848"/>
    <cellStyle name="Normal 2 6 3 6 3 3 4" xfId="29849"/>
    <cellStyle name="Normal 2 6 3 6 3 3 5" xfId="29850"/>
    <cellStyle name="Normal 2 6 3 6 3 4" xfId="29851"/>
    <cellStyle name="Normal 2 6 3 6 3 4 2" xfId="29852"/>
    <cellStyle name="Normal 2 6 3 6 3 4 3" xfId="29853"/>
    <cellStyle name="Normal 2 6 3 6 3 4 4" xfId="29854"/>
    <cellStyle name="Normal 2 6 3 6 3 5" xfId="29855"/>
    <cellStyle name="Normal 2 6 3 6 3 5 2" xfId="29856"/>
    <cellStyle name="Normal 2 6 3 6 3 6" xfId="29857"/>
    <cellStyle name="Normal 2 6 3 6 3 7" xfId="29858"/>
    <cellStyle name="Normal 2 6 3 6 3 8" xfId="29859"/>
    <cellStyle name="Normal 2 6 3 6 3 9" xfId="29860"/>
    <cellStyle name="Normal 2 6 3 6 4" xfId="29861"/>
    <cellStyle name="Normal 2 6 3 6 4 2" xfId="29862"/>
    <cellStyle name="Normal 2 6 3 6 4 2 2" xfId="29863"/>
    <cellStyle name="Normal 2 6 3 6 4 2 3" xfId="29864"/>
    <cellStyle name="Normal 2 6 3 6 4 3" xfId="29865"/>
    <cellStyle name="Normal 2 6 3 6 4 4" xfId="29866"/>
    <cellStyle name="Normal 2 6 3 6 4 5" xfId="29867"/>
    <cellStyle name="Normal 2 6 3 6 4 6" xfId="29868"/>
    <cellStyle name="Normal 2 6 3 6 5" xfId="29869"/>
    <cellStyle name="Normal 2 6 3 6 5 2" xfId="29870"/>
    <cellStyle name="Normal 2 6 3 6 5 2 2" xfId="29871"/>
    <cellStyle name="Normal 2 6 3 6 5 3" xfId="29872"/>
    <cellStyle name="Normal 2 6 3 6 5 4" xfId="29873"/>
    <cellStyle name="Normal 2 6 3 6 5 5" xfId="29874"/>
    <cellStyle name="Normal 2 6 3 6 6" xfId="29875"/>
    <cellStyle name="Normal 2 6 3 6 6 2" xfId="29876"/>
    <cellStyle name="Normal 2 6 3 6 6 3" xfId="29877"/>
    <cellStyle name="Normal 2 6 3 6 6 4" xfId="29878"/>
    <cellStyle name="Normal 2 6 3 6 7" xfId="29879"/>
    <cellStyle name="Normal 2 6 3 6 7 2" xfId="29880"/>
    <cellStyle name="Normal 2 6 3 6 8" xfId="29881"/>
    <cellStyle name="Normal 2 6 3 6 9" xfId="29882"/>
    <cellStyle name="Normal 2 6 3 7" xfId="29883"/>
    <cellStyle name="Normal 2 6 3 7 10" xfId="29884"/>
    <cellStyle name="Normal 2 6 3 7 11" xfId="29885"/>
    <cellStyle name="Normal 2 6 3 7 2" xfId="29886"/>
    <cellStyle name="Normal 2 6 3 7 2 2" xfId="29887"/>
    <cellStyle name="Normal 2 6 3 7 2 2 2" xfId="29888"/>
    <cellStyle name="Normal 2 6 3 7 2 2 2 2" xfId="29889"/>
    <cellStyle name="Normal 2 6 3 7 2 2 2 3" xfId="29890"/>
    <cellStyle name="Normal 2 6 3 7 2 2 3" xfId="29891"/>
    <cellStyle name="Normal 2 6 3 7 2 2 4" xfId="29892"/>
    <cellStyle name="Normal 2 6 3 7 2 2 5" xfId="29893"/>
    <cellStyle name="Normal 2 6 3 7 2 2 6" xfId="29894"/>
    <cellStyle name="Normal 2 6 3 7 2 3" xfId="29895"/>
    <cellStyle name="Normal 2 6 3 7 2 3 2" xfId="29896"/>
    <cellStyle name="Normal 2 6 3 7 2 3 2 2" xfId="29897"/>
    <cellStyle name="Normal 2 6 3 7 2 3 3" xfId="29898"/>
    <cellStyle name="Normal 2 6 3 7 2 3 4" xfId="29899"/>
    <cellStyle name="Normal 2 6 3 7 2 3 5" xfId="29900"/>
    <cellStyle name="Normal 2 6 3 7 2 4" xfId="29901"/>
    <cellStyle name="Normal 2 6 3 7 2 4 2" xfId="29902"/>
    <cellStyle name="Normal 2 6 3 7 2 4 3" xfId="29903"/>
    <cellStyle name="Normal 2 6 3 7 2 4 4" xfId="29904"/>
    <cellStyle name="Normal 2 6 3 7 2 5" xfId="29905"/>
    <cellStyle name="Normal 2 6 3 7 2 5 2" xfId="29906"/>
    <cellStyle name="Normal 2 6 3 7 2 6" xfId="29907"/>
    <cellStyle name="Normal 2 6 3 7 2 7" xfId="29908"/>
    <cellStyle name="Normal 2 6 3 7 2 8" xfId="29909"/>
    <cellStyle name="Normal 2 6 3 7 2 9" xfId="29910"/>
    <cellStyle name="Normal 2 6 3 7 3" xfId="29911"/>
    <cellStyle name="Normal 2 6 3 7 3 2" xfId="29912"/>
    <cellStyle name="Normal 2 6 3 7 3 2 2" xfId="29913"/>
    <cellStyle name="Normal 2 6 3 7 3 2 2 2" xfId="29914"/>
    <cellStyle name="Normal 2 6 3 7 3 2 2 3" xfId="29915"/>
    <cellStyle name="Normal 2 6 3 7 3 2 3" xfId="29916"/>
    <cellStyle name="Normal 2 6 3 7 3 2 4" xfId="29917"/>
    <cellStyle name="Normal 2 6 3 7 3 2 5" xfId="29918"/>
    <cellStyle name="Normal 2 6 3 7 3 2 6" xfId="29919"/>
    <cellStyle name="Normal 2 6 3 7 3 3" xfId="29920"/>
    <cellStyle name="Normal 2 6 3 7 3 3 2" xfId="29921"/>
    <cellStyle name="Normal 2 6 3 7 3 3 2 2" xfId="29922"/>
    <cellStyle name="Normal 2 6 3 7 3 3 3" xfId="29923"/>
    <cellStyle name="Normal 2 6 3 7 3 3 4" xfId="29924"/>
    <cellStyle name="Normal 2 6 3 7 3 3 5" xfId="29925"/>
    <cellStyle name="Normal 2 6 3 7 3 4" xfId="29926"/>
    <cellStyle name="Normal 2 6 3 7 3 4 2" xfId="29927"/>
    <cellStyle name="Normal 2 6 3 7 3 4 3" xfId="29928"/>
    <cellStyle name="Normal 2 6 3 7 3 4 4" xfId="29929"/>
    <cellStyle name="Normal 2 6 3 7 3 5" xfId="29930"/>
    <cellStyle name="Normal 2 6 3 7 3 5 2" xfId="29931"/>
    <cellStyle name="Normal 2 6 3 7 3 6" xfId="29932"/>
    <cellStyle name="Normal 2 6 3 7 3 7" xfId="29933"/>
    <cellStyle name="Normal 2 6 3 7 3 8" xfId="29934"/>
    <cellStyle name="Normal 2 6 3 7 3 9" xfId="29935"/>
    <cellStyle name="Normal 2 6 3 7 4" xfId="29936"/>
    <cellStyle name="Normal 2 6 3 7 4 2" xfId="29937"/>
    <cellStyle name="Normal 2 6 3 7 4 2 2" xfId="29938"/>
    <cellStyle name="Normal 2 6 3 7 4 2 3" xfId="29939"/>
    <cellStyle name="Normal 2 6 3 7 4 3" xfId="29940"/>
    <cellStyle name="Normal 2 6 3 7 4 4" xfId="29941"/>
    <cellStyle name="Normal 2 6 3 7 4 5" xfId="29942"/>
    <cellStyle name="Normal 2 6 3 7 4 6" xfId="29943"/>
    <cellStyle name="Normal 2 6 3 7 5" xfId="29944"/>
    <cellStyle name="Normal 2 6 3 7 5 2" xfId="29945"/>
    <cellStyle name="Normal 2 6 3 7 5 2 2" xfId="29946"/>
    <cellStyle name="Normal 2 6 3 7 5 3" xfId="29947"/>
    <cellStyle name="Normal 2 6 3 7 5 4" xfId="29948"/>
    <cellStyle name="Normal 2 6 3 7 5 5" xfId="29949"/>
    <cellStyle name="Normal 2 6 3 7 6" xfId="29950"/>
    <cellStyle name="Normal 2 6 3 7 6 2" xfId="29951"/>
    <cellStyle name="Normal 2 6 3 7 6 3" xfId="29952"/>
    <cellStyle name="Normal 2 6 3 7 6 4" xfId="29953"/>
    <cellStyle name="Normal 2 6 3 7 7" xfId="29954"/>
    <cellStyle name="Normal 2 6 3 7 7 2" xfId="29955"/>
    <cellStyle name="Normal 2 6 3 7 8" xfId="29956"/>
    <cellStyle name="Normal 2 6 3 7 9" xfId="29957"/>
    <cellStyle name="Normal 2 6 3 8" xfId="29958"/>
    <cellStyle name="Normal 2 6 3 8 10" xfId="29959"/>
    <cellStyle name="Normal 2 6 3 8 2" xfId="29960"/>
    <cellStyle name="Normal 2 6 3 8 2 2" xfId="29961"/>
    <cellStyle name="Normal 2 6 3 8 2 2 2" xfId="29962"/>
    <cellStyle name="Normal 2 6 3 8 2 2 3" xfId="29963"/>
    <cellStyle name="Normal 2 6 3 8 2 3" xfId="29964"/>
    <cellStyle name="Normal 2 6 3 8 2 4" xfId="29965"/>
    <cellStyle name="Normal 2 6 3 8 2 5" xfId="29966"/>
    <cellStyle name="Normal 2 6 3 8 2 6" xfId="29967"/>
    <cellStyle name="Normal 2 6 3 8 3" xfId="29968"/>
    <cellStyle name="Normal 2 6 3 8 3 2" xfId="29969"/>
    <cellStyle name="Normal 2 6 3 8 3 2 2" xfId="29970"/>
    <cellStyle name="Normal 2 6 3 8 3 2 3" xfId="29971"/>
    <cellStyle name="Normal 2 6 3 8 3 3" xfId="29972"/>
    <cellStyle name="Normal 2 6 3 8 3 4" xfId="29973"/>
    <cellStyle name="Normal 2 6 3 8 3 5" xfId="29974"/>
    <cellStyle name="Normal 2 6 3 8 3 6" xfId="29975"/>
    <cellStyle name="Normal 2 6 3 8 4" xfId="29976"/>
    <cellStyle name="Normal 2 6 3 8 4 2" xfId="29977"/>
    <cellStyle name="Normal 2 6 3 8 4 2 2" xfId="29978"/>
    <cellStyle name="Normal 2 6 3 8 4 3" xfId="29979"/>
    <cellStyle name="Normal 2 6 3 8 4 4" xfId="29980"/>
    <cellStyle name="Normal 2 6 3 8 4 5" xfId="29981"/>
    <cellStyle name="Normal 2 6 3 8 5" xfId="29982"/>
    <cellStyle name="Normal 2 6 3 8 5 2" xfId="29983"/>
    <cellStyle name="Normal 2 6 3 8 5 3" xfId="29984"/>
    <cellStyle name="Normal 2 6 3 8 5 4" xfId="29985"/>
    <cellStyle name="Normal 2 6 3 8 6" xfId="29986"/>
    <cellStyle name="Normal 2 6 3 8 6 2" xfId="29987"/>
    <cellStyle name="Normal 2 6 3 8 7" xfId="29988"/>
    <cellStyle name="Normal 2 6 3 8 8" xfId="29989"/>
    <cellStyle name="Normal 2 6 3 8 9" xfId="29990"/>
    <cellStyle name="Normal 2 6 3 9" xfId="29991"/>
    <cellStyle name="Normal 2 6 3 9 10" xfId="29992"/>
    <cellStyle name="Normal 2 6 3 9 2" xfId="29993"/>
    <cellStyle name="Normal 2 6 3 9 2 2" xfId="29994"/>
    <cellStyle name="Normal 2 6 3 9 2 2 2" xfId="29995"/>
    <cellStyle name="Normal 2 6 3 9 2 2 3" xfId="29996"/>
    <cellStyle name="Normal 2 6 3 9 2 3" xfId="29997"/>
    <cellStyle name="Normal 2 6 3 9 2 4" xfId="29998"/>
    <cellStyle name="Normal 2 6 3 9 2 5" xfId="29999"/>
    <cellStyle name="Normal 2 6 3 9 2 6" xfId="30000"/>
    <cellStyle name="Normal 2 6 3 9 3" xfId="30001"/>
    <cellStyle name="Normal 2 6 3 9 3 2" xfId="30002"/>
    <cellStyle name="Normal 2 6 3 9 3 2 2" xfId="30003"/>
    <cellStyle name="Normal 2 6 3 9 3 2 3" xfId="30004"/>
    <cellStyle name="Normal 2 6 3 9 3 3" xfId="30005"/>
    <cellStyle name="Normal 2 6 3 9 3 4" xfId="30006"/>
    <cellStyle name="Normal 2 6 3 9 3 5" xfId="30007"/>
    <cellStyle name="Normal 2 6 3 9 3 6" xfId="30008"/>
    <cellStyle name="Normal 2 6 3 9 4" xfId="30009"/>
    <cellStyle name="Normal 2 6 3 9 4 2" xfId="30010"/>
    <cellStyle name="Normal 2 6 3 9 4 2 2" xfId="30011"/>
    <cellStyle name="Normal 2 6 3 9 4 3" xfId="30012"/>
    <cellStyle name="Normal 2 6 3 9 4 4" xfId="30013"/>
    <cellStyle name="Normal 2 6 3 9 4 5" xfId="30014"/>
    <cellStyle name="Normal 2 6 3 9 5" xfId="30015"/>
    <cellStyle name="Normal 2 6 3 9 5 2" xfId="30016"/>
    <cellStyle name="Normal 2 6 3 9 5 3" xfId="30017"/>
    <cellStyle name="Normal 2 6 3 9 5 4" xfId="30018"/>
    <cellStyle name="Normal 2 6 3 9 6" xfId="30019"/>
    <cellStyle name="Normal 2 6 3 9 6 2" xfId="30020"/>
    <cellStyle name="Normal 2 6 3 9 7" xfId="30021"/>
    <cellStyle name="Normal 2 6 3 9 8" xfId="30022"/>
    <cellStyle name="Normal 2 6 3 9 9" xfId="30023"/>
    <cellStyle name="Normal 2 6 30" xfId="30024"/>
    <cellStyle name="Normal 2 6 30 2" xfId="30025"/>
    <cellStyle name="Normal 2 6 30 2 2" xfId="30026"/>
    <cellStyle name="Normal 2 6 30 2 2 2" xfId="30027"/>
    <cellStyle name="Normal 2 6 30 2 2 3" xfId="30028"/>
    <cellStyle name="Normal 2 6 30 2 3" xfId="30029"/>
    <cellStyle name="Normal 2 6 30 2 4" xfId="30030"/>
    <cellStyle name="Normal 2 6 30 2 5" xfId="30031"/>
    <cellStyle name="Normal 2 6 30 2 6" xfId="30032"/>
    <cellStyle name="Normal 2 6 30 3" xfId="30033"/>
    <cellStyle name="Normal 2 6 30 3 2" xfId="30034"/>
    <cellStyle name="Normal 2 6 30 3 2 2" xfId="30035"/>
    <cellStyle name="Normal 2 6 30 3 3" xfId="30036"/>
    <cellStyle name="Normal 2 6 30 3 4" xfId="30037"/>
    <cellStyle name="Normal 2 6 30 3 5" xfId="30038"/>
    <cellStyle name="Normal 2 6 30 4" xfId="30039"/>
    <cellStyle name="Normal 2 6 30 4 2" xfId="30040"/>
    <cellStyle name="Normal 2 6 30 4 3" xfId="30041"/>
    <cellStyle name="Normal 2 6 30 4 4" xfId="30042"/>
    <cellStyle name="Normal 2 6 30 5" xfId="30043"/>
    <cellStyle name="Normal 2 6 30 5 2" xfId="30044"/>
    <cellStyle name="Normal 2 6 30 6" xfId="30045"/>
    <cellStyle name="Normal 2 6 30 7" xfId="30046"/>
    <cellStyle name="Normal 2 6 30 8" xfId="30047"/>
    <cellStyle name="Normal 2 6 30 9" xfId="30048"/>
    <cellStyle name="Normal 2 6 31" xfId="30049"/>
    <cellStyle name="Normal 2 6 31 2" xfId="30050"/>
    <cellStyle name="Normal 2 6 31 2 2" xfId="30051"/>
    <cellStyle name="Normal 2 6 31 2 2 2" xfId="30052"/>
    <cellStyle name="Normal 2 6 31 2 2 3" xfId="30053"/>
    <cellStyle name="Normal 2 6 31 2 3" xfId="30054"/>
    <cellStyle name="Normal 2 6 31 2 4" xfId="30055"/>
    <cellStyle name="Normal 2 6 31 2 5" xfId="30056"/>
    <cellStyle name="Normal 2 6 31 2 6" xfId="30057"/>
    <cellStyle name="Normal 2 6 31 3" xfId="30058"/>
    <cellStyle name="Normal 2 6 31 3 2" xfId="30059"/>
    <cellStyle name="Normal 2 6 31 3 2 2" xfId="30060"/>
    <cellStyle name="Normal 2 6 31 3 3" xfId="30061"/>
    <cellStyle name="Normal 2 6 31 3 4" xfId="30062"/>
    <cellStyle name="Normal 2 6 31 3 5" xfId="30063"/>
    <cellStyle name="Normal 2 6 31 4" xfId="30064"/>
    <cellStyle name="Normal 2 6 31 4 2" xfId="30065"/>
    <cellStyle name="Normal 2 6 31 4 3" xfId="30066"/>
    <cellStyle name="Normal 2 6 31 4 4" xfId="30067"/>
    <cellStyle name="Normal 2 6 31 5" xfId="30068"/>
    <cellStyle name="Normal 2 6 31 5 2" xfId="30069"/>
    <cellStyle name="Normal 2 6 31 6" xfId="30070"/>
    <cellStyle name="Normal 2 6 31 7" xfId="30071"/>
    <cellStyle name="Normal 2 6 31 8" xfId="30072"/>
    <cellStyle name="Normal 2 6 31 9" xfId="30073"/>
    <cellStyle name="Normal 2 6 32" xfId="30074"/>
    <cellStyle name="Normal 2 6 32 2" xfId="30075"/>
    <cellStyle name="Normal 2 6 32 2 2" xfId="30076"/>
    <cellStyle name="Normal 2 6 32 2 3" xfId="30077"/>
    <cellStyle name="Normal 2 6 32 3" xfId="30078"/>
    <cellStyle name="Normal 2 6 32 4" xfId="30079"/>
    <cellStyle name="Normal 2 6 32 5" xfId="30080"/>
    <cellStyle name="Normal 2 6 32 6" xfId="30081"/>
    <cellStyle name="Normal 2 6 33" xfId="30082"/>
    <cellStyle name="Normal 2 6 33 2" xfId="30083"/>
    <cellStyle name="Normal 2 6 33 2 2" xfId="30084"/>
    <cellStyle name="Normal 2 6 33 3" xfId="30085"/>
    <cellStyle name="Normal 2 6 33 4" xfId="30086"/>
    <cellStyle name="Normal 2 6 33 5" xfId="30087"/>
    <cellStyle name="Normal 2 6 34" xfId="30088"/>
    <cellStyle name="Normal 2 6 34 2" xfId="30089"/>
    <cellStyle name="Normal 2 6 34 2 2" xfId="30090"/>
    <cellStyle name="Normal 2 6 34 3" xfId="30091"/>
    <cellStyle name="Normal 2 6 34 4" xfId="30092"/>
    <cellStyle name="Normal 2 6 34 5" xfId="30093"/>
    <cellStyle name="Normal 2 6 35" xfId="30094"/>
    <cellStyle name="Normal 2 6 35 2" xfId="30095"/>
    <cellStyle name="Normal 2 6 36" xfId="30096"/>
    <cellStyle name="Normal 2 6 37" xfId="30097"/>
    <cellStyle name="Normal 2 6 38" xfId="30098"/>
    <cellStyle name="Normal 2 6 39" xfId="30099"/>
    <cellStyle name="Normal 2 6 4" xfId="30100"/>
    <cellStyle name="Normal 2 6 4 10" xfId="30101"/>
    <cellStyle name="Normal 2 6 4 10 10" xfId="30102"/>
    <cellStyle name="Normal 2 6 4 10 2" xfId="30103"/>
    <cellStyle name="Normal 2 6 4 10 2 2" xfId="30104"/>
    <cellStyle name="Normal 2 6 4 10 2 2 2" xfId="30105"/>
    <cellStyle name="Normal 2 6 4 10 2 2 3" xfId="30106"/>
    <cellStyle name="Normal 2 6 4 10 2 3" xfId="30107"/>
    <cellStyle name="Normal 2 6 4 10 2 4" xfId="30108"/>
    <cellStyle name="Normal 2 6 4 10 2 5" xfId="30109"/>
    <cellStyle name="Normal 2 6 4 10 2 6" xfId="30110"/>
    <cellStyle name="Normal 2 6 4 10 3" xfId="30111"/>
    <cellStyle name="Normal 2 6 4 10 3 2" xfId="30112"/>
    <cellStyle name="Normal 2 6 4 10 3 2 2" xfId="30113"/>
    <cellStyle name="Normal 2 6 4 10 3 2 3" xfId="30114"/>
    <cellStyle name="Normal 2 6 4 10 3 3" xfId="30115"/>
    <cellStyle name="Normal 2 6 4 10 3 4" xfId="30116"/>
    <cellStyle name="Normal 2 6 4 10 3 5" xfId="30117"/>
    <cellStyle name="Normal 2 6 4 10 3 6" xfId="30118"/>
    <cellStyle name="Normal 2 6 4 10 4" xfId="30119"/>
    <cellStyle name="Normal 2 6 4 10 4 2" xfId="30120"/>
    <cellStyle name="Normal 2 6 4 10 4 2 2" xfId="30121"/>
    <cellStyle name="Normal 2 6 4 10 4 3" xfId="30122"/>
    <cellStyle name="Normal 2 6 4 10 4 4" xfId="30123"/>
    <cellStyle name="Normal 2 6 4 10 4 5" xfId="30124"/>
    <cellStyle name="Normal 2 6 4 10 5" xfId="30125"/>
    <cellStyle name="Normal 2 6 4 10 5 2" xfId="30126"/>
    <cellStyle name="Normal 2 6 4 10 5 3" xfId="30127"/>
    <cellStyle name="Normal 2 6 4 10 5 4" xfId="30128"/>
    <cellStyle name="Normal 2 6 4 10 6" xfId="30129"/>
    <cellStyle name="Normal 2 6 4 10 6 2" xfId="30130"/>
    <cellStyle name="Normal 2 6 4 10 7" xfId="30131"/>
    <cellStyle name="Normal 2 6 4 10 8" xfId="30132"/>
    <cellStyle name="Normal 2 6 4 10 9" xfId="30133"/>
    <cellStyle name="Normal 2 6 4 11" xfId="30134"/>
    <cellStyle name="Normal 2 6 4 11 10" xfId="30135"/>
    <cellStyle name="Normal 2 6 4 11 2" xfId="30136"/>
    <cellStyle name="Normal 2 6 4 11 2 2" xfId="30137"/>
    <cellStyle name="Normal 2 6 4 11 2 2 2" xfId="30138"/>
    <cellStyle name="Normal 2 6 4 11 2 2 3" xfId="30139"/>
    <cellStyle name="Normal 2 6 4 11 2 3" xfId="30140"/>
    <cellStyle name="Normal 2 6 4 11 2 4" xfId="30141"/>
    <cellStyle name="Normal 2 6 4 11 2 5" xfId="30142"/>
    <cellStyle name="Normal 2 6 4 11 2 6" xfId="30143"/>
    <cellStyle name="Normal 2 6 4 11 3" xfId="30144"/>
    <cellStyle name="Normal 2 6 4 11 3 2" xfId="30145"/>
    <cellStyle name="Normal 2 6 4 11 3 2 2" xfId="30146"/>
    <cellStyle name="Normal 2 6 4 11 3 2 3" xfId="30147"/>
    <cellStyle name="Normal 2 6 4 11 3 3" xfId="30148"/>
    <cellStyle name="Normal 2 6 4 11 3 4" xfId="30149"/>
    <cellStyle name="Normal 2 6 4 11 3 5" xfId="30150"/>
    <cellStyle name="Normal 2 6 4 11 3 6" xfId="30151"/>
    <cellStyle name="Normal 2 6 4 11 4" xfId="30152"/>
    <cellStyle name="Normal 2 6 4 11 4 2" xfId="30153"/>
    <cellStyle name="Normal 2 6 4 11 4 2 2" xfId="30154"/>
    <cellStyle name="Normal 2 6 4 11 4 3" xfId="30155"/>
    <cellStyle name="Normal 2 6 4 11 4 4" xfId="30156"/>
    <cellStyle name="Normal 2 6 4 11 4 5" xfId="30157"/>
    <cellStyle name="Normal 2 6 4 11 5" xfId="30158"/>
    <cellStyle name="Normal 2 6 4 11 5 2" xfId="30159"/>
    <cellStyle name="Normal 2 6 4 11 5 3" xfId="30160"/>
    <cellStyle name="Normal 2 6 4 11 5 4" xfId="30161"/>
    <cellStyle name="Normal 2 6 4 11 6" xfId="30162"/>
    <cellStyle name="Normal 2 6 4 11 6 2" xfId="30163"/>
    <cellStyle name="Normal 2 6 4 11 7" xfId="30164"/>
    <cellStyle name="Normal 2 6 4 11 8" xfId="30165"/>
    <cellStyle name="Normal 2 6 4 11 9" xfId="30166"/>
    <cellStyle name="Normal 2 6 4 12" xfId="30167"/>
    <cellStyle name="Normal 2 6 4 12 10" xfId="30168"/>
    <cellStyle name="Normal 2 6 4 12 2" xfId="30169"/>
    <cellStyle name="Normal 2 6 4 12 2 2" xfId="30170"/>
    <cellStyle name="Normal 2 6 4 12 2 2 2" xfId="30171"/>
    <cellStyle name="Normal 2 6 4 12 2 2 3" xfId="30172"/>
    <cellStyle name="Normal 2 6 4 12 2 3" xfId="30173"/>
    <cellStyle name="Normal 2 6 4 12 2 4" xfId="30174"/>
    <cellStyle name="Normal 2 6 4 12 2 5" xfId="30175"/>
    <cellStyle name="Normal 2 6 4 12 2 6" xfId="30176"/>
    <cellStyle name="Normal 2 6 4 12 3" xfId="30177"/>
    <cellStyle name="Normal 2 6 4 12 3 2" xfId="30178"/>
    <cellStyle name="Normal 2 6 4 12 3 2 2" xfId="30179"/>
    <cellStyle name="Normal 2 6 4 12 3 2 3" xfId="30180"/>
    <cellStyle name="Normal 2 6 4 12 3 3" xfId="30181"/>
    <cellStyle name="Normal 2 6 4 12 3 4" xfId="30182"/>
    <cellStyle name="Normal 2 6 4 12 3 5" xfId="30183"/>
    <cellStyle name="Normal 2 6 4 12 3 6" xfId="30184"/>
    <cellStyle name="Normal 2 6 4 12 4" xfId="30185"/>
    <cellStyle name="Normal 2 6 4 12 4 2" xfId="30186"/>
    <cellStyle name="Normal 2 6 4 12 4 2 2" xfId="30187"/>
    <cellStyle name="Normal 2 6 4 12 4 3" xfId="30188"/>
    <cellStyle name="Normal 2 6 4 12 4 4" xfId="30189"/>
    <cellStyle name="Normal 2 6 4 12 4 5" xfId="30190"/>
    <cellStyle name="Normal 2 6 4 12 5" xfId="30191"/>
    <cellStyle name="Normal 2 6 4 12 5 2" xfId="30192"/>
    <cellStyle name="Normal 2 6 4 12 5 3" xfId="30193"/>
    <cellStyle name="Normal 2 6 4 12 5 4" xfId="30194"/>
    <cellStyle name="Normal 2 6 4 12 6" xfId="30195"/>
    <cellStyle name="Normal 2 6 4 12 6 2" xfId="30196"/>
    <cellStyle name="Normal 2 6 4 12 7" xfId="30197"/>
    <cellStyle name="Normal 2 6 4 12 8" xfId="30198"/>
    <cellStyle name="Normal 2 6 4 12 9" xfId="30199"/>
    <cellStyle name="Normal 2 6 4 13" xfId="30200"/>
    <cellStyle name="Normal 2 6 4 13 2" xfId="30201"/>
    <cellStyle name="Normal 2 6 4 13 2 2" xfId="30202"/>
    <cellStyle name="Normal 2 6 4 13 2 2 2" xfId="30203"/>
    <cellStyle name="Normal 2 6 4 13 2 2 3" xfId="30204"/>
    <cellStyle name="Normal 2 6 4 13 2 3" xfId="30205"/>
    <cellStyle name="Normal 2 6 4 13 2 4" xfId="30206"/>
    <cellStyle name="Normal 2 6 4 13 2 5" xfId="30207"/>
    <cellStyle name="Normal 2 6 4 13 2 6" xfId="30208"/>
    <cellStyle name="Normal 2 6 4 13 3" xfId="30209"/>
    <cellStyle name="Normal 2 6 4 13 3 2" xfId="30210"/>
    <cellStyle name="Normal 2 6 4 13 3 2 2" xfId="30211"/>
    <cellStyle name="Normal 2 6 4 13 3 3" xfId="30212"/>
    <cellStyle name="Normal 2 6 4 13 3 4" xfId="30213"/>
    <cellStyle name="Normal 2 6 4 13 3 5" xfId="30214"/>
    <cellStyle name="Normal 2 6 4 13 4" xfId="30215"/>
    <cellStyle name="Normal 2 6 4 13 4 2" xfId="30216"/>
    <cellStyle name="Normal 2 6 4 13 4 3" xfId="30217"/>
    <cellStyle name="Normal 2 6 4 13 4 4" xfId="30218"/>
    <cellStyle name="Normal 2 6 4 13 5" xfId="30219"/>
    <cellStyle name="Normal 2 6 4 13 5 2" xfId="30220"/>
    <cellStyle name="Normal 2 6 4 13 6" xfId="30221"/>
    <cellStyle name="Normal 2 6 4 13 7" xfId="30222"/>
    <cellStyle name="Normal 2 6 4 13 8" xfId="30223"/>
    <cellStyle name="Normal 2 6 4 13 9" xfId="30224"/>
    <cellStyle name="Normal 2 6 4 14" xfId="30225"/>
    <cellStyle name="Normal 2 6 4 14 2" xfId="30226"/>
    <cellStyle name="Normal 2 6 4 14 2 2" xfId="30227"/>
    <cellStyle name="Normal 2 6 4 14 2 2 2" xfId="30228"/>
    <cellStyle name="Normal 2 6 4 14 2 2 3" xfId="30229"/>
    <cellStyle name="Normal 2 6 4 14 2 3" xfId="30230"/>
    <cellStyle name="Normal 2 6 4 14 2 4" xfId="30231"/>
    <cellStyle name="Normal 2 6 4 14 2 5" xfId="30232"/>
    <cellStyle name="Normal 2 6 4 14 2 6" xfId="30233"/>
    <cellStyle name="Normal 2 6 4 14 3" xfId="30234"/>
    <cellStyle name="Normal 2 6 4 14 3 2" xfId="30235"/>
    <cellStyle name="Normal 2 6 4 14 3 2 2" xfId="30236"/>
    <cellStyle name="Normal 2 6 4 14 3 3" xfId="30237"/>
    <cellStyle name="Normal 2 6 4 14 3 4" xfId="30238"/>
    <cellStyle name="Normal 2 6 4 14 3 5" xfId="30239"/>
    <cellStyle name="Normal 2 6 4 14 4" xfId="30240"/>
    <cellStyle name="Normal 2 6 4 14 4 2" xfId="30241"/>
    <cellStyle name="Normal 2 6 4 14 4 3" xfId="30242"/>
    <cellStyle name="Normal 2 6 4 14 4 4" xfId="30243"/>
    <cellStyle name="Normal 2 6 4 14 5" xfId="30244"/>
    <cellStyle name="Normal 2 6 4 14 5 2" xfId="30245"/>
    <cellStyle name="Normal 2 6 4 14 6" xfId="30246"/>
    <cellStyle name="Normal 2 6 4 14 7" xfId="30247"/>
    <cellStyle name="Normal 2 6 4 14 8" xfId="30248"/>
    <cellStyle name="Normal 2 6 4 14 9" xfId="30249"/>
    <cellStyle name="Normal 2 6 4 15" xfId="30250"/>
    <cellStyle name="Normal 2 6 4 15 2" xfId="30251"/>
    <cellStyle name="Normal 2 6 4 15 2 2" xfId="30252"/>
    <cellStyle name="Normal 2 6 4 15 2 3" xfId="30253"/>
    <cellStyle name="Normal 2 6 4 15 3" xfId="30254"/>
    <cellStyle name="Normal 2 6 4 15 4" xfId="30255"/>
    <cellStyle name="Normal 2 6 4 15 5" xfId="30256"/>
    <cellStyle name="Normal 2 6 4 15 6" xfId="30257"/>
    <cellStyle name="Normal 2 6 4 16" xfId="30258"/>
    <cellStyle name="Normal 2 6 4 16 2" xfId="30259"/>
    <cellStyle name="Normal 2 6 4 16 2 2" xfId="30260"/>
    <cellStyle name="Normal 2 6 4 16 3" xfId="30261"/>
    <cellStyle name="Normal 2 6 4 16 4" xfId="30262"/>
    <cellStyle name="Normal 2 6 4 16 5" xfId="30263"/>
    <cellStyle name="Normal 2 6 4 17" xfId="30264"/>
    <cellStyle name="Normal 2 6 4 17 2" xfId="30265"/>
    <cellStyle name="Normal 2 6 4 17 2 2" xfId="30266"/>
    <cellStyle name="Normal 2 6 4 17 3" xfId="30267"/>
    <cellStyle name="Normal 2 6 4 17 4" xfId="30268"/>
    <cellStyle name="Normal 2 6 4 17 5" xfId="30269"/>
    <cellStyle name="Normal 2 6 4 18" xfId="30270"/>
    <cellStyle name="Normal 2 6 4 18 2" xfId="30271"/>
    <cellStyle name="Normal 2 6 4 19" xfId="30272"/>
    <cellStyle name="Normal 2 6 4 2" xfId="30273"/>
    <cellStyle name="Normal 2 6 4 2 10" xfId="30274"/>
    <cellStyle name="Normal 2 6 4 2 11" xfId="30275"/>
    <cellStyle name="Normal 2 6 4 2 2" xfId="30276"/>
    <cellStyle name="Normal 2 6 4 2 2 2" xfId="30277"/>
    <cellStyle name="Normal 2 6 4 2 2 2 2" xfId="30278"/>
    <cellStyle name="Normal 2 6 4 2 2 2 2 2" xfId="30279"/>
    <cellStyle name="Normal 2 6 4 2 2 2 2 3" xfId="30280"/>
    <cellStyle name="Normal 2 6 4 2 2 2 3" xfId="30281"/>
    <cellStyle name="Normal 2 6 4 2 2 2 4" xfId="30282"/>
    <cellStyle name="Normal 2 6 4 2 2 2 5" xfId="30283"/>
    <cellStyle name="Normal 2 6 4 2 2 2 6" xfId="30284"/>
    <cellStyle name="Normal 2 6 4 2 2 3" xfId="30285"/>
    <cellStyle name="Normal 2 6 4 2 2 3 2" xfId="30286"/>
    <cellStyle name="Normal 2 6 4 2 2 3 2 2" xfId="30287"/>
    <cellStyle name="Normal 2 6 4 2 2 3 3" xfId="30288"/>
    <cellStyle name="Normal 2 6 4 2 2 3 4" xfId="30289"/>
    <cellStyle name="Normal 2 6 4 2 2 3 5" xfId="30290"/>
    <cellStyle name="Normal 2 6 4 2 2 4" xfId="30291"/>
    <cellStyle name="Normal 2 6 4 2 2 4 2" xfId="30292"/>
    <cellStyle name="Normal 2 6 4 2 2 4 3" xfId="30293"/>
    <cellStyle name="Normal 2 6 4 2 2 4 4" xfId="30294"/>
    <cellStyle name="Normal 2 6 4 2 2 5" xfId="30295"/>
    <cellStyle name="Normal 2 6 4 2 2 5 2" xfId="30296"/>
    <cellStyle name="Normal 2 6 4 2 2 6" xfId="30297"/>
    <cellStyle name="Normal 2 6 4 2 2 7" xfId="30298"/>
    <cellStyle name="Normal 2 6 4 2 2 8" xfId="30299"/>
    <cellStyle name="Normal 2 6 4 2 2 9" xfId="30300"/>
    <cellStyle name="Normal 2 6 4 2 3" xfId="30301"/>
    <cellStyle name="Normal 2 6 4 2 3 2" xfId="30302"/>
    <cellStyle name="Normal 2 6 4 2 3 2 2" xfId="30303"/>
    <cellStyle name="Normal 2 6 4 2 3 2 2 2" xfId="30304"/>
    <cellStyle name="Normal 2 6 4 2 3 2 2 3" xfId="30305"/>
    <cellStyle name="Normal 2 6 4 2 3 2 3" xfId="30306"/>
    <cellStyle name="Normal 2 6 4 2 3 2 4" xfId="30307"/>
    <cellStyle name="Normal 2 6 4 2 3 2 5" xfId="30308"/>
    <cellStyle name="Normal 2 6 4 2 3 2 6" xfId="30309"/>
    <cellStyle name="Normal 2 6 4 2 3 3" xfId="30310"/>
    <cellStyle name="Normal 2 6 4 2 3 3 2" xfId="30311"/>
    <cellStyle name="Normal 2 6 4 2 3 3 2 2" xfId="30312"/>
    <cellStyle name="Normal 2 6 4 2 3 3 3" xfId="30313"/>
    <cellStyle name="Normal 2 6 4 2 3 3 4" xfId="30314"/>
    <cellStyle name="Normal 2 6 4 2 3 3 5" xfId="30315"/>
    <cellStyle name="Normal 2 6 4 2 3 4" xfId="30316"/>
    <cellStyle name="Normal 2 6 4 2 3 4 2" xfId="30317"/>
    <cellStyle name="Normal 2 6 4 2 3 4 3" xfId="30318"/>
    <cellStyle name="Normal 2 6 4 2 3 4 4" xfId="30319"/>
    <cellStyle name="Normal 2 6 4 2 3 5" xfId="30320"/>
    <cellStyle name="Normal 2 6 4 2 3 5 2" xfId="30321"/>
    <cellStyle name="Normal 2 6 4 2 3 6" xfId="30322"/>
    <cellStyle name="Normal 2 6 4 2 3 7" xfId="30323"/>
    <cellStyle name="Normal 2 6 4 2 3 8" xfId="30324"/>
    <cellStyle name="Normal 2 6 4 2 3 9" xfId="30325"/>
    <cellStyle name="Normal 2 6 4 2 4" xfId="30326"/>
    <cellStyle name="Normal 2 6 4 2 4 2" xfId="30327"/>
    <cellStyle name="Normal 2 6 4 2 4 2 2" xfId="30328"/>
    <cellStyle name="Normal 2 6 4 2 4 2 3" xfId="30329"/>
    <cellStyle name="Normal 2 6 4 2 4 3" xfId="30330"/>
    <cellStyle name="Normal 2 6 4 2 4 4" xfId="30331"/>
    <cellStyle name="Normal 2 6 4 2 4 5" xfId="30332"/>
    <cellStyle name="Normal 2 6 4 2 4 6" xfId="30333"/>
    <cellStyle name="Normal 2 6 4 2 5" xfId="30334"/>
    <cellStyle name="Normal 2 6 4 2 5 2" xfId="30335"/>
    <cellStyle name="Normal 2 6 4 2 5 2 2" xfId="30336"/>
    <cellStyle name="Normal 2 6 4 2 5 3" xfId="30337"/>
    <cellStyle name="Normal 2 6 4 2 5 4" xfId="30338"/>
    <cellStyle name="Normal 2 6 4 2 5 5" xfId="30339"/>
    <cellStyle name="Normal 2 6 4 2 6" xfId="30340"/>
    <cellStyle name="Normal 2 6 4 2 6 2" xfId="30341"/>
    <cellStyle name="Normal 2 6 4 2 6 3" xfId="30342"/>
    <cellStyle name="Normal 2 6 4 2 6 4" xfId="30343"/>
    <cellStyle name="Normal 2 6 4 2 7" xfId="30344"/>
    <cellStyle name="Normal 2 6 4 2 7 2" xfId="30345"/>
    <cellStyle name="Normal 2 6 4 2 8" xfId="30346"/>
    <cellStyle name="Normal 2 6 4 2 9" xfId="30347"/>
    <cellStyle name="Normal 2 6 4 20" xfId="30348"/>
    <cellStyle name="Normal 2 6 4 21" xfId="30349"/>
    <cellStyle name="Normal 2 6 4 22" xfId="30350"/>
    <cellStyle name="Normal 2 6 4 3" xfId="30351"/>
    <cellStyle name="Normal 2 6 4 3 10" xfId="30352"/>
    <cellStyle name="Normal 2 6 4 3 11" xfId="30353"/>
    <cellStyle name="Normal 2 6 4 3 2" xfId="30354"/>
    <cellStyle name="Normal 2 6 4 3 2 2" xfId="30355"/>
    <cellStyle name="Normal 2 6 4 3 2 2 2" xfId="30356"/>
    <cellStyle name="Normal 2 6 4 3 2 2 2 2" xfId="30357"/>
    <cellStyle name="Normal 2 6 4 3 2 2 2 3" xfId="30358"/>
    <cellStyle name="Normal 2 6 4 3 2 2 3" xfId="30359"/>
    <cellStyle name="Normal 2 6 4 3 2 2 4" xfId="30360"/>
    <cellStyle name="Normal 2 6 4 3 2 2 5" xfId="30361"/>
    <cellStyle name="Normal 2 6 4 3 2 2 6" xfId="30362"/>
    <cellStyle name="Normal 2 6 4 3 2 3" xfId="30363"/>
    <cellStyle name="Normal 2 6 4 3 2 3 2" xfId="30364"/>
    <cellStyle name="Normal 2 6 4 3 2 3 2 2" xfId="30365"/>
    <cellStyle name="Normal 2 6 4 3 2 3 3" xfId="30366"/>
    <cellStyle name="Normal 2 6 4 3 2 3 4" xfId="30367"/>
    <cellStyle name="Normal 2 6 4 3 2 3 5" xfId="30368"/>
    <cellStyle name="Normal 2 6 4 3 2 4" xfId="30369"/>
    <cellStyle name="Normal 2 6 4 3 2 4 2" xfId="30370"/>
    <cellStyle name="Normal 2 6 4 3 2 4 3" xfId="30371"/>
    <cellStyle name="Normal 2 6 4 3 2 4 4" xfId="30372"/>
    <cellStyle name="Normal 2 6 4 3 2 5" xfId="30373"/>
    <cellStyle name="Normal 2 6 4 3 2 5 2" xfId="30374"/>
    <cellStyle name="Normal 2 6 4 3 2 6" xfId="30375"/>
    <cellStyle name="Normal 2 6 4 3 2 7" xfId="30376"/>
    <cellStyle name="Normal 2 6 4 3 2 8" xfId="30377"/>
    <cellStyle name="Normal 2 6 4 3 2 9" xfId="30378"/>
    <cellStyle name="Normal 2 6 4 3 3" xfId="30379"/>
    <cellStyle name="Normal 2 6 4 3 3 2" xfId="30380"/>
    <cellStyle name="Normal 2 6 4 3 3 2 2" xfId="30381"/>
    <cellStyle name="Normal 2 6 4 3 3 2 2 2" xfId="30382"/>
    <cellStyle name="Normal 2 6 4 3 3 2 2 3" xfId="30383"/>
    <cellStyle name="Normal 2 6 4 3 3 2 3" xfId="30384"/>
    <cellStyle name="Normal 2 6 4 3 3 2 4" xfId="30385"/>
    <cellStyle name="Normal 2 6 4 3 3 2 5" xfId="30386"/>
    <cellStyle name="Normal 2 6 4 3 3 2 6" xfId="30387"/>
    <cellStyle name="Normal 2 6 4 3 3 3" xfId="30388"/>
    <cellStyle name="Normal 2 6 4 3 3 3 2" xfId="30389"/>
    <cellStyle name="Normal 2 6 4 3 3 3 2 2" xfId="30390"/>
    <cellStyle name="Normal 2 6 4 3 3 3 3" xfId="30391"/>
    <cellStyle name="Normal 2 6 4 3 3 3 4" xfId="30392"/>
    <cellStyle name="Normal 2 6 4 3 3 3 5" xfId="30393"/>
    <cellStyle name="Normal 2 6 4 3 3 4" xfId="30394"/>
    <cellStyle name="Normal 2 6 4 3 3 4 2" xfId="30395"/>
    <cellStyle name="Normal 2 6 4 3 3 4 3" xfId="30396"/>
    <cellStyle name="Normal 2 6 4 3 3 4 4" xfId="30397"/>
    <cellStyle name="Normal 2 6 4 3 3 5" xfId="30398"/>
    <cellStyle name="Normal 2 6 4 3 3 5 2" xfId="30399"/>
    <cellStyle name="Normal 2 6 4 3 3 6" xfId="30400"/>
    <cellStyle name="Normal 2 6 4 3 3 7" xfId="30401"/>
    <cellStyle name="Normal 2 6 4 3 3 8" xfId="30402"/>
    <cellStyle name="Normal 2 6 4 3 3 9" xfId="30403"/>
    <cellStyle name="Normal 2 6 4 3 4" xfId="30404"/>
    <cellStyle name="Normal 2 6 4 3 4 2" xfId="30405"/>
    <cellStyle name="Normal 2 6 4 3 4 2 2" xfId="30406"/>
    <cellStyle name="Normal 2 6 4 3 4 2 3" xfId="30407"/>
    <cellStyle name="Normal 2 6 4 3 4 3" xfId="30408"/>
    <cellStyle name="Normal 2 6 4 3 4 4" xfId="30409"/>
    <cellStyle name="Normal 2 6 4 3 4 5" xfId="30410"/>
    <cellStyle name="Normal 2 6 4 3 4 6" xfId="30411"/>
    <cellStyle name="Normal 2 6 4 3 5" xfId="30412"/>
    <cellStyle name="Normal 2 6 4 3 5 2" xfId="30413"/>
    <cellStyle name="Normal 2 6 4 3 5 2 2" xfId="30414"/>
    <cellStyle name="Normal 2 6 4 3 5 3" xfId="30415"/>
    <cellStyle name="Normal 2 6 4 3 5 4" xfId="30416"/>
    <cellStyle name="Normal 2 6 4 3 5 5" xfId="30417"/>
    <cellStyle name="Normal 2 6 4 3 6" xfId="30418"/>
    <cellStyle name="Normal 2 6 4 3 6 2" xfId="30419"/>
    <cellStyle name="Normal 2 6 4 3 6 3" xfId="30420"/>
    <cellStyle name="Normal 2 6 4 3 6 4" xfId="30421"/>
    <cellStyle name="Normal 2 6 4 3 7" xfId="30422"/>
    <cellStyle name="Normal 2 6 4 3 7 2" xfId="30423"/>
    <cellStyle name="Normal 2 6 4 3 8" xfId="30424"/>
    <cellStyle name="Normal 2 6 4 3 9" xfId="30425"/>
    <cellStyle name="Normal 2 6 4 4" xfId="30426"/>
    <cellStyle name="Normal 2 6 4 4 10" xfId="30427"/>
    <cellStyle name="Normal 2 6 4 4 11" xfId="30428"/>
    <cellStyle name="Normal 2 6 4 4 2" xfId="30429"/>
    <cellStyle name="Normal 2 6 4 4 2 2" xfId="30430"/>
    <cellStyle name="Normal 2 6 4 4 2 2 2" xfId="30431"/>
    <cellStyle name="Normal 2 6 4 4 2 2 2 2" xfId="30432"/>
    <cellStyle name="Normal 2 6 4 4 2 2 2 3" xfId="30433"/>
    <cellStyle name="Normal 2 6 4 4 2 2 3" xfId="30434"/>
    <cellStyle name="Normal 2 6 4 4 2 2 4" xfId="30435"/>
    <cellStyle name="Normal 2 6 4 4 2 2 5" xfId="30436"/>
    <cellStyle name="Normal 2 6 4 4 2 2 6" xfId="30437"/>
    <cellStyle name="Normal 2 6 4 4 2 3" xfId="30438"/>
    <cellStyle name="Normal 2 6 4 4 2 3 2" xfId="30439"/>
    <cellStyle name="Normal 2 6 4 4 2 3 2 2" xfId="30440"/>
    <cellStyle name="Normal 2 6 4 4 2 3 3" xfId="30441"/>
    <cellStyle name="Normal 2 6 4 4 2 3 4" xfId="30442"/>
    <cellStyle name="Normal 2 6 4 4 2 3 5" xfId="30443"/>
    <cellStyle name="Normal 2 6 4 4 2 4" xfId="30444"/>
    <cellStyle name="Normal 2 6 4 4 2 4 2" xfId="30445"/>
    <cellStyle name="Normal 2 6 4 4 2 4 3" xfId="30446"/>
    <cellStyle name="Normal 2 6 4 4 2 4 4" xfId="30447"/>
    <cellStyle name="Normal 2 6 4 4 2 5" xfId="30448"/>
    <cellStyle name="Normal 2 6 4 4 2 5 2" xfId="30449"/>
    <cellStyle name="Normal 2 6 4 4 2 6" xfId="30450"/>
    <cellStyle name="Normal 2 6 4 4 2 7" xfId="30451"/>
    <cellStyle name="Normal 2 6 4 4 2 8" xfId="30452"/>
    <cellStyle name="Normal 2 6 4 4 2 9" xfId="30453"/>
    <cellStyle name="Normal 2 6 4 4 3" xfId="30454"/>
    <cellStyle name="Normal 2 6 4 4 3 2" xfId="30455"/>
    <cellStyle name="Normal 2 6 4 4 3 2 2" xfId="30456"/>
    <cellStyle name="Normal 2 6 4 4 3 2 2 2" xfId="30457"/>
    <cellStyle name="Normal 2 6 4 4 3 2 2 3" xfId="30458"/>
    <cellStyle name="Normal 2 6 4 4 3 2 3" xfId="30459"/>
    <cellStyle name="Normal 2 6 4 4 3 2 4" xfId="30460"/>
    <cellStyle name="Normal 2 6 4 4 3 2 5" xfId="30461"/>
    <cellStyle name="Normal 2 6 4 4 3 2 6" xfId="30462"/>
    <cellStyle name="Normal 2 6 4 4 3 3" xfId="30463"/>
    <cellStyle name="Normal 2 6 4 4 3 3 2" xfId="30464"/>
    <cellStyle name="Normal 2 6 4 4 3 3 2 2" xfId="30465"/>
    <cellStyle name="Normal 2 6 4 4 3 3 3" xfId="30466"/>
    <cellStyle name="Normal 2 6 4 4 3 3 4" xfId="30467"/>
    <cellStyle name="Normal 2 6 4 4 3 3 5" xfId="30468"/>
    <cellStyle name="Normal 2 6 4 4 3 4" xfId="30469"/>
    <cellStyle name="Normal 2 6 4 4 3 4 2" xfId="30470"/>
    <cellStyle name="Normal 2 6 4 4 3 4 3" xfId="30471"/>
    <cellStyle name="Normal 2 6 4 4 3 4 4" xfId="30472"/>
    <cellStyle name="Normal 2 6 4 4 3 5" xfId="30473"/>
    <cellStyle name="Normal 2 6 4 4 3 5 2" xfId="30474"/>
    <cellStyle name="Normal 2 6 4 4 3 6" xfId="30475"/>
    <cellStyle name="Normal 2 6 4 4 3 7" xfId="30476"/>
    <cellStyle name="Normal 2 6 4 4 3 8" xfId="30477"/>
    <cellStyle name="Normal 2 6 4 4 3 9" xfId="30478"/>
    <cellStyle name="Normal 2 6 4 4 4" xfId="30479"/>
    <cellStyle name="Normal 2 6 4 4 4 2" xfId="30480"/>
    <cellStyle name="Normal 2 6 4 4 4 2 2" xfId="30481"/>
    <cellStyle name="Normal 2 6 4 4 4 2 3" xfId="30482"/>
    <cellStyle name="Normal 2 6 4 4 4 3" xfId="30483"/>
    <cellStyle name="Normal 2 6 4 4 4 4" xfId="30484"/>
    <cellStyle name="Normal 2 6 4 4 4 5" xfId="30485"/>
    <cellStyle name="Normal 2 6 4 4 4 6" xfId="30486"/>
    <cellStyle name="Normal 2 6 4 4 5" xfId="30487"/>
    <cellStyle name="Normal 2 6 4 4 5 2" xfId="30488"/>
    <cellStyle name="Normal 2 6 4 4 5 2 2" xfId="30489"/>
    <cellStyle name="Normal 2 6 4 4 5 3" xfId="30490"/>
    <cellStyle name="Normal 2 6 4 4 5 4" xfId="30491"/>
    <cellStyle name="Normal 2 6 4 4 5 5" xfId="30492"/>
    <cellStyle name="Normal 2 6 4 4 6" xfId="30493"/>
    <cellStyle name="Normal 2 6 4 4 6 2" xfId="30494"/>
    <cellStyle name="Normal 2 6 4 4 6 3" xfId="30495"/>
    <cellStyle name="Normal 2 6 4 4 6 4" xfId="30496"/>
    <cellStyle name="Normal 2 6 4 4 7" xfId="30497"/>
    <cellStyle name="Normal 2 6 4 4 7 2" xfId="30498"/>
    <cellStyle name="Normal 2 6 4 4 8" xfId="30499"/>
    <cellStyle name="Normal 2 6 4 4 9" xfId="30500"/>
    <cellStyle name="Normal 2 6 4 5" xfId="30501"/>
    <cellStyle name="Normal 2 6 4 5 10" xfId="30502"/>
    <cellStyle name="Normal 2 6 4 5 11" xfId="30503"/>
    <cellStyle name="Normal 2 6 4 5 2" xfId="30504"/>
    <cellStyle name="Normal 2 6 4 5 2 2" xfId="30505"/>
    <cellStyle name="Normal 2 6 4 5 2 2 2" xfId="30506"/>
    <cellStyle name="Normal 2 6 4 5 2 2 2 2" xfId="30507"/>
    <cellStyle name="Normal 2 6 4 5 2 2 2 3" xfId="30508"/>
    <cellStyle name="Normal 2 6 4 5 2 2 3" xfId="30509"/>
    <cellStyle name="Normal 2 6 4 5 2 2 4" xfId="30510"/>
    <cellStyle name="Normal 2 6 4 5 2 2 5" xfId="30511"/>
    <cellStyle name="Normal 2 6 4 5 2 2 6" xfId="30512"/>
    <cellStyle name="Normal 2 6 4 5 2 3" xfId="30513"/>
    <cellStyle name="Normal 2 6 4 5 2 3 2" xfId="30514"/>
    <cellStyle name="Normal 2 6 4 5 2 3 2 2" xfId="30515"/>
    <cellStyle name="Normal 2 6 4 5 2 3 3" xfId="30516"/>
    <cellStyle name="Normal 2 6 4 5 2 3 4" xfId="30517"/>
    <cellStyle name="Normal 2 6 4 5 2 3 5" xfId="30518"/>
    <cellStyle name="Normal 2 6 4 5 2 4" xfId="30519"/>
    <cellStyle name="Normal 2 6 4 5 2 4 2" xfId="30520"/>
    <cellStyle name="Normal 2 6 4 5 2 4 3" xfId="30521"/>
    <cellStyle name="Normal 2 6 4 5 2 4 4" xfId="30522"/>
    <cellStyle name="Normal 2 6 4 5 2 5" xfId="30523"/>
    <cellStyle name="Normal 2 6 4 5 2 5 2" xfId="30524"/>
    <cellStyle name="Normal 2 6 4 5 2 6" xfId="30525"/>
    <cellStyle name="Normal 2 6 4 5 2 7" xfId="30526"/>
    <cellStyle name="Normal 2 6 4 5 2 8" xfId="30527"/>
    <cellStyle name="Normal 2 6 4 5 2 9" xfId="30528"/>
    <cellStyle name="Normal 2 6 4 5 3" xfId="30529"/>
    <cellStyle name="Normal 2 6 4 5 3 2" xfId="30530"/>
    <cellStyle name="Normal 2 6 4 5 3 2 2" xfId="30531"/>
    <cellStyle name="Normal 2 6 4 5 3 2 2 2" xfId="30532"/>
    <cellStyle name="Normal 2 6 4 5 3 2 2 3" xfId="30533"/>
    <cellStyle name="Normal 2 6 4 5 3 2 3" xfId="30534"/>
    <cellStyle name="Normal 2 6 4 5 3 2 4" xfId="30535"/>
    <cellStyle name="Normal 2 6 4 5 3 2 5" xfId="30536"/>
    <cellStyle name="Normal 2 6 4 5 3 2 6" xfId="30537"/>
    <cellStyle name="Normal 2 6 4 5 3 3" xfId="30538"/>
    <cellStyle name="Normal 2 6 4 5 3 3 2" xfId="30539"/>
    <cellStyle name="Normal 2 6 4 5 3 3 2 2" xfId="30540"/>
    <cellStyle name="Normal 2 6 4 5 3 3 3" xfId="30541"/>
    <cellStyle name="Normal 2 6 4 5 3 3 4" xfId="30542"/>
    <cellStyle name="Normal 2 6 4 5 3 3 5" xfId="30543"/>
    <cellStyle name="Normal 2 6 4 5 3 4" xfId="30544"/>
    <cellStyle name="Normal 2 6 4 5 3 4 2" xfId="30545"/>
    <cellStyle name="Normal 2 6 4 5 3 4 3" xfId="30546"/>
    <cellStyle name="Normal 2 6 4 5 3 4 4" xfId="30547"/>
    <cellStyle name="Normal 2 6 4 5 3 5" xfId="30548"/>
    <cellStyle name="Normal 2 6 4 5 3 5 2" xfId="30549"/>
    <cellStyle name="Normal 2 6 4 5 3 6" xfId="30550"/>
    <cellStyle name="Normal 2 6 4 5 3 7" xfId="30551"/>
    <cellStyle name="Normal 2 6 4 5 3 8" xfId="30552"/>
    <cellStyle name="Normal 2 6 4 5 3 9" xfId="30553"/>
    <cellStyle name="Normal 2 6 4 5 4" xfId="30554"/>
    <cellStyle name="Normal 2 6 4 5 4 2" xfId="30555"/>
    <cellStyle name="Normal 2 6 4 5 4 2 2" xfId="30556"/>
    <cellStyle name="Normal 2 6 4 5 4 2 3" xfId="30557"/>
    <cellStyle name="Normal 2 6 4 5 4 3" xfId="30558"/>
    <cellStyle name="Normal 2 6 4 5 4 4" xfId="30559"/>
    <cellStyle name="Normal 2 6 4 5 4 5" xfId="30560"/>
    <cellStyle name="Normal 2 6 4 5 4 6" xfId="30561"/>
    <cellStyle name="Normal 2 6 4 5 5" xfId="30562"/>
    <cellStyle name="Normal 2 6 4 5 5 2" xfId="30563"/>
    <cellStyle name="Normal 2 6 4 5 5 2 2" xfId="30564"/>
    <cellStyle name="Normal 2 6 4 5 5 3" xfId="30565"/>
    <cellStyle name="Normal 2 6 4 5 5 4" xfId="30566"/>
    <cellStyle name="Normal 2 6 4 5 5 5" xfId="30567"/>
    <cellStyle name="Normal 2 6 4 5 6" xfId="30568"/>
    <cellStyle name="Normal 2 6 4 5 6 2" xfId="30569"/>
    <cellStyle name="Normal 2 6 4 5 6 3" xfId="30570"/>
    <cellStyle name="Normal 2 6 4 5 6 4" xfId="30571"/>
    <cellStyle name="Normal 2 6 4 5 7" xfId="30572"/>
    <cellStyle name="Normal 2 6 4 5 7 2" xfId="30573"/>
    <cellStyle name="Normal 2 6 4 5 8" xfId="30574"/>
    <cellStyle name="Normal 2 6 4 5 9" xfId="30575"/>
    <cellStyle name="Normal 2 6 4 6" xfId="30576"/>
    <cellStyle name="Normal 2 6 4 6 10" xfId="30577"/>
    <cellStyle name="Normal 2 6 4 6 11" xfId="30578"/>
    <cellStyle name="Normal 2 6 4 6 2" xfId="30579"/>
    <cellStyle name="Normal 2 6 4 6 2 2" xfId="30580"/>
    <cellStyle name="Normal 2 6 4 6 2 2 2" xfId="30581"/>
    <cellStyle name="Normal 2 6 4 6 2 2 2 2" xfId="30582"/>
    <cellStyle name="Normal 2 6 4 6 2 2 2 3" xfId="30583"/>
    <cellStyle name="Normal 2 6 4 6 2 2 3" xfId="30584"/>
    <cellStyle name="Normal 2 6 4 6 2 2 4" xfId="30585"/>
    <cellStyle name="Normal 2 6 4 6 2 2 5" xfId="30586"/>
    <cellStyle name="Normal 2 6 4 6 2 2 6" xfId="30587"/>
    <cellStyle name="Normal 2 6 4 6 2 3" xfId="30588"/>
    <cellStyle name="Normal 2 6 4 6 2 3 2" xfId="30589"/>
    <cellStyle name="Normal 2 6 4 6 2 3 2 2" xfId="30590"/>
    <cellStyle name="Normal 2 6 4 6 2 3 3" xfId="30591"/>
    <cellStyle name="Normal 2 6 4 6 2 3 4" xfId="30592"/>
    <cellStyle name="Normal 2 6 4 6 2 3 5" xfId="30593"/>
    <cellStyle name="Normal 2 6 4 6 2 4" xfId="30594"/>
    <cellStyle name="Normal 2 6 4 6 2 4 2" xfId="30595"/>
    <cellStyle name="Normal 2 6 4 6 2 4 3" xfId="30596"/>
    <cellStyle name="Normal 2 6 4 6 2 4 4" xfId="30597"/>
    <cellStyle name="Normal 2 6 4 6 2 5" xfId="30598"/>
    <cellStyle name="Normal 2 6 4 6 2 5 2" xfId="30599"/>
    <cellStyle name="Normal 2 6 4 6 2 6" xfId="30600"/>
    <cellStyle name="Normal 2 6 4 6 2 7" xfId="30601"/>
    <cellStyle name="Normal 2 6 4 6 2 8" xfId="30602"/>
    <cellStyle name="Normal 2 6 4 6 2 9" xfId="30603"/>
    <cellStyle name="Normal 2 6 4 6 3" xfId="30604"/>
    <cellStyle name="Normal 2 6 4 6 3 2" xfId="30605"/>
    <cellStyle name="Normal 2 6 4 6 3 2 2" xfId="30606"/>
    <cellStyle name="Normal 2 6 4 6 3 2 2 2" xfId="30607"/>
    <cellStyle name="Normal 2 6 4 6 3 2 2 3" xfId="30608"/>
    <cellStyle name="Normal 2 6 4 6 3 2 3" xfId="30609"/>
    <cellStyle name="Normal 2 6 4 6 3 2 4" xfId="30610"/>
    <cellStyle name="Normal 2 6 4 6 3 2 5" xfId="30611"/>
    <cellStyle name="Normal 2 6 4 6 3 2 6" xfId="30612"/>
    <cellStyle name="Normal 2 6 4 6 3 3" xfId="30613"/>
    <cellStyle name="Normal 2 6 4 6 3 3 2" xfId="30614"/>
    <cellStyle name="Normal 2 6 4 6 3 3 2 2" xfId="30615"/>
    <cellStyle name="Normal 2 6 4 6 3 3 3" xfId="30616"/>
    <cellStyle name="Normal 2 6 4 6 3 3 4" xfId="30617"/>
    <cellStyle name="Normal 2 6 4 6 3 3 5" xfId="30618"/>
    <cellStyle name="Normal 2 6 4 6 3 4" xfId="30619"/>
    <cellStyle name="Normal 2 6 4 6 3 4 2" xfId="30620"/>
    <cellStyle name="Normal 2 6 4 6 3 4 3" xfId="30621"/>
    <cellStyle name="Normal 2 6 4 6 3 4 4" xfId="30622"/>
    <cellStyle name="Normal 2 6 4 6 3 5" xfId="30623"/>
    <cellStyle name="Normal 2 6 4 6 3 5 2" xfId="30624"/>
    <cellStyle name="Normal 2 6 4 6 3 6" xfId="30625"/>
    <cellStyle name="Normal 2 6 4 6 3 7" xfId="30626"/>
    <cellStyle name="Normal 2 6 4 6 3 8" xfId="30627"/>
    <cellStyle name="Normal 2 6 4 6 3 9" xfId="30628"/>
    <cellStyle name="Normal 2 6 4 6 4" xfId="30629"/>
    <cellStyle name="Normal 2 6 4 6 4 2" xfId="30630"/>
    <cellStyle name="Normal 2 6 4 6 4 2 2" xfId="30631"/>
    <cellStyle name="Normal 2 6 4 6 4 2 3" xfId="30632"/>
    <cellStyle name="Normal 2 6 4 6 4 3" xfId="30633"/>
    <cellStyle name="Normal 2 6 4 6 4 4" xfId="30634"/>
    <cellStyle name="Normal 2 6 4 6 4 5" xfId="30635"/>
    <cellStyle name="Normal 2 6 4 6 4 6" xfId="30636"/>
    <cellStyle name="Normal 2 6 4 6 5" xfId="30637"/>
    <cellStyle name="Normal 2 6 4 6 5 2" xfId="30638"/>
    <cellStyle name="Normal 2 6 4 6 5 2 2" xfId="30639"/>
    <cellStyle name="Normal 2 6 4 6 5 3" xfId="30640"/>
    <cellStyle name="Normal 2 6 4 6 5 4" xfId="30641"/>
    <cellStyle name="Normal 2 6 4 6 5 5" xfId="30642"/>
    <cellStyle name="Normal 2 6 4 6 6" xfId="30643"/>
    <cellStyle name="Normal 2 6 4 6 6 2" xfId="30644"/>
    <cellStyle name="Normal 2 6 4 6 6 3" xfId="30645"/>
    <cellStyle name="Normal 2 6 4 6 6 4" xfId="30646"/>
    <cellStyle name="Normal 2 6 4 6 7" xfId="30647"/>
    <cellStyle name="Normal 2 6 4 6 7 2" xfId="30648"/>
    <cellStyle name="Normal 2 6 4 6 8" xfId="30649"/>
    <cellStyle name="Normal 2 6 4 6 9" xfId="30650"/>
    <cellStyle name="Normal 2 6 4 7" xfId="30651"/>
    <cellStyle name="Normal 2 6 4 7 10" xfId="30652"/>
    <cellStyle name="Normal 2 6 4 7 11" xfId="30653"/>
    <cellStyle name="Normal 2 6 4 7 2" xfId="30654"/>
    <cellStyle name="Normal 2 6 4 7 2 2" xfId="30655"/>
    <cellStyle name="Normal 2 6 4 7 2 2 2" xfId="30656"/>
    <cellStyle name="Normal 2 6 4 7 2 2 2 2" xfId="30657"/>
    <cellStyle name="Normal 2 6 4 7 2 2 2 3" xfId="30658"/>
    <cellStyle name="Normal 2 6 4 7 2 2 3" xfId="30659"/>
    <cellStyle name="Normal 2 6 4 7 2 2 4" xfId="30660"/>
    <cellStyle name="Normal 2 6 4 7 2 2 5" xfId="30661"/>
    <cellStyle name="Normal 2 6 4 7 2 2 6" xfId="30662"/>
    <cellStyle name="Normal 2 6 4 7 2 3" xfId="30663"/>
    <cellStyle name="Normal 2 6 4 7 2 3 2" xfId="30664"/>
    <cellStyle name="Normal 2 6 4 7 2 3 2 2" xfId="30665"/>
    <cellStyle name="Normal 2 6 4 7 2 3 3" xfId="30666"/>
    <cellStyle name="Normal 2 6 4 7 2 3 4" xfId="30667"/>
    <cellStyle name="Normal 2 6 4 7 2 3 5" xfId="30668"/>
    <cellStyle name="Normal 2 6 4 7 2 4" xfId="30669"/>
    <cellStyle name="Normal 2 6 4 7 2 4 2" xfId="30670"/>
    <cellStyle name="Normal 2 6 4 7 2 4 3" xfId="30671"/>
    <cellStyle name="Normal 2 6 4 7 2 4 4" xfId="30672"/>
    <cellStyle name="Normal 2 6 4 7 2 5" xfId="30673"/>
    <cellStyle name="Normal 2 6 4 7 2 5 2" xfId="30674"/>
    <cellStyle name="Normal 2 6 4 7 2 6" xfId="30675"/>
    <cellStyle name="Normal 2 6 4 7 2 7" xfId="30676"/>
    <cellStyle name="Normal 2 6 4 7 2 8" xfId="30677"/>
    <cellStyle name="Normal 2 6 4 7 2 9" xfId="30678"/>
    <cellStyle name="Normal 2 6 4 7 3" xfId="30679"/>
    <cellStyle name="Normal 2 6 4 7 3 2" xfId="30680"/>
    <cellStyle name="Normal 2 6 4 7 3 2 2" xfId="30681"/>
    <cellStyle name="Normal 2 6 4 7 3 2 2 2" xfId="30682"/>
    <cellStyle name="Normal 2 6 4 7 3 2 2 3" xfId="30683"/>
    <cellStyle name="Normal 2 6 4 7 3 2 3" xfId="30684"/>
    <cellStyle name="Normal 2 6 4 7 3 2 4" xfId="30685"/>
    <cellStyle name="Normal 2 6 4 7 3 2 5" xfId="30686"/>
    <cellStyle name="Normal 2 6 4 7 3 2 6" xfId="30687"/>
    <cellStyle name="Normal 2 6 4 7 3 3" xfId="30688"/>
    <cellStyle name="Normal 2 6 4 7 3 3 2" xfId="30689"/>
    <cellStyle name="Normal 2 6 4 7 3 3 2 2" xfId="30690"/>
    <cellStyle name="Normal 2 6 4 7 3 3 3" xfId="30691"/>
    <cellStyle name="Normal 2 6 4 7 3 3 4" xfId="30692"/>
    <cellStyle name="Normal 2 6 4 7 3 3 5" xfId="30693"/>
    <cellStyle name="Normal 2 6 4 7 3 4" xfId="30694"/>
    <cellStyle name="Normal 2 6 4 7 3 4 2" xfId="30695"/>
    <cellStyle name="Normal 2 6 4 7 3 4 3" xfId="30696"/>
    <cellStyle name="Normal 2 6 4 7 3 4 4" xfId="30697"/>
    <cellStyle name="Normal 2 6 4 7 3 5" xfId="30698"/>
    <cellStyle name="Normal 2 6 4 7 3 5 2" xfId="30699"/>
    <cellStyle name="Normal 2 6 4 7 3 6" xfId="30700"/>
    <cellStyle name="Normal 2 6 4 7 3 7" xfId="30701"/>
    <cellStyle name="Normal 2 6 4 7 3 8" xfId="30702"/>
    <cellStyle name="Normal 2 6 4 7 3 9" xfId="30703"/>
    <cellStyle name="Normal 2 6 4 7 4" xfId="30704"/>
    <cellStyle name="Normal 2 6 4 7 4 2" xfId="30705"/>
    <cellStyle name="Normal 2 6 4 7 4 2 2" xfId="30706"/>
    <cellStyle name="Normal 2 6 4 7 4 2 3" xfId="30707"/>
    <cellStyle name="Normal 2 6 4 7 4 3" xfId="30708"/>
    <cellStyle name="Normal 2 6 4 7 4 4" xfId="30709"/>
    <cellStyle name="Normal 2 6 4 7 4 5" xfId="30710"/>
    <cellStyle name="Normal 2 6 4 7 4 6" xfId="30711"/>
    <cellStyle name="Normal 2 6 4 7 5" xfId="30712"/>
    <cellStyle name="Normal 2 6 4 7 5 2" xfId="30713"/>
    <cellStyle name="Normal 2 6 4 7 5 2 2" xfId="30714"/>
    <cellStyle name="Normal 2 6 4 7 5 3" xfId="30715"/>
    <cellStyle name="Normal 2 6 4 7 5 4" xfId="30716"/>
    <cellStyle name="Normal 2 6 4 7 5 5" xfId="30717"/>
    <cellStyle name="Normal 2 6 4 7 6" xfId="30718"/>
    <cellStyle name="Normal 2 6 4 7 6 2" xfId="30719"/>
    <cellStyle name="Normal 2 6 4 7 6 3" xfId="30720"/>
    <cellStyle name="Normal 2 6 4 7 6 4" xfId="30721"/>
    <cellStyle name="Normal 2 6 4 7 7" xfId="30722"/>
    <cellStyle name="Normal 2 6 4 7 7 2" xfId="30723"/>
    <cellStyle name="Normal 2 6 4 7 8" xfId="30724"/>
    <cellStyle name="Normal 2 6 4 7 9" xfId="30725"/>
    <cellStyle name="Normal 2 6 4 8" xfId="30726"/>
    <cellStyle name="Normal 2 6 4 8 10" xfId="30727"/>
    <cellStyle name="Normal 2 6 4 8 2" xfId="30728"/>
    <cellStyle name="Normal 2 6 4 8 2 2" xfId="30729"/>
    <cellStyle name="Normal 2 6 4 8 2 2 2" xfId="30730"/>
    <cellStyle name="Normal 2 6 4 8 2 2 3" xfId="30731"/>
    <cellStyle name="Normal 2 6 4 8 2 3" xfId="30732"/>
    <cellStyle name="Normal 2 6 4 8 2 4" xfId="30733"/>
    <cellStyle name="Normal 2 6 4 8 2 5" xfId="30734"/>
    <cellStyle name="Normal 2 6 4 8 2 6" xfId="30735"/>
    <cellStyle name="Normal 2 6 4 8 3" xfId="30736"/>
    <cellStyle name="Normal 2 6 4 8 3 2" xfId="30737"/>
    <cellStyle name="Normal 2 6 4 8 3 2 2" xfId="30738"/>
    <cellStyle name="Normal 2 6 4 8 3 2 3" xfId="30739"/>
    <cellStyle name="Normal 2 6 4 8 3 3" xfId="30740"/>
    <cellStyle name="Normal 2 6 4 8 3 4" xfId="30741"/>
    <cellStyle name="Normal 2 6 4 8 3 5" xfId="30742"/>
    <cellStyle name="Normal 2 6 4 8 3 6" xfId="30743"/>
    <cellStyle name="Normal 2 6 4 8 4" xfId="30744"/>
    <cellStyle name="Normal 2 6 4 8 4 2" xfId="30745"/>
    <cellStyle name="Normal 2 6 4 8 4 2 2" xfId="30746"/>
    <cellStyle name="Normal 2 6 4 8 4 3" xfId="30747"/>
    <cellStyle name="Normal 2 6 4 8 4 4" xfId="30748"/>
    <cellStyle name="Normal 2 6 4 8 4 5" xfId="30749"/>
    <cellStyle name="Normal 2 6 4 8 5" xfId="30750"/>
    <cellStyle name="Normal 2 6 4 8 5 2" xfId="30751"/>
    <cellStyle name="Normal 2 6 4 8 5 3" xfId="30752"/>
    <cellStyle name="Normal 2 6 4 8 5 4" xfId="30753"/>
    <cellStyle name="Normal 2 6 4 8 6" xfId="30754"/>
    <cellStyle name="Normal 2 6 4 8 6 2" xfId="30755"/>
    <cellStyle name="Normal 2 6 4 8 7" xfId="30756"/>
    <cellStyle name="Normal 2 6 4 8 8" xfId="30757"/>
    <cellStyle name="Normal 2 6 4 8 9" xfId="30758"/>
    <cellStyle name="Normal 2 6 4 9" xfId="30759"/>
    <cellStyle name="Normal 2 6 4 9 10" xfId="30760"/>
    <cellStyle name="Normal 2 6 4 9 2" xfId="30761"/>
    <cellStyle name="Normal 2 6 4 9 2 2" xfId="30762"/>
    <cellStyle name="Normal 2 6 4 9 2 2 2" xfId="30763"/>
    <cellStyle name="Normal 2 6 4 9 2 2 3" xfId="30764"/>
    <cellStyle name="Normal 2 6 4 9 2 3" xfId="30765"/>
    <cellStyle name="Normal 2 6 4 9 2 4" xfId="30766"/>
    <cellStyle name="Normal 2 6 4 9 2 5" xfId="30767"/>
    <cellStyle name="Normal 2 6 4 9 2 6" xfId="30768"/>
    <cellStyle name="Normal 2 6 4 9 3" xfId="30769"/>
    <cellStyle name="Normal 2 6 4 9 3 2" xfId="30770"/>
    <cellStyle name="Normal 2 6 4 9 3 2 2" xfId="30771"/>
    <cellStyle name="Normal 2 6 4 9 3 2 3" xfId="30772"/>
    <cellStyle name="Normal 2 6 4 9 3 3" xfId="30773"/>
    <cellStyle name="Normal 2 6 4 9 3 4" xfId="30774"/>
    <cellStyle name="Normal 2 6 4 9 3 5" xfId="30775"/>
    <cellStyle name="Normal 2 6 4 9 3 6" xfId="30776"/>
    <cellStyle name="Normal 2 6 4 9 4" xfId="30777"/>
    <cellStyle name="Normal 2 6 4 9 4 2" xfId="30778"/>
    <cellStyle name="Normal 2 6 4 9 4 2 2" xfId="30779"/>
    <cellStyle name="Normal 2 6 4 9 4 3" xfId="30780"/>
    <cellStyle name="Normal 2 6 4 9 4 4" xfId="30781"/>
    <cellStyle name="Normal 2 6 4 9 4 5" xfId="30782"/>
    <cellStyle name="Normal 2 6 4 9 5" xfId="30783"/>
    <cellStyle name="Normal 2 6 4 9 5 2" xfId="30784"/>
    <cellStyle name="Normal 2 6 4 9 5 3" xfId="30785"/>
    <cellStyle name="Normal 2 6 4 9 5 4" xfId="30786"/>
    <cellStyle name="Normal 2 6 4 9 6" xfId="30787"/>
    <cellStyle name="Normal 2 6 4 9 6 2" xfId="30788"/>
    <cellStyle name="Normal 2 6 4 9 7" xfId="30789"/>
    <cellStyle name="Normal 2 6 4 9 8" xfId="30790"/>
    <cellStyle name="Normal 2 6 4 9 9" xfId="30791"/>
    <cellStyle name="Normal 2 6 5" xfId="30792"/>
    <cellStyle name="Normal 2 6 5 10" xfId="30793"/>
    <cellStyle name="Normal 2 6 5 11" xfId="30794"/>
    <cellStyle name="Normal 2 6 5 2" xfId="30795"/>
    <cellStyle name="Normal 2 6 5 2 2" xfId="30796"/>
    <cellStyle name="Normal 2 6 5 2 2 2" xfId="30797"/>
    <cellStyle name="Normal 2 6 5 2 2 2 2" xfId="30798"/>
    <cellStyle name="Normal 2 6 5 2 2 2 3" xfId="30799"/>
    <cellStyle name="Normal 2 6 5 2 2 3" xfId="30800"/>
    <cellStyle name="Normal 2 6 5 2 2 4" xfId="30801"/>
    <cellStyle name="Normal 2 6 5 2 2 5" xfId="30802"/>
    <cellStyle name="Normal 2 6 5 2 2 6" xfId="30803"/>
    <cellStyle name="Normal 2 6 5 2 3" xfId="30804"/>
    <cellStyle name="Normal 2 6 5 2 3 2" xfId="30805"/>
    <cellStyle name="Normal 2 6 5 2 3 2 2" xfId="30806"/>
    <cellStyle name="Normal 2 6 5 2 3 3" xfId="30807"/>
    <cellStyle name="Normal 2 6 5 2 3 4" xfId="30808"/>
    <cellStyle name="Normal 2 6 5 2 3 5" xfId="30809"/>
    <cellStyle name="Normal 2 6 5 2 4" xfId="30810"/>
    <cellStyle name="Normal 2 6 5 2 4 2" xfId="30811"/>
    <cellStyle name="Normal 2 6 5 2 4 3" xfId="30812"/>
    <cellStyle name="Normal 2 6 5 2 4 4" xfId="30813"/>
    <cellStyle name="Normal 2 6 5 2 5" xfId="30814"/>
    <cellStyle name="Normal 2 6 5 2 5 2" xfId="30815"/>
    <cellStyle name="Normal 2 6 5 2 6" xfId="30816"/>
    <cellStyle name="Normal 2 6 5 2 7" xfId="30817"/>
    <cellStyle name="Normal 2 6 5 2 8" xfId="30818"/>
    <cellStyle name="Normal 2 6 5 2 9" xfId="30819"/>
    <cellStyle name="Normal 2 6 5 3" xfId="30820"/>
    <cellStyle name="Normal 2 6 5 3 2" xfId="30821"/>
    <cellStyle name="Normal 2 6 5 3 2 2" xfId="30822"/>
    <cellStyle name="Normal 2 6 5 3 2 2 2" xfId="30823"/>
    <cellStyle name="Normal 2 6 5 3 2 2 3" xfId="30824"/>
    <cellStyle name="Normal 2 6 5 3 2 3" xfId="30825"/>
    <cellStyle name="Normal 2 6 5 3 2 4" xfId="30826"/>
    <cellStyle name="Normal 2 6 5 3 2 5" xfId="30827"/>
    <cellStyle name="Normal 2 6 5 3 2 6" xfId="30828"/>
    <cellStyle name="Normal 2 6 5 3 3" xfId="30829"/>
    <cellStyle name="Normal 2 6 5 3 3 2" xfId="30830"/>
    <cellStyle name="Normal 2 6 5 3 3 2 2" xfId="30831"/>
    <cellStyle name="Normal 2 6 5 3 3 3" xfId="30832"/>
    <cellStyle name="Normal 2 6 5 3 3 4" xfId="30833"/>
    <cellStyle name="Normal 2 6 5 3 3 5" xfId="30834"/>
    <cellStyle name="Normal 2 6 5 3 4" xfId="30835"/>
    <cellStyle name="Normal 2 6 5 3 4 2" xfId="30836"/>
    <cellStyle name="Normal 2 6 5 3 4 3" xfId="30837"/>
    <cellStyle name="Normal 2 6 5 3 4 4" xfId="30838"/>
    <cellStyle name="Normal 2 6 5 3 5" xfId="30839"/>
    <cellStyle name="Normal 2 6 5 3 5 2" xfId="30840"/>
    <cellStyle name="Normal 2 6 5 3 6" xfId="30841"/>
    <cellStyle name="Normal 2 6 5 3 7" xfId="30842"/>
    <cellStyle name="Normal 2 6 5 3 8" xfId="30843"/>
    <cellStyle name="Normal 2 6 5 3 9" xfId="30844"/>
    <cellStyle name="Normal 2 6 5 4" xfId="30845"/>
    <cellStyle name="Normal 2 6 5 4 2" xfId="30846"/>
    <cellStyle name="Normal 2 6 5 4 2 2" xfId="30847"/>
    <cellStyle name="Normal 2 6 5 4 2 3" xfId="30848"/>
    <cellStyle name="Normal 2 6 5 4 3" xfId="30849"/>
    <cellStyle name="Normal 2 6 5 4 4" xfId="30850"/>
    <cellStyle name="Normal 2 6 5 4 5" xfId="30851"/>
    <cellStyle name="Normal 2 6 5 4 6" xfId="30852"/>
    <cellStyle name="Normal 2 6 5 5" xfId="30853"/>
    <cellStyle name="Normal 2 6 5 5 2" xfId="30854"/>
    <cellStyle name="Normal 2 6 5 5 2 2" xfId="30855"/>
    <cellStyle name="Normal 2 6 5 5 3" xfId="30856"/>
    <cellStyle name="Normal 2 6 5 5 4" xfId="30857"/>
    <cellStyle name="Normal 2 6 5 5 5" xfId="30858"/>
    <cellStyle name="Normal 2 6 5 6" xfId="30859"/>
    <cellStyle name="Normal 2 6 5 6 2" xfId="30860"/>
    <cellStyle name="Normal 2 6 5 6 3" xfId="30861"/>
    <cellStyle name="Normal 2 6 5 6 4" xfId="30862"/>
    <cellStyle name="Normal 2 6 5 7" xfId="30863"/>
    <cellStyle name="Normal 2 6 5 7 2" xfId="30864"/>
    <cellStyle name="Normal 2 6 5 8" xfId="30865"/>
    <cellStyle name="Normal 2 6 5 9" xfId="30866"/>
    <cellStyle name="Normal 2 6 6" xfId="30867"/>
    <cellStyle name="Normal 2 6 6 10" xfId="30868"/>
    <cellStyle name="Normal 2 6 6 11" xfId="30869"/>
    <cellStyle name="Normal 2 6 6 2" xfId="30870"/>
    <cellStyle name="Normal 2 6 6 2 2" xfId="30871"/>
    <cellStyle name="Normal 2 6 6 2 2 2" xfId="30872"/>
    <cellStyle name="Normal 2 6 6 2 2 2 2" xfId="30873"/>
    <cellStyle name="Normal 2 6 6 2 2 2 3" xfId="30874"/>
    <cellStyle name="Normal 2 6 6 2 2 3" xfId="30875"/>
    <cellStyle name="Normal 2 6 6 2 2 4" xfId="30876"/>
    <cellStyle name="Normal 2 6 6 2 2 5" xfId="30877"/>
    <cellStyle name="Normal 2 6 6 2 2 6" xfId="30878"/>
    <cellStyle name="Normal 2 6 6 2 3" xfId="30879"/>
    <cellStyle name="Normal 2 6 6 2 3 2" xfId="30880"/>
    <cellStyle name="Normal 2 6 6 2 3 2 2" xfId="30881"/>
    <cellStyle name="Normal 2 6 6 2 3 3" xfId="30882"/>
    <cellStyle name="Normal 2 6 6 2 3 4" xfId="30883"/>
    <cellStyle name="Normal 2 6 6 2 3 5" xfId="30884"/>
    <cellStyle name="Normal 2 6 6 2 4" xfId="30885"/>
    <cellStyle name="Normal 2 6 6 2 4 2" xfId="30886"/>
    <cellStyle name="Normal 2 6 6 2 4 3" xfId="30887"/>
    <cellStyle name="Normal 2 6 6 2 4 4" xfId="30888"/>
    <cellStyle name="Normal 2 6 6 2 5" xfId="30889"/>
    <cellStyle name="Normal 2 6 6 2 5 2" xfId="30890"/>
    <cellStyle name="Normal 2 6 6 2 6" xfId="30891"/>
    <cellStyle name="Normal 2 6 6 2 7" xfId="30892"/>
    <cellStyle name="Normal 2 6 6 2 8" xfId="30893"/>
    <cellStyle name="Normal 2 6 6 2 9" xfId="30894"/>
    <cellStyle name="Normal 2 6 6 3" xfId="30895"/>
    <cellStyle name="Normal 2 6 6 3 2" xfId="30896"/>
    <cellStyle name="Normal 2 6 6 3 2 2" xfId="30897"/>
    <cellStyle name="Normal 2 6 6 3 2 2 2" xfId="30898"/>
    <cellStyle name="Normal 2 6 6 3 2 2 3" xfId="30899"/>
    <cellStyle name="Normal 2 6 6 3 2 3" xfId="30900"/>
    <cellStyle name="Normal 2 6 6 3 2 4" xfId="30901"/>
    <cellStyle name="Normal 2 6 6 3 2 5" xfId="30902"/>
    <cellStyle name="Normal 2 6 6 3 2 6" xfId="30903"/>
    <cellStyle name="Normal 2 6 6 3 3" xfId="30904"/>
    <cellStyle name="Normal 2 6 6 3 3 2" xfId="30905"/>
    <cellStyle name="Normal 2 6 6 3 3 2 2" xfId="30906"/>
    <cellStyle name="Normal 2 6 6 3 3 3" xfId="30907"/>
    <cellStyle name="Normal 2 6 6 3 3 4" xfId="30908"/>
    <cellStyle name="Normal 2 6 6 3 3 5" xfId="30909"/>
    <cellStyle name="Normal 2 6 6 3 4" xfId="30910"/>
    <cellStyle name="Normal 2 6 6 3 4 2" xfId="30911"/>
    <cellStyle name="Normal 2 6 6 3 4 3" xfId="30912"/>
    <cellStyle name="Normal 2 6 6 3 4 4" xfId="30913"/>
    <cellStyle name="Normal 2 6 6 3 5" xfId="30914"/>
    <cellStyle name="Normal 2 6 6 3 5 2" xfId="30915"/>
    <cellStyle name="Normal 2 6 6 3 6" xfId="30916"/>
    <cellStyle name="Normal 2 6 6 3 7" xfId="30917"/>
    <cellStyle name="Normal 2 6 6 3 8" xfId="30918"/>
    <cellStyle name="Normal 2 6 6 3 9" xfId="30919"/>
    <cellStyle name="Normal 2 6 6 4" xfId="30920"/>
    <cellStyle name="Normal 2 6 6 4 2" xfId="30921"/>
    <cellStyle name="Normal 2 6 6 4 2 2" xfId="30922"/>
    <cellStyle name="Normal 2 6 6 4 2 3" xfId="30923"/>
    <cellStyle name="Normal 2 6 6 4 3" xfId="30924"/>
    <cellStyle name="Normal 2 6 6 4 4" xfId="30925"/>
    <cellStyle name="Normal 2 6 6 4 5" xfId="30926"/>
    <cellStyle name="Normal 2 6 6 4 6" xfId="30927"/>
    <cellStyle name="Normal 2 6 6 5" xfId="30928"/>
    <cellStyle name="Normal 2 6 6 5 2" xfId="30929"/>
    <cellStyle name="Normal 2 6 6 5 2 2" xfId="30930"/>
    <cellStyle name="Normal 2 6 6 5 3" xfId="30931"/>
    <cellStyle name="Normal 2 6 6 5 4" xfId="30932"/>
    <cellStyle name="Normal 2 6 6 5 5" xfId="30933"/>
    <cellStyle name="Normal 2 6 6 6" xfId="30934"/>
    <cellStyle name="Normal 2 6 6 6 2" xfId="30935"/>
    <cellStyle name="Normal 2 6 6 6 3" xfId="30936"/>
    <cellStyle name="Normal 2 6 6 6 4" xfId="30937"/>
    <cellStyle name="Normal 2 6 6 7" xfId="30938"/>
    <cellStyle name="Normal 2 6 6 7 2" xfId="30939"/>
    <cellStyle name="Normal 2 6 6 8" xfId="30940"/>
    <cellStyle name="Normal 2 6 6 9" xfId="30941"/>
    <cellStyle name="Normal 2 6 7" xfId="30942"/>
    <cellStyle name="Normal 2 6 7 10" xfId="30943"/>
    <cellStyle name="Normal 2 6 7 11" xfId="30944"/>
    <cellStyle name="Normal 2 6 7 2" xfId="30945"/>
    <cellStyle name="Normal 2 6 7 2 2" xfId="30946"/>
    <cellStyle name="Normal 2 6 7 2 2 2" xfId="30947"/>
    <cellStyle name="Normal 2 6 7 2 2 2 2" xfId="30948"/>
    <cellStyle name="Normal 2 6 7 2 2 2 3" xfId="30949"/>
    <cellStyle name="Normal 2 6 7 2 2 3" xfId="30950"/>
    <cellStyle name="Normal 2 6 7 2 2 4" xfId="30951"/>
    <cellStyle name="Normal 2 6 7 2 2 5" xfId="30952"/>
    <cellStyle name="Normal 2 6 7 2 2 6" xfId="30953"/>
    <cellStyle name="Normal 2 6 7 2 3" xfId="30954"/>
    <cellStyle name="Normal 2 6 7 2 3 2" xfId="30955"/>
    <cellStyle name="Normal 2 6 7 2 3 2 2" xfId="30956"/>
    <cellStyle name="Normal 2 6 7 2 3 3" xfId="30957"/>
    <cellStyle name="Normal 2 6 7 2 3 4" xfId="30958"/>
    <cellStyle name="Normal 2 6 7 2 3 5" xfId="30959"/>
    <cellStyle name="Normal 2 6 7 2 4" xfId="30960"/>
    <cellStyle name="Normal 2 6 7 2 4 2" xfId="30961"/>
    <cellStyle name="Normal 2 6 7 2 4 3" xfId="30962"/>
    <cellStyle name="Normal 2 6 7 2 4 4" xfId="30963"/>
    <cellStyle name="Normal 2 6 7 2 5" xfId="30964"/>
    <cellStyle name="Normal 2 6 7 2 5 2" xfId="30965"/>
    <cellStyle name="Normal 2 6 7 2 6" xfId="30966"/>
    <cellStyle name="Normal 2 6 7 2 7" xfId="30967"/>
    <cellStyle name="Normal 2 6 7 2 8" xfId="30968"/>
    <cellStyle name="Normal 2 6 7 2 9" xfId="30969"/>
    <cellStyle name="Normal 2 6 7 3" xfId="30970"/>
    <cellStyle name="Normal 2 6 7 3 2" xfId="30971"/>
    <cellStyle name="Normal 2 6 7 3 2 2" xfId="30972"/>
    <cellStyle name="Normal 2 6 7 3 2 2 2" xfId="30973"/>
    <cellStyle name="Normal 2 6 7 3 2 2 3" xfId="30974"/>
    <cellStyle name="Normal 2 6 7 3 2 3" xfId="30975"/>
    <cellStyle name="Normal 2 6 7 3 2 4" xfId="30976"/>
    <cellStyle name="Normal 2 6 7 3 2 5" xfId="30977"/>
    <cellStyle name="Normal 2 6 7 3 2 6" xfId="30978"/>
    <cellStyle name="Normal 2 6 7 3 3" xfId="30979"/>
    <cellStyle name="Normal 2 6 7 3 3 2" xfId="30980"/>
    <cellStyle name="Normal 2 6 7 3 3 2 2" xfId="30981"/>
    <cellStyle name="Normal 2 6 7 3 3 3" xfId="30982"/>
    <cellStyle name="Normal 2 6 7 3 3 4" xfId="30983"/>
    <cellStyle name="Normal 2 6 7 3 3 5" xfId="30984"/>
    <cellStyle name="Normal 2 6 7 3 4" xfId="30985"/>
    <cellStyle name="Normal 2 6 7 3 4 2" xfId="30986"/>
    <cellStyle name="Normal 2 6 7 3 4 3" xfId="30987"/>
    <cellStyle name="Normal 2 6 7 3 4 4" xfId="30988"/>
    <cellStyle name="Normal 2 6 7 3 5" xfId="30989"/>
    <cellStyle name="Normal 2 6 7 3 5 2" xfId="30990"/>
    <cellStyle name="Normal 2 6 7 3 6" xfId="30991"/>
    <cellStyle name="Normal 2 6 7 3 7" xfId="30992"/>
    <cellStyle name="Normal 2 6 7 3 8" xfId="30993"/>
    <cellStyle name="Normal 2 6 7 3 9" xfId="30994"/>
    <cellStyle name="Normal 2 6 7 4" xfId="30995"/>
    <cellStyle name="Normal 2 6 7 4 2" xfId="30996"/>
    <cellStyle name="Normal 2 6 7 4 2 2" xfId="30997"/>
    <cellStyle name="Normal 2 6 7 4 2 3" xfId="30998"/>
    <cellStyle name="Normal 2 6 7 4 3" xfId="30999"/>
    <cellStyle name="Normal 2 6 7 4 4" xfId="31000"/>
    <cellStyle name="Normal 2 6 7 4 5" xfId="31001"/>
    <cellStyle name="Normal 2 6 7 4 6" xfId="31002"/>
    <cellStyle name="Normal 2 6 7 5" xfId="31003"/>
    <cellStyle name="Normal 2 6 7 5 2" xfId="31004"/>
    <cellStyle name="Normal 2 6 7 5 2 2" xfId="31005"/>
    <cellStyle name="Normal 2 6 7 5 3" xfId="31006"/>
    <cellStyle name="Normal 2 6 7 5 4" xfId="31007"/>
    <cellStyle name="Normal 2 6 7 5 5" xfId="31008"/>
    <cellStyle name="Normal 2 6 7 6" xfId="31009"/>
    <cellStyle name="Normal 2 6 7 6 2" xfId="31010"/>
    <cellStyle name="Normal 2 6 7 6 3" xfId="31011"/>
    <cellStyle name="Normal 2 6 7 6 4" xfId="31012"/>
    <cellStyle name="Normal 2 6 7 7" xfId="31013"/>
    <cellStyle name="Normal 2 6 7 7 2" xfId="31014"/>
    <cellStyle name="Normal 2 6 7 8" xfId="31015"/>
    <cellStyle name="Normal 2 6 7 9" xfId="31016"/>
    <cellStyle name="Normal 2 6 8" xfId="31017"/>
    <cellStyle name="Normal 2 6 8 10" xfId="31018"/>
    <cellStyle name="Normal 2 6 8 11" xfId="31019"/>
    <cellStyle name="Normal 2 6 8 2" xfId="31020"/>
    <cellStyle name="Normal 2 6 8 2 2" xfId="31021"/>
    <cellStyle name="Normal 2 6 8 2 2 2" xfId="31022"/>
    <cellStyle name="Normal 2 6 8 2 2 2 2" xfId="31023"/>
    <cellStyle name="Normal 2 6 8 2 2 2 3" xfId="31024"/>
    <cellStyle name="Normal 2 6 8 2 2 3" xfId="31025"/>
    <cellStyle name="Normal 2 6 8 2 2 4" xfId="31026"/>
    <cellStyle name="Normal 2 6 8 2 2 5" xfId="31027"/>
    <cellStyle name="Normal 2 6 8 2 2 6" xfId="31028"/>
    <cellStyle name="Normal 2 6 8 2 3" xfId="31029"/>
    <cellStyle name="Normal 2 6 8 2 3 2" xfId="31030"/>
    <cellStyle name="Normal 2 6 8 2 3 2 2" xfId="31031"/>
    <cellStyle name="Normal 2 6 8 2 3 3" xfId="31032"/>
    <cellStyle name="Normal 2 6 8 2 3 4" xfId="31033"/>
    <cellStyle name="Normal 2 6 8 2 3 5" xfId="31034"/>
    <cellStyle name="Normal 2 6 8 2 4" xfId="31035"/>
    <cellStyle name="Normal 2 6 8 2 4 2" xfId="31036"/>
    <cellStyle name="Normal 2 6 8 2 4 3" xfId="31037"/>
    <cellStyle name="Normal 2 6 8 2 4 4" xfId="31038"/>
    <cellStyle name="Normal 2 6 8 2 5" xfId="31039"/>
    <cellStyle name="Normal 2 6 8 2 5 2" xfId="31040"/>
    <cellStyle name="Normal 2 6 8 2 6" xfId="31041"/>
    <cellStyle name="Normal 2 6 8 2 7" xfId="31042"/>
    <cellStyle name="Normal 2 6 8 2 8" xfId="31043"/>
    <cellStyle name="Normal 2 6 8 2 9" xfId="31044"/>
    <cellStyle name="Normal 2 6 8 3" xfId="31045"/>
    <cellStyle name="Normal 2 6 8 3 2" xfId="31046"/>
    <cellStyle name="Normal 2 6 8 3 2 2" xfId="31047"/>
    <cellStyle name="Normal 2 6 8 3 2 2 2" xfId="31048"/>
    <cellStyle name="Normal 2 6 8 3 2 2 3" xfId="31049"/>
    <cellStyle name="Normal 2 6 8 3 2 3" xfId="31050"/>
    <cellStyle name="Normal 2 6 8 3 2 4" xfId="31051"/>
    <cellStyle name="Normal 2 6 8 3 2 5" xfId="31052"/>
    <cellStyle name="Normal 2 6 8 3 2 6" xfId="31053"/>
    <cellStyle name="Normal 2 6 8 3 3" xfId="31054"/>
    <cellStyle name="Normal 2 6 8 3 3 2" xfId="31055"/>
    <cellStyle name="Normal 2 6 8 3 3 2 2" xfId="31056"/>
    <cellStyle name="Normal 2 6 8 3 3 3" xfId="31057"/>
    <cellStyle name="Normal 2 6 8 3 3 4" xfId="31058"/>
    <cellStyle name="Normal 2 6 8 3 3 5" xfId="31059"/>
    <cellStyle name="Normal 2 6 8 3 4" xfId="31060"/>
    <cellStyle name="Normal 2 6 8 3 4 2" xfId="31061"/>
    <cellStyle name="Normal 2 6 8 3 4 3" xfId="31062"/>
    <cellStyle name="Normal 2 6 8 3 4 4" xfId="31063"/>
    <cellStyle name="Normal 2 6 8 3 5" xfId="31064"/>
    <cellStyle name="Normal 2 6 8 3 5 2" xfId="31065"/>
    <cellStyle name="Normal 2 6 8 3 6" xfId="31066"/>
    <cellStyle name="Normal 2 6 8 3 7" xfId="31067"/>
    <cellStyle name="Normal 2 6 8 3 8" xfId="31068"/>
    <cellStyle name="Normal 2 6 8 3 9" xfId="31069"/>
    <cellStyle name="Normal 2 6 8 4" xfId="31070"/>
    <cellStyle name="Normal 2 6 8 4 2" xfId="31071"/>
    <cellStyle name="Normal 2 6 8 4 2 2" xfId="31072"/>
    <cellStyle name="Normal 2 6 8 4 2 3" xfId="31073"/>
    <cellStyle name="Normal 2 6 8 4 3" xfId="31074"/>
    <cellStyle name="Normal 2 6 8 4 4" xfId="31075"/>
    <cellStyle name="Normal 2 6 8 4 5" xfId="31076"/>
    <cellStyle name="Normal 2 6 8 4 6" xfId="31077"/>
    <cellStyle name="Normal 2 6 8 5" xfId="31078"/>
    <cellStyle name="Normal 2 6 8 5 2" xfId="31079"/>
    <cellStyle name="Normal 2 6 8 5 2 2" xfId="31080"/>
    <cellStyle name="Normal 2 6 8 5 3" xfId="31081"/>
    <cellStyle name="Normal 2 6 8 5 4" xfId="31082"/>
    <cellStyle name="Normal 2 6 8 5 5" xfId="31083"/>
    <cellStyle name="Normal 2 6 8 6" xfId="31084"/>
    <cellStyle name="Normal 2 6 8 6 2" xfId="31085"/>
    <cellStyle name="Normal 2 6 8 6 3" xfId="31086"/>
    <cellStyle name="Normal 2 6 8 6 4" xfId="31087"/>
    <cellStyle name="Normal 2 6 8 7" xfId="31088"/>
    <cellStyle name="Normal 2 6 8 7 2" xfId="31089"/>
    <cellStyle name="Normal 2 6 8 8" xfId="31090"/>
    <cellStyle name="Normal 2 6 8 9" xfId="31091"/>
    <cellStyle name="Normal 2 6 9" xfId="31092"/>
    <cellStyle name="Normal 2 6 9 10" xfId="31093"/>
    <cellStyle name="Normal 2 6 9 11" xfId="31094"/>
    <cellStyle name="Normal 2 6 9 2" xfId="31095"/>
    <cellStyle name="Normal 2 6 9 2 2" xfId="31096"/>
    <cellStyle name="Normal 2 6 9 2 2 2" xfId="31097"/>
    <cellStyle name="Normal 2 6 9 2 2 2 2" xfId="31098"/>
    <cellStyle name="Normal 2 6 9 2 2 2 3" xfId="31099"/>
    <cellStyle name="Normal 2 6 9 2 2 3" xfId="31100"/>
    <cellStyle name="Normal 2 6 9 2 2 4" xfId="31101"/>
    <cellStyle name="Normal 2 6 9 2 2 5" xfId="31102"/>
    <cellStyle name="Normal 2 6 9 2 2 6" xfId="31103"/>
    <cellStyle name="Normal 2 6 9 2 3" xfId="31104"/>
    <cellStyle name="Normal 2 6 9 2 3 2" xfId="31105"/>
    <cellStyle name="Normal 2 6 9 2 3 2 2" xfId="31106"/>
    <cellStyle name="Normal 2 6 9 2 3 3" xfId="31107"/>
    <cellStyle name="Normal 2 6 9 2 3 4" xfId="31108"/>
    <cellStyle name="Normal 2 6 9 2 3 5" xfId="31109"/>
    <cellStyle name="Normal 2 6 9 2 4" xfId="31110"/>
    <cellStyle name="Normal 2 6 9 2 4 2" xfId="31111"/>
    <cellStyle name="Normal 2 6 9 2 4 3" xfId="31112"/>
    <cellStyle name="Normal 2 6 9 2 4 4" xfId="31113"/>
    <cellStyle name="Normal 2 6 9 2 5" xfId="31114"/>
    <cellStyle name="Normal 2 6 9 2 5 2" xfId="31115"/>
    <cellStyle name="Normal 2 6 9 2 6" xfId="31116"/>
    <cellStyle name="Normal 2 6 9 2 7" xfId="31117"/>
    <cellStyle name="Normal 2 6 9 2 8" xfId="31118"/>
    <cellStyle name="Normal 2 6 9 2 9" xfId="31119"/>
    <cellStyle name="Normal 2 6 9 3" xfId="31120"/>
    <cellStyle name="Normal 2 6 9 3 2" xfId="31121"/>
    <cellStyle name="Normal 2 6 9 3 2 2" xfId="31122"/>
    <cellStyle name="Normal 2 6 9 3 2 2 2" xfId="31123"/>
    <cellStyle name="Normal 2 6 9 3 2 2 3" xfId="31124"/>
    <cellStyle name="Normal 2 6 9 3 2 3" xfId="31125"/>
    <cellStyle name="Normal 2 6 9 3 2 4" xfId="31126"/>
    <cellStyle name="Normal 2 6 9 3 2 5" xfId="31127"/>
    <cellStyle name="Normal 2 6 9 3 2 6" xfId="31128"/>
    <cellStyle name="Normal 2 6 9 3 3" xfId="31129"/>
    <cellStyle name="Normal 2 6 9 3 3 2" xfId="31130"/>
    <cellStyle name="Normal 2 6 9 3 3 2 2" xfId="31131"/>
    <cellStyle name="Normal 2 6 9 3 3 3" xfId="31132"/>
    <cellStyle name="Normal 2 6 9 3 3 4" xfId="31133"/>
    <cellStyle name="Normal 2 6 9 3 3 5" xfId="31134"/>
    <cellStyle name="Normal 2 6 9 3 4" xfId="31135"/>
    <cellStyle name="Normal 2 6 9 3 4 2" xfId="31136"/>
    <cellStyle name="Normal 2 6 9 3 4 3" xfId="31137"/>
    <cellStyle name="Normal 2 6 9 3 4 4" xfId="31138"/>
    <cellStyle name="Normal 2 6 9 3 5" xfId="31139"/>
    <cellStyle name="Normal 2 6 9 3 5 2" xfId="31140"/>
    <cellStyle name="Normal 2 6 9 3 6" xfId="31141"/>
    <cellStyle name="Normal 2 6 9 3 7" xfId="31142"/>
    <cellStyle name="Normal 2 6 9 3 8" xfId="31143"/>
    <cellStyle name="Normal 2 6 9 3 9" xfId="31144"/>
    <cellStyle name="Normal 2 6 9 4" xfId="31145"/>
    <cellStyle name="Normal 2 6 9 4 2" xfId="31146"/>
    <cellStyle name="Normal 2 6 9 4 2 2" xfId="31147"/>
    <cellStyle name="Normal 2 6 9 4 2 3" xfId="31148"/>
    <cellStyle name="Normal 2 6 9 4 3" xfId="31149"/>
    <cellStyle name="Normal 2 6 9 4 4" xfId="31150"/>
    <cellStyle name="Normal 2 6 9 4 5" xfId="31151"/>
    <cellStyle name="Normal 2 6 9 4 6" xfId="31152"/>
    <cellStyle name="Normal 2 6 9 5" xfId="31153"/>
    <cellStyle name="Normal 2 6 9 5 2" xfId="31154"/>
    <cellStyle name="Normal 2 6 9 5 2 2" xfId="31155"/>
    <cellStyle name="Normal 2 6 9 5 3" xfId="31156"/>
    <cellStyle name="Normal 2 6 9 5 4" xfId="31157"/>
    <cellStyle name="Normal 2 6 9 5 5" xfId="31158"/>
    <cellStyle name="Normal 2 6 9 6" xfId="31159"/>
    <cellStyle name="Normal 2 6 9 6 2" xfId="31160"/>
    <cellStyle name="Normal 2 6 9 6 3" xfId="31161"/>
    <cellStyle name="Normal 2 6 9 6 4" xfId="31162"/>
    <cellStyle name="Normal 2 6 9 7" xfId="31163"/>
    <cellStyle name="Normal 2 6 9 7 2" xfId="31164"/>
    <cellStyle name="Normal 2 6 9 8" xfId="31165"/>
    <cellStyle name="Normal 2 6 9 9" xfId="31166"/>
    <cellStyle name="Normal 2 60" xfId="31167"/>
    <cellStyle name="Normal 2 60 10" xfId="31168"/>
    <cellStyle name="Normal 2 60 2" xfId="31169"/>
    <cellStyle name="Normal 2 60 2 2" xfId="31170"/>
    <cellStyle name="Normal 2 60 2 2 2" xfId="31171"/>
    <cellStyle name="Normal 2 60 2 2 3" xfId="31172"/>
    <cellStyle name="Normal 2 60 2 3" xfId="31173"/>
    <cellStyle name="Normal 2 60 2 4" xfId="31174"/>
    <cellStyle name="Normal 2 60 2 5" xfId="31175"/>
    <cellStyle name="Normal 2 60 2 6" xfId="31176"/>
    <cellStyle name="Normal 2 60 3" xfId="31177"/>
    <cellStyle name="Normal 2 60 3 2" xfId="31178"/>
    <cellStyle name="Normal 2 60 3 2 2" xfId="31179"/>
    <cellStyle name="Normal 2 60 3 2 3" xfId="31180"/>
    <cellStyle name="Normal 2 60 3 3" xfId="31181"/>
    <cellStyle name="Normal 2 60 3 4" xfId="31182"/>
    <cellStyle name="Normal 2 60 3 5" xfId="31183"/>
    <cellStyle name="Normal 2 60 3 6" xfId="31184"/>
    <cellStyle name="Normal 2 60 4" xfId="31185"/>
    <cellStyle name="Normal 2 60 4 2" xfId="31186"/>
    <cellStyle name="Normal 2 60 4 2 2" xfId="31187"/>
    <cellStyle name="Normal 2 60 4 3" xfId="31188"/>
    <cellStyle name="Normal 2 60 4 4" xfId="31189"/>
    <cellStyle name="Normal 2 60 4 5" xfId="31190"/>
    <cellStyle name="Normal 2 60 5" xfId="31191"/>
    <cellStyle name="Normal 2 60 5 2" xfId="31192"/>
    <cellStyle name="Normal 2 60 5 3" xfId="31193"/>
    <cellStyle name="Normal 2 60 5 4" xfId="31194"/>
    <cellStyle name="Normal 2 60 6" xfId="31195"/>
    <cellStyle name="Normal 2 60 6 2" xfId="31196"/>
    <cellStyle name="Normal 2 60 7" xfId="31197"/>
    <cellStyle name="Normal 2 60 8" xfId="31198"/>
    <cellStyle name="Normal 2 60 9" xfId="31199"/>
    <cellStyle name="Normal 2 61" xfId="31200"/>
    <cellStyle name="Normal 2 61 2" xfId="31201"/>
    <cellStyle name="Normal 2 61 2 2" xfId="31202"/>
    <cellStyle name="Normal 2 61 2 2 2" xfId="31203"/>
    <cellStyle name="Normal 2 61 2 2 3" xfId="31204"/>
    <cellStyle name="Normal 2 61 2 3" xfId="31205"/>
    <cellStyle name="Normal 2 61 2 4" xfId="31206"/>
    <cellStyle name="Normal 2 61 2 5" xfId="31207"/>
    <cellStyle name="Normal 2 61 2 6" xfId="31208"/>
    <cellStyle name="Normal 2 61 3" xfId="31209"/>
    <cellStyle name="Normal 2 61 3 2" xfId="31210"/>
    <cellStyle name="Normal 2 61 3 2 2" xfId="31211"/>
    <cellStyle name="Normal 2 61 3 3" xfId="31212"/>
    <cellStyle name="Normal 2 61 3 4" xfId="31213"/>
    <cellStyle name="Normal 2 61 3 5" xfId="31214"/>
    <cellStyle name="Normal 2 61 4" xfId="31215"/>
    <cellStyle name="Normal 2 61 4 2" xfId="31216"/>
    <cellStyle name="Normal 2 61 4 3" xfId="31217"/>
    <cellStyle name="Normal 2 61 4 4" xfId="31218"/>
    <cellStyle name="Normal 2 61 5" xfId="31219"/>
    <cellStyle name="Normal 2 61 5 2" xfId="31220"/>
    <cellStyle name="Normal 2 61 6" xfId="31221"/>
    <cellStyle name="Normal 2 61 7" xfId="31222"/>
    <cellStyle name="Normal 2 61 8" xfId="31223"/>
    <cellStyle name="Normal 2 61 9" xfId="31224"/>
    <cellStyle name="Normal 2 62" xfId="31225"/>
    <cellStyle name="Normal 2 62 2" xfId="31226"/>
    <cellStyle name="Normal 2 62 2 2" xfId="31227"/>
    <cellStyle name="Normal 2 62 2 2 2" xfId="31228"/>
    <cellStyle name="Normal 2 62 2 3" xfId="31229"/>
    <cellStyle name="Normal 2 62 2 4" xfId="31230"/>
    <cellStyle name="Normal 2 62 2 5" xfId="31231"/>
    <cellStyle name="Normal 2 62 3" xfId="31232"/>
    <cellStyle name="Normal 2 62 3 2" xfId="31233"/>
    <cellStyle name="Normal 2 62 3 3" xfId="31234"/>
    <cellStyle name="Normal 2 62 3 4" xfId="31235"/>
    <cellStyle name="Normal 2 62 4" xfId="31236"/>
    <cellStyle name="Normal 2 62 4 2" xfId="31237"/>
    <cellStyle name="Normal 2 62 5" xfId="31238"/>
    <cellStyle name="Normal 2 62 6" xfId="31239"/>
    <cellStyle name="Normal 2 62 7" xfId="31240"/>
    <cellStyle name="Normal 2 62 8" xfId="31241"/>
    <cellStyle name="Normal 2 63" xfId="31242"/>
    <cellStyle name="Normal 2 63 2" xfId="31243"/>
    <cellStyle name="Normal 2 63 2 2" xfId="31244"/>
    <cellStyle name="Normal 2 63 2 3" xfId="31245"/>
    <cellStyle name="Normal 2 63 2 4" xfId="31246"/>
    <cellStyle name="Normal 2 63 3" xfId="31247"/>
    <cellStyle name="Normal 2 63 3 2" xfId="31248"/>
    <cellStyle name="Normal 2 63 4" xfId="31249"/>
    <cellStyle name="Normal 2 63 5" xfId="31250"/>
    <cellStyle name="Normal 2 63 6" xfId="31251"/>
    <cellStyle name="Normal 2 63 7" xfId="31252"/>
    <cellStyle name="Normal 2 64" xfId="31253"/>
    <cellStyle name="Normal 2 64 2" xfId="31254"/>
    <cellStyle name="Normal 2 64 2 2" xfId="31255"/>
    <cellStyle name="Normal 2 64 3" xfId="31256"/>
    <cellStyle name="Normal 2 64 4" xfId="31257"/>
    <cellStyle name="Normal 2 64 5" xfId="31258"/>
    <cellStyle name="Normal 2 65" xfId="31259"/>
    <cellStyle name="Normal 2 65 2" xfId="31260"/>
    <cellStyle name="Normal 2 65 3" xfId="31261"/>
    <cellStyle name="Normal 2 65 4" xfId="31262"/>
    <cellStyle name="Normal 2 66" xfId="31263"/>
    <cellStyle name="Normal 2 66 2" xfId="31264"/>
    <cellStyle name="Normal 2 67" xfId="31265"/>
    <cellStyle name="Normal 2 68" xfId="31266"/>
    <cellStyle name="Normal 2 69" xfId="31267"/>
    <cellStyle name="Normal 2 7" xfId="31268"/>
    <cellStyle name="Normal 2 7 10" xfId="31269"/>
    <cellStyle name="Normal 2 7 10 10" xfId="31270"/>
    <cellStyle name="Normal 2 7 10 11" xfId="31271"/>
    <cellStyle name="Normal 2 7 10 2" xfId="31272"/>
    <cellStyle name="Normal 2 7 10 2 2" xfId="31273"/>
    <cellStyle name="Normal 2 7 10 2 2 2" xfId="31274"/>
    <cellStyle name="Normal 2 7 10 2 2 2 2" xfId="31275"/>
    <cellStyle name="Normal 2 7 10 2 2 2 3" xfId="31276"/>
    <cellStyle name="Normal 2 7 10 2 2 3" xfId="31277"/>
    <cellStyle name="Normal 2 7 10 2 2 4" xfId="31278"/>
    <cellStyle name="Normal 2 7 10 2 2 5" xfId="31279"/>
    <cellStyle name="Normal 2 7 10 2 2 6" xfId="31280"/>
    <cellStyle name="Normal 2 7 10 2 3" xfId="31281"/>
    <cellStyle name="Normal 2 7 10 2 3 2" xfId="31282"/>
    <cellStyle name="Normal 2 7 10 2 3 2 2" xfId="31283"/>
    <cellStyle name="Normal 2 7 10 2 3 3" xfId="31284"/>
    <cellStyle name="Normal 2 7 10 2 3 4" xfId="31285"/>
    <cellStyle name="Normal 2 7 10 2 3 5" xfId="31286"/>
    <cellStyle name="Normal 2 7 10 2 4" xfId="31287"/>
    <cellStyle name="Normal 2 7 10 2 4 2" xfId="31288"/>
    <cellStyle name="Normal 2 7 10 2 4 3" xfId="31289"/>
    <cellStyle name="Normal 2 7 10 2 4 4" xfId="31290"/>
    <cellStyle name="Normal 2 7 10 2 5" xfId="31291"/>
    <cellStyle name="Normal 2 7 10 2 5 2" xfId="31292"/>
    <cellStyle name="Normal 2 7 10 2 6" xfId="31293"/>
    <cellStyle name="Normal 2 7 10 2 7" xfId="31294"/>
    <cellStyle name="Normal 2 7 10 2 8" xfId="31295"/>
    <cellStyle name="Normal 2 7 10 2 9" xfId="31296"/>
    <cellStyle name="Normal 2 7 10 3" xfId="31297"/>
    <cellStyle name="Normal 2 7 10 3 2" xfId="31298"/>
    <cellStyle name="Normal 2 7 10 3 2 2" xfId="31299"/>
    <cellStyle name="Normal 2 7 10 3 2 2 2" xfId="31300"/>
    <cellStyle name="Normal 2 7 10 3 2 2 3" xfId="31301"/>
    <cellStyle name="Normal 2 7 10 3 2 3" xfId="31302"/>
    <cellStyle name="Normal 2 7 10 3 2 4" xfId="31303"/>
    <cellStyle name="Normal 2 7 10 3 2 5" xfId="31304"/>
    <cellStyle name="Normal 2 7 10 3 2 6" xfId="31305"/>
    <cellStyle name="Normal 2 7 10 3 3" xfId="31306"/>
    <cellStyle name="Normal 2 7 10 3 3 2" xfId="31307"/>
    <cellStyle name="Normal 2 7 10 3 3 2 2" xfId="31308"/>
    <cellStyle name="Normal 2 7 10 3 3 3" xfId="31309"/>
    <cellStyle name="Normal 2 7 10 3 3 4" xfId="31310"/>
    <cellStyle name="Normal 2 7 10 3 3 5" xfId="31311"/>
    <cellStyle name="Normal 2 7 10 3 4" xfId="31312"/>
    <cellStyle name="Normal 2 7 10 3 4 2" xfId="31313"/>
    <cellStyle name="Normal 2 7 10 3 4 3" xfId="31314"/>
    <cellStyle name="Normal 2 7 10 3 4 4" xfId="31315"/>
    <cellStyle name="Normal 2 7 10 3 5" xfId="31316"/>
    <cellStyle name="Normal 2 7 10 3 5 2" xfId="31317"/>
    <cellStyle name="Normal 2 7 10 3 6" xfId="31318"/>
    <cellStyle name="Normal 2 7 10 3 7" xfId="31319"/>
    <cellStyle name="Normal 2 7 10 3 8" xfId="31320"/>
    <cellStyle name="Normal 2 7 10 3 9" xfId="31321"/>
    <cellStyle name="Normal 2 7 10 4" xfId="31322"/>
    <cellStyle name="Normal 2 7 10 4 2" xfId="31323"/>
    <cellStyle name="Normal 2 7 10 4 2 2" xfId="31324"/>
    <cellStyle name="Normal 2 7 10 4 2 3" xfId="31325"/>
    <cellStyle name="Normal 2 7 10 4 3" xfId="31326"/>
    <cellStyle name="Normal 2 7 10 4 4" xfId="31327"/>
    <cellStyle name="Normal 2 7 10 4 5" xfId="31328"/>
    <cellStyle name="Normal 2 7 10 4 6" xfId="31329"/>
    <cellStyle name="Normal 2 7 10 5" xfId="31330"/>
    <cellStyle name="Normal 2 7 10 5 2" xfId="31331"/>
    <cellStyle name="Normal 2 7 10 5 2 2" xfId="31332"/>
    <cellStyle name="Normal 2 7 10 5 3" xfId="31333"/>
    <cellStyle name="Normal 2 7 10 5 4" xfId="31334"/>
    <cellStyle name="Normal 2 7 10 5 5" xfId="31335"/>
    <cellStyle name="Normal 2 7 10 6" xfId="31336"/>
    <cellStyle name="Normal 2 7 10 6 2" xfId="31337"/>
    <cellStyle name="Normal 2 7 10 6 3" xfId="31338"/>
    <cellStyle name="Normal 2 7 10 6 4" xfId="31339"/>
    <cellStyle name="Normal 2 7 10 7" xfId="31340"/>
    <cellStyle name="Normal 2 7 10 7 2" xfId="31341"/>
    <cellStyle name="Normal 2 7 10 8" xfId="31342"/>
    <cellStyle name="Normal 2 7 10 9" xfId="31343"/>
    <cellStyle name="Normal 2 7 11" xfId="31344"/>
    <cellStyle name="Normal 2 7 11 10" xfId="31345"/>
    <cellStyle name="Normal 2 7 11 2" xfId="31346"/>
    <cellStyle name="Normal 2 7 11 2 2" xfId="31347"/>
    <cellStyle name="Normal 2 7 11 2 2 2" xfId="31348"/>
    <cellStyle name="Normal 2 7 11 2 2 3" xfId="31349"/>
    <cellStyle name="Normal 2 7 11 2 3" xfId="31350"/>
    <cellStyle name="Normal 2 7 11 2 4" xfId="31351"/>
    <cellStyle name="Normal 2 7 11 2 5" xfId="31352"/>
    <cellStyle name="Normal 2 7 11 2 6" xfId="31353"/>
    <cellStyle name="Normal 2 7 11 3" xfId="31354"/>
    <cellStyle name="Normal 2 7 11 3 2" xfId="31355"/>
    <cellStyle name="Normal 2 7 11 3 2 2" xfId="31356"/>
    <cellStyle name="Normal 2 7 11 3 2 3" xfId="31357"/>
    <cellStyle name="Normal 2 7 11 3 3" xfId="31358"/>
    <cellStyle name="Normal 2 7 11 3 4" xfId="31359"/>
    <cellStyle name="Normal 2 7 11 3 5" xfId="31360"/>
    <cellStyle name="Normal 2 7 11 3 6" xfId="31361"/>
    <cellStyle name="Normal 2 7 11 4" xfId="31362"/>
    <cellStyle name="Normal 2 7 11 4 2" xfId="31363"/>
    <cellStyle name="Normal 2 7 11 4 2 2" xfId="31364"/>
    <cellStyle name="Normal 2 7 11 4 3" xfId="31365"/>
    <cellStyle name="Normal 2 7 11 4 4" xfId="31366"/>
    <cellStyle name="Normal 2 7 11 4 5" xfId="31367"/>
    <cellStyle name="Normal 2 7 11 5" xfId="31368"/>
    <cellStyle name="Normal 2 7 11 5 2" xfId="31369"/>
    <cellStyle name="Normal 2 7 11 5 3" xfId="31370"/>
    <cellStyle name="Normal 2 7 11 5 4" xfId="31371"/>
    <cellStyle name="Normal 2 7 11 6" xfId="31372"/>
    <cellStyle name="Normal 2 7 11 6 2" xfId="31373"/>
    <cellStyle name="Normal 2 7 11 7" xfId="31374"/>
    <cellStyle name="Normal 2 7 11 8" xfId="31375"/>
    <cellStyle name="Normal 2 7 11 9" xfId="31376"/>
    <cellStyle name="Normal 2 7 12" xfId="31377"/>
    <cellStyle name="Normal 2 7 12 10" xfId="31378"/>
    <cellStyle name="Normal 2 7 12 2" xfId="31379"/>
    <cellStyle name="Normal 2 7 12 2 2" xfId="31380"/>
    <cellStyle name="Normal 2 7 12 2 2 2" xfId="31381"/>
    <cellStyle name="Normal 2 7 12 2 2 3" xfId="31382"/>
    <cellStyle name="Normal 2 7 12 2 3" xfId="31383"/>
    <cellStyle name="Normal 2 7 12 2 4" xfId="31384"/>
    <cellStyle name="Normal 2 7 12 2 5" xfId="31385"/>
    <cellStyle name="Normal 2 7 12 2 6" xfId="31386"/>
    <cellStyle name="Normal 2 7 12 3" xfId="31387"/>
    <cellStyle name="Normal 2 7 12 3 2" xfId="31388"/>
    <cellStyle name="Normal 2 7 12 3 2 2" xfId="31389"/>
    <cellStyle name="Normal 2 7 12 3 2 3" xfId="31390"/>
    <cellStyle name="Normal 2 7 12 3 3" xfId="31391"/>
    <cellStyle name="Normal 2 7 12 3 4" xfId="31392"/>
    <cellStyle name="Normal 2 7 12 3 5" xfId="31393"/>
    <cellStyle name="Normal 2 7 12 3 6" xfId="31394"/>
    <cellStyle name="Normal 2 7 12 4" xfId="31395"/>
    <cellStyle name="Normal 2 7 12 4 2" xfId="31396"/>
    <cellStyle name="Normal 2 7 12 4 2 2" xfId="31397"/>
    <cellStyle name="Normal 2 7 12 4 3" xfId="31398"/>
    <cellStyle name="Normal 2 7 12 4 4" xfId="31399"/>
    <cellStyle name="Normal 2 7 12 4 5" xfId="31400"/>
    <cellStyle name="Normal 2 7 12 5" xfId="31401"/>
    <cellStyle name="Normal 2 7 12 5 2" xfId="31402"/>
    <cellStyle name="Normal 2 7 12 5 3" xfId="31403"/>
    <cellStyle name="Normal 2 7 12 5 4" xfId="31404"/>
    <cellStyle name="Normal 2 7 12 6" xfId="31405"/>
    <cellStyle name="Normal 2 7 12 6 2" xfId="31406"/>
    <cellStyle name="Normal 2 7 12 7" xfId="31407"/>
    <cellStyle name="Normal 2 7 12 8" xfId="31408"/>
    <cellStyle name="Normal 2 7 12 9" xfId="31409"/>
    <cellStyle name="Normal 2 7 13" xfId="31410"/>
    <cellStyle name="Normal 2 7 13 10" xfId="31411"/>
    <cellStyle name="Normal 2 7 13 2" xfId="31412"/>
    <cellStyle name="Normal 2 7 13 2 2" xfId="31413"/>
    <cellStyle name="Normal 2 7 13 2 2 2" xfId="31414"/>
    <cellStyle name="Normal 2 7 13 2 2 3" xfId="31415"/>
    <cellStyle name="Normal 2 7 13 2 3" xfId="31416"/>
    <cellStyle name="Normal 2 7 13 2 4" xfId="31417"/>
    <cellStyle name="Normal 2 7 13 2 5" xfId="31418"/>
    <cellStyle name="Normal 2 7 13 2 6" xfId="31419"/>
    <cellStyle name="Normal 2 7 13 3" xfId="31420"/>
    <cellStyle name="Normal 2 7 13 3 2" xfId="31421"/>
    <cellStyle name="Normal 2 7 13 3 2 2" xfId="31422"/>
    <cellStyle name="Normal 2 7 13 3 2 3" xfId="31423"/>
    <cellStyle name="Normal 2 7 13 3 3" xfId="31424"/>
    <cellStyle name="Normal 2 7 13 3 4" xfId="31425"/>
    <cellStyle name="Normal 2 7 13 3 5" xfId="31426"/>
    <cellStyle name="Normal 2 7 13 3 6" xfId="31427"/>
    <cellStyle name="Normal 2 7 13 4" xfId="31428"/>
    <cellStyle name="Normal 2 7 13 4 2" xfId="31429"/>
    <cellStyle name="Normal 2 7 13 4 2 2" xfId="31430"/>
    <cellStyle name="Normal 2 7 13 4 3" xfId="31431"/>
    <cellStyle name="Normal 2 7 13 4 4" xfId="31432"/>
    <cellStyle name="Normal 2 7 13 4 5" xfId="31433"/>
    <cellStyle name="Normal 2 7 13 5" xfId="31434"/>
    <cellStyle name="Normal 2 7 13 5 2" xfId="31435"/>
    <cellStyle name="Normal 2 7 13 5 3" xfId="31436"/>
    <cellStyle name="Normal 2 7 13 5 4" xfId="31437"/>
    <cellStyle name="Normal 2 7 13 6" xfId="31438"/>
    <cellStyle name="Normal 2 7 13 6 2" xfId="31439"/>
    <cellStyle name="Normal 2 7 13 7" xfId="31440"/>
    <cellStyle name="Normal 2 7 13 8" xfId="31441"/>
    <cellStyle name="Normal 2 7 13 9" xfId="31442"/>
    <cellStyle name="Normal 2 7 14" xfId="31443"/>
    <cellStyle name="Normal 2 7 14 10" xfId="31444"/>
    <cellStyle name="Normal 2 7 14 2" xfId="31445"/>
    <cellStyle name="Normal 2 7 14 2 2" xfId="31446"/>
    <cellStyle name="Normal 2 7 14 2 2 2" xfId="31447"/>
    <cellStyle name="Normal 2 7 14 2 2 3" xfId="31448"/>
    <cellStyle name="Normal 2 7 14 2 3" xfId="31449"/>
    <cellStyle name="Normal 2 7 14 2 4" xfId="31450"/>
    <cellStyle name="Normal 2 7 14 2 5" xfId="31451"/>
    <cellStyle name="Normal 2 7 14 2 6" xfId="31452"/>
    <cellStyle name="Normal 2 7 14 3" xfId="31453"/>
    <cellStyle name="Normal 2 7 14 3 2" xfId="31454"/>
    <cellStyle name="Normal 2 7 14 3 2 2" xfId="31455"/>
    <cellStyle name="Normal 2 7 14 3 2 3" xfId="31456"/>
    <cellStyle name="Normal 2 7 14 3 3" xfId="31457"/>
    <cellStyle name="Normal 2 7 14 3 4" xfId="31458"/>
    <cellStyle name="Normal 2 7 14 3 5" xfId="31459"/>
    <cellStyle name="Normal 2 7 14 3 6" xfId="31460"/>
    <cellStyle name="Normal 2 7 14 4" xfId="31461"/>
    <cellStyle name="Normal 2 7 14 4 2" xfId="31462"/>
    <cellStyle name="Normal 2 7 14 4 2 2" xfId="31463"/>
    <cellStyle name="Normal 2 7 14 4 3" xfId="31464"/>
    <cellStyle name="Normal 2 7 14 4 4" xfId="31465"/>
    <cellStyle name="Normal 2 7 14 4 5" xfId="31466"/>
    <cellStyle name="Normal 2 7 14 5" xfId="31467"/>
    <cellStyle name="Normal 2 7 14 5 2" xfId="31468"/>
    <cellStyle name="Normal 2 7 14 5 3" xfId="31469"/>
    <cellStyle name="Normal 2 7 14 5 4" xfId="31470"/>
    <cellStyle name="Normal 2 7 14 6" xfId="31471"/>
    <cellStyle name="Normal 2 7 14 6 2" xfId="31472"/>
    <cellStyle name="Normal 2 7 14 7" xfId="31473"/>
    <cellStyle name="Normal 2 7 14 8" xfId="31474"/>
    <cellStyle name="Normal 2 7 14 9" xfId="31475"/>
    <cellStyle name="Normal 2 7 15" xfId="31476"/>
    <cellStyle name="Normal 2 7 15 10" xfId="31477"/>
    <cellStyle name="Normal 2 7 15 2" xfId="31478"/>
    <cellStyle name="Normal 2 7 15 2 2" xfId="31479"/>
    <cellStyle name="Normal 2 7 15 2 2 2" xfId="31480"/>
    <cellStyle name="Normal 2 7 15 2 2 3" xfId="31481"/>
    <cellStyle name="Normal 2 7 15 2 3" xfId="31482"/>
    <cellStyle name="Normal 2 7 15 2 4" xfId="31483"/>
    <cellStyle name="Normal 2 7 15 2 5" xfId="31484"/>
    <cellStyle name="Normal 2 7 15 2 6" xfId="31485"/>
    <cellStyle name="Normal 2 7 15 3" xfId="31486"/>
    <cellStyle name="Normal 2 7 15 3 2" xfId="31487"/>
    <cellStyle name="Normal 2 7 15 3 2 2" xfId="31488"/>
    <cellStyle name="Normal 2 7 15 3 2 3" xfId="31489"/>
    <cellStyle name="Normal 2 7 15 3 3" xfId="31490"/>
    <cellStyle name="Normal 2 7 15 3 4" xfId="31491"/>
    <cellStyle name="Normal 2 7 15 3 5" xfId="31492"/>
    <cellStyle name="Normal 2 7 15 3 6" xfId="31493"/>
    <cellStyle name="Normal 2 7 15 4" xfId="31494"/>
    <cellStyle name="Normal 2 7 15 4 2" xfId="31495"/>
    <cellStyle name="Normal 2 7 15 4 2 2" xfId="31496"/>
    <cellStyle name="Normal 2 7 15 4 3" xfId="31497"/>
    <cellStyle name="Normal 2 7 15 4 4" xfId="31498"/>
    <cellStyle name="Normal 2 7 15 4 5" xfId="31499"/>
    <cellStyle name="Normal 2 7 15 5" xfId="31500"/>
    <cellStyle name="Normal 2 7 15 5 2" xfId="31501"/>
    <cellStyle name="Normal 2 7 15 5 3" xfId="31502"/>
    <cellStyle name="Normal 2 7 15 5 4" xfId="31503"/>
    <cellStyle name="Normal 2 7 15 6" xfId="31504"/>
    <cellStyle name="Normal 2 7 15 6 2" xfId="31505"/>
    <cellStyle name="Normal 2 7 15 7" xfId="31506"/>
    <cellStyle name="Normal 2 7 15 8" xfId="31507"/>
    <cellStyle name="Normal 2 7 15 9" xfId="31508"/>
    <cellStyle name="Normal 2 7 16" xfId="31509"/>
    <cellStyle name="Normal 2 7 16 10" xfId="31510"/>
    <cellStyle name="Normal 2 7 16 2" xfId="31511"/>
    <cellStyle name="Normal 2 7 16 2 2" xfId="31512"/>
    <cellStyle name="Normal 2 7 16 2 2 2" xfId="31513"/>
    <cellStyle name="Normal 2 7 16 2 2 3" xfId="31514"/>
    <cellStyle name="Normal 2 7 16 2 3" xfId="31515"/>
    <cellStyle name="Normal 2 7 16 2 4" xfId="31516"/>
    <cellStyle name="Normal 2 7 16 2 5" xfId="31517"/>
    <cellStyle name="Normal 2 7 16 2 6" xfId="31518"/>
    <cellStyle name="Normal 2 7 16 3" xfId="31519"/>
    <cellStyle name="Normal 2 7 16 3 2" xfId="31520"/>
    <cellStyle name="Normal 2 7 16 3 2 2" xfId="31521"/>
    <cellStyle name="Normal 2 7 16 3 2 3" xfId="31522"/>
    <cellStyle name="Normal 2 7 16 3 3" xfId="31523"/>
    <cellStyle name="Normal 2 7 16 3 4" xfId="31524"/>
    <cellStyle name="Normal 2 7 16 3 5" xfId="31525"/>
    <cellStyle name="Normal 2 7 16 3 6" xfId="31526"/>
    <cellStyle name="Normal 2 7 16 4" xfId="31527"/>
    <cellStyle name="Normal 2 7 16 4 2" xfId="31528"/>
    <cellStyle name="Normal 2 7 16 4 2 2" xfId="31529"/>
    <cellStyle name="Normal 2 7 16 4 3" xfId="31530"/>
    <cellStyle name="Normal 2 7 16 4 4" xfId="31531"/>
    <cellStyle name="Normal 2 7 16 4 5" xfId="31532"/>
    <cellStyle name="Normal 2 7 16 5" xfId="31533"/>
    <cellStyle name="Normal 2 7 16 5 2" xfId="31534"/>
    <cellStyle name="Normal 2 7 16 5 3" xfId="31535"/>
    <cellStyle name="Normal 2 7 16 5 4" xfId="31536"/>
    <cellStyle name="Normal 2 7 16 6" xfId="31537"/>
    <cellStyle name="Normal 2 7 16 6 2" xfId="31538"/>
    <cellStyle name="Normal 2 7 16 7" xfId="31539"/>
    <cellStyle name="Normal 2 7 16 8" xfId="31540"/>
    <cellStyle name="Normal 2 7 16 9" xfId="31541"/>
    <cellStyle name="Normal 2 7 17" xfId="31542"/>
    <cellStyle name="Normal 2 7 17 10" xfId="31543"/>
    <cellStyle name="Normal 2 7 17 2" xfId="31544"/>
    <cellStyle name="Normal 2 7 17 2 2" xfId="31545"/>
    <cellStyle name="Normal 2 7 17 2 2 2" xfId="31546"/>
    <cellStyle name="Normal 2 7 17 2 2 3" xfId="31547"/>
    <cellStyle name="Normal 2 7 17 2 3" xfId="31548"/>
    <cellStyle name="Normal 2 7 17 2 4" xfId="31549"/>
    <cellStyle name="Normal 2 7 17 2 5" xfId="31550"/>
    <cellStyle name="Normal 2 7 17 2 6" xfId="31551"/>
    <cellStyle name="Normal 2 7 17 3" xfId="31552"/>
    <cellStyle name="Normal 2 7 17 3 2" xfId="31553"/>
    <cellStyle name="Normal 2 7 17 3 2 2" xfId="31554"/>
    <cellStyle name="Normal 2 7 17 3 2 3" xfId="31555"/>
    <cellStyle name="Normal 2 7 17 3 3" xfId="31556"/>
    <cellStyle name="Normal 2 7 17 3 4" xfId="31557"/>
    <cellStyle name="Normal 2 7 17 3 5" xfId="31558"/>
    <cellStyle name="Normal 2 7 17 3 6" xfId="31559"/>
    <cellStyle name="Normal 2 7 17 4" xfId="31560"/>
    <cellStyle name="Normal 2 7 17 4 2" xfId="31561"/>
    <cellStyle name="Normal 2 7 17 4 2 2" xfId="31562"/>
    <cellStyle name="Normal 2 7 17 4 3" xfId="31563"/>
    <cellStyle name="Normal 2 7 17 4 4" xfId="31564"/>
    <cellStyle name="Normal 2 7 17 4 5" xfId="31565"/>
    <cellStyle name="Normal 2 7 17 5" xfId="31566"/>
    <cellStyle name="Normal 2 7 17 5 2" xfId="31567"/>
    <cellStyle name="Normal 2 7 17 5 3" xfId="31568"/>
    <cellStyle name="Normal 2 7 17 5 4" xfId="31569"/>
    <cellStyle name="Normal 2 7 17 6" xfId="31570"/>
    <cellStyle name="Normal 2 7 17 6 2" xfId="31571"/>
    <cellStyle name="Normal 2 7 17 7" xfId="31572"/>
    <cellStyle name="Normal 2 7 17 8" xfId="31573"/>
    <cellStyle name="Normal 2 7 17 9" xfId="31574"/>
    <cellStyle name="Normal 2 7 18" xfId="31575"/>
    <cellStyle name="Normal 2 7 18 10" xfId="31576"/>
    <cellStyle name="Normal 2 7 18 2" xfId="31577"/>
    <cellStyle name="Normal 2 7 18 2 2" xfId="31578"/>
    <cellStyle name="Normal 2 7 18 2 2 2" xfId="31579"/>
    <cellStyle name="Normal 2 7 18 2 2 3" xfId="31580"/>
    <cellStyle name="Normal 2 7 18 2 3" xfId="31581"/>
    <cellStyle name="Normal 2 7 18 2 4" xfId="31582"/>
    <cellStyle name="Normal 2 7 18 2 5" xfId="31583"/>
    <cellStyle name="Normal 2 7 18 2 6" xfId="31584"/>
    <cellStyle name="Normal 2 7 18 3" xfId="31585"/>
    <cellStyle name="Normal 2 7 18 3 2" xfId="31586"/>
    <cellStyle name="Normal 2 7 18 3 2 2" xfId="31587"/>
    <cellStyle name="Normal 2 7 18 3 2 3" xfId="31588"/>
    <cellStyle name="Normal 2 7 18 3 3" xfId="31589"/>
    <cellStyle name="Normal 2 7 18 3 4" xfId="31590"/>
    <cellStyle name="Normal 2 7 18 3 5" xfId="31591"/>
    <cellStyle name="Normal 2 7 18 3 6" xfId="31592"/>
    <cellStyle name="Normal 2 7 18 4" xfId="31593"/>
    <cellStyle name="Normal 2 7 18 4 2" xfId="31594"/>
    <cellStyle name="Normal 2 7 18 4 2 2" xfId="31595"/>
    <cellStyle name="Normal 2 7 18 4 3" xfId="31596"/>
    <cellStyle name="Normal 2 7 18 4 4" xfId="31597"/>
    <cellStyle name="Normal 2 7 18 4 5" xfId="31598"/>
    <cellStyle name="Normal 2 7 18 5" xfId="31599"/>
    <cellStyle name="Normal 2 7 18 5 2" xfId="31600"/>
    <cellStyle name="Normal 2 7 18 5 3" xfId="31601"/>
    <cellStyle name="Normal 2 7 18 5 4" xfId="31602"/>
    <cellStyle name="Normal 2 7 18 6" xfId="31603"/>
    <cellStyle name="Normal 2 7 18 6 2" xfId="31604"/>
    <cellStyle name="Normal 2 7 18 7" xfId="31605"/>
    <cellStyle name="Normal 2 7 18 8" xfId="31606"/>
    <cellStyle name="Normal 2 7 18 9" xfId="31607"/>
    <cellStyle name="Normal 2 7 19" xfId="31608"/>
    <cellStyle name="Normal 2 7 19 10" xfId="31609"/>
    <cellStyle name="Normal 2 7 19 2" xfId="31610"/>
    <cellStyle name="Normal 2 7 19 2 2" xfId="31611"/>
    <cellStyle name="Normal 2 7 19 2 2 2" xfId="31612"/>
    <cellStyle name="Normal 2 7 19 2 2 3" xfId="31613"/>
    <cellStyle name="Normal 2 7 19 2 3" xfId="31614"/>
    <cellStyle name="Normal 2 7 19 2 4" xfId="31615"/>
    <cellStyle name="Normal 2 7 19 2 5" xfId="31616"/>
    <cellStyle name="Normal 2 7 19 2 6" xfId="31617"/>
    <cellStyle name="Normal 2 7 19 3" xfId="31618"/>
    <cellStyle name="Normal 2 7 19 3 2" xfId="31619"/>
    <cellStyle name="Normal 2 7 19 3 2 2" xfId="31620"/>
    <cellStyle name="Normal 2 7 19 3 2 3" xfId="31621"/>
    <cellStyle name="Normal 2 7 19 3 3" xfId="31622"/>
    <cellStyle name="Normal 2 7 19 3 4" xfId="31623"/>
    <cellStyle name="Normal 2 7 19 3 5" xfId="31624"/>
    <cellStyle name="Normal 2 7 19 3 6" xfId="31625"/>
    <cellStyle name="Normal 2 7 19 4" xfId="31626"/>
    <cellStyle name="Normal 2 7 19 4 2" xfId="31627"/>
    <cellStyle name="Normal 2 7 19 4 2 2" xfId="31628"/>
    <cellStyle name="Normal 2 7 19 4 3" xfId="31629"/>
    <cellStyle name="Normal 2 7 19 4 4" xfId="31630"/>
    <cellStyle name="Normal 2 7 19 4 5" xfId="31631"/>
    <cellStyle name="Normal 2 7 19 5" xfId="31632"/>
    <cellStyle name="Normal 2 7 19 5 2" xfId="31633"/>
    <cellStyle name="Normal 2 7 19 5 3" xfId="31634"/>
    <cellStyle name="Normal 2 7 19 5 4" xfId="31635"/>
    <cellStyle name="Normal 2 7 19 6" xfId="31636"/>
    <cellStyle name="Normal 2 7 19 6 2" xfId="31637"/>
    <cellStyle name="Normal 2 7 19 7" xfId="31638"/>
    <cellStyle name="Normal 2 7 19 8" xfId="31639"/>
    <cellStyle name="Normal 2 7 19 9" xfId="31640"/>
    <cellStyle name="Normal 2 7 2" xfId="31641"/>
    <cellStyle name="Normal 2 7 2 10" xfId="31642"/>
    <cellStyle name="Normal 2 7 2 10 10" xfId="31643"/>
    <cellStyle name="Normal 2 7 2 10 2" xfId="31644"/>
    <cellStyle name="Normal 2 7 2 10 2 2" xfId="31645"/>
    <cellStyle name="Normal 2 7 2 10 2 2 2" xfId="31646"/>
    <cellStyle name="Normal 2 7 2 10 2 2 3" xfId="31647"/>
    <cellStyle name="Normal 2 7 2 10 2 3" xfId="31648"/>
    <cellStyle name="Normal 2 7 2 10 2 4" xfId="31649"/>
    <cellStyle name="Normal 2 7 2 10 2 5" xfId="31650"/>
    <cellStyle name="Normal 2 7 2 10 2 6" xfId="31651"/>
    <cellStyle name="Normal 2 7 2 10 3" xfId="31652"/>
    <cellStyle name="Normal 2 7 2 10 3 2" xfId="31653"/>
    <cellStyle name="Normal 2 7 2 10 3 2 2" xfId="31654"/>
    <cellStyle name="Normal 2 7 2 10 3 2 3" xfId="31655"/>
    <cellStyle name="Normal 2 7 2 10 3 3" xfId="31656"/>
    <cellStyle name="Normal 2 7 2 10 3 4" xfId="31657"/>
    <cellStyle name="Normal 2 7 2 10 3 5" xfId="31658"/>
    <cellStyle name="Normal 2 7 2 10 3 6" xfId="31659"/>
    <cellStyle name="Normal 2 7 2 10 4" xfId="31660"/>
    <cellStyle name="Normal 2 7 2 10 4 2" xfId="31661"/>
    <cellStyle name="Normal 2 7 2 10 4 2 2" xfId="31662"/>
    <cellStyle name="Normal 2 7 2 10 4 3" xfId="31663"/>
    <cellStyle name="Normal 2 7 2 10 4 4" xfId="31664"/>
    <cellStyle name="Normal 2 7 2 10 4 5" xfId="31665"/>
    <cellStyle name="Normal 2 7 2 10 5" xfId="31666"/>
    <cellStyle name="Normal 2 7 2 10 5 2" xfId="31667"/>
    <cellStyle name="Normal 2 7 2 10 5 3" xfId="31668"/>
    <cellStyle name="Normal 2 7 2 10 5 4" xfId="31669"/>
    <cellStyle name="Normal 2 7 2 10 6" xfId="31670"/>
    <cellStyle name="Normal 2 7 2 10 6 2" xfId="31671"/>
    <cellStyle name="Normal 2 7 2 10 7" xfId="31672"/>
    <cellStyle name="Normal 2 7 2 10 8" xfId="31673"/>
    <cellStyle name="Normal 2 7 2 10 9" xfId="31674"/>
    <cellStyle name="Normal 2 7 2 11" xfId="31675"/>
    <cellStyle name="Normal 2 7 2 11 10" xfId="31676"/>
    <cellStyle name="Normal 2 7 2 11 2" xfId="31677"/>
    <cellStyle name="Normal 2 7 2 11 2 2" xfId="31678"/>
    <cellStyle name="Normal 2 7 2 11 2 2 2" xfId="31679"/>
    <cellStyle name="Normal 2 7 2 11 2 2 3" xfId="31680"/>
    <cellStyle name="Normal 2 7 2 11 2 3" xfId="31681"/>
    <cellStyle name="Normal 2 7 2 11 2 4" xfId="31682"/>
    <cellStyle name="Normal 2 7 2 11 2 5" xfId="31683"/>
    <cellStyle name="Normal 2 7 2 11 2 6" xfId="31684"/>
    <cellStyle name="Normal 2 7 2 11 3" xfId="31685"/>
    <cellStyle name="Normal 2 7 2 11 3 2" xfId="31686"/>
    <cellStyle name="Normal 2 7 2 11 3 2 2" xfId="31687"/>
    <cellStyle name="Normal 2 7 2 11 3 2 3" xfId="31688"/>
    <cellStyle name="Normal 2 7 2 11 3 3" xfId="31689"/>
    <cellStyle name="Normal 2 7 2 11 3 4" xfId="31690"/>
    <cellStyle name="Normal 2 7 2 11 3 5" xfId="31691"/>
    <cellStyle name="Normal 2 7 2 11 3 6" xfId="31692"/>
    <cellStyle name="Normal 2 7 2 11 4" xfId="31693"/>
    <cellStyle name="Normal 2 7 2 11 4 2" xfId="31694"/>
    <cellStyle name="Normal 2 7 2 11 4 2 2" xfId="31695"/>
    <cellStyle name="Normal 2 7 2 11 4 3" xfId="31696"/>
    <cellStyle name="Normal 2 7 2 11 4 4" xfId="31697"/>
    <cellStyle name="Normal 2 7 2 11 4 5" xfId="31698"/>
    <cellStyle name="Normal 2 7 2 11 5" xfId="31699"/>
    <cellStyle name="Normal 2 7 2 11 5 2" xfId="31700"/>
    <cellStyle name="Normal 2 7 2 11 5 3" xfId="31701"/>
    <cellStyle name="Normal 2 7 2 11 5 4" xfId="31702"/>
    <cellStyle name="Normal 2 7 2 11 6" xfId="31703"/>
    <cellStyle name="Normal 2 7 2 11 6 2" xfId="31704"/>
    <cellStyle name="Normal 2 7 2 11 7" xfId="31705"/>
    <cellStyle name="Normal 2 7 2 11 8" xfId="31706"/>
    <cellStyle name="Normal 2 7 2 11 9" xfId="31707"/>
    <cellStyle name="Normal 2 7 2 12" xfId="31708"/>
    <cellStyle name="Normal 2 7 2 12 10" xfId="31709"/>
    <cellStyle name="Normal 2 7 2 12 2" xfId="31710"/>
    <cellStyle name="Normal 2 7 2 12 2 2" xfId="31711"/>
    <cellStyle name="Normal 2 7 2 12 2 2 2" xfId="31712"/>
    <cellStyle name="Normal 2 7 2 12 2 2 3" xfId="31713"/>
    <cellStyle name="Normal 2 7 2 12 2 3" xfId="31714"/>
    <cellStyle name="Normal 2 7 2 12 2 4" xfId="31715"/>
    <cellStyle name="Normal 2 7 2 12 2 5" xfId="31716"/>
    <cellStyle name="Normal 2 7 2 12 2 6" xfId="31717"/>
    <cellStyle name="Normal 2 7 2 12 3" xfId="31718"/>
    <cellStyle name="Normal 2 7 2 12 3 2" xfId="31719"/>
    <cellStyle name="Normal 2 7 2 12 3 2 2" xfId="31720"/>
    <cellStyle name="Normal 2 7 2 12 3 2 3" xfId="31721"/>
    <cellStyle name="Normal 2 7 2 12 3 3" xfId="31722"/>
    <cellStyle name="Normal 2 7 2 12 3 4" xfId="31723"/>
    <cellStyle name="Normal 2 7 2 12 3 5" xfId="31724"/>
    <cellStyle name="Normal 2 7 2 12 3 6" xfId="31725"/>
    <cellStyle name="Normal 2 7 2 12 4" xfId="31726"/>
    <cellStyle name="Normal 2 7 2 12 4 2" xfId="31727"/>
    <cellStyle name="Normal 2 7 2 12 4 2 2" xfId="31728"/>
    <cellStyle name="Normal 2 7 2 12 4 3" xfId="31729"/>
    <cellStyle name="Normal 2 7 2 12 4 4" xfId="31730"/>
    <cellStyle name="Normal 2 7 2 12 4 5" xfId="31731"/>
    <cellStyle name="Normal 2 7 2 12 5" xfId="31732"/>
    <cellStyle name="Normal 2 7 2 12 5 2" xfId="31733"/>
    <cellStyle name="Normal 2 7 2 12 5 3" xfId="31734"/>
    <cellStyle name="Normal 2 7 2 12 5 4" xfId="31735"/>
    <cellStyle name="Normal 2 7 2 12 6" xfId="31736"/>
    <cellStyle name="Normal 2 7 2 12 6 2" xfId="31737"/>
    <cellStyle name="Normal 2 7 2 12 7" xfId="31738"/>
    <cellStyle name="Normal 2 7 2 12 8" xfId="31739"/>
    <cellStyle name="Normal 2 7 2 12 9" xfId="31740"/>
    <cellStyle name="Normal 2 7 2 13" xfId="31741"/>
    <cellStyle name="Normal 2 7 2 13 2" xfId="31742"/>
    <cellStyle name="Normal 2 7 2 13 2 2" xfId="31743"/>
    <cellStyle name="Normal 2 7 2 13 2 2 2" xfId="31744"/>
    <cellStyle name="Normal 2 7 2 13 2 2 3" xfId="31745"/>
    <cellStyle name="Normal 2 7 2 13 2 3" xfId="31746"/>
    <cellStyle name="Normal 2 7 2 13 2 4" xfId="31747"/>
    <cellStyle name="Normal 2 7 2 13 2 5" xfId="31748"/>
    <cellStyle name="Normal 2 7 2 13 2 6" xfId="31749"/>
    <cellStyle name="Normal 2 7 2 13 3" xfId="31750"/>
    <cellStyle name="Normal 2 7 2 13 3 2" xfId="31751"/>
    <cellStyle name="Normal 2 7 2 13 3 2 2" xfId="31752"/>
    <cellStyle name="Normal 2 7 2 13 3 3" xfId="31753"/>
    <cellStyle name="Normal 2 7 2 13 3 4" xfId="31754"/>
    <cellStyle name="Normal 2 7 2 13 3 5" xfId="31755"/>
    <cellStyle name="Normal 2 7 2 13 4" xfId="31756"/>
    <cellStyle name="Normal 2 7 2 13 4 2" xfId="31757"/>
    <cellStyle name="Normal 2 7 2 13 4 3" xfId="31758"/>
    <cellStyle name="Normal 2 7 2 13 4 4" xfId="31759"/>
    <cellStyle name="Normal 2 7 2 13 5" xfId="31760"/>
    <cellStyle name="Normal 2 7 2 13 5 2" xfId="31761"/>
    <cellStyle name="Normal 2 7 2 13 6" xfId="31762"/>
    <cellStyle name="Normal 2 7 2 13 7" xfId="31763"/>
    <cellStyle name="Normal 2 7 2 13 8" xfId="31764"/>
    <cellStyle name="Normal 2 7 2 13 9" xfId="31765"/>
    <cellStyle name="Normal 2 7 2 14" xfId="31766"/>
    <cellStyle name="Normal 2 7 2 14 2" xfId="31767"/>
    <cellStyle name="Normal 2 7 2 14 2 2" xfId="31768"/>
    <cellStyle name="Normal 2 7 2 14 2 2 2" xfId="31769"/>
    <cellStyle name="Normal 2 7 2 14 2 2 3" xfId="31770"/>
    <cellStyle name="Normal 2 7 2 14 2 3" xfId="31771"/>
    <cellStyle name="Normal 2 7 2 14 2 4" xfId="31772"/>
    <cellStyle name="Normal 2 7 2 14 2 5" xfId="31773"/>
    <cellStyle name="Normal 2 7 2 14 2 6" xfId="31774"/>
    <cellStyle name="Normal 2 7 2 14 3" xfId="31775"/>
    <cellStyle name="Normal 2 7 2 14 3 2" xfId="31776"/>
    <cellStyle name="Normal 2 7 2 14 3 2 2" xfId="31777"/>
    <cellStyle name="Normal 2 7 2 14 3 3" xfId="31778"/>
    <cellStyle name="Normal 2 7 2 14 3 4" xfId="31779"/>
    <cellStyle name="Normal 2 7 2 14 3 5" xfId="31780"/>
    <cellStyle name="Normal 2 7 2 14 4" xfId="31781"/>
    <cellStyle name="Normal 2 7 2 14 4 2" xfId="31782"/>
    <cellStyle name="Normal 2 7 2 14 4 3" xfId="31783"/>
    <cellStyle name="Normal 2 7 2 14 4 4" xfId="31784"/>
    <cellStyle name="Normal 2 7 2 14 5" xfId="31785"/>
    <cellStyle name="Normal 2 7 2 14 5 2" xfId="31786"/>
    <cellStyle name="Normal 2 7 2 14 6" xfId="31787"/>
    <cellStyle name="Normal 2 7 2 14 7" xfId="31788"/>
    <cellStyle name="Normal 2 7 2 14 8" xfId="31789"/>
    <cellStyle name="Normal 2 7 2 14 9" xfId="31790"/>
    <cellStyle name="Normal 2 7 2 15" xfId="31791"/>
    <cellStyle name="Normal 2 7 2 15 2" xfId="31792"/>
    <cellStyle name="Normal 2 7 2 15 2 2" xfId="31793"/>
    <cellStyle name="Normal 2 7 2 15 2 3" xfId="31794"/>
    <cellStyle name="Normal 2 7 2 15 3" xfId="31795"/>
    <cellStyle name="Normal 2 7 2 15 4" xfId="31796"/>
    <cellStyle name="Normal 2 7 2 15 5" xfId="31797"/>
    <cellStyle name="Normal 2 7 2 15 6" xfId="31798"/>
    <cellStyle name="Normal 2 7 2 16" xfId="31799"/>
    <cellStyle name="Normal 2 7 2 16 2" xfId="31800"/>
    <cellStyle name="Normal 2 7 2 16 2 2" xfId="31801"/>
    <cellStyle name="Normal 2 7 2 16 3" xfId="31802"/>
    <cellStyle name="Normal 2 7 2 16 4" xfId="31803"/>
    <cellStyle name="Normal 2 7 2 16 5" xfId="31804"/>
    <cellStyle name="Normal 2 7 2 17" xfId="31805"/>
    <cellStyle name="Normal 2 7 2 17 2" xfId="31806"/>
    <cellStyle name="Normal 2 7 2 17 2 2" xfId="31807"/>
    <cellStyle name="Normal 2 7 2 17 3" xfId="31808"/>
    <cellStyle name="Normal 2 7 2 17 4" xfId="31809"/>
    <cellStyle name="Normal 2 7 2 17 5" xfId="31810"/>
    <cellStyle name="Normal 2 7 2 18" xfId="31811"/>
    <cellStyle name="Normal 2 7 2 18 2" xfId="31812"/>
    <cellStyle name="Normal 2 7 2 19" xfId="31813"/>
    <cellStyle name="Normal 2 7 2 2" xfId="31814"/>
    <cellStyle name="Normal 2 7 2 2 10" xfId="31815"/>
    <cellStyle name="Normal 2 7 2 2 11" xfId="31816"/>
    <cellStyle name="Normal 2 7 2 2 2" xfId="31817"/>
    <cellStyle name="Normal 2 7 2 2 2 2" xfId="31818"/>
    <cellStyle name="Normal 2 7 2 2 2 2 2" xfId="31819"/>
    <cellStyle name="Normal 2 7 2 2 2 2 2 2" xfId="31820"/>
    <cellStyle name="Normal 2 7 2 2 2 2 2 3" xfId="31821"/>
    <cellStyle name="Normal 2 7 2 2 2 2 3" xfId="31822"/>
    <cellStyle name="Normal 2 7 2 2 2 2 4" xfId="31823"/>
    <cellStyle name="Normal 2 7 2 2 2 2 5" xfId="31824"/>
    <cellStyle name="Normal 2 7 2 2 2 2 6" xfId="31825"/>
    <cellStyle name="Normal 2 7 2 2 2 3" xfId="31826"/>
    <cellStyle name="Normal 2 7 2 2 2 3 2" xfId="31827"/>
    <cellStyle name="Normal 2 7 2 2 2 3 2 2" xfId="31828"/>
    <cellStyle name="Normal 2 7 2 2 2 3 3" xfId="31829"/>
    <cellStyle name="Normal 2 7 2 2 2 3 4" xfId="31830"/>
    <cellStyle name="Normal 2 7 2 2 2 3 5" xfId="31831"/>
    <cellStyle name="Normal 2 7 2 2 2 4" xfId="31832"/>
    <cellStyle name="Normal 2 7 2 2 2 4 2" xfId="31833"/>
    <cellStyle name="Normal 2 7 2 2 2 4 3" xfId="31834"/>
    <cellStyle name="Normal 2 7 2 2 2 4 4" xfId="31835"/>
    <cellStyle name="Normal 2 7 2 2 2 5" xfId="31836"/>
    <cellStyle name="Normal 2 7 2 2 2 5 2" xfId="31837"/>
    <cellStyle name="Normal 2 7 2 2 2 6" xfId="31838"/>
    <cellStyle name="Normal 2 7 2 2 2 7" xfId="31839"/>
    <cellStyle name="Normal 2 7 2 2 2 8" xfId="31840"/>
    <cellStyle name="Normal 2 7 2 2 2 9" xfId="31841"/>
    <cellStyle name="Normal 2 7 2 2 3" xfId="31842"/>
    <cellStyle name="Normal 2 7 2 2 3 2" xfId="31843"/>
    <cellStyle name="Normal 2 7 2 2 3 2 2" xfId="31844"/>
    <cellStyle name="Normal 2 7 2 2 3 2 2 2" xfId="31845"/>
    <cellStyle name="Normal 2 7 2 2 3 2 2 3" xfId="31846"/>
    <cellStyle name="Normal 2 7 2 2 3 2 3" xfId="31847"/>
    <cellStyle name="Normal 2 7 2 2 3 2 4" xfId="31848"/>
    <cellStyle name="Normal 2 7 2 2 3 2 5" xfId="31849"/>
    <cellStyle name="Normal 2 7 2 2 3 2 6" xfId="31850"/>
    <cellStyle name="Normal 2 7 2 2 3 3" xfId="31851"/>
    <cellStyle name="Normal 2 7 2 2 3 3 2" xfId="31852"/>
    <cellStyle name="Normal 2 7 2 2 3 3 2 2" xfId="31853"/>
    <cellStyle name="Normal 2 7 2 2 3 3 3" xfId="31854"/>
    <cellStyle name="Normal 2 7 2 2 3 3 4" xfId="31855"/>
    <cellStyle name="Normal 2 7 2 2 3 3 5" xfId="31856"/>
    <cellStyle name="Normal 2 7 2 2 3 4" xfId="31857"/>
    <cellStyle name="Normal 2 7 2 2 3 4 2" xfId="31858"/>
    <cellStyle name="Normal 2 7 2 2 3 4 3" xfId="31859"/>
    <cellStyle name="Normal 2 7 2 2 3 4 4" xfId="31860"/>
    <cellStyle name="Normal 2 7 2 2 3 5" xfId="31861"/>
    <cellStyle name="Normal 2 7 2 2 3 5 2" xfId="31862"/>
    <cellStyle name="Normal 2 7 2 2 3 6" xfId="31863"/>
    <cellStyle name="Normal 2 7 2 2 3 7" xfId="31864"/>
    <cellStyle name="Normal 2 7 2 2 3 8" xfId="31865"/>
    <cellStyle name="Normal 2 7 2 2 3 9" xfId="31866"/>
    <cellStyle name="Normal 2 7 2 2 4" xfId="31867"/>
    <cellStyle name="Normal 2 7 2 2 4 2" xfId="31868"/>
    <cellStyle name="Normal 2 7 2 2 4 2 2" xfId="31869"/>
    <cellStyle name="Normal 2 7 2 2 4 2 3" xfId="31870"/>
    <cellStyle name="Normal 2 7 2 2 4 3" xfId="31871"/>
    <cellStyle name="Normal 2 7 2 2 4 4" xfId="31872"/>
    <cellStyle name="Normal 2 7 2 2 4 5" xfId="31873"/>
    <cellStyle name="Normal 2 7 2 2 4 6" xfId="31874"/>
    <cellStyle name="Normal 2 7 2 2 5" xfId="31875"/>
    <cellStyle name="Normal 2 7 2 2 5 2" xfId="31876"/>
    <cellStyle name="Normal 2 7 2 2 5 2 2" xfId="31877"/>
    <cellStyle name="Normal 2 7 2 2 5 3" xfId="31878"/>
    <cellStyle name="Normal 2 7 2 2 5 4" xfId="31879"/>
    <cellStyle name="Normal 2 7 2 2 5 5" xfId="31880"/>
    <cellStyle name="Normal 2 7 2 2 6" xfId="31881"/>
    <cellStyle name="Normal 2 7 2 2 6 2" xfId="31882"/>
    <cellStyle name="Normal 2 7 2 2 6 3" xfId="31883"/>
    <cellStyle name="Normal 2 7 2 2 6 4" xfId="31884"/>
    <cellStyle name="Normal 2 7 2 2 7" xfId="31885"/>
    <cellStyle name="Normal 2 7 2 2 7 2" xfId="31886"/>
    <cellStyle name="Normal 2 7 2 2 8" xfId="31887"/>
    <cellStyle name="Normal 2 7 2 2 9" xfId="31888"/>
    <cellStyle name="Normal 2 7 2 20" xfId="31889"/>
    <cellStyle name="Normal 2 7 2 21" xfId="31890"/>
    <cellStyle name="Normal 2 7 2 22" xfId="31891"/>
    <cellStyle name="Normal 2 7 2 3" xfId="31892"/>
    <cellStyle name="Normal 2 7 2 3 10" xfId="31893"/>
    <cellStyle name="Normal 2 7 2 3 11" xfId="31894"/>
    <cellStyle name="Normal 2 7 2 3 2" xfId="31895"/>
    <cellStyle name="Normal 2 7 2 3 2 2" xfId="31896"/>
    <cellStyle name="Normal 2 7 2 3 2 2 2" xfId="31897"/>
    <cellStyle name="Normal 2 7 2 3 2 2 2 2" xfId="31898"/>
    <cellStyle name="Normal 2 7 2 3 2 2 2 3" xfId="31899"/>
    <cellStyle name="Normal 2 7 2 3 2 2 3" xfId="31900"/>
    <cellStyle name="Normal 2 7 2 3 2 2 4" xfId="31901"/>
    <cellStyle name="Normal 2 7 2 3 2 2 5" xfId="31902"/>
    <cellStyle name="Normal 2 7 2 3 2 2 6" xfId="31903"/>
    <cellStyle name="Normal 2 7 2 3 2 3" xfId="31904"/>
    <cellStyle name="Normal 2 7 2 3 2 3 2" xfId="31905"/>
    <cellStyle name="Normal 2 7 2 3 2 3 2 2" xfId="31906"/>
    <cellStyle name="Normal 2 7 2 3 2 3 3" xfId="31907"/>
    <cellStyle name="Normal 2 7 2 3 2 3 4" xfId="31908"/>
    <cellStyle name="Normal 2 7 2 3 2 3 5" xfId="31909"/>
    <cellStyle name="Normal 2 7 2 3 2 4" xfId="31910"/>
    <cellStyle name="Normal 2 7 2 3 2 4 2" xfId="31911"/>
    <cellStyle name="Normal 2 7 2 3 2 4 3" xfId="31912"/>
    <cellStyle name="Normal 2 7 2 3 2 4 4" xfId="31913"/>
    <cellStyle name="Normal 2 7 2 3 2 5" xfId="31914"/>
    <cellStyle name="Normal 2 7 2 3 2 5 2" xfId="31915"/>
    <cellStyle name="Normal 2 7 2 3 2 6" xfId="31916"/>
    <cellStyle name="Normal 2 7 2 3 2 7" xfId="31917"/>
    <cellStyle name="Normal 2 7 2 3 2 8" xfId="31918"/>
    <cellStyle name="Normal 2 7 2 3 2 9" xfId="31919"/>
    <cellStyle name="Normal 2 7 2 3 3" xfId="31920"/>
    <cellStyle name="Normal 2 7 2 3 3 2" xfId="31921"/>
    <cellStyle name="Normal 2 7 2 3 3 2 2" xfId="31922"/>
    <cellStyle name="Normal 2 7 2 3 3 2 2 2" xfId="31923"/>
    <cellStyle name="Normal 2 7 2 3 3 2 2 3" xfId="31924"/>
    <cellStyle name="Normal 2 7 2 3 3 2 3" xfId="31925"/>
    <cellStyle name="Normal 2 7 2 3 3 2 4" xfId="31926"/>
    <cellStyle name="Normal 2 7 2 3 3 2 5" xfId="31927"/>
    <cellStyle name="Normal 2 7 2 3 3 2 6" xfId="31928"/>
    <cellStyle name="Normal 2 7 2 3 3 3" xfId="31929"/>
    <cellStyle name="Normal 2 7 2 3 3 3 2" xfId="31930"/>
    <cellStyle name="Normal 2 7 2 3 3 3 2 2" xfId="31931"/>
    <cellStyle name="Normal 2 7 2 3 3 3 3" xfId="31932"/>
    <cellStyle name="Normal 2 7 2 3 3 3 4" xfId="31933"/>
    <cellStyle name="Normal 2 7 2 3 3 3 5" xfId="31934"/>
    <cellStyle name="Normal 2 7 2 3 3 4" xfId="31935"/>
    <cellStyle name="Normal 2 7 2 3 3 4 2" xfId="31936"/>
    <cellStyle name="Normal 2 7 2 3 3 4 3" xfId="31937"/>
    <cellStyle name="Normal 2 7 2 3 3 4 4" xfId="31938"/>
    <cellStyle name="Normal 2 7 2 3 3 5" xfId="31939"/>
    <cellStyle name="Normal 2 7 2 3 3 5 2" xfId="31940"/>
    <cellStyle name="Normal 2 7 2 3 3 6" xfId="31941"/>
    <cellStyle name="Normal 2 7 2 3 3 7" xfId="31942"/>
    <cellStyle name="Normal 2 7 2 3 3 8" xfId="31943"/>
    <cellStyle name="Normal 2 7 2 3 3 9" xfId="31944"/>
    <cellStyle name="Normal 2 7 2 3 4" xfId="31945"/>
    <cellStyle name="Normal 2 7 2 3 4 2" xfId="31946"/>
    <cellStyle name="Normal 2 7 2 3 4 2 2" xfId="31947"/>
    <cellStyle name="Normal 2 7 2 3 4 2 3" xfId="31948"/>
    <cellStyle name="Normal 2 7 2 3 4 3" xfId="31949"/>
    <cellStyle name="Normal 2 7 2 3 4 4" xfId="31950"/>
    <cellStyle name="Normal 2 7 2 3 4 5" xfId="31951"/>
    <cellStyle name="Normal 2 7 2 3 4 6" xfId="31952"/>
    <cellStyle name="Normal 2 7 2 3 5" xfId="31953"/>
    <cellStyle name="Normal 2 7 2 3 5 2" xfId="31954"/>
    <cellStyle name="Normal 2 7 2 3 5 2 2" xfId="31955"/>
    <cellStyle name="Normal 2 7 2 3 5 3" xfId="31956"/>
    <cellStyle name="Normal 2 7 2 3 5 4" xfId="31957"/>
    <cellStyle name="Normal 2 7 2 3 5 5" xfId="31958"/>
    <cellStyle name="Normal 2 7 2 3 6" xfId="31959"/>
    <cellStyle name="Normal 2 7 2 3 6 2" xfId="31960"/>
    <cellStyle name="Normal 2 7 2 3 6 3" xfId="31961"/>
    <cellStyle name="Normal 2 7 2 3 6 4" xfId="31962"/>
    <cellStyle name="Normal 2 7 2 3 7" xfId="31963"/>
    <cellStyle name="Normal 2 7 2 3 7 2" xfId="31964"/>
    <cellStyle name="Normal 2 7 2 3 8" xfId="31965"/>
    <cellStyle name="Normal 2 7 2 3 9" xfId="31966"/>
    <cellStyle name="Normal 2 7 2 4" xfId="31967"/>
    <cellStyle name="Normal 2 7 2 4 10" xfId="31968"/>
    <cellStyle name="Normal 2 7 2 4 11" xfId="31969"/>
    <cellStyle name="Normal 2 7 2 4 2" xfId="31970"/>
    <cellStyle name="Normal 2 7 2 4 2 2" xfId="31971"/>
    <cellStyle name="Normal 2 7 2 4 2 2 2" xfId="31972"/>
    <cellStyle name="Normal 2 7 2 4 2 2 2 2" xfId="31973"/>
    <cellStyle name="Normal 2 7 2 4 2 2 2 3" xfId="31974"/>
    <cellStyle name="Normal 2 7 2 4 2 2 3" xfId="31975"/>
    <cellStyle name="Normal 2 7 2 4 2 2 4" xfId="31976"/>
    <cellStyle name="Normal 2 7 2 4 2 2 5" xfId="31977"/>
    <cellStyle name="Normal 2 7 2 4 2 2 6" xfId="31978"/>
    <cellStyle name="Normal 2 7 2 4 2 3" xfId="31979"/>
    <cellStyle name="Normal 2 7 2 4 2 3 2" xfId="31980"/>
    <cellStyle name="Normal 2 7 2 4 2 3 2 2" xfId="31981"/>
    <cellStyle name="Normal 2 7 2 4 2 3 3" xfId="31982"/>
    <cellStyle name="Normal 2 7 2 4 2 3 4" xfId="31983"/>
    <cellStyle name="Normal 2 7 2 4 2 3 5" xfId="31984"/>
    <cellStyle name="Normal 2 7 2 4 2 4" xfId="31985"/>
    <cellStyle name="Normal 2 7 2 4 2 4 2" xfId="31986"/>
    <cellStyle name="Normal 2 7 2 4 2 4 3" xfId="31987"/>
    <cellStyle name="Normal 2 7 2 4 2 4 4" xfId="31988"/>
    <cellStyle name="Normal 2 7 2 4 2 5" xfId="31989"/>
    <cellStyle name="Normal 2 7 2 4 2 5 2" xfId="31990"/>
    <cellStyle name="Normal 2 7 2 4 2 6" xfId="31991"/>
    <cellStyle name="Normal 2 7 2 4 2 7" xfId="31992"/>
    <cellStyle name="Normal 2 7 2 4 2 8" xfId="31993"/>
    <cellStyle name="Normal 2 7 2 4 2 9" xfId="31994"/>
    <cellStyle name="Normal 2 7 2 4 3" xfId="31995"/>
    <cellStyle name="Normal 2 7 2 4 3 2" xfId="31996"/>
    <cellStyle name="Normal 2 7 2 4 3 2 2" xfId="31997"/>
    <cellStyle name="Normal 2 7 2 4 3 2 2 2" xfId="31998"/>
    <cellStyle name="Normal 2 7 2 4 3 2 2 3" xfId="31999"/>
    <cellStyle name="Normal 2 7 2 4 3 2 3" xfId="32000"/>
    <cellStyle name="Normal 2 7 2 4 3 2 4" xfId="32001"/>
    <cellStyle name="Normal 2 7 2 4 3 2 5" xfId="32002"/>
    <cellStyle name="Normal 2 7 2 4 3 2 6" xfId="32003"/>
    <cellStyle name="Normal 2 7 2 4 3 3" xfId="32004"/>
    <cellStyle name="Normal 2 7 2 4 3 3 2" xfId="32005"/>
    <cellStyle name="Normal 2 7 2 4 3 3 2 2" xfId="32006"/>
    <cellStyle name="Normal 2 7 2 4 3 3 3" xfId="32007"/>
    <cellStyle name="Normal 2 7 2 4 3 3 4" xfId="32008"/>
    <cellStyle name="Normal 2 7 2 4 3 3 5" xfId="32009"/>
    <cellStyle name="Normal 2 7 2 4 3 4" xfId="32010"/>
    <cellStyle name="Normal 2 7 2 4 3 4 2" xfId="32011"/>
    <cellStyle name="Normal 2 7 2 4 3 4 3" xfId="32012"/>
    <cellStyle name="Normal 2 7 2 4 3 4 4" xfId="32013"/>
    <cellStyle name="Normal 2 7 2 4 3 5" xfId="32014"/>
    <cellStyle name="Normal 2 7 2 4 3 5 2" xfId="32015"/>
    <cellStyle name="Normal 2 7 2 4 3 6" xfId="32016"/>
    <cellStyle name="Normal 2 7 2 4 3 7" xfId="32017"/>
    <cellStyle name="Normal 2 7 2 4 3 8" xfId="32018"/>
    <cellStyle name="Normal 2 7 2 4 3 9" xfId="32019"/>
    <cellStyle name="Normal 2 7 2 4 4" xfId="32020"/>
    <cellStyle name="Normal 2 7 2 4 4 2" xfId="32021"/>
    <cellStyle name="Normal 2 7 2 4 4 2 2" xfId="32022"/>
    <cellStyle name="Normal 2 7 2 4 4 2 3" xfId="32023"/>
    <cellStyle name="Normal 2 7 2 4 4 3" xfId="32024"/>
    <cellStyle name="Normal 2 7 2 4 4 4" xfId="32025"/>
    <cellStyle name="Normal 2 7 2 4 4 5" xfId="32026"/>
    <cellStyle name="Normal 2 7 2 4 4 6" xfId="32027"/>
    <cellStyle name="Normal 2 7 2 4 5" xfId="32028"/>
    <cellStyle name="Normal 2 7 2 4 5 2" xfId="32029"/>
    <cellStyle name="Normal 2 7 2 4 5 2 2" xfId="32030"/>
    <cellStyle name="Normal 2 7 2 4 5 3" xfId="32031"/>
    <cellStyle name="Normal 2 7 2 4 5 4" xfId="32032"/>
    <cellStyle name="Normal 2 7 2 4 5 5" xfId="32033"/>
    <cellStyle name="Normal 2 7 2 4 6" xfId="32034"/>
    <cellStyle name="Normal 2 7 2 4 6 2" xfId="32035"/>
    <cellStyle name="Normal 2 7 2 4 6 3" xfId="32036"/>
    <cellStyle name="Normal 2 7 2 4 6 4" xfId="32037"/>
    <cellStyle name="Normal 2 7 2 4 7" xfId="32038"/>
    <cellStyle name="Normal 2 7 2 4 7 2" xfId="32039"/>
    <cellStyle name="Normal 2 7 2 4 8" xfId="32040"/>
    <cellStyle name="Normal 2 7 2 4 9" xfId="32041"/>
    <cellStyle name="Normal 2 7 2 5" xfId="32042"/>
    <cellStyle name="Normal 2 7 2 5 10" xfId="32043"/>
    <cellStyle name="Normal 2 7 2 5 11" xfId="32044"/>
    <cellStyle name="Normal 2 7 2 5 2" xfId="32045"/>
    <cellStyle name="Normal 2 7 2 5 2 2" xfId="32046"/>
    <cellStyle name="Normal 2 7 2 5 2 2 2" xfId="32047"/>
    <cellStyle name="Normal 2 7 2 5 2 2 2 2" xfId="32048"/>
    <cellStyle name="Normal 2 7 2 5 2 2 2 3" xfId="32049"/>
    <cellStyle name="Normal 2 7 2 5 2 2 3" xfId="32050"/>
    <cellStyle name="Normal 2 7 2 5 2 2 4" xfId="32051"/>
    <cellStyle name="Normal 2 7 2 5 2 2 5" xfId="32052"/>
    <cellStyle name="Normal 2 7 2 5 2 2 6" xfId="32053"/>
    <cellStyle name="Normal 2 7 2 5 2 3" xfId="32054"/>
    <cellStyle name="Normal 2 7 2 5 2 3 2" xfId="32055"/>
    <cellStyle name="Normal 2 7 2 5 2 3 2 2" xfId="32056"/>
    <cellStyle name="Normal 2 7 2 5 2 3 3" xfId="32057"/>
    <cellStyle name="Normal 2 7 2 5 2 3 4" xfId="32058"/>
    <cellStyle name="Normal 2 7 2 5 2 3 5" xfId="32059"/>
    <cellStyle name="Normal 2 7 2 5 2 4" xfId="32060"/>
    <cellStyle name="Normal 2 7 2 5 2 4 2" xfId="32061"/>
    <cellStyle name="Normal 2 7 2 5 2 4 3" xfId="32062"/>
    <cellStyle name="Normal 2 7 2 5 2 4 4" xfId="32063"/>
    <cellStyle name="Normal 2 7 2 5 2 5" xfId="32064"/>
    <cellStyle name="Normal 2 7 2 5 2 5 2" xfId="32065"/>
    <cellStyle name="Normal 2 7 2 5 2 6" xfId="32066"/>
    <cellStyle name="Normal 2 7 2 5 2 7" xfId="32067"/>
    <cellStyle name="Normal 2 7 2 5 2 8" xfId="32068"/>
    <cellStyle name="Normal 2 7 2 5 2 9" xfId="32069"/>
    <cellStyle name="Normal 2 7 2 5 3" xfId="32070"/>
    <cellStyle name="Normal 2 7 2 5 3 2" xfId="32071"/>
    <cellStyle name="Normal 2 7 2 5 3 2 2" xfId="32072"/>
    <cellStyle name="Normal 2 7 2 5 3 2 2 2" xfId="32073"/>
    <cellStyle name="Normal 2 7 2 5 3 2 2 3" xfId="32074"/>
    <cellStyle name="Normal 2 7 2 5 3 2 3" xfId="32075"/>
    <cellStyle name="Normal 2 7 2 5 3 2 4" xfId="32076"/>
    <cellStyle name="Normal 2 7 2 5 3 2 5" xfId="32077"/>
    <cellStyle name="Normal 2 7 2 5 3 2 6" xfId="32078"/>
    <cellStyle name="Normal 2 7 2 5 3 3" xfId="32079"/>
    <cellStyle name="Normal 2 7 2 5 3 3 2" xfId="32080"/>
    <cellStyle name="Normal 2 7 2 5 3 3 2 2" xfId="32081"/>
    <cellStyle name="Normal 2 7 2 5 3 3 3" xfId="32082"/>
    <cellStyle name="Normal 2 7 2 5 3 3 4" xfId="32083"/>
    <cellStyle name="Normal 2 7 2 5 3 3 5" xfId="32084"/>
    <cellStyle name="Normal 2 7 2 5 3 4" xfId="32085"/>
    <cellStyle name="Normal 2 7 2 5 3 4 2" xfId="32086"/>
    <cellStyle name="Normal 2 7 2 5 3 4 3" xfId="32087"/>
    <cellStyle name="Normal 2 7 2 5 3 4 4" xfId="32088"/>
    <cellStyle name="Normal 2 7 2 5 3 5" xfId="32089"/>
    <cellStyle name="Normal 2 7 2 5 3 5 2" xfId="32090"/>
    <cellStyle name="Normal 2 7 2 5 3 6" xfId="32091"/>
    <cellStyle name="Normal 2 7 2 5 3 7" xfId="32092"/>
    <cellStyle name="Normal 2 7 2 5 3 8" xfId="32093"/>
    <cellStyle name="Normal 2 7 2 5 3 9" xfId="32094"/>
    <cellStyle name="Normal 2 7 2 5 4" xfId="32095"/>
    <cellStyle name="Normal 2 7 2 5 4 2" xfId="32096"/>
    <cellStyle name="Normal 2 7 2 5 4 2 2" xfId="32097"/>
    <cellStyle name="Normal 2 7 2 5 4 2 3" xfId="32098"/>
    <cellStyle name="Normal 2 7 2 5 4 3" xfId="32099"/>
    <cellStyle name="Normal 2 7 2 5 4 4" xfId="32100"/>
    <cellStyle name="Normal 2 7 2 5 4 5" xfId="32101"/>
    <cellStyle name="Normal 2 7 2 5 4 6" xfId="32102"/>
    <cellStyle name="Normal 2 7 2 5 5" xfId="32103"/>
    <cellStyle name="Normal 2 7 2 5 5 2" xfId="32104"/>
    <cellStyle name="Normal 2 7 2 5 5 2 2" xfId="32105"/>
    <cellStyle name="Normal 2 7 2 5 5 3" xfId="32106"/>
    <cellStyle name="Normal 2 7 2 5 5 4" xfId="32107"/>
    <cellStyle name="Normal 2 7 2 5 5 5" xfId="32108"/>
    <cellStyle name="Normal 2 7 2 5 6" xfId="32109"/>
    <cellStyle name="Normal 2 7 2 5 6 2" xfId="32110"/>
    <cellStyle name="Normal 2 7 2 5 6 3" xfId="32111"/>
    <cellStyle name="Normal 2 7 2 5 6 4" xfId="32112"/>
    <cellStyle name="Normal 2 7 2 5 7" xfId="32113"/>
    <cellStyle name="Normal 2 7 2 5 7 2" xfId="32114"/>
    <cellStyle name="Normal 2 7 2 5 8" xfId="32115"/>
    <cellStyle name="Normal 2 7 2 5 9" xfId="32116"/>
    <cellStyle name="Normal 2 7 2 6" xfId="32117"/>
    <cellStyle name="Normal 2 7 2 6 10" xfId="32118"/>
    <cellStyle name="Normal 2 7 2 6 11" xfId="32119"/>
    <cellStyle name="Normal 2 7 2 6 2" xfId="32120"/>
    <cellStyle name="Normal 2 7 2 6 2 2" xfId="32121"/>
    <cellStyle name="Normal 2 7 2 6 2 2 2" xfId="32122"/>
    <cellStyle name="Normal 2 7 2 6 2 2 2 2" xfId="32123"/>
    <cellStyle name="Normal 2 7 2 6 2 2 2 3" xfId="32124"/>
    <cellStyle name="Normal 2 7 2 6 2 2 3" xfId="32125"/>
    <cellStyle name="Normal 2 7 2 6 2 2 4" xfId="32126"/>
    <cellStyle name="Normal 2 7 2 6 2 2 5" xfId="32127"/>
    <cellStyle name="Normal 2 7 2 6 2 2 6" xfId="32128"/>
    <cellStyle name="Normal 2 7 2 6 2 3" xfId="32129"/>
    <cellStyle name="Normal 2 7 2 6 2 3 2" xfId="32130"/>
    <cellStyle name="Normal 2 7 2 6 2 3 2 2" xfId="32131"/>
    <cellStyle name="Normal 2 7 2 6 2 3 3" xfId="32132"/>
    <cellStyle name="Normal 2 7 2 6 2 3 4" xfId="32133"/>
    <cellStyle name="Normal 2 7 2 6 2 3 5" xfId="32134"/>
    <cellStyle name="Normal 2 7 2 6 2 4" xfId="32135"/>
    <cellStyle name="Normal 2 7 2 6 2 4 2" xfId="32136"/>
    <cellStyle name="Normal 2 7 2 6 2 4 3" xfId="32137"/>
    <cellStyle name="Normal 2 7 2 6 2 4 4" xfId="32138"/>
    <cellStyle name="Normal 2 7 2 6 2 5" xfId="32139"/>
    <cellStyle name="Normal 2 7 2 6 2 5 2" xfId="32140"/>
    <cellStyle name="Normal 2 7 2 6 2 6" xfId="32141"/>
    <cellStyle name="Normal 2 7 2 6 2 7" xfId="32142"/>
    <cellStyle name="Normal 2 7 2 6 2 8" xfId="32143"/>
    <cellStyle name="Normal 2 7 2 6 2 9" xfId="32144"/>
    <cellStyle name="Normal 2 7 2 6 3" xfId="32145"/>
    <cellStyle name="Normal 2 7 2 6 3 2" xfId="32146"/>
    <cellStyle name="Normal 2 7 2 6 3 2 2" xfId="32147"/>
    <cellStyle name="Normal 2 7 2 6 3 2 2 2" xfId="32148"/>
    <cellStyle name="Normal 2 7 2 6 3 2 2 3" xfId="32149"/>
    <cellStyle name="Normal 2 7 2 6 3 2 3" xfId="32150"/>
    <cellStyle name="Normal 2 7 2 6 3 2 4" xfId="32151"/>
    <cellStyle name="Normal 2 7 2 6 3 2 5" xfId="32152"/>
    <cellStyle name="Normal 2 7 2 6 3 2 6" xfId="32153"/>
    <cellStyle name="Normal 2 7 2 6 3 3" xfId="32154"/>
    <cellStyle name="Normal 2 7 2 6 3 3 2" xfId="32155"/>
    <cellStyle name="Normal 2 7 2 6 3 3 2 2" xfId="32156"/>
    <cellStyle name="Normal 2 7 2 6 3 3 3" xfId="32157"/>
    <cellStyle name="Normal 2 7 2 6 3 3 4" xfId="32158"/>
    <cellStyle name="Normal 2 7 2 6 3 3 5" xfId="32159"/>
    <cellStyle name="Normal 2 7 2 6 3 4" xfId="32160"/>
    <cellStyle name="Normal 2 7 2 6 3 4 2" xfId="32161"/>
    <cellStyle name="Normal 2 7 2 6 3 4 3" xfId="32162"/>
    <cellStyle name="Normal 2 7 2 6 3 4 4" xfId="32163"/>
    <cellStyle name="Normal 2 7 2 6 3 5" xfId="32164"/>
    <cellStyle name="Normal 2 7 2 6 3 5 2" xfId="32165"/>
    <cellStyle name="Normal 2 7 2 6 3 6" xfId="32166"/>
    <cellStyle name="Normal 2 7 2 6 3 7" xfId="32167"/>
    <cellStyle name="Normal 2 7 2 6 3 8" xfId="32168"/>
    <cellStyle name="Normal 2 7 2 6 3 9" xfId="32169"/>
    <cellStyle name="Normal 2 7 2 6 4" xfId="32170"/>
    <cellStyle name="Normal 2 7 2 6 4 2" xfId="32171"/>
    <cellStyle name="Normal 2 7 2 6 4 2 2" xfId="32172"/>
    <cellStyle name="Normal 2 7 2 6 4 2 3" xfId="32173"/>
    <cellStyle name="Normal 2 7 2 6 4 3" xfId="32174"/>
    <cellStyle name="Normal 2 7 2 6 4 4" xfId="32175"/>
    <cellStyle name="Normal 2 7 2 6 4 5" xfId="32176"/>
    <cellStyle name="Normal 2 7 2 6 4 6" xfId="32177"/>
    <cellStyle name="Normal 2 7 2 6 5" xfId="32178"/>
    <cellStyle name="Normal 2 7 2 6 5 2" xfId="32179"/>
    <cellStyle name="Normal 2 7 2 6 5 2 2" xfId="32180"/>
    <cellStyle name="Normal 2 7 2 6 5 3" xfId="32181"/>
    <cellStyle name="Normal 2 7 2 6 5 4" xfId="32182"/>
    <cellStyle name="Normal 2 7 2 6 5 5" xfId="32183"/>
    <cellStyle name="Normal 2 7 2 6 6" xfId="32184"/>
    <cellStyle name="Normal 2 7 2 6 6 2" xfId="32185"/>
    <cellStyle name="Normal 2 7 2 6 6 3" xfId="32186"/>
    <cellStyle name="Normal 2 7 2 6 6 4" xfId="32187"/>
    <cellStyle name="Normal 2 7 2 6 7" xfId="32188"/>
    <cellStyle name="Normal 2 7 2 6 7 2" xfId="32189"/>
    <cellStyle name="Normal 2 7 2 6 8" xfId="32190"/>
    <cellStyle name="Normal 2 7 2 6 9" xfId="32191"/>
    <cellStyle name="Normal 2 7 2 7" xfId="32192"/>
    <cellStyle name="Normal 2 7 2 7 10" xfId="32193"/>
    <cellStyle name="Normal 2 7 2 7 11" xfId="32194"/>
    <cellStyle name="Normal 2 7 2 7 2" xfId="32195"/>
    <cellStyle name="Normal 2 7 2 7 2 2" xfId="32196"/>
    <cellStyle name="Normal 2 7 2 7 2 2 2" xfId="32197"/>
    <cellStyle name="Normal 2 7 2 7 2 2 2 2" xfId="32198"/>
    <cellStyle name="Normal 2 7 2 7 2 2 2 3" xfId="32199"/>
    <cellStyle name="Normal 2 7 2 7 2 2 3" xfId="32200"/>
    <cellStyle name="Normal 2 7 2 7 2 2 4" xfId="32201"/>
    <cellStyle name="Normal 2 7 2 7 2 2 5" xfId="32202"/>
    <cellStyle name="Normal 2 7 2 7 2 2 6" xfId="32203"/>
    <cellStyle name="Normal 2 7 2 7 2 3" xfId="32204"/>
    <cellStyle name="Normal 2 7 2 7 2 3 2" xfId="32205"/>
    <cellStyle name="Normal 2 7 2 7 2 3 2 2" xfId="32206"/>
    <cellStyle name="Normal 2 7 2 7 2 3 3" xfId="32207"/>
    <cellStyle name="Normal 2 7 2 7 2 3 4" xfId="32208"/>
    <cellStyle name="Normal 2 7 2 7 2 3 5" xfId="32209"/>
    <cellStyle name="Normal 2 7 2 7 2 4" xfId="32210"/>
    <cellStyle name="Normal 2 7 2 7 2 4 2" xfId="32211"/>
    <cellStyle name="Normal 2 7 2 7 2 4 3" xfId="32212"/>
    <cellStyle name="Normal 2 7 2 7 2 4 4" xfId="32213"/>
    <cellStyle name="Normal 2 7 2 7 2 5" xfId="32214"/>
    <cellStyle name="Normal 2 7 2 7 2 5 2" xfId="32215"/>
    <cellStyle name="Normal 2 7 2 7 2 6" xfId="32216"/>
    <cellStyle name="Normal 2 7 2 7 2 7" xfId="32217"/>
    <cellStyle name="Normal 2 7 2 7 2 8" xfId="32218"/>
    <cellStyle name="Normal 2 7 2 7 2 9" xfId="32219"/>
    <cellStyle name="Normal 2 7 2 7 3" xfId="32220"/>
    <cellStyle name="Normal 2 7 2 7 3 2" xfId="32221"/>
    <cellStyle name="Normal 2 7 2 7 3 2 2" xfId="32222"/>
    <cellStyle name="Normal 2 7 2 7 3 2 2 2" xfId="32223"/>
    <cellStyle name="Normal 2 7 2 7 3 2 2 3" xfId="32224"/>
    <cellStyle name="Normal 2 7 2 7 3 2 3" xfId="32225"/>
    <cellStyle name="Normal 2 7 2 7 3 2 4" xfId="32226"/>
    <cellStyle name="Normal 2 7 2 7 3 2 5" xfId="32227"/>
    <cellStyle name="Normal 2 7 2 7 3 2 6" xfId="32228"/>
    <cellStyle name="Normal 2 7 2 7 3 3" xfId="32229"/>
    <cellStyle name="Normal 2 7 2 7 3 3 2" xfId="32230"/>
    <cellStyle name="Normal 2 7 2 7 3 3 2 2" xfId="32231"/>
    <cellStyle name="Normal 2 7 2 7 3 3 3" xfId="32232"/>
    <cellStyle name="Normal 2 7 2 7 3 3 4" xfId="32233"/>
    <cellStyle name="Normal 2 7 2 7 3 3 5" xfId="32234"/>
    <cellStyle name="Normal 2 7 2 7 3 4" xfId="32235"/>
    <cellStyle name="Normal 2 7 2 7 3 4 2" xfId="32236"/>
    <cellStyle name="Normal 2 7 2 7 3 4 3" xfId="32237"/>
    <cellStyle name="Normal 2 7 2 7 3 4 4" xfId="32238"/>
    <cellStyle name="Normal 2 7 2 7 3 5" xfId="32239"/>
    <cellStyle name="Normal 2 7 2 7 3 5 2" xfId="32240"/>
    <cellStyle name="Normal 2 7 2 7 3 6" xfId="32241"/>
    <cellStyle name="Normal 2 7 2 7 3 7" xfId="32242"/>
    <cellStyle name="Normal 2 7 2 7 3 8" xfId="32243"/>
    <cellStyle name="Normal 2 7 2 7 3 9" xfId="32244"/>
    <cellStyle name="Normal 2 7 2 7 4" xfId="32245"/>
    <cellStyle name="Normal 2 7 2 7 4 2" xfId="32246"/>
    <cellStyle name="Normal 2 7 2 7 4 2 2" xfId="32247"/>
    <cellStyle name="Normal 2 7 2 7 4 2 3" xfId="32248"/>
    <cellStyle name="Normal 2 7 2 7 4 3" xfId="32249"/>
    <cellStyle name="Normal 2 7 2 7 4 4" xfId="32250"/>
    <cellStyle name="Normal 2 7 2 7 4 5" xfId="32251"/>
    <cellStyle name="Normal 2 7 2 7 4 6" xfId="32252"/>
    <cellStyle name="Normal 2 7 2 7 5" xfId="32253"/>
    <cellStyle name="Normal 2 7 2 7 5 2" xfId="32254"/>
    <cellStyle name="Normal 2 7 2 7 5 2 2" xfId="32255"/>
    <cellStyle name="Normal 2 7 2 7 5 3" xfId="32256"/>
    <cellStyle name="Normal 2 7 2 7 5 4" xfId="32257"/>
    <cellStyle name="Normal 2 7 2 7 5 5" xfId="32258"/>
    <cellStyle name="Normal 2 7 2 7 6" xfId="32259"/>
    <cellStyle name="Normal 2 7 2 7 6 2" xfId="32260"/>
    <cellStyle name="Normal 2 7 2 7 6 3" xfId="32261"/>
    <cellStyle name="Normal 2 7 2 7 6 4" xfId="32262"/>
    <cellStyle name="Normal 2 7 2 7 7" xfId="32263"/>
    <cellStyle name="Normal 2 7 2 7 7 2" xfId="32264"/>
    <cellStyle name="Normal 2 7 2 7 8" xfId="32265"/>
    <cellStyle name="Normal 2 7 2 7 9" xfId="32266"/>
    <cellStyle name="Normal 2 7 2 8" xfId="32267"/>
    <cellStyle name="Normal 2 7 2 8 10" xfId="32268"/>
    <cellStyle name="Normal 2 7 2 8 2" xfId="32269"/>
    <cellStyle name="Normal 2 7 2 8 2 2" xfId="32270"/>
    <cellStyle name="Normal 2 7 2 8 2 2 2" xfId="32271"/>
    <cellStyle name="Normal 2 7 2 8 2 2 3" xfId="32272"/>
    <cellStyle name="Normal 2 7 2 8 2 3" xfId="32273"/>
    <cellStyle name="Normal 2 7 2 8 2 4" xfId="32274"/>
    <cellStyle name="Normal 2 7 2 8 2 5" xfId="32275"/>
    <cellStyle name="Normal 2 7 2 8 2 6" xfId="32276"/>
    <cellStyle name="Normal 2 7 2 8 3" xfId="32277"/>
    <cellStyle name="Normal 2 7 2 8 3 2" xfId="32278"/>
    <cellStyle name="Normal 2 7 2 8 3 2 2" xfId="32279"/>
    <cellStyle name="Normal 2 7 2 8 3 2 3" xfId="32280"/>
    <cellStyle name="Normal 2 7 2 8 3 3" xfId="32281"/>
    <cellStyle name="Normal 2 7 2 8 3 4" xfId="32282"/>
    <cellStyle name="Normal 2 7 2 8 3 5" xfId="32283"/>
    <cellStyle name="Normal 2 7 2 8 3 6" xfId="32284"/>
    <cellStyle name="Normal 2 7 2 8 4" xfId="32285"/>
    <cellStyle name="Normal 2 7 2 8 4 2" xfId="32286"/>
    <cellStyle name="Normal 2 7 2 8 4 2 2" xfId="32287"/>
    <cellStyle name="Normal 2 7 2 8 4 3" xfId="32288"/>
    <cellStyle name="Normal 2 7 2 8 4 4" xfId="32289"/>
    <cellStyle name="Normal 2 7 2 8 4 5" xfId="32290"/>
    <cellStyle name="Normal 2 7 2 8 5" xfId="32291"/>
    <cellStyle name="Normal 2 7 2 8 5 2" xfId="32292"/>
    <cellStyle name="Normal 2 7 2 8 5 3" xfId="32293"/>
    <cellStyle name="Normal 2 7 2 8 5 4" xfId="32294"/>
    <cellStyle name="Normal 2 7 2 8 6" xfId="32295"/>
    <cellStyle name="Normal 2 7 2 8 6 2" xfId="32296"/>
    <cellStyle name="Normal 2 7 2 8 7" xfId="32297"/>
    <cellStyle name="Normal 2 7 2 8 8" xfId="32298"/>
    <cellStyle name="Normal 2 7 2 8 9" xfId="32299"/>
    <cellStyle name="Normal 2 7 2 9" xfId="32300"/>
    <cellStyle name="Normal 2 7 2 9 10" xfId="32301"/>
    <cellStyle name="Normal 2 7 2 9 2" xfId="32302"/>
    <cellStyle name="Normal 2 7 2 9 2 2" xfId="32303"/>
    <cellStyle name="Normal 2 7 2 9 2 2 2" xfId="32304"/>
    <cellStyle name="Normal 2 7 2 9 2 2 3" xfId="32305"/>
    <cellStyle name="Normal 2 7 2 9 2 3" xfId="32306"/>
    <cellStyle name="Normal 2 7 2 9 2 4" xfId="32307"/>
    <cellStyle name="Normal 2 7 2 9 2 5" xfId="32308"/>
    <cellStyle name="Normal 2 7 2 9 2 6" xfId="32309"/>
    <cellStyle name="Normal 2 7 2 9 3" xfId="32310"/>
    <cellStyle name="Normal 2 7 2 9 3 2" xfId="32311"/>
    <cellStyle name="Normal 2 7 2 9 3 2 2" xfId="32312"/>
    <cellStyle name="Normal 2 7 2 9 3 2 3" xfId="32313"/>
    <cellStyle name="Normal 2 7 2 9 3 3" xfId="32314"/>
    <cellStyle name="Normal 2 7 2 9 3 4" xfId="32315"/>
    <cellStyle name="Normal 2 7 2 9 3 5" xfId="32316"/>
    <cellStyle name="Normal 2 7 2 9 3 6" xfId="32317"/>
    <cellStyle name="Normal 2 7 2 9 4" xfId="32318"/>
    <cellStyle name="Normal 2 7 2 9 4 2" xfId="32319"/>
    <cellStyle name="Normal 2 7 2 9 4 2 2" xfId="32320"/>
    <cellStyle name="Normal 2 7 2 9 4 3" xfId="32321"/>
    <cellStyle name="Normal 2 7 2 9 4 4" xfId="32322"/>
    <cellStyle name="Normal 2 7 2 9 4 5" xfId="32323"/>
    <cellStyle name="Normal 2 7 2 9 5" xfId="32324"/>
    <cellStyle name="Normal 2 7 2 9 5 2" xfId="32325"/>
    <cellStyle name="Normal 2 7 2 9 5 3" xfId="32326"/>
    <cellStyle name="Normal 2 7 2 9 5 4" xfId="32327"/>
    <cellStyle name="Normal 2 7 2 9 6" xfId="32328"/>
    <cellStyle name="Normal 2 7 2 9 6 2" xfId="32329"/>
    <cellStyle name="Normal 2 7 2 9 7" xfId="32330"/>
    <cellStyle name="Normal 2 7 2 9 8" xfId="32331"/>
    <cellStyle name="Normal 2 7 2 9 9" xfId="32332"/>
    <cellStyle name="Normal 2 7 20" xfId="32333"/>
    <cellStyle name="Normal 2 7 20 10" xfId="32334"/>
    <cellStyle name="Normal 2 7 20 2" xfId="32335"/>
    <cellStyle name="Normal 2 7 20 2 2" xfId="32336"/>
    <cellStyle name="Normal 2 7 20 2 2 2" xfId="32337"/>
    <cellStyle name="Normal 2 7 20 2 2 3" xfId="32338"/>
    <cellStyle name="Normal 2 7 20 2 3" xfId="32339"/>
    <cellStyle name="Normal 2 7 20 2 4" xfId="32340"/>
    <cellStyle name="Normal 2 7 20 2 5" xfId="32341"/>
    <cellStyle name="Normal 2 7 20 2 6" xfId="32342"/>
    <cellStyle name="Normal 2 7 20 3" xfId="32343"/>
    <cellStyle name="Normal 2 7 20 3 2" xfId="32344"/>
    <cellStyle name="Normal 2 7 20 3 2 2" xfId="32345"/>
    <cellStyle name="Normal 2 7 20 3 2 3" xfId="32346"/>
    <cellStyle name="Normal 2 7 20 3 3" xfId="32347"/>
    <cellStyle name="Normal 2 7 20 3 4" xfId="32348"/>
    <cellStyle name="Normal 2 7 20 3 5" xfId="32349"/>
    <cellStyle name="Normal 2 7 20 3 6" xfId="32350"/>
    <cellStyle name="Normal 2 7 20 4" xfId="32351"/>
    <cellStyle name="Normal 2 7 20 4 2" xfId="32352"/>
    <cellStyle name="Normal 2 7 20 4 2 2" xfId="32353"/>
    <cellStyle name="Normal 2 7 20 4 3" xfId="32354"/>
    <cellStyle name="Normal 2 7 20 4 4" xfId="32355"/>
    <cellStyle name="Normal 2 7 20 4 5" xfId="32356"/>
    <cellStyle name="Normal 2 7 20 5" xfId="32357"/>
    <cellStyle name="Normal 2 7 20 5 2" xfId="32358"/>
    <cellStyle name="Normal 2 7 20 5 3" xfId="32359"/>
    <cellStyle name="Normal 2 7 20 5 4" xfId="32360"/>
    <cellStyle name="Normal 2 7 20 6" xfId="32361"/>
    <cellStyle name="Normal 2 7 20 6 2" xfId="32362"/>
    <cellStyle name="Normal 2 7 20 7" xfId="32363"/>
    <cellStyle name="Normal 2 7 20 8" xfId="32364"/>
    <cellStyle name="Normal 2 7 20 9" xfId="32365"/>
    <cellStyle name="Normal 2 7 21" xfId="32366"/>
    <cellStyle name="Normal 2 7 21 10" xfId="32367"/>
    <cellStyle name="Normal 2 7 21 2" xfId="32368"/>
    <cellStyle name="Normal 2 7 21 2 2" xfId="32369"/>
    <cellStyle name="Normal 2 7 21 2 2 2" xfId="32370"/>
    <cellStyle name="Normal 2 7 21 2 2 3" xfId="32371"/>
    <cellStyle name="Normal 2 7 21 2 3" xfId="32372"/>
    <cellStyle name="Normal 2 7 21 2 4" xfId="32373"/>
    <cellStyle name="Normal 2 7 21 2 5" xfId="32374"/>
    <cellStyle name="Normal 2 7 21 2 6" xfId="32375"/>
    <cellStyle name="Normal 2 7 21 3" xfId="32376"/>
    <cellStyle name="Normal 2 7 21 3 2" xfId="32377"/>
    <cellStyle name="Normal 2 7 21 3 2 2" xfId="32378"/>
    <cellStyle name="Normal 2 7 21 3 2 3" xfId="32379"/>
    <cellStyle name="Normal 2 7 21 3 3" xfId="32380"/>
    <cellStyle name="Normal 2 7 21 3 4" xfId="32381"/>
    <cellStyle name="Normal 2 7 21 3 5" xfId="32382"/>
    <cellStyle name="Normal 2 7 21 3 6" xfId="32383"/>
    <cellStyle name="Normal 2 7 21 4" xfId="32384"/>
    <cellStyle name="Normal 2 7 21 4 2" xfId="32385"/>
    <cellStyle name="Normal 2 7 21 4 2 2" xfId="32386"/>
    <cellStyle name="Normal 2 7 21 4 3" xfId="32387"/>
    <cellStyle name="Normal 2 7 21 4 4" xfId="32388"/>
    <cellStyle name="Normal 2 7 21 4 5" xfId="32389"/>
    <cellStyle name="Normal 2 7 21 5" xfId="32390"/>
    <cellStyle name="Normal 2 7 21 5 2" xfId="32391"/>
    <cellStyle name="Normal 2 7 21 5 3" xfId="32392"/>
    <cellStyle name="Normal 2 7 21 5 4" xfId="32393"/>
    <cellStyle name="Normal 2 7 21 6" xfId="32394"/>
    <cellStyle name="Normal 2 7 21 6 2" xfId="32395"/>
    <cellStyle name="Normal 2 7 21 7" xfId="32396"/>
    <cellStyle name="Normal 2 7 21 8" xfId="32397"/>
    <cellStyle name="Normal 2 7 21 9" xfId="32398"/>
    <cellStyle name="Normal 2 7 22" xfId="32399"/>
    <cellStyle name="Normal 2 7 22 10" xfId="32400"/>
    <cellStyle name="Normal 2 7 22 2" xfId="32401"/>
    <cellStyle name="Normal 2 7 22 2 2" xfId="32402"/>
    <cellStyle name="Normal 2 7 22 2 2 2" xfId="32403"/>
    <cellStyle name="Normal 2 7 22 2 2 3" xfId="32404"/>
    <cellStyle name="Normal 2 7 22 2 3" xfId="32405"/>
    <cellStyle name="Normal 2 7 22 2 4" xfId="32406"/>
    <cellStyle name="Normal 2 7 22 2 5" xfId="32407"/>
    <cellStyle name="Normal 2 7 22 2 6" xfId="32408"/>
    <cellStyle name="Normal 2 7 22 3" xfId="32409"/>
    <cellStyle name="Normal 2 7 22 3 2" xfId="32410"/>
    <cellStyle name="Normal 2 7 22 3 2 2" xfId="32411"/>
    <cellStyle name="Normal 2 7 22 3 2 3" xfId="32412"/>
    <cellStyle name="Normal 2 7 22 3 3" xfId="32413"/>
    <cellStyle name="Normal 2 7 22 3 4" xfId="32414"/>
    <cellStyle name="Normal 2 7 22 3 5" xfId="32415"/>
    <cellStyle name="Normal 2 7 22 3 6" xfId="32416"/>
    <cellStyle name="Normal 2 7 22 4" xfId="32417"/>
    <cellStyle name="Normal 2 7 22 4 2" xfId="32418"/>
    <cellStyle name="Normal 2 7 22 4 2 2" xfId="32419"/>
    <cellStyle name="Normal 2 7 22 4 3" xfId="32420"/>
    <cellStyle name="Normal 2 7 22 4 4" xfId="32421"/>
    <cellStyle name="Normal 2 7 22 4 5" xfId="32422"/>
    <cellStyle name="Normal 2 7 22 5" xfId="32423"/>
    <cellStyle name="Normal 2 7 22 5 2" xfId="32424"/>
    <cellStyle name="Normal 2 7 22 5 3" xfId="32425"/>
    <cellStyle name="Normal 2 7 22 5 4" xfId="32426"/>
    <cellStyle name="Normal 2 7 22 6" xfId="32427"/>
    <cellStyle name="Normal 2 7 22 6 2" xfId="32428"/>
    <cellStyle name="Normal 2 7 22 7" xfId="32429"/>
    <cellStyle name="Normal 2 7 22 8" xfId="32430"/>
    <cellStyle name="Normal 2 7 22 9" xfId="32431"/>
    <cellStyle name="Normal 2 7 23" xfId="32432"/>
    <cellStyle name="Normal 2 7 23 10" xfId="32433"/>
    <cellStyle name="Normal 2 7 23 2" xfId="32434"/>
    <cellStyle name="Normal 2 7 23 2 2" xfId="32435"/>
    <cellStyle name="Normal 2 7 23 2 2 2" xfId="32436"/>
    <cellStyle name="Normal 2 7 23 2 2 3" xfId="32437"/>
    <cellStyle name="Normal 2 7 23 2 3" xfId="32438"/>
    <cellStyle name="Normal 2 7 23 2 4" xfId="32439"/>
    <cellStyle name="Normal 2 7 23 2 5" xfId="32440"/>
    <cellStyle name="Normal 2 7 23 2 6" xfId="32441"/>
    <cellStyle name="Normal 2 7 23 3" xfId="32442"/>
    <cellStyle name="Normal 2 7 23 3 2" xfId="32443"/>
    <cellStyle name="Normal 2 7 23 3 2 2" xfId="32444"/>
    <cellStyle name="Normal 2 7 23 3 2 3" xfId="32445"/>
    <cellStyle name="Normal 2 7 23 3 3" xfId="32446"/>
    <cellStyle name="Normal 2 7 23 3 4" xfId="32447"/>
    <cellStyle name="Normal 2 7 23 3 5" xfId="32448"/>
    <cellStyle name="Normal 2 7 23 3 6" xfId="32449"/>
    <cellStyle name="Normal 2 7 23 4" xfId="32450"/>
    <cellStyle name="Normal 2 7 23 4 2" xfId="32451"/>
    <cellStyle name="Normal 2 7 23 4 2 2" xfId="32452"/>
    <cellStyle name="Normal 2 7 23 4 3" xfId="32453"/>
    <cellStyle name="Normal 2 7 23 4 4" xfId="32454"/>
    <cellStyle name="Normal 2 7 23 4 5" xfId="32455"/>
    <cellStyle name="Normal 2 7 23 5" xfId="32456"/>
    <cellStyle name="Normal 2 7 23 5 2" xfId="32457"/>
    <cellStyle name="Normal 2 7 23 5 3" xfId="32458"/>
    <cellStyle name="Normal 2 7 23 5 4" xfId="32459"/>
    <cellStyle name="Normal 2 7 23 6" xfId="32460"/>
    <cellStyle name="Normal 2 7 23 6 2" xfId="32461"/>
    <cellStyle name="Normal 2 7 23 7" xfId="32462"/>
    <cellStyle name="Normal 2 7 23 8" xfId="32463"/>
    <cellStyle name="Normal 2 7 23 9" xfId="32464"/>
    <cellStyle name="Normal 2 7 24" xfId="32465"/>
    <cellStyle name="Normal 2 7 24 10" xfId="32466"/>
    <cellStyle name="Normal 2 7 24 2" xfId="32467"/>
    <cellStyle name="Normal 2 7 24 2 2" xfId="32468"/>
    <cellStyle name="Normal 2 7 24 2 2 2" xfId="32469"/>
    <cellStyle name="Normal 2 7 24 2 2 3" xfId="32470"/>
    <cellStyle name="Normal 2 7 24 2 3" xfId="32471"/>
    <cellStyle name="Normal 2 7 24 2 4" xfId="32472"/>
    <cellStyle name="Normal 2 7 24 2 5" xfId="32473"/>
    <cellStyle name="Normal 2 7 24 2 6" xfId="32474"/>
    <cellStyle name="Normal 2 7 24 3" xfId="32475"/>
    <cellStyle name="Normal 2 7 24 3 2" xfId="32476"/>
    <cellStyle name="Normal 2 7 24 3 2 2" xfId="32477"/>
    <cellStyle name="Normal 2 7 24 3 2 3" xfId="32478"/>
    <cellStyle name="Normal 2 7 24 3 3" xfId="32479"/>
    <cellStyle name="Normal 2 7 24 3 4" xfId="32480"/>
    <cellStyle name="Normal 2 7 24 3 5" xfId="32481"/>
    <cellStyle name="Normal 2 7 24 3 6" xfId="32482"/>
    <cellStyle name="Normal 2 7 24 4" xfId="32483"/>
    <cellStyle name="Normal 2 7 24 4 2" xfId="32484"/>
    <cellStyle name="Normal 2 7 24 4 2 2" xfId="32485"/>
    <cellStyle name="Normal 2 7 24 4 3" xfId="32486"/>
    <cellStyle name="Normal 2 7 24 4 4" xfId="32487"/>
    <cellStyle name="Normal 2 7 24 4 5" xfId="32488"/>
    <cellStyle name="Normal 2 7 24 5" xfId="32489"/>
    <cellStyle name="Normal 2 7 24 5 2" xfId="32490"/>
    <cellStyle name="Normal 2 7 24 5 3" xfId="32491"/>
    <cellStyle name="Normal 2 7 24 5 4" xfId="32492"/>
    <cellStyle name="Normal 2 7 24 6" xfId="32493"/>
    <cellStyle name="Normal 2 7 24 6 2" xfId="32494"/>
    <cellStyle name="Normal 2 7 24 7" xfId="32495"/>
    <cellStyle name="Normal 2 7 24 8" xfId="32496"/>
    <cellStyle name="Normal 2 7 24 9" xfId="32497"/>
    <cellStyle name="Normal 2 7 25" xfId="32498"/>
    <cellStyle name="Normal 2 7 25 10" xfId="32499"/>
    <cellStyle name="Normal 2 7 25 2" xfId="32500"/>
    <cellStyle name="Normal 2 7 25 2 2" xfId="32501"/>
    <cellStyle name="Normal 2 7 25 2 2 2" xfId="32502"/>
    <cellStyle name="Normal 2 7 25 2 2 3" xfId="32503"/>
    <cellStyle name="Normal 2 7 25 2 3" xfId="32504"/>
    <cellStyle name="Normal 2 7 25 2 4" xfId="32505"/>
    <cellStyle name="Normal 2 7 25 2 5" xfId="32506"/>
    <cellStyle name="Normal 2 7 25 2 6" xfId="32507"/>
    <cellStyle name="Normal 2 7 25 3" xfId="32508"/>
    <cellStyle name="Normal 2 7 25 3 2" xfId="32509"/>
    <cellStyle name="Normal 2 7 25 3 2 2" xfId="32510"/>
    <cellStyle name="Normal 2 7 25 3 2 3" xfId="32511"/>
    <cellStyle name="Normal 2 7 25 3 3" xfId="32512"/>
    <cellStyle name="Normal 2 7 25 3 4" xfId="32513"/>
    <cellStyle name="Normal 2 7 25 3 5" xfId="32514"/>
    <cellStyle name="Normal 2 7 25 3 6" xfId="32515"/>
    <cellStyle name="Normal 2 7 25 4" xfId="32516"/>
    <cellStyle name="Normal 2 7 25 4 2" xfId="32517"/>
    <cellStyle name="Normal 2 7 25 4 2 2" xfId="32518"/>
    <cellStyle name="Normal 2 7 25 4 3" xfId="32519"/>
    <cellStyle name="Normal 2 7 25 4 4" xfId="32520"/>
    <cellStyle name="Normal 2 7 25 4 5" xfId="32521"/>
    <cellStyle name="Normal 2 7 25 5" xfId="32522"/>
    <cellStyle name="Normal 2 7 25 5 2" xfId="32523"/>
    <cellStyle name="Normal 2 7 25 5 3" xfId="32524"/>
    <cellStyle name="Normal 2 7 25 5 4" xfId="32525"/>
    <cellStyle name="Normal 2 7 25 6" xfId="32526"/>
    <cellStyle name="Normal 2 7 25 6 2" xfId="32527"/>
    <cellStyle name="Normal 2 7 25 7" xfId="32528"/>
    <cellStyle name="Normal 2 7 25 8" xfId="32529"/>
    <cellStyle name="Normal 2 7 25 9" xfId="32530"/>
    <cellStyle name="Normal 2 7 26" xfId="32531"/>
    <cellStyle name="Normal 2 7 26 10" xfId="32532"/>
    <cellStyle name="Normal 2 7 26 2" xfId="32533"/>
    <cellStyle name="Normal 2 7 26 2 2" xfId="32534"/>
    <cellStyle name="Normal 2 7 26 2 2 2" xfId="32535"/>
    <cellStyle name="Normal 2 7 26 2 2 3" xfId="32536"/>
    <cellStyle name="Normal 2 7 26 2 3" xfId="32537"/>
    <cellStyle name="Normal 2 7 26 2 4" xfId="32538"/>
    <cellStyle name="Normal 2 7 26 2 5" xfId="32539"/>
    <cellStyle name="Normal 2 7 26 2 6" xfId="32540"/>
    <cellStyle name="Normal 2 7 26 3" xfId="32541"/>
    <cellStyle name="Normal 2 7 26 3 2" xfId="32542"/>
    <cellStyle name="Normal 2 7 26 3 2 2" xfId="32543"/>
    <cellStyle name="Normal 2 7 26 3 2 3" xfId="32544"/>
    <cellStyle name="Normal 2 7 26 3 3" xfId="32545"/>
    <cellStyle name="Normal 2 7 26 3 4" xfId="32546"/>
    <cellStyle name="Normal 2 7 26 3 5" xfId="32547"/>
    <cellStyle name="Normal 2 7 26 3 6" xfId="32548"/>
    <cellStyle name="Normal 2 7 26 4" xfId="32549"/>
    <cellStyle name="Normal 2 7 26 4 2" xfId="32550"/>
    <cellStyle name="Normal 2 7 26 4 2 2" xfId="32551"/>
    <cellStyle name="Normal 2 7 26 4 3" xfId="32552"/>
    <cellStyle name="Normal 2 7 26 4 4" xfId="32553"/>
    <cellStyle name="Normal 2 7 26 4 5" xfId="32554"/>
    <cellStyle name="Normal 2 7 26 5" xfId="32555"/>
    <cellStyle name="Normal 2 7 26 5 2" xfId="32556"/>
    <cellStyle name="Normal 2 7 26 5 3" xfId="32557"/>
    <cellStyle name="Normal 2 7 26 5 4" xfId="32558"/>
    <cellStyle name="Normal 2 7 26 6" xfId="32559"/>
    <cellStyle name="Normal 2 7 26 6 2" xfId="32560"/>
    <cellStyle name="Normal 2 7 26 7" xfId="32561"/>
    <cellStyle name="Normal 2 7 26 8" xfId="32562"/>
    <cellStyle name="Normal 2 7 26 9" xfId="32563"/>
    <cellStyle name="Normal 2 7 27" xfId="32564"/>
    <cellStyle name="Normal 2 7 27 10" xfId="32565"/>
    <cellStyle name="Normal 2 7 27 2" xfId="32566"/>
    <cellStyle name="Normal 2 7 27 2 2" xfId="32567"/>
    <cellStyle name="Normal 2 7 27 2 2 2" xfId="32568"/>
    <cellStyle name="Normal 2 7 27 2 2 3" xfId="32569"/>
    <cellStyle name="Normal 2 7 27 2 3" xfId="32570"/>
    <cellStyle name="Normal 2 7 27 2 4" xfId="32571"/>
    <cellStyle name="Normal 2 7 27 2 5" xfId="32572"/>
    <cellStyle name="Normal 2 7 27 2 6" xfId="32573"/>
    <cellStyle name="Normal 2 7 27 3" xfId="32574"/>
    <cellStyle name="Normal 2 7 27 3 2" xfId="32575"/>
    <cellStyle name="Normal 2 7 27 3 2 2" xfId="32576"/>
    <cellStyle name="Normal 2 7 27 3 2 3" xfId="32577"/>
    <cellStyle name="Normal 2 7 27 3 3" xfId="32578"/>
    <cellStyle name="Normal 2 7 27 3 4" xfId="32579"/>
    <cellStyle name="Normal 2 7 27 3 5" xfId="32580"/>
    <cellStyle name="Normal 2 7 27 3 6" xfId="32581"/>
    <cellStyle name="Normal 2 7 27 4" xfId="32582"/>
    <cellStyle name="Normal 2 7 27 4 2" xfId="32583"/>
    <cellStyle name="Normal 2 7 27 4 2 2" xfId="32584"/>
    <cellStyle name="Normal 2 7 27 4 3" xfId="32585"/>
    <cellStyle name="Normal 2 7 27 4 4" xfId="32586"/>
    <cellStyle name="Normal 2 7 27 4 5" xfId="32587"/>
    <cellStyle name="Normal 2 7 27 5" xfId="32588"/>
    <cellStyle name="Normal 2 7 27 5 2" xfId="32589"/>
    <cellStyle name="Normal 2 7 27 5 3" xfId="32590"/>
    <cellStyle name="Normal 2 7 27 5 4" xfId="32591"/>
    <cellStyle name="Normal 2 7 27 6" xfId="32592"/>
    <cellStyle name="Normal 2 7 27 6 2" xfId="32593"/>
    <cellStyle name="Normal 2 7 27 7" xfId="32594"/>
    <cellStyle name="Normal 2 7 27 8" xfId="32595"/>
    <cellStyle name="Normal 2 7 27 9" xfId="32596"/>
    <cellStyle name="Normal 2 7 28" xfId="32597"/>
    <cellStyle name="Normal 2 7 28 10" xfId="32598"/>
    <cellStyle name="Normal 2 7 28 2" xfId="32599"/>
    <cellStyle name="Normal 2 7 28 2 2" xfId="32600"/>
    <cellStyle name="Normal 2 7 28 2 2 2" xfId="32601"/>
    <cellStyle name="Normal 2 7 28 2 2 3" xfId="32602"/>
    <cellStyle name="Normal 2 7 28 2 3" xfId="32603"/>
    <cellStyle name="Normal 2 7 28 2 4" xfId="32604"/>
    <cellStyle name="Normal 2 7 28 2 5" xfId="32605"/>
    <cellStyle name="Normal 2 7 28 2 6" xfId="32606"/>
    <cellStyle name="Normal 2 7 28 3" xfId="32607"/>
    <cellStyle name="Normal 2 7 28 3 2" xfId="32608"/>
    <cellStyle name="Normal 2 7 28 3 2 2" xfId="32609"/>
    <cellStyle name="Normal 2 7 28 3 2 3" xfId="32610"/>
    <cellStyle name="Normal 2 7 28 3 3" xfId="32611"/>
    <cellStyle name="Normal 2 7 28 3 4" xfId="32612"/>
    <cellStyle name="Normal 2 7 28 3 5" xfId="32613"/>
    <cellStyle name="Normal 2 7 28 3 6" xfId="32614"/>
    <cellStyle name="Normal 2 7 28 4" xfId="32615"/>
    <cellStyle name="Normal 2 7 28 4 2" xfId="32616"/>
    <cellStyle name="Normal 2 7 28 4 2 2" xfId="32617"/>
    <cellStyle name="Normal 2 7 28 4 3" xfId="32618"/>
    <cellStyle name="Normal 2 7 28 4 4" xfId="32619"/>
    <cellStyle name="Normal 2 7 28 4 5" xfId="32620"/>
    <cellStyle name="Normal 2 7 28 5" xfId="32621"/>
    <cellStyle name="Normal 2 7 28 5 2" xfId="32622"/>
    <cellStyle name="Normal 2 7 28 5 3" xfId="32623"/>
    <cellStyle name="Normal 2 7 28 5 4" xfId="32624"/>
    <cellStyle name="Normal 2 7 28 6" xfId="32625"/>
    <cellStyle name="Normal 2 7 28 6 2" xfId="32626"/>
    <cellStyle name="Normal 2 7 28 7" xfId="32627"/>
    <cellStyle name="Normal 2 7 28 8" xfId="32628"/>
    <cellStyle name="Normal 2 7 28 9" xfId="32629"/>
    <cellStyle name="Normal 2 7 29" xfId="32630"/>
    <cellStyle name="Normal 2 7 29 10" xfId="32631"/>
    <cellStyle name="Normal 2 7 29 2" xfId="32632"/>
    <cellStyle name="Normal 2 7 29 2 2" xfId="32633"/>
    <cellStyle name="Normal 2 7 29 2 2 2" xfId="32634"/>
    <cellStyle name="Normal 2 7 29 2 2 3" xfId="32635"/>
    <cellStyle name="Normal 2 7 29 2 3" xfId="32636"/>
    <cellStyle name="Normal 2 7 29 2 4" xfId="32637"/>
    <cellStyle name="Normal 2 7 29 2 5" xfId="32638"/>
    <cellStyle name="Normal 2 7 29 2 6" xfId="32639"/>
    <cellStyle name="Normal 2 7 29 3" xfId="32640"/>
    <cellStyle name="Normal 2 7 29 3 2" xfId="32641"/>
    <cellStyle name="Normal 2 7 29 3 2 2" xfId="32642"/>
    <cellStyle name="Normal 2 7 29 3 2 3" xfId="32643"/>
    <cellStyle name="Normal 2 7 29 3 3" xfId="32644"/>
    <cellStyle name="Normal 2 7 29 3 4" xfId="32645"/>
    <cellStyle name="Normal 2 7 29 3 5" xfId="32646"/>
    <cellStyle name="Normal 2 7 29 3 6" xfId="32647"/>
    <cellStyle name="Normal 2 7 29 4" xfId="32648"/>
    <cellStyle name="Normal 2 7 29 4 2" xfId="32649"/>
    <cellStyle name="Normal 2 7 29 4 2 2" xfId="32650"/>
    <cellStyle name="Normal 2 7 29 4 3" xfId="32651"/>
    <cellStyle name="Normal 2 7 29 4 4" xfId="32652"/>
    <cellStyle name="Normal 2 7 29 4 5" xfId="32653"/>
    <cellStyle name="Normal 2 7 29 5" xfId="32654"/>
    <cellStyle name="Normal 2 7 29 5 2" xfId="32655"/>
    <cellStyle name="Normal 2 7 29 5 3" xfId="32656"/>
    <cellStyle name="Normal 2 7 29 5 4" xfId="32657"/>
    <cellStyle name="Normal 2 7 29 6" xfId="32658"/>
    <cellStyle name="Normal 2 7 29 6 2" xfId="32659"/>
    <cellStyle name="Normal 2 7 29 7" xfId="32660"/>
    <cellStyle name="Normal 2 7 29 8" xfId="32661"/>
    <cellStyle name="Normal 2 7 29 9" xfId="32662"/>
    <cellStyle name="Normal 2 7 3" xfId="32663"/>
    <cellStyle name="Normal 2 7 3 10" xfId="32664"/>
    <cellStyle name="Normal 2 7 3 10 10" xfId="32665"/>
    <cellStyle name="Normal 2 7 3 10 2" xfId="32666"/>
    <cellStyle name="Normal 2 7 3 10 2 2" xfId="32667"/>
    <cellStyle name="Normal 2 7 3 10 2 2 2" xfId="32668"/>
    <cellStyle name="Normal 2 7 3 10 2 2 3" xfId="32669"/>
    <cellStyle name="Normal 2 7 3 10 2 3" xfId="32670"/>
    <cellStyle name="Normal 2 7 3 10 2 4" xfId="32671"/>
    <cellStyle name="Normal 2 7 3 10 2 5" xfId="32672"/>
    <cellStyle name="Normal 2 7 3 10 2 6" xfId="32673"/>
    <cellStyle name="Normal 2 7 3 10 3" xfId="32674"/>
    <cellStyle name="Normal 2 7 3 10 3 2" xfId="32675"/>
    <cellStyle name="Normal 2 7 3 10 3 2 2" xfId="32676"/>
    <cellStyle name="Normal 2 7 3 10 3 2 3" xfId="32677"/>
    <cellStyle name="Normal 2 7 3 10 3 3" xfId="32678"/>
    <cellStyle name="Normal 2 7 3 10 3 4" xfId="32679"/>
    <cellStyle name="Normal 2 7 3 10 3 5" xfId="32680"/>
    <cellStyle name="Normal 2 7 3 10 3 6" xfId="32681"/>
    <cellStyle name="Normal 2 7 3 10 4" xfId="32682"/>
    <cellStyle name="Normal 2 7 3 10 4 2" xfId="32683"/>
    <cellStyle name="Normal 2 7 3 10 4 2 2" xfId="32684"/>
    <cellStyle name="Normal 2 7 3 10 4 3" xfId="32685"/>
    <cellStyle name="Normal 2 7 3 10 4 4" xfId="32686"/>
    <cellStyle name="Normal 2 7 3 10 4 5" xfId="32687"/>
    <cellStyle name="Normal 2 7 3 10 5" xfId="32688"/>
    <cellStyle name="Normal 2 7 3 10 5 2" xfId="32689"/>
    <cellStyle name="Normal 2 7 3 10 5 3" xfId="32690"/>
    <cellStyle name="Normal 2 7 3 10 5 4" xfId="32691"/>
    <cellStyle name="Normal 2 7 3 10 6" xfId="32692"/>
    <cellStyle name="Normal 2 7 3 10 6 2" xfId="32693"/>
    <cellStyle name="Normal 2 7 3 10 7" xfId="32694"/>
    <cellStyle name="Normal 2 7 3 10 8" xfId="32695"/>
    <cellStyle name="Normal 2 7 3 10 9" xfId="32696"/>
    <cellStyle name="Normal 2 7 3 11" xfId="32697"/>
    <cellStyle name="Normal 2 7 3 11 10" xfId="32698"/>
    <cellStyle name="Normal 2 7 3 11 2" xfId="32699"/>
    <cellStyle name="Normal 2 7 3 11 2 2" xfId="32700"/>
    <cellStyle name="Normal 2 7 3 11 2 2 2" xfId="32701"/>
    <cellStyle name="Normal 2 7 3 11 2 2 3" xfId="32702"/>
    <cellStyle name="Normal 2 7 3 11 2 3" xfId="32703"/>
    <cellStyle name="Normal 2 7 3 11 2 4" xfId="32704"/>
    <cellStyle name="Normal 2 7 3 11 2 5" xfId="32705"/>
    <cellStyle name="Normal 2 7 3 11 2 6" xfId="32706"/>
    <cellStyle name="Normal 2 7 3 11 3" xfId="32707"/>
    <cellStyle name="Normal 2 7 3 11 3 2" xfId="32708"/>
    <cellStyle name="Normal 2 7 3 11 3 2 2" xfId="32709"/>
    <cellStyle name="Normal 2 7 3 11 3 2 3" xfId="32710"/>
    <cellStyle name="Normal 2 7 3 11 3 3" xfId="32711"/>
    <cellStyle name="Normal 2 7 3 11 3 4" xfId="32712"/>
    <cellStyle name="Normal 2 7 3 11 3 5" xfId="32713"/>
    <cellStyle name="Normal 2 7 3 11 3 6" xfId="32714"/>
    <cellStyle name="Normal 2 7 3 11 4" xfId="32715"/>
    <cellStyle name="Normal 2 7 3 11 4 2" xfId="32716"/>
    <cellStyle name="Normal 2 7 3 11 4 2 2" xfId="32717"/>
    <cellStyle name="Normal 2 7 3 11 4 3" xfId="32718"/>
    <cellStyle name="Normal 2 7 3 11 4 4" xfId="32719"/>
    <cellStyle name="Normal 2 7 3 11 4 5" xfId="32720"/>
    <cellStyle name="Normal 2 7 3 11 5" xfId="32721"/>
    <cellStyle name="Normal 2 7 3 11 5 2" xfId="32722"/>
    <cellStyle name="Normal 2 7 3 11 5 3" xfId="32723"/>
    <cellStyle name="Normal 2 7 3 11 5 4" xfId="32724"/>
    <cellStyle name="Normal 2 7 3 11 6" xfId="32725"/>
    <cellStyle name="Normal 2 7 3 11 6 2" xfId="32726"/>
    <cellStyle name="Normal 2 7 3 11 7" xfId="32727"/>
    <cellStyle name="Normal 2 7 3 11 8" xfId="32728"/>
    <cellStyle name="Normal 2 7 3 11 9" xfId="32729"/>
    <cellStyle name="Normal 2 7 3 12" xfId="32730"/>
    <cellStyle name="Normal 2 7 3 12 10" xfId="32731"/>
    <cellStyle name="Normal 2 7 3 12 2" xfId="32732"/>
    <cellStyle name="Normal 2 7 3 12 2 2" xfId="32733"/>
    <cellStyle name="Normal 2 7 3 12 2 2 2" xfId="32734"/>
    <cellStyle name="Normal 2 7 3 12 2 2 3" xfId="32735"/>
    <cellStyle name="Normal 2 7 3 12 2 3" xfId="32736"/>
    <cellStyle name="Normal 2 7 3 12 2 4" xfId="32737"/>
    <cellStyle name="Normal 2 7 3 12 2 5" xfId="32738"/>
    <cellStyle name="Normal 2 7 3 12 2 6" xfId="32739"/>
    <cellStyle name="Normal 2 7 3 12 3" xfId="32740"/>
    <cellStyle name="Normal 2 7 3 12 3 2" xfId="32741"/>
    <cellStyle name="Normal 2 7 3 12 3 2 2" xfId="32742"/>
    <cellStyle name="Normal 2 7 3 12 3 2 3" xfId="32743"/>
    <cellStyle name="Normal 2 7 3 12 3 3" xfId="32744"/>
    <cellStyle name="Normal 2 7 3 12 3 4" xfId="32745"/>
    <cellStyle name="Normal 2 7 3 12 3 5" xfId="32746"/>
    <cellStyle name="Normal 2 7 3 12 3 6" xfId="32747"/>
    <cellStyle name="Normal 2 7 3 12 4" xfId="32748"/>
    <cellStyle name="Normal 2 7 3 12 4 2" xfId="32749"/>
    <cellStyle name="Normal 2 7 3 12 4 2 2" xfId="32750"/>
    <cellStyle name="Normal 2 7 3 12 4 3" xfId="32751"/>
    <cellStyle name="Normal 2 7 3 12 4 4" xfId="32752"/>
    <cellStyle name="Normal 2 7 3 12 4 5" xfId="32753"/>
    <cellStyle name="Normal 2 7 3 12 5" xfId="32754"/>
    <cellStyle name="Normal 2 7 3 12 5 2" xfId="32755"/>
    <cellStyle name="Normal 2 7 3 12 5 3" xfId="32756"/>
    <cellStyle name="Normal 2 7 3 12 5 4" xfId="32757"/>
    <cellStyle name="Normal 2 7 3 12 6" xfId="32758"/>
    <cellStyle name="Normal 2 7 3 12 6 2" xfId="32759"/>
    <cellStyle name="Normal 2 7 3 12 7" xfId="32760"/>
    <cellStyle name="Normal 2 7 3 12 8" xfId="32761"/>
    <cellStyle name="Normal 2 7 3 12 9" xfId="32762"/>
    <cellStyle name="Normal 2 7 3 13" xfId="32763"/>
    <cellStyle name="Normal 2 7 3 13 2" xfId="32764"/>
    <cellStyle name="Normal 2 7 3 13 2 2" xfId="32765"/>
    <cellStyle name="Normal 2 7 3 13 2 2 2" xfId="32766"/>
    <cellStyle name="Normal 2 7 3 13 2 2 3" xfId="32767"/>
    <cellStyle name="Normal 2 7 3 13 2 3" xfId="32768"/>
    <cellStyle name="Normal 2 7 3 13 2 4" xfId="32769"/>
    <cellStyle name="Normal 2 7 3 13 2 5" xfId="32770"/>
    <cellStyle name="Normal 2 7 3 13 2 6" xfId="32771"/>
    <cellStyle name="Normal 2 7 3 13 3" xfId="32772"/>
    <cellStyle name="Normal 2 7 3 13 3 2" xfId="32773"/>
    <cellStyle name="Normal 2 7 3 13 3 2 2" xfId="32774"/>
    <cellStyle name="Normal 2 7 3 13 3 3" xfId="32775"/>
    <cellStyle name="Normal 2 7 3 13 3 4" xfId="32776"/>
    <cellStyle name="Normal 2 7 3 13 3 5" xfId="32777"/>
    <cellStyle name="Normal 2 7 3 13 4" xfId="32778"/>
    <cellStyle name="Normal 2 7 3 13 4 2" xfId="32779"/>
    <cellStyle name="Normal 2 7 3 13 4 3" xfId="32780"/>
    <cellStyle name="Normal 2 7 3 13 4 4" xfId="32781"/>
    <cellStyle name="Normal 2 7 3 13 5" xfId="32782"/>
    <cellStyle name="Normal 2 7 3 13 5 2" xfId="32783"/>
    <cellStyle name="Normal 2 7 3 13 6" xfId="32784"/>
    <cellStyle name="Normal 2 7 3 13 7" xfId="32785"/>
    <cellStyle name="Normal 2 7 3 13 8" xfId="32786"/>
    <cellStyle name="Normal 2 7 3 13 9" xfId="32787"/>
    <cellStyle name="Normal 2 7 3 14" xfId="32788"/>
    <cellStyle name="Normal 2 7 3 14 2" xfId="32789"/>
    <cellStyle name="Normal 2 7 3 14 2 2" xfId="32790"/>
    <cellStyle name="Normal 2 7 3 14 2 2 2" xfId="32791"/>
    <cellStyle name="Normal 2 7 3 14 2 2 3" xfId="32792"/>
    <cellStyle name="Normal 2 7 3 14 2 3" xfId="32793"/>
    <cellStyle name="Normal 2 7 3 14 2 4" xfId="32794"/>
    <cellStyle name="Normal 2 7 3 14 2 5" xfId="32795"/>
    <cellStyle name="Normal 2 7 3 14 2 6" xfId="32796"/>
    <cellStyle name="Normal 2 7 3 14 3" xfId="32797"/>
    <cellStyle name="Normal 2 7 3 14 3 2" xfId="32798"/>
    <cellStyle name="Normal 2 7 3 14 3 2 2" xfId="32799"/>
    <cellStyle name="Normal 2 7 3 14 3 3" xfId="32800"/>
    <cellStyle name="Normal 2 7 3 14 3 4" xfId="32801"/>
    <cellStyle name="Normal 2 7 3 14 3 5" xfId="32802"/>
    <cellStyle name="Normal 2 7 3 14 4" xfId="32803"/>
    <cellStyle name="Normal 2 7 3 14 4 2" xfId="32804"/>
    <cellStyle name="Normal 2 7 3 14 4 3" xfId="32805"/>
    <cellStyle name="Normal 2 7 3 14 4 4" xfId="32806"/>
    <cellStyle name="Normal 2 7 3 14 5" xfId="32807"/>
    <cellStyle name="Normal 2 7 3 14 5 2" xfId="32808"/>
    <cellStyle name="Normal 2 7 3 14 6" xfId="32809"/>
    <cellStyle name="Normal 2 7 3 14 7" xfId="32810"/>
    <cellStyle name="Normal 2 7 3 14 8" xfId="32811"/>
    <cellStyle name="Normal 2 7 3 14 9" xfId="32812"/>
    <cellStyle name="Normal 2 7 3 15" xfId="32813"/>
    <cellStyle name="Normal 2 7 3 15 2" xfId="32814"/>
    <cellStyle name="Normal 2 7 3 15 2 2" xfId="32815"/>
    <cellStyle name="Normal 2 7 3 15 2 3" xfId="32816"/>
    <cellStyle name="Normal 2 7 3 15 3" xfId="32817"/>
    <cellStyle name="Normal 2 7 3 15 4" xfId="32818"/>
    <cellStyle name="Normal 2 7 3 15 5" xfId="32819"/>
    <cellStyle name="Normal 2 7 3 15 6" xfId="32820"/>
    <cellStyle name="Normal 2 7 3 16" xfId="32821"/>
    <cellStyle name="Normal 2 7 3 16 2" xfId="32822"/>
    <cellStyle name="Normal 2 7 3 16 2 2" xfId="32823"/>
    <cellStyle name="Normal 2 7 3 16 3" xfId="32824"/>
    <cellStyle name="Normal 2 7 3 16 4" xfId="32825"/>
    <cellStyle name="Normal 2 7 3 16 5" xfId="32826"/>
    <cellStyle name="Normal 2 7 3 17" xfId="32827"/>
    <cellStyle name="Normal 2 7 3 17 2" xfId="32828"/>
    <cellStyle name="Normal 2 7 3 17 2 2" xfId="32829"/>
    <cellStyle name="Normal 2 7 3 17 3" xfId="32830"/>
    <cellStyle name="Normal 2 7 3 17 4" xfId="32831"/>
    <cellStyle name="Normal 2 7 3 17 5" xfId="32832"/>
    <cellStyle name="Normal 2 7 3 18" xfId="32833"/>
    <cellStyle name="Normal 2 7 3 18 2" xfId="32834"/>
    <cellStyle name="Normal 2 7 3 19" xfId="32835"/>
    <cellStyle name="Normal 2 7 3 2" xfId="32836"/>
    <cellStyle name="Normal 2 7 3 2 10" xfId="32837"/>
    <cellStyle name="Normal 2 7 3 2 11" xfId="32838"/>
    <cellStyle name="Normal 2 7 3 2 2" xfId="32839"/>
    <cellStyle name="Normal 2 7 3 2 2 2" xfId="32840"/>
    <cellStyle name="Normal 2 7 3 2 2 2 2" xfId="32841"/>
    <cellStyle name="Normal 2 7 3 2 2 2 2 2" xfId="32842"/>
    <cellStyle name="Normal 2 7 3 2 2 2 2 3" xfId="32843"/>
    <cellStyle name="Normal 2 7 3 2 2 2 3" xfId="32844"/>
    <cellStyle name="Normal 2 7 3 2 2 2 4" xfId="32845"/>
    <cellStyle name="Normal 2 7 3 2 2 2 5" xfId="32846"/>
    <cellStyle name="Normal 2 7 3 2 2 2 6" xfId="32847"/>
    <cellStyle name="Normal 2 7 3 2 2 3" xfId="32848"/>
    <cellStyle name="Normal 2 7 3 2 2 3 2" xfId="32849"/>
    <cellStyle name="Normal 2 7 3 2 2 3 2 2" xfId="32850"/>
    <cellStyle name="Normal 2 7 3 2 2 3 3" xfId="32851"/>
    <cellStyle name="Normal 2 7 3 2 2 3 4" xfId="32852"/>
    <cellStyle name="Normal 2 7 3 2 2 3 5" xfId="32853"/>
    <cellStyle name="Normal 2 7 3 2 2 4" xfId="32854"/>
    <cellStyle name="Normal 2 7 3 2 2 4 2" xfId="32855"/>
    <cellStyle name="Normal 2 7 3 2 2 4 3" xfId="32856"/>
    <cellStyle name="Normal 2 7 3 2 2 4 4" xfId="32857"/>
    <cellStyle name="Normal 2 7 3 2 2 5" xfId="32858"/>
    <cellStyle name="Normal 2 7 3 2 2 5 2" xfId="32859"/>
    <cellStyle name="Normal 2 7 3 2 2 6" xfId="32860"/>
    <cellStyle name="Normal 2 7 3 2 2 7" xfId="32861"/>
    <cellStyle name="Normal 2 7 3 2 2 8" xfId="32862"/>
    <cellStyle name="Normal 2 7 3 2 2 9" xfId="32863"/>
    <cellStyle name="Normal 2 7 3 2 3" xfId="32864"/>
    <cellStyle name="Normal 2 7 3 2 3 2" xfId="32865"/>
    <cellStyle name="Normal 2 7 3 2 3 2 2" xfId="32866"/>
    <cellStyle name="Normal 2 7 3 2 3 2 2 2" xfId="32867"/>
    <cellStyle name="Normal 2 7 3 2 3 2 2 3" xfId="32868"/>
    <cellStyle name="Normal 2 7 3 2 3 2 3" xfId="32869"/>
    <cellStyle name="Normal 2 7 3 2 3 2 4" xfId="32870"/>
    <cellStyle name="Normal 2 7 3 2 3 2 5" xfId="32871"/>
    <cellStyle name="Normal 2 7 3 2 3 2 6" xfId="32872"/>
    <cellStyle name="Normal 2 7 3 2 3 3" xfId="32873"/>
    <cellStyle name="Normal 2 7 3 2 3 3 2" xfId="32874"/>
    <cellStyle name="Normal 2 7 3 2 3 3 2 2" xfId="32875"/>
    <cellStyle name="Normal 2 7 3 2 3 3 3" xfId="32876"/>
    <cellStyle name="Normal 2 7 3 2 3 3 4" xfId="32877"/>
    <cellStyle name="Normal 2 7 3 2 3 3 5" xfId="32878"/>
    <cellStyle name="Normal 2 7 3 2 3 4" xfId="32879"/>
    <cellStyle name="Normal 2 7 3 2 3 4 2" xfId="32880"/>
    <cellStyle name="Normal 2 7 3 2 3 4 3" xfId="32881"/>
    <cellStyle name="Normal 2 7 3 2 3 4 4" xfId="32882"/>
    <cellStyle name="Normal 2 7 3 2 3 5" xfId="32883"/>
    <cellStyle name="Normal 2 7 3 2 3 5 2" xfId="32884"/>
    <cellStyle name="Normal 2 7 3 2 3 6" xfId="32885"/>
    <cellStyle name="Normal 2 7 3 2 3 7" xfId="32886"/>
    <cellStyle name="Normal 2 7 3 2 3 8" xfId="32887"/>
    <cellStyle name="Normal 2 7 3 2 3 9" xfId="32888"/>
    <cellStyle name="Normal 2 7 3 2 4" xfId="32889"/>
    <cellStyle name="Normal 2 7 3 2 4 2" xfId="32890"/>
    <cellStyle name="Normal 2 7 3 2 4 2 2" xfId="32891"/>
    <cellStyle name="Normal 2 7 3 2 4 2 3" xfId="32892"/>
    <cellStyle name="Normal 2 7 3 2 4 3" xfId="32893"/>
    <cellStyle name="Normal 2 7 3 2 4 4" xfId="32894"/>
    <cellStyle name="Normal 2 7 3 2 4 5" xfId="32895"/>
    <cellStyle name="Normal 2 7 3 2 4 6" xfId="32896"/>
    <cellStyle name="Normal 2 7 3 2 5" xfId="32897"/>
    <cellStyle name="Normal 2 7 3 2 5 2" xfId="32898"/>
    <cellStyle name="Normal 2 7 3 2 5 2 2" xfId="32899"/>
    <cellStyle name="Normal 2 7 3 2 5 3" xfId="32900"/>
    <cellStyle name="Normal 2 7 3 2 5 4" xfId="32901"/>
    <cellStyle name="Normal 2 7 3 2 5 5" xfId="32902"/>
    <cellStyle name="Normal 2 7 3 2 6" xfId="32903"/>
    <cellStyle name="Normal 2 7 3 2 6 2" xfId="32904"/>
    <cellStyle name="Normal 2 7 3 2 6 3" xfId="32905"/>
    <cellStyle name="Normal 2 7 3 2 6 4" xfId="32906"/>
    <cellStyle name="Normal 2 7 3 2 7" xfId="32907"/>
    <cellStyle name="Normal 2 7 3 2 7 2" xfId="32908"/>
    <cellStyle name="Normal 2 7 3 2 8" xfId="32909"/>
    <cellStyle name="Normal 2 7 3 2 9" xfId="32910"/>
    <cellStyle name="Normal 2 7 3 20" xfId="32911"/>
    <cellStyle name="Normal 2 7 3 21" xfId="32912"/>
    <cellStyle name="Normal 2 7 3 22" xfId="32913"/>
    <cellStyle name="Normal 2 7 3 3" xfId="32914"/>
    <cellStyle name="Normal 2 7 3 3 10" xfId="32915"/>
    <cellStyle name="Normal 2 7 3 3 11" xfId="32916"/>
    <cellStyle name="Normal 2 7 3 3 2" xfId="32917"/>
    <cellStyle name="Normal 2 7 3 3 2 2" xfId="32918"/>
    <cellStyle name="Normal 2 7 3 3 2 2 2" xfId="32919"/>
    <cellStyle name="Normal 2 7 3 3 2 2 2 2" xfId="32920"/>
    <cellStyle name="Normal 2 7 3 3 2 2 2 3" xfId="32921"/>
    <cellStyle name="Normal 2 7 3 3 2 2 3" xfId="32922"/>
    <cellStyle name="Normal 2 7 3 3 2 2 4" xfId="32923"/>
    <cellStyle name="Normal 2 7 3 3 2 2 5" xfId="32924"/>
    <cellStyle name="Normal 2 7 3 3 2 2 6" xfId="32925"/>
    <cellStyle name="Normal 2 7 3 3 2 3" xfId="32926"/>
    <cellStyle name="Normal 2 7 3 3 2 3 2" xfId="32927"/>
    <cellStyle name="Normal 2 7 3 3 2 3 2 2" xfId="32928"/>
    <cellStyle name="Normal 2 7 3 3 2 3 3" xfId="32929"/>
    <cellStyle name="Normal 2 7 3 3 2 3 4" xfId="32930"/>
    <cellStyle name="Normal 2 7 3 3 2 3 5" xfId="32931"/>
    <cellStyle name="Normal 2 7 3 3 2 4" xfId="32932"/>
    <cellStyle name="Normal 2 7 3 3 2 4 2" xfId="32933"/>
    <cellStyle name="Normal 2 7 3 3 2 4 3" xfId="32934"/>
    <cellStyle name="Normal 2 7 3 3 2 4 4" xfId="32935"/>
    <cellStyle name="Normal 2 7 3 3 2 5" xfId="32936"/>
    <cellStyle name="Normal 2 7 3 3 2 5 2" xfId="32937"/>
    <cellStyle name="Normal 2 7 3 3 2 6" xfId="32938"/>
    <cellStyle name="Normal 2 7 3 3 2 7" xfId="32939"/>
    <cellStyle name="Normal 2 7 3 3 2 8" xfId="32940"/>
    <cellStyle name="Normal 2 7 3 3 2 9" xfId="32941"/>
    <cellStyle name="Normal 2 7 3 3 3" xfId="32942"/>
    <cellStyle name="Normal 2 7 3 3 3 2" xfId="32943"/>
    <cellStyle name="Normal 2 7 3 3 3 2 2" xfId="32944"/>
    <cellStyle name="Normal 2 7 3 3 3 2 2 2" xfId="32945"/>
    <cellStyle name="Normal 2 7 3 3 3 2 2 3" xfId="32946"/>
    <cellStyle name="Normal 2 7 3 3 3 2 3" xfId="32947"/>
    <cellStyle name="Normal 2 7 3 3 3 2 4" xfId="32948"/>
    <cellStyle name="Normal 2 7 3 3 3 2 5" xfId="32949"/>
    <cellStyle name="Normal 2 7 3 3 3 2 6" xfId="32950"/>
    <cellStyle name="Normal 2 7 3 3 3 3" xfId="32951"/>
    <cellStyle name="Normal 2 7 3 3 3 3 2" xfId="32952"/>
    <cellStyle name="Normal 2 7 3 3 3 3 2 2" xfId="32953"/>
    <cellStyle name="Normal 2 7 3 3 3 3 3" xfId="32954"/>
    <cellStyle name="Normal 2 7 3 3 3 3 4" xfId="32955"/>
    <cellStyle name="Normal 2 7 3 3 3 3 5" xfId="32956"/>
    <cellStyle name="Normal 2 7 3 3 3 4" xfId="32957"/>
    <cellStyle name="Normal 2 7 3 3 3 4 2" xfId="32958"/>
    <cellStyle name="Normal 2 7 3 3 3 4 3" xfId="32959"/>
    <cellStyle name="Normal 2 7 3 3 3 4 4" xfId="32960"/>
    <cellStyle name="Normal 2 7 3 3 3 5" xfId="32961"/>
    <cellStyle name="Normal 2 7 3 3 3 5 2" xfId="32962"/>
    <cellStyle name="Normal 2 7 3 3 3 6" xfId="32963"/>
    <cellStyle name="Normal 2 7 3 3 3 7" xfId="32964"/>
    <cellStyle name="Normal 2 7 3 3 3 8" xfId="32965"/>
    <cellStyle name="Normal 2 7 3 3 3 9" xfId="32966"/>
    <cellStyle name="Normal 2 7 3 3 4" xfId="32967"/>
    <cellStyle name="Normal 2 7 3 3 4 2" xfId="32968"/>
    <cellStyle name="Normal 2 7 3 3 4 2 2" xfId="32969"/>
    <cellStyle name="Normal 2 7 3 3 4 2 3" xfId="32970"/>
    <cellStyle name="Normal 2 7 3 3 4 3" xfId="32971"/>
    <cellStyle name="Normal 2 7 3 3 4 4" xfId="32972"/>
    <cellStyle name="Normal 2 7 3 3 4 5" xfId="32973"/>
    <cellStyle name="Normal 2 7 3 3 4 6" xfId="32974"/>
    <cellStyle name="Normal 2 7 3 3 5" xfId="32975"/>
    <cellStyle name="Normal 2 7 3 3 5 2" xfId="32976"/>
    <cellStyle name="Normal 2 7 3 3 5 2 2" xfId="32977"/>
    <cellStyle name="Normal 2 7 3 3 5 3" xfId="32978"/>
    <cellStyle name="Normal 2 7 3 3 5 4" xfId="32979"/>
    <cellStyle name="Normal 2 7 3 3 5 5" xfId="32980"/>
    <cellStyle name="Normal 2 7 3 3 6" xfId="32981"/>
    <cellStyle name="Normal 2 7 3 3 6 2" xfId="32982"/>
    <cellStyle name="Normal 2 7 3 3 6 3" xfId="32983"/>
    <cellStyle name="Normal 2 7 3 3 6 4" xfId="32984"/>
    <cellStyle name="Normal 2 7 3 3 7" xfId="32985"/>
    <cellStyle name="Normal 2 7 3 3 7 2" xfId="32986"/>
    <cellStyle name="Normal 2 7 3 3 8" xfId="32987"/>
    <cellStyle name="Normal 2 7 3 3 9" xfId="32988"/>
    <cellStyle name="Normal 2 7 3 4" xfId="32989"/>
    <cellStyle name="Normal 2 7 3 4 10" xfId="32990"/>
    <cellStyle name="Normal 2 7 3 4 11" xfId="32991"/>
    <cellStyle name="Normal 2 7 3 4 2" xfId="32992"/>
    <cellStyle name="Normal 2 7 3 4 2 2" xfId="32993"/>
    <cellStyle name="Normal 2 7 3 4 2 2 2" xfId="32994"/>
    <cellStyle name="Normal 2 7 3 4 2 2 2 2" xfId="32995"/>
    <cellStyle name="Normal 2 7 3 4 2 2 2 3" xfId="32996"/>
    <cellStyle name="Normal 2 7 3 4 2 2 3" xfId="32997"/>
    <cellStyle name="Normal 2 7 3 4 2 2 4" xfId="32998"/>
    <cellStyle name="Normal 2 7 3 4 2 2 5" xfId="32999"/>
    <cellStyle name="Normal 2 7 3 4 2 2 6" xfId="33000"/>
    <cellStyle name="Normal 2 7 3 4 2 3" xfId="33001"/>
    <cellStyle name="Normal 2 7 3 4 2 3 2" xfId="33002"/>
    <cellStyle name="Normal 2 7 3 4 2 3 2 2" xfId="33003"/>
    <cellStyle name="Normal 2 7 3 4 2 3 3" xfId="33004"/>
    <cellStyle name="Normal 2 7 3 4 2 3 4" xfId="33005"/>
    <cellStyle name="Normal 2 7 3 4 2 3 5" xfId="33006"/>
    <cellStyle name="Normal 2 7 3 4 2 4" xfId="33007"/>
    <cellStyle name="Normal 2 7 3 4 2 4 2" xfId="33008"/>
    <cellStyle name="Normal 2 7 3 4 2 4 3" xfId="33009"/>
    <cellStyle name="Normal 2 7 3 4 2 4 4" xfId="33010"/>
    <cellStyle name="Normal 2 7 3 4 2 5" xfId="33011"/>
    <cellStyle name="Normal 2 7 3 4 2 5 2" xfId="33012"/>
    <cellStyle name="Normal 2 7 3 4 2 6" xfId="33013"/>
    <cellStyle name="Normal 2 7 3 4 2 7" xfId="33014"/>
    <cellStyle name="Normal 2 7 3 4 2 8" xfId="33015"/>
    <cellStyle name="Normal 2 7 3 4 2 9" xfId="33016"/>
    <cellStyle name="Normal 2 7 3 4 3" xfId="33017"/>
    <cellStyle name="Normal 2 7 3 4 3 2" xfId="33018"/>
    <cellStyle name="Normal 2 7 3 4 3 2 2" xfId="33019"/>
    <cellStyle name="Normal 2 7 3 4 3 2 2 2" xfId="33020"/>
    <cellStyle name="Normal 2 7 3 4 3 2 2 3" xfId="33021"/>
    <cellStyle name="Normal 2 7 3 4 3 2 3" xfId="33022"/>
    <cellStyle name="Normal 2 7 3 4 3 2 4" xfId="33023"/>
    <cellStyle name="Normal 2 7 3 4 3 2 5" xfId="33024"/>
    <cellStyle name="Normal 2 7 3 4 3 2 6" xfId="33025"/>
    <cellStyle name="Normal 2 7 3 4 3 3" xfId="33026"/>
    <cellStyle name="Normal 2 7 3 4 3 3 2" xfId="33027"/>
    <cellStyle name="Normal 2 7 3 4 3 3 2 2" xfId="33028"/>
    <cellStyle name="Normal 2 7 3 4 3 3 3" xfId="33029"/>
    <cellStyle name="Normal 2 7 3 4 3 3 4" xfId="33030"/>
    <cellStyle name="Normal 2 7 3 4 3 3 5" xfId="33031"/>
    <cellStyle name="Normal 2 7 3 4 3 4" xfId="33032"/>
    <cellStyle name="Normal 2 7 3 4 3 4 2" xfId="33033"/>
    <cellStyle name="Normal 2 7 3 4 3 4 3" xfId="33034"/>
    <cellStyle name="Normal 2 7 3 4 3 4 4" xfId="33035"/>
    <cellStyle name="Normal 2 7 3 4 3 5" xfId="33036"/>
    <cellStyle name="Normal 2 7 3 4 3 5 2" xfId="33037"/>
    <cellStyle name="Normal 2 7 3 4 3 6" xfId="33038"/>
    <cellStyle name="Normal 2 7 3 4 3 7" xfId="33039"/>
    <cellStyle name="Normal 2 7 3 4 3 8" xfId="33040"/>
    <cellStyle name="Normal 2 7 3 4 3 9" xfId="33041"/>
    <cellStyle name="Normal 2 7 3 4 4" xfId="33042"/>
    <cellStyle name="Normal 2 7 3 4 4 2" xfId="33043"/>
    <cellStyle name="Normal 2 7 3 4 4 2 2" xfId="33044"/>
    <cellStyle name="Normal 2 7 3 4 4 2 3" xfId="33045"/>
    <cellStyle name="Normal 2 7 3 4 4 3" xfId="33046"/>
    <cellStyle name="Normal 2 7 3 4 4 4" xfId="33047"/>
    <cellStyle name="Normal 2 7 3 4 4 5" xfId="33048"/>
    <cellStyle name="Normal 2 7 3 4 4 6" xfId="33049"/>
    <cellStyle name="Normal 2 7 3 4 5" xfId="33050"/>
    <cellStyle name="Normal 2 7 3 4 5 2" xfId="33051"/>
    <cellStyle name="Normal 2 7 3 4 5 2 2" xfId="33052"/>
    <cellStyle name="Normal 2 7 3 4 5 3" xfId="33053"/>
    <cellStyle name="Normal 2 7 3 4 5 4" xfId="33054"/>
    <cellStyle name="Normal 2 7 3 4 5 5" xfId="33055"/>
    <cellStyle name="Normal 2 7 3 4 6" xfId="33056"/>
    <cellStyle name="Normal 2 7 3 4 6 2" xfId="33057"/>
    <cellStyle name="Normal 2 7 3 4 6 3" xfId="33058"/>
    <cellStyle name="Normal 2 7 3 4 6 4" xfId="33059"/>
    <cellStyle name="Normal 2 7 3 4 7" xfId="33060"/>
    <cellStyle name="Normal 2 7 3 4 7 2" xfId="33061"/>
    <cellStyle name="Normal 2 7 3 4 8" xfId="33062"/>
    <cellStyle name="Normal 2 7 3 4 9" xfId="33063"/>
    <cellStyle name="Normal 2 7 3 5" xfId="33064"/>
    <cellStyle name="Normal 2 7 3 5 10" xfId="33065"/>
    <cellStyle name="Normal 2 7 3 5 11" xfId="33066"/>
    <cellStyle name="Normal 2 7 3 5 2" xfId="33067"/>
    <cellStyle name="Normal 2 7 3 5 2 2" xfId="33068"/>
    <cellStyle name="Normal 2 7 3 5 2 2 2" xfId="33069"/>
    <cellStyle name="Normal 2 7 3 5 2 2 2 2" xfId="33070"/>
    <cellStyle name="Normal 2 7 3 5 2 2 2 3" xfId="33071"/>
    <cellStyle name="Normal 2 7 3 5 2 2 3" xfId="33072"/>
    <cellStyle name="Normal 2 7 3 5 2 2 4" xfId="33073"/>
    <cellStyle name="Normal 2 7 3 5 2 2 5" xfId="33074"/>
    <cellStyle name="Normal 2 7 3 5 2 2 6" xfId="33075"/>
    <cellStyle name="Normal 2 7 3 5 2 3" xfId="33076"/>
    <cellStyle name="Normal 2 7 3 5 2 3 2" xfId="33077"/>
    <cellStyle name="Normal 2 7 3 5 2 3 2 2" xfId="33078"/>
    <cellStyle name="Normal 2 7 3 5 2 3 3" xfId="33079"/>
    <cellStyle name="Normal 2 7 3 5 2 3 4" xfId="33080"/>
    <cellStyle name="Normal 2 7 3 5 2 3 5" xfId="33081"/>
    <cellStyle name="Normal 2 7 3 5 2 4" xfId="33082"/>
    <cellStyle name="Normal 2 7 3 5 2 4 2" xfId="33083"/>
    <cellStyle name="Normal 2 7 3 5 2 4 3" xfId="33084"/>
    <cellStyle name="Normal 2 7 3 5 2 4 4" xfId="33085"/>
    <cellStyle name="Normal 2 7 3 5 2 5" xfId="33086"/>
    <cellStyle name="Normal 2 7 3 5 2 5 2" xfId="33087"/>
    <cellStyle name="Normal 2 7 3 5 2 6" xfId="33088"/>
    <cellStyle name="Normal 2 7 3 5 2 7" xfId="33089"/>
    <cellStyle name="Normal 2 7 3 5 2 8" xfId="33090"/>
    <cellStyle name="Normal 2 7 3 5 2 9" xfId="33091"/>
    <cellStyle name="Normal 2 7 3 5 3" xfId="33092"/>
    <cellStyle name="Normal 2 7 3 5 3 2" xfId="33093"/>
    <cellStyle name="Normal 2 7 3 5 3 2 2" xfId="33094"/>
    <cellStyle name="Normal 2 7 3 5 3 2 2 2" xfId="33095"/>
    <cellStyle name="Normal 2 7 3 5 3 2 2 3" xfId="33096"/>
    <cellStyle name="Normal 2 7 3 5 3 2 3" xfId="33097"/>
    <cellStyle name="Normal 2 7 3 5 3 2 4" xfId="33098"/>
    <cellStyle name="Normal 2 7 3 5 3 2 5" xfId="33099"/>
    <cellStyle name="Normal 2 7 3 5 3 2 6" xfId="33100"/>
    <cellStyle name="Normal 2 7 3 5 3 3" xfId="33101"/>
    <cellStyle name="Normal 2 7 3 5 3 3 2" xfId="33102"/>
    <cellStyle name="Normal 2 7 3 5 3 3 2 2" xfId="33103"/>
    <cellStyle name="Normal 2 7 3 5 3 3 3" xfId="33104"/>
    <cellStyle name="Normal 2 7 3 5 3 3 4" xfId="33105"/>
    <cellStyle name="Normal 2 7 3 5 3 3 5" xfId="33106"/>
    <cellStyle name="Normal 2 7 3 5 3 4" xfId="33107"/>
    <cellStyle name="Normal 2 7 3 5 3 4 2" xfId="33108"/>
    <cellStyle name="Normal 2 7 3 5 3 4 3" xfId="33109"/>
    <cellStyle name="Normal 2 7 3 5 3 4 4" xfId="33110"/>
    <cellStyle name="Normal 2 7 3 5 3 5" xfId="33111"/>
    <cellStyle name="Normal 2 7 3 5 3 5 2" xfId="33112"/>
    <cellStyle name="Normal 2 7 3 5 3 6" xfId="33113"/>
    <cellStyle name="Normal 2 7 3 5 3 7" xfId="33114"/>
    <cellStyle name="Normal 2 7 3 5 3 8" xfId="33115"/>
    <cellStyle name="Normal 2 7 3 5 3 9" xfId="33116"/>
    <cellStyle name="Normal 2 7 3 5 4" xfId="33117"/>
    <cellStyle name="Normal 2 7 3 5 4 2" xfId="33118"/>
    <cellStyle name="Normal 2 7 3 5 4 2 2" xfId="33119"/>
    <cellStyle name="Normal 2 7 3 5 4 2 3" xfId="33120"/>
    <cellStyle name="Normal 2 7 3 5 4 3" xfId="33121"/>
    <cellStyle name="Normal 2 7 3 5 4 4" xfId="33122"/>
    <cellStyle name="Normal 2 7 3 5 4 5" xfId="33123"/>
    <cellStyle name="Normal 2 7 3 5 4 6" xfId="33124"/>
    <cellStyle name="Normal 2 7 3 5 5" xfId="33125"/>
    <cellStyle name="Normal 2 7 3 5 5 2" xfId="33126"/>
    <cellStyle name="Normal 2 7 3 5 5 2 2" xfId="33127"/>
    <cellStyle name="Normal 2 7 3 5 5 3" xfId="33128"/>
    <cellStyle name="Normal 2 7 3 5 5 4" xfId="33129"/>
    <cellStyle name="Normal 2 7 3 5 5 5" xfId="33130"/>
    <cellStyle name="Normal 2 7 3 5 6" xfId="33131"/>
    <cellStyle name="Normal 2 7 3 5 6 2" xfId="33132"/>
    <cellStyle name="Normal 2 7 3 5 6 3" xfId="33133"/>
    <cellStyle name="Normal 2 7 3 5 6 4" xfId="33134"/>
    <cellStyle name="Normal 2 7 3 5 7" xfId="33135"/>
    <cellStyle name="Normal 2 7 3 5 7 2" xfId="33136"/>
    <cellStyle name="Normal 2 7 3 5 8" xfId="33137"/>
    <cellStyle name="Normal 2 7 3 5 9" xfId="33138"/>
    <cellStyle name="Normal 2 7 3 6" xfId="33139"/>
    <cellStyle name="Normal 2 7 3 6 10" xfId="33140"/>
    <cellStyle name="Normal 2 7 3 6 11" xfId="33141"/>
    <cellStyle name="Normal 2 7 3 6 2" xfId="33142"/>
    <cellStyle name="Normal 2 7 3 6 2 2" xfId="33143"/>
    <cellStyle name="Normal 2 7 3 6 2 2 2" xfId="33144"/>
    <cellStyle name="Normal 2 7 3 6 2 2 2 2" xfId="33145"/>
    <cellStyle name="Normal 2 7 3 6 2 2 2 3" xfId="33146"/>
    <cellStyle name="Normal 2 7 3 6 2 2 3" xfId="33147"/>
    <cellStyle name="Normal 2 7 3 6 2 2 4" xfId="33148"/>
    <cellStyle name="Normal 2 7 3 6 2 2 5" xfId="33149"/>
    <cellStyle name="Normal 2 7 3 6 2 2 6" xfId="33150"/>
    <cellStyle name="Normal 2 7 3 6 2 3" xfId="33151"/>
    <cellStyle name="Normal 2 7 3 6 2 3 2" xfId="33152"/>
    <cellStyle name="Normal 2 7 3 6 2 3 2 2" xfId="33153"/>
    <cellStyle name="Normal 2 7 3 6 2 3 3" xfId="33154"/>
    <cellStyle name="Normal 2 7 3 6 2 3 4" xfId="33155"/>
    <cellStyle name="Normal 2 7 3 6 2 3 5" xfId="33156"/>
    <cellStyle name="Normal 2 7 3 6 2 4" xfId="33157"/>
    <cellStyle name="Normal 2 7 3 6 2 4 2" xfId="33158"/>
    <cellStyle name="Normal 2 7 3 6 2 4 3" xfId="33159"/>
    <cellStyle name="Normal 2 7 3 6 2 4 4" xfId="33160"/>
    <cellStyle name="Normal 2 7 3 6 2 5" xfId="33161"/>
    <cellStyle name="Normal 2 7 3 6 2 5 2" xfId="33162"/>
    <cellStyle name="Normal 2 7 3 6 2 6" xfId="33163"/>
    <cellStyle name="Normal 2 7 3 6 2 7" xfId="33164"/>
    <cellStyle name="Normal 2 7 3 6 2 8" xfId="33165"/>
    <cellStyle name="Normal 2 7 3 6 2 9" xfId="33166"/>
    <cellStyle name="Normal 2 7 3 6 3" xfId="33167"/>
    <cellStyle name="Normal 2 7 3 6 3 2" xfId="33168"/>
    <cellStyle name="Normal 2 7 3 6 3 2 2" xfId="33169"/>
    <cellStyle name="Normal 2 7 3 6 3 2 2 2" xfId="33170"/>
    <cellStyle name="Normal 2 7 3 6 3 2 2 3" xfId="33171"/>
    <cellStyle name="Normal 2 7 3 6 3 2 3" xfId="33172"/>
    <cellStyle name="Normal 2 7 3 6 3 2 4" xfId="33173"/>
    <cellStyle name="Normal 2 7 3 6 3 2 5" xfId="33174"/>
    <cellStyle name="Normal 2 7 3 6 3 2 6" xfId="33175"/>
    <cellStyle name="Normal 2 7 3 6 3 3" xfId="33176"/>
    <cellStyle name="Normal 2 7 3 6 3 3 2" xfId="33177"/>
    <cellStyle name="Normal 2 7 3 6 3 3 2 2" xfId="33178"/>
    <cellStyle name="Normal 2 7 3 6 3 3 3" xfId="33179"/>
    <cellStyle name="Normal 2 7 3 6 3 3 4" xfId="33180"/>
    <cellStyle name="Normal 2 7 3 6 3 3 5" xfId="33181"/>
    <cellStyle name="Normal 2 7 3 6 3 4" xfId="33182"/>
    <cellStyle name="Normal 2 7 3 6 3 4 2" xfId="33183"/>
    <cellStyle name="Normal 2 7 3 6 3 4 3" xfId="33184"/>
    <cellStyle name="Normal 2 7 3 6 3 4 4" xfId="33185"/>
    <cellStyle name="Normal 2 7 3 6 3 5" xfId="33186"/>
    <cellStyle name="Normal 2 7 3 6 3 5 2" xfId="33187"/>
    <cellStyle name="Normal 2 7 3 6 3 6" xfId="33188"/>
    <cellStyle name="Normal 2 7 3 6 3 7" xfId="33189"/>
    <cellStyle name="Normal 2 7 3 6 3 8" xfId="33190"/>
    <cellStyle name="Normal 2 7 3 6 3 9" xfId="33191"/>
    <cellStyle name="Normal 2 7 3 6 4" xfId="33192"/>
    <cellStyle name="Normal 2 7 3 6 4 2" xfId="33193"/>
    <cellStyle name="Normal 2 7 3 6 4 2 2" xfId="33194"/>
    <cellStyle name="Normal 2 7 3 6 4 2 3" xfId="33195"/>
    <cellStyle name="Normal 2 7 3 6 4 3" xfId="33196"/>
    <cellStyle name="Normal 2 7 3 6 4 4" xfId="33197"/>
    <cellStyle name="Normal 2 7 3 6 4 5" xfId="33198"/>
    <cellStyle name="Normal 2 7 3 6 4 6" xfId="33199"/>
    <cellStyle name="Normal 2 7 3 6 5" xfId="33200"/>
    <cellStyle name="Normal 2 7 3 6 5 2" xfId="33201"/>
    <cellStyle name="Normal 2 7 3 6 5 2 2" xfId="33202"/>
    <cellStyle name="Normal 2 7 3 6 5 3" xfId="33203"/>
    <cellStyle name="Normal 2 7 3 6 5 4" xfId="33204"/>
    <cellStyle name="Normal 2 7 3 6 5 5" xfId="33205"/>
    <cellStyle name="Normal 2 7 3 6 6" xfId="33206"/>
    <cellStyle name="Normal 2 7 3 6 6 2" xfId="33207"/>
    <cellStyle name="Normal 2 7 3 6 6 3" xfId="33208"/>
    <cellStyle name="Normal 2 7 3 6 6 4" xfId="33209"/>
    <cellStyle name="Normal 2 7 3 6 7" xfId="33210"/>
    <cellStyle name="Normal 2 7 3 6 7 2" xfId="33211"/>
    <cellStyle name="Normal 2 7 3 6 8" xfId="33212"/>
    <cellStyle name="Normal 2 7 3 6 9" xfId="33213"/>
    <cellStyle name="Normal 2 7 3 7" xfId="33214"/>
    <cellStyle name="Normal 2 7 3 7 10" xfId="33215"/>
    <cellStyle name="Normal 2 7 3 7 11" xfId="33216"/>
    <cellStyle name="Normal 2 7 3 7 2" xfId="33217"/>
    <cellStyle name="Normal 2 7 3 7 2 2" xfId="33218"/>
    <cellStyle name="Normal 2 7 3 7 2 2 2" xfId="33219"/>
    <cellStyle name="Normal 2 7 3 7 2 2 2 2" xfId="33220"/>
    <cellStyle name="Normal 2 7 3 7 2 2 2 3" xfId="33221"/>
    <cellStyle name="Normal 2 7 3 7 2 2 3" xfId="33222"/>
    <cellStyle name="Normal 2 7 3 7 2 2 4" xfId="33223"/>
    <cellStyle name="Normal 2 7 3 7 2 2 5" xfId="33224"/>
    <cellStyle name="Normal 2 7 3 7 2 2 6" xfId="33225"/>
    <cellStyle name="Normal 2 7 3 7 2 3" xfId="33226"/>
    <cellStyle name="Normal 2 7 3 7 2 3 2" xfId="33227"/>
    <cellStyle name="Normal 2 7 3 7 2 3 2 2" xfId="33228"/>
    <cellStyle name="Normal 2 7 3 7 2 3 3" xfId="33229"/>
    <cellStyle name="Normal 2 7 3 7 2 3 4" xfId="33230"/>
    <cellStyle name="Normal 2 7 3 7 2 3 5" xfId="33231"/>
    <cellStyle name="Normal 2 7 3 7 2 4" xfId="33232"/>
    <cellStyle name="Normal 2 7 3 7 2 4 2" xfId="33233"/>
    <cellStyle name="Normal 2 7 3 7 2 4 3" xfId="33234"/>
    <cellStyle name="Normal 2 7 3 7 2 4 4" xfId="33235"/>
    <cellStyle name="Normal 2 7 3 7 2 5" xfId="33236"/>
    <cellStyle name="Normal 2 7 3 7 2 5 2" xfId="33237"/>
    <cellStyle name="Normal 2 7 3 7 2 6" xfId="33238"/>
    <cellStyle name="Normal 2 7 3 7 2 7" xfId="33239"/>
    <cellStyle name="Normal 2 7 3 7 2 8" xfId="33240"/>
    <cellStyle name="Normal 2 7 3 7 2 9" xfId="33241"/>
    <cellStyle name="Normal 2 7 3 7 3" xfId="33242"/>
    <cellStyle name="Normal 2 7 3 7 3 2" xfId="33243"/>
    <cellStyle name="Normal 2 7 3 7 3 2 2" xfId="33244"/>
    <cellStyle name="Normal 2 7 3 7 3 2 2 2" xfId="33245"/>
    <cellStyle name="Normal 2 7 3 7 3 2 2 3" xfId="33246"/>
    <cellStyle name="Normal 2 7 3 7 3 2 3" xfId="33247"/>
    <cellStyle name="Normal 2 7 3 7 3 2 4" xfId="33248"/>
    <cellStyle name="Normal 2 7 3 7 3 2 5" xfId="33249"/>
    <cellStyle name="Normal 2 7 3 7 3 2 6" xfId="33250"/>
    <cellStyle name="Normal 2 7 3 7 3 3" xfId="33251"/>
    <cellStyle name="Normal 2 7 3 7 3 3 2" xfId="33252"/>
    <cellStyle name="Normal 2 7 3 7 3 3 2 2" xfId="33253"/>
    <cellStyle name="Normal 2 7 3 7 3 3 3" xfId="33254"/>
    <cellStyle name="Normal 2 7 3 7 3 3 4" xfId="33255"/>
    <cellStyle name="Normal 2 7 3 7 3 3 5" xfId="33256"/>
    <cellStyle name="Normal 2 7 3 7 3 4" xfId="33257"/>
    <cellStyle name="Normal 2 7 3 7 3 4 2" xfId="33258"/>
    <cellStyle name="Normal 2 7 3 7 3 4 3" xfId="33259"/>
    <cellStyle name="Normal 2 7 3 7 3 4 4" xfId="33260"/>
    <cellStyle name="Normal 2 7 3 7 3 5" xfId="33261"/>
    <cellStyle name="Normal 2 7 3 7 3 5 2" xfId="33262"/>
    <cellStyle name="Normal 2 7 3 7 3 6" xfId="33263"/>
    <cellStyle name="Normal 2 7 3 7 3 7" xfId="33264"/>
    <cellStyle name="Normal 2 7 3 7 3 8" xfId="33265"/>
    <cellStyle name="Normal 2 7 3 7 3 9" xfId="33266"/>
    <cellStyle name="Normal 2 7 3 7 4" xfId="33267"/>
    <cellStyle name="Normal 2 7 3 7 4 2" xfId="33268"/>
    <cellStyle name="Normal 2 7 3 7 4 2 2" xfId="33269"/>
    <cellStyle name="Normal 2 7 3 7 4 2 3" xfId="33270"/>
    <cellStyle name="Normal 2 7 3 7 4 3" xfId="33271"/>
    <cellStyle name="Normal 2 7 3 7 4 4" xfId="33272"/>
    <cellStyle name="Normal 2 7 3 7 4 5" xfId="33273"/>
    <cellStyle name="Normal 2 7 3 7 4 6" xfId="33274"/>
    <cellStyle name="Normal 2 7 3 7 5" xfId="33275"/>
    <cellStyle name="Normal 2 7 3 7 5 2" xfId="33276"/>
    <cellStyle name="Normal 2 7 3 7 5 2 2" xfId="33277"/>
    <cellStyle name="Normal 2 7 3 7 5 3" xfId="33278"/>
    <cellStyle name="Normal 2 7 3 7 5 4" xfId="33279"/>
    <cellStyle name="Normal 2 7 3 7 5 5" xfId="33280"/>
    <cellStyle name="Normal 2 7 3 7 6" xfId="33281"/>
    <cellStyle name="Normal 2 7 3 7 6 2" xfId="33282"/>
    <cellStyle name="Normal 2 7 3 7 6 3" xfId="33283"/>
    <cellStyle name="Normal 2 7 3 7 6 4" xfId="33284"/>
    <cellStyle name="Normal 2 7 3 7 7" xfId="33285"/>
    <cellStyle name="Normal 2 7 3 7 7 2" xfId="33286"/>
    <cellStyle name="Normal 2 7 3 7 8" xfId="33287"/>
    <cellStyle name="Normal 2 7 3 7 9" xfId="33288"/>
    <cellStyle name="Normal 2 7 3 8" xfId="33289"/>
    <cellStyle name="Normal 2 7 3 8 10" xfId="33290"/>
    <cellStyle name="Normal 2 7 3 8 2" xfId="33291"/>
    <cellStyle name="Normal 2 7 3 8 2 2" xfId="33292"/>
    <cellStyle name="Normal 2 7 3 8 2 2 2" xfId="33293"/>
    <cellStyle name="Normal 2 7 3 8 2 2 3" xfId="33294"/>
    <cellStyle name="Normal 2 7 3 8 2 3" xfId="33295"/>
    <cellStyle name="Normal 2 7 3 8 2 4" xfId="33296"/>
    <cellStyle name="Normal 2 7 3 8 2 5" xfId="33297"/>
    <cellStyle name="Normal 2 7 3 8 2 6" xfId="33298"/>
    <cellStyle name="Normal 2 7 3 8 3" xfId="33299"/>
    <cellStyle name="Normal 2 7 3 8 3 2" xfId="33300"/>
    <cellStyle name="Normal 2 7 3 8 3 2 2" xfId="33301"/>
    <cellStyle name="Normal 2 7 3 8 3 2 3" xfId="33302"/>
    <cellStyle name="Normal 2 7 3 8 3 3" xfId="33303"/>
    <cellStyle name="Normal 2 7 3 8 3 4" xfId="33304"/>
    <cellStyle name="Normal 2 7 3 8 3 5" xfId="33305"/>
    <cellStyle name="Normal 2 7 3 8 3 6" xfId="33306"/>
    <cellStyle name="Normal 2 7 3 8 4" xfId="33307"/>
    <cellStyle name="Normal 2 7 3 8 4 2" xfId="33308"/>
    <cellStyle name="Normal 2 7 3 8 4 2 2" xfId="33309"/>
    <cellStyle name="Normal 2 7 3 8 4 3" xfId="33310"/>
    <cellStyle name="Normal 2 7 3 8 4 4" xfId="33311"/>
    <cellStyle name="Normal 2 7 3 8 4 5" xfId="33312"/>
    <cellStyle name="Normal 2 7 3 8 5" xfId="33313"/>
    <cellStyle name="Normal 2 7 3 8 5 2" xfId="33314"/>
    <cellStyle name="Normal 2 7 3 8 5 3" xfId="33315"/>
    <cellStyle name="Normal 2 7 3 8 5 4" xfId="33316"/>
    <cellStyle name="Normal 2 7 3 8 6" xfId="33317"/>
    <cellStyle name="Normal 2 7 3 8 6 2" xfId="33318"/>
    <cellStyle name="Normal 2 7 3 8 7" xfId="33319"/>
    <cellStyle name="Normal 2 7 3 8 8" xfId="33320"/>
    <cellStyle name="Normal 2 7 3 8 9" xfId="33321"/>
    <cellStyle name="Normal 2 7 3 9" xfId="33322"/>
    <cellStyle name="Normal 2 7 3 9 10" xfId="33323"/>
    <cellStyle name="Normal 2 7 3 9 2" xfId="33324"/>
    <cellStyle name="Normal 2 7 3 9 2 2" xfId="33325"/>
    <cellStyle name="Normal 2 7 3 9 2 2 2" xfId="33326"/>
    <cellStyle name="Normal 2 7 3 9 2 2 3" xfId="33327"/>
    <cellStyle name="Normal 2 7 3 9 2 3" xfId="33328"/>
    <cellStyle name="Normal 2 7 3 9 2 4" xfId="33329"/>
    <cellStyle name="Normal 2 7 3 9 2 5" xfId="33330"/>
    <cellStyle name="Normal 2 7 3 9 2 6" xfId="33331"/>
    <cellStyle name="Normal 2 7 3 9 3" xfId="33332"/>
    <cellStyle name="Normal 2 7 3 9 3 2" xfId="33333"/>
    <cellStyle name="Normal 2 7 3 9 3 2 2" xfId="33334"/>
    <cellStyle name="Normal 2 7 3 9 3 2 3" xfId="33335"/>
    <cellStyle name="Normal 2 7 3 9 3 3" xfId="33336"/>
    <cellStyle name="Normal 2 7 3 9 3 4" xfId="33337"/>
    <cellStyle name="Normal 2 7 3 9 3 5" xfId="33338"/>
    <cellStyle name="Normal 2 7 3 9 3 6" xfId="33339"/>
    <cellStyle name="Normal 2 7 3 9 4" xfId="33340"/>
    <cellStyle name="Normal 2 7 3 9 4 2" xfId="33341"/>
    <cellStyle name="Normal 2 7 3 9 4 2 2" xfId="33342"/>
    <cellStyle name="Normal 2 7 3 9 4 3" xfId="33343"/>
    <cellStyle name="Normal 2 7 3 9 4 4" xfId="33344"/>
    <cellStyle name="Normal 2 7 3 9 4 5" xfId="33345"/>
    <cellStyle name="Normal 2 7 3 9 5" xfId="33346"/>
    <cellStyle name="Normal 2 7 3 9 5 2" xfId="33347"/>
    <cellStyle name="Normal 2 7 3 9 5 3" xfId="33348"/>
    <cellStyle name="Normal 2 7 3 9 5 4" xfId="33349"/>
    <cellStyle name="Normal 2 7 3 9 6" xfId="33350"/>
    <cellStyle name="Normal 2 7 3 9 6 2" xfId="33351"/>
    <cellStyle name="Normal 2 7 3 9 7" xfId="33352"/>
    <cellStyle name="Normal 2 7 3 9 8" xfId="33353"/>
    <cellStyle name="Normal 2 7 3 9 9" xfId="33354"/>
    <cellStyle name="Normal 2 7 30" xfId="33355"/>
    <cellStyle name="Normal 2 7 30 2" xfId="33356"/>
    <cellStyle name="Normal 2 7 30 2 2" xfId="33357"/>
    <cellStyle name="Normal 2 7 30 2 2 2" xfId="33358"/>
    <cellStyle name="Normal 2 7 30 2 2 3" xfId="33359"/>
    <cellStyle name="Normal 2 7 30 2 3" xfId="33360"/>
    <cellStyle name="Normal 2 7 30 2 4" xfId="33361"/>
    <cellStyle name="Normal 2 7 30 2 5" xfId="33362"/>
    <cellStyle name="Normal 2 7 30 2 6" xfId="33363"/>
    <cellStyle name="Normal 2 7 30 3" xfId="33364"/>
    <cellStyle name="Normal 2 7 30 3 2" xfId="33365"/>
    <cellStyle name="Normal 2 7 30 3 2 2" xfId="33366"/>
    <cellStyle name="Normal 2 7 30 3 3" xfId="33367"/>
    <cellStyle name="Normal 2 7 30 3 4" xfId="33368"/>
    <cellStyle name="Normal 2 7 30 3 5" xfId="33369"/>
    <cellStyle name="Normal 2 7 30 4" xfId="33370"/>
    <cellStyle name="Normal 2 7 30 4 2" xfId="33371"/>
    <cellStyle name="Normal 2 7 30 4 3" xfId="33372"/>
    <cellStyle name="Normal 2 7 30 4 4" xfId="33373"/>
    <cellStyle name="Normal 2 7 30 5" xfId="33374"/>
    <cellStyle name="Normal 2 7 30 5 2" xfId="33375"/>
    <cellStyle name="Normal 2 7 30 6" xfId="33376"/>
    <cellStyle name="Normal 2 7 30 7" xfId="33377"/>
    <cellStyle name="Normal 2 7 30 8" xfId="33378"/>
    <cellStyle name="Normal 2 7 30 9" xfId="33379"/>
    <cellStyle name="Normal 2 7 31" xfId="33380"/>
    <cellStyle name="Normal 2 7 31 2" xfId="33381"/>
    <cellStyle name="Normal 2 7 31 2 2" xfId="33382"/>
    <cellStyle name="Normal 2 7 31 2 2 2" xfId="33383"/>
    <cellStyle name="Normal 2 7 31 2 2 3" xfId="33384"/>
    <cellStyle name="Normal 2 7 31 2 3" xfId="33385"/>
    <cellStyle name="Normal 2 7 31 2 4" xfId="33386"/>
    <cellStyle name="Normal 2 7 31 2 5" xfId="33387"/>
    <cellStyle name="Normal 2 7 31 2 6" xfId="33388"/>
    <cellStyle name="Normal 2 7 31 3" xfId="33389"/>
    <cellStyle name="Normal 2 7 31 3 2" xfId="33390"/>
    <cellStyle name="Normal 2 7 31 3 2 2" xfId="33391"/>
    <cellStyle name="Normal 2 7 31 3 3" xfId="33392"/>
    <cellStyle name="Normal 2 7 31 3 4" xfId="33393"/>
    <cellStyle name="Normal 2 7 31 3 5" xfId="33394"/>
    <cellStyle name="Normal 2 7 31 4" xfId="33395"/>
    <cellStyle name="Normal 2 7 31 4 2" xfId="33396"/>
    <cellStyle name="Normal 2 7 31 4 3" xfId="33397"/>
    <cellStyle name="Normal 2 7 31 4 4" xfId="33398"/>
    <cellStyle name="Normal 2 7 31 5" xfId="33399"/>
    <cellStyle name="Normal 2 7 31 5 2" xfId="33400"/>
    <cellStyle name="Normal 2 7 31 6" xfId="33401"/>
    <cellStyle name="Normal 2 7 31 7" xfId="33402"/>
    <cellStyle name="Normal 2 7 31 8" xfId="33403"/>
    <cellStyle name="Normal 2 7 31 9" xfId="33404"/>
    <cellStyle name="Normal 2 7 32" xfId="33405"/>
    <cellStyle name="Normal 2 7 32 2" xfId="33406"/>
    <cellStyle name="Normal 2 7 32 2 2" xfId="33407"/>
    <cellStyle name="Normal 2 7 32 2 3" xfId="33408"/>
    <cellStyle name="Normal 2 7 32 3" xfId="33409"/>
    <cellStyle name="Normal 2 7 32 4" xfId="33410"/>
    <cellStyle name="Normal 2 7 32 5" xfId="33411"/>
    <cellStyle name="Normal 2 7 32 6" xfId="33412"/>
    <cellStyle name="Normal 2 7 33" xfId="33413"/>
    <cellStyle name="Normal 2 7 33 2" xfId="33414"/>
    <cellStyle name="Normal 2 7 33 2 2" xfId="33415"/>
    <cellStyle name="Normal 2 7 33 3" xfId="33416"/>
    <cellStyle name="Normal 2 7 33 4" xfId="33417"/>
    <cellStyle name="Normal 2 7 33 5" xfId="33418"/>
    <cellStyle name="Normal 2 7 34" xfId="33419"/>
    <cellStyle name="Normal 2 7 34 2" xfId="33420"/>
    <cellStyle name="Normal 2 7 34 2 2" xfId="33421"/>
    <cellStyle name="Normal 2 7 34 3" xfId="33422"/>
    <cellStyle name="Normal 2 7 34 4" xfId="33423"/>
    <cellStyle name="Normal 2 7 34 5" xfId="33424"/>
    <cellStyle name="Normal 2 7 35" xfId="33425"/>
    <cellStyle name="Normal 2 7 35 2" xfId="33426"/>
    <cellStyle name="Normal 2 7 36" xfId="33427"/>
    <cellStyle name="Normal 2 7 37" xfId="33428"/>
    <cellStyle name="Normal 2 7 38" xfId="33429"/>
    <cellStyle name="Normal 2 7 39" xfId="33430"/>
    <cellStyle name="Normal 2 7 4" xfId="33431"/>
    <cellStyle name="Normal 2 7 4 10" xfId="33432"/>
    <cellStyle name="Normal 2 7 4 10 10" xfId="33433"/>
    <cellStyle name="Normal 2 7 4 10 2" xfId="33434"/>
    <cellStyle name="Normal 2 7 4 10 2 2" xfId="33435"/>
    <cellStyle name="Normal 2 7 4 10 2 2 2" xfId="33436"/>
    <cellStyle name="Normal 2 7 4 10 2 2 3" xfId="33437"/>
    <cellStyle name="Normal 2 7 4 10 2 3" xfId="33438"/>
    <cellStyle name="Normal 2 7 4 10 2 4" xfId="33439"/>
    <cellStyle name="Normal 2 7 4 10 2 5" xfId="33440"/>
    <cellStyle name="Normal 2 7 4 10 2 6" xfId="33441"/>
    <cellStyle name="Normal 2 7 4 10 3" xfId="33442"/>
    <cellStyle name="Normal 2 7 4 10 3 2" xfId="33443"/>
    <cellStyle name="Normal 2 7 4 10 3 2 2" xfId="33444"/>
    <cellStyle name="Normal 2 7 4 10 3 2 3" xfId="33445"/>
    <cellStyle name="Normal 2 7 4 10 3 3" xfId="33446"/>
    <cellStyle name="Normal 2 7 4 10 3 4" xfId="33447"/>
    <cellStyle name="Normal 2 7 4 10 3 5" xfId="33448"/>
    <cellStyle name="Normal 2 7 4 10 3 6" xfId="33449"/>
    <cellStyle name="Normal 2 7 4 10 4" xfId="33450"/>
    <cellStyle name="Normal 2 7 4 10 4 2" xfId="33451"/>
    <cellStyle name="Normal 2 7 4 10 4 2 2" xfId="33452"/>
    <cellStyle name="Normal 2 7 4 10 4 3" xfId="33453"/>
    <cellStyle name="Normal 2 7 4 10 4 4" xfId="33454"/>
    <cellStyle name="Normal 2 7 4 10 4 5" xfId="33455"/>
    <cellStyle name="Normal 2 7 4 10 5" xfId="33456"/>
    <cellStyle name="Normal 2 7 4 10 5 2" xfId="33457"/>
    <cellStyle name="Normal 2 7 4 10 5 3" xfId="33458"/>
    <cellStyle name="Normal 2 7 4 10 5 4" xfId="33459"/>
    <cellStyle name="Normal 2 7 4 10 6" xfId="33460"/>
    <cellStyle name="Normal 2 7 4 10 6 2" xfId="33461"/>
    <cellStyle name="Normal 2 7 4 10 7" xfId="33462"/>
    <cellStyle name="Normal 2 7 4 10 8" xfId="33463"/>
    <cellStyle name="Normal 2 7 4 10 9" xfId="33464"/>
    <cellStyle name="Normal 2 7 4 11" xfId="33465"/>
    <cellStyle name="Normal 2 7 4 11 10" xfId="33466"/>
    <cellStyle name="Normal 2 7 4 11 2" xfId="33467"/>
    <cellStyle name="Normal 2 7 4 11 2 2" xfId="33468"/>
    <cellStyle name="Normal 2 7 4 11 2 2 2" xfId="33469"/>
    <cellStyle name="Normal 2 7 4 11 2 2 3" xfId="33470"/>
    <cellStyle name="Normal 2 7 4 11 2 3" xfId="33471"/>
    <cellStyle name="Normal 2 7 4 11 2 4" xfId="33472"/>
    <cellStyle name="Normal 2 7 4 11 2 5" xfId="33473"/>
    <cellStyle name="Normal 2 7 4 11 2 6" xfId="33474"/>
    <cellStyle name="Normal 2 7 4 11 3" xfId="33475"/>
    <cellStyle name="Normal 2 7 4 11 3 2" xfId="33476"/>
    <cellStyle name="Normal 2 7 4 11 3 2 2" xfId="33477"/>
    <cellStyle name="Normal 2 7 4 11 3 2 3" xfId="33478"/>
    <cellStyle name="Normal 2 7 4 11 3 3" xfId="33479"/>
    <cellStyle name="Normal 2 7 4 11 3 4" xfId="33480"/>
    <cellStyle name="Normal 2 7 4 11 3 5" xfId="33481"/>
    <cellStyle name="Normal 2 7 4 11 3 6" xfId="33482"/>
    <cellStyle name="Normal 2 7 4 11 4" xfId="33483"/>
    <cellStyle name="Normal 2 7 4 11 4 2" xfId="33484"/>
    <cellStyle name="Normal 2 7 4 11 4 2 2" xfId="33485"/>
    <cellStyle name="Normal 2 7 4 11 4 3" xfId="33486"/>
    <cellStyle name="Normal 2 7 4 11 4 4" xfId="33487"/>
    <cellStyle name="Normal 2 7 4 11 4 5" xfId="33488"/>
    <cellStyle name="Normal 2 7 4 11 5" xfId="33489"/>
    <cellStyle name="Normal 2 7 4 11 5 2" xfId="33490"/>
    <cellStyle name="Normal 2 7 4 11 5 3" xfId="33491"/>
    <cellStyle name="Normal 2 7 4 11 5 4" xfId="33492"/>
    <cellStyle name="Normal 2 7 4 11 6" xfId="33493"/>
    <cellStyle name="Normal 2 7 4 11 6 2" xfId="33494"/>
    <cellStyle name="Normal 2 7 4 11 7" xfId="33495"/>
    <cellStyle name="Normal 2 7 4 11 8" xfId="33496"/>
    <cellStyle name="Normal 2 7 4 11 9" xfId="33497"/>
    <cellStyle name="Normal 2 7 4 12" xfId="33498"/>
    <cellStyle name="Normal 2 7 4 12 10" xfId="33499"/>
    <cellStyle name="Normal 2 7 4 12 2" xfId="33500"/>
    <cellStyle name="Normal 2 7 4 12 2 2" xfId="33501"/>
    <cellStyle name="Normal 2 7 4 12 2 2 2" xfId="33502"/>
    <cellStyle name="Normal 2 7 4 12 2 2 3" xfId="33503"/>
    <cellStyle name="Normal 2 7 4 12 2 3" xfId="33504"/>
    <cellStyle name="Normal 2 7 4 12 2 4" xfId="33505"/>
    <cellStyle name="Normal 2 7 4 12 2 5" xfId="33506"/>
    <cellStyle name="Normal 2 7 4 12 2 6" xfId="33507"/>
    <cellStyle name="Normal 2 7 4 12 3" xfId="33508"/>
    <cellStyle name="Normal 2 7 4 12 3 2" xfId="33509"/>
    <cellStyle name="Normal 2 7 4 12 3 2 2" xfId="33510"/>
    <cellStyle name="Normal 2 7 4 12 3 2 3" xfId="33511"/>
    <cellStyle name="Normal 2 7 4 12 3 3" xfId="33512"/>
    <cellStyle name="Normal 2 7 4 12 3 4" xfId="33513"/>
    <cellStyle name="Normal 2 7 4 12 3 5" xfId="33514"/>
    <cellStyle name="Normal 2 7 4 12 3 6" xfId="33515"/>
    <cellStyle name="Normal 2 7 4 12 4" xfId="33516"/>
    <cellStyle name="Normal 2 7 4 12 4 2" xfId="33517"/>
    <cellStyle name="Normal 2 7 4 12 4 2 2" xfId="33518"/>
    <cellStyle name="Normal 2 7 4 12 4 3" xfId="33519"/>
    <cellStyle name="Normal 2 7 4 12 4 4" xfId="33520"/>
    <cellStyle name="Normal 2 7 4 12 4 5" xfId="33521"/>
    <cellStyle name="Normal 2 7 4 12 5" xfId="33522"/>
    <cellStyle name="Normal 2 7 4 12 5 2" xfId="33523"/>
    <cellStyle name="Normal 2 7 4 12 5 3" xfId="33524"/>
    <cellStyle name="Normal 2 7 4 12 5 4" xfId="33525"/>
    <cellStyle name="Normal 2 7 4 12 6" xfId="33526"/>
    <cellStyle name="Normal 2 7 4 12 6 2" xfId="33527"/>
    <cellStyle name="Normal 2 7 4 12 7" xfId="33528"/>
    <cellStyle name="Normal 2 7 4 12 8" xfId="33529"/>
    <cellStyle name="Normal 2 7 4 12 9" xfId="33530"/>
    <cellStyle name="Normal 2 7 4 13" xfId="33531"/>
    <cellStyle name="Normal 2 7 4 13 2" xfId="33532"/>
    <cellStyle name="Normal 2 7 4 13 2 2" xfId="33533"/>
    <cellStyle name="Normal 2 7 4 13 2 2 2" xfId="33534"/>
    <cellStyle name="Normal 2 7 4 13 2 2 3" xfId="33535"/>
    <cellStyle name="Normal 2 7 4 13 2 3" xfId="33536"/>
    <cellStyle name="Normal 2 7 4 13 2 4" xfId="33537"/>
    <cellStyle name="Normal 2 7 4 13 2 5" xfId="33538"/>
    <cellStyle name="Normal 2 7 4 13 2 6" xfId="33539"/>
    <cellStyle name="Normal 2 7 4 13 3" xfId="33540"/>
    <cellStyle name="Normal 2 7 4 13 3 2" xfId="33541"/>
    <cellStyle name="Normal 2 7 4 13 3 2 2" xfId="33542"/>
    <cellStyle name="Normal 2 7 4 13 3 3" xfId="33543"/>
    <cellStyle name="Normal 2 7 4 13 3 4" xfId="33544"/>
    <cellStyle name="Normal 2 7 4 13 3 5" xfId="33545"/>
    <cellStyle name="Normal 2 7 4 13 4" xfId="33546"/>
    <cellStyle name="Normal 2 7 4 13 4 2" xfId="33547"/>
    <cellStyle name="Normal 2 7 4 13 4 3" xfId="33548"/>
    <cellStyle name="Normal 2 7 4 13 4 4" xfId="33549"/>
    <cellStyle name="Normal 2 7 4 13 5" xfId="33550"/>
    <cellStyle name="Normal 2 7 4 13 5 2" xfId="33551"/>
    <cellStyle name="Normal 2 7 4 13 6" xfId="33552"/>
    <cellStyle name="Normal 2 7 4 13 7" xfId="33553"/>
    <cellStyle name="Normal 2 7 4 13 8" xfId="33554"/>
    <cellStyle name="Normal 2 7 4 13 9" xfId="33555"/>
    <cellStyle name="Normal 2 7 4 14" xfId="33556"/>
    <cellStyle name="Normal 2 7 4 14 2" xfId="33557"/>
    <cellStyle name="Normal 2 7 4 14 2 2" xfId="33558"/>
    <cellStyle name="Normal 2 7 4 14 2 2 2" xfId="33559"/>
    <cellStyle name="Normal 2 7 4 14 2 2 3" xfId="33560"/>
    <cellStyle name="Normal 2 7 4 14 2 3" xfId="33561"/>
    <cellStyle name="Normal 2 7 4 14 2 4" xfId="33562"/>
    <cellStyle name="Normal 2 7 4 14 2 5" xfId="33563"/>
    <cellStyle name="Normal 2 7 4 14 2 6" xfId="33564"/>
    <cellStyle name="Normal 2 7 4 14 3" xfId="33565"/>
    <cellStyle name="Normal 2 7 4 14 3 2" xfId="33566"/>
    <cellStyle name="Normal 2 7 4 14 3 2 2" xfId="33567"/>
    <cellStyle name="Normal 2 7 4 14 3 3" xfId="33568"/>
    <cellStyle name="Normal 2 7 4 14 3 4" xfId="33569"/>
    <cellStyle name="Normal 2 7 4 14 3 5" xfId="33570"/>
    <cellStyle name="Normal 2 7 4 14 4" xfId="33571"/>
    <cellStyle name="Normal 2 7 4 14 4 2" xfId="33572"/>
    <cellStyle name="Normal 2 7 4 14 4 3" xfId="33573"/>
    <cellStyle name="Normal 2 7 4 14 4 4" xfId="33574"/>
    <cellStyle name="Normal 2 7 4 14 5" xfId="33575"/>
    <cellStyle name="Normal 2 7 4 14 5 2" xfId="33576"/>
    <cellStyle name="Normal 2 7 4 14 6" xfId="33577"/>
    <cellStyle name="Normal 2 7 4 14 7" xfId="33578"/>
    <cellStyle name="Normal 2 7 4 14 8" xfId="33579"/>
    <cellStyle name="Normal 2 7 4 14 9" xfId="33580"/>
    <cellStyle name="Normal 2 7 4 15" xfId="33581"/>
    <cellStyle name="Normal 2 7 4 15 2" xfId="33582"/>
    <cellStyle name="Normal 2 7 4 15 2 2" xfId="33583"/>
    <cellStyle name="Normal 2 7 4 15 2 3" xfId="33584"/>
    <cellStyle name="Normal 2 7 4 15 3" xfId="33585"/>
    <cellStyle name="Normal 2 7 4 15 4" xfId="33586"/>
    <cellStyle name="Normal 2 7 4 15 5" xfId="33587"/>
    <cellStyle name="Normal 2 7 4 15 6" xfId="33588"/>
    <cellStyle name="Normal 2 7 4 16" xfId="33589"/>
    <cellStyle name="Normal 2 7 4 16 2" xfId="33590"/>
    <cellStyle name="Normal 2 7 4 16 2 2" xfId="33591"/>
    <cellStyle name="Normal 2 7 4 16 3" xfId="33592"/>
    <cellStyle name="Normal 2 7 4 16 4" xfId="33593"/>
    <cellStyle name="Normal 2 7 4 16 5" xfId="33594"/>
    <cellStyle name="Normal 2 7 4 17" xfId="33595"/>
    <cellStyle name="Normal 2 7 4 17 2" xfId="33596"/>
    <cellStyle name="Normal 2 7 4 17 2 2" xfId="33597"/>
    <cellStyle name="Normal 2 7 4 17 3" xfId="33598"/>
    <cellStyle name="Normal 2 7 4 17 4" xfId="33599"/>
    <cellStyle name="Normal 2 7 4 17 5" xfId="33600"/>
    <cellStyle name="Normal 2 7 4 18" xfId="33601"/>
    <cellStyle name="Normal 2 7 4 18 2" xfId="33602"/>
    <cellStyle name="Normal 2 7 4 19" xfId="33603"/>
    <cellStyle name="Normal 2 7 4 2" xfId="33604"/>
    <cellStyle name="Normal 2 7 4 2 10" xfId="33605"/>
    <cellStyle name="Normal 2 7 4 2 11" xfId="33606"/>
    <cellStyle name="Normal 2 7 4 2 2" xfId="33607"/>
    <cellStyle name="Normal 2 7 4 2 2 2" xfId="33608"/>
    <cellStyle name="Normal 2 7 4 2 2 2 2" xfId="33609"/>
    <cellStyle name="Normal 2 7 4 2 2 2 2 2" xfId="33610"/>
    <cellStyle name="Normal 2 7 4 2 2 2 2 3" xfId="33611"/>
    <cellStyle name="Normal 2 7 4 2 2 2 3" xfId="33612"/>
    <cellStyle name="Normal 2 7 4 2 2 2 4" xfId="33613"/>
    <cellStyle name="Normal 2 7 4 2 2 2 5" xfId="33614"/>
    <cellStyle name="Normal 2 7 4 2 2 2 6" xfId="33615"/>
    <cellStyle name="Normal 2 7 4 2 2 3" xfId="33616"/>
    <cellStyle name="Normal 2 7 4 2 2 3 2" xfId="33617"/>
    <cellStyle name="Normal 2 7 4 2 2 3 2 2" xfId="33618"/>
    <cellStyle name="Normal 2 7 4 2 2 3 3" xfId="33619"/>
    <cellStyle name="Normal 2 7 4 2 2 3 4" xfId="33620"/>
    <cellStyle name="Normal 2 7 4 2 2 3 5" xfId="33621"/>
    <cellStyle name="Normal 2 7 4 2 2 4" xfId="33622"/>
    <cellStyle name="Normal 2 7 4 2 2 4 2" xfId="33623"/>
    <cellStyle name="Normal 2 7 4 2 2 4 3" xfId="33624"/>
    <cellStyle name="Normal 2 7 4 2 2 4 4" xfId="33625"/>
    <cellStyle name="Normal 2 7 4 2 2 5" xfId="33626"/>
    <cellStyle name="Normal 2 7 4 2 2 5 2" xfId="33627"/>
    <cellStyle name="Normal 2 7 4 2 2 6" xfId="33628"/>
    <cellStyle name="Normal 2 7 4 2 2 7" xfId="33629"/>
    <cellStyle name="Normal 2 7 4 2 2 8" xfId="33630"/>
    <cellStyle name="Normal 2 7 4 2 2 9" xfId="33631"/>
    <cellStyle name="Normal 2 7 4 2 3" xfId="33632"/>
    <cellStyle name="Normal 2 7 4 2 3 2" xfId="33633"/>
    <cellStyle name="Normal 2 7 4 2 3 2 2" xfId="33634"/>
    <cellStyle name="Normal 2 7 4 2 3 2 2 2" xfId="33635"/>
    <cellStyle name="Normal 2 7 4 2 3 2 2 3" xfId="33636"/>
    <cellStyle name="Normal 2 7 4 2 3 2 3" xfId="33637"/>
    <cellStyle name="Normal 2 7 4 2 3 2 4" xfId="33638"/>
    <cellStyle name="Normal 2 7 4 2 3 2 5" xfId="33639"/>
    <cellStyle name="Normal 2 7 4 2 3 2 6" xfId="33640"/>
    <cellStyle name="Normal 2 7 4 2 3 3" xfId="33641"/>
    <cellStyle name="Normal 2 7 4 2 3 3 2" xfId="33642"/>
    <cellStyle name="Normal 2 7 4 2 3 3 2 2" xfId="33643"/>
    <cellStyle name="Normal 2 7 4 2 3 3 3" xfId="33644"/>
    <cellStyle name="Normal 2 7 4 2 3 3 4" xfId="33645"/>
    <cellStyle name="Normal 2 7 4 2 3 3 5" xfId="33646"/>
    <cellStyle name="Normal 2 7 4 2 3 4" xfId="33647"/>
    <cellStyle name="Normal 2 7 4 2 3 4 2" xfId="33648"/>
    <cellStyle name="Normal 2 7 4 2 3 4 3" xfId="33649"/>
    <cellStyle name="Normal 2 7 4 2 3 4 4" xfId="33650"/>
    <cellStyle name="Normal 2 7 4 2 3 5" xfId="33651"/>
    <cellStyle name="Normal 2 7 4 2 3 5 2" xfId="33652"/>
    <cellStyle name="Normal 2 7 4 2 3 6" xfId="33653"/>
    <cellStyle name="Normal 2 7 4 2 3 7" xfId="33654"/>
    <cellStyle name="Normal 2 7 4 2 3 8" xfId="33655"/>
    <cellStyle name="Normal 2 7 4 2 3 9" xfId="33656"/>
    <cellStyle name="Normal 2 7 4 2 4" xfId="33657"/>
    <cellStyle name="Normal 2 7 4 2 4 2" xfId="33658"/>
    <cellStyle name="Normal 2 7 4 2 4 2 2" xfId="33659"/>
    <cellStyle name="Normal 2 7 4 2 4 2 3" xfId="33660"/>
    <cellStyle name="Normal 2 7 4 2 4 3" xfId="33661"/>
    <cellStyle name="Normal 2 7 4 2 4 4" xfId="33662"/>
    <cellStyle name="Normal 2 7 4 2 4 5" xfId="33663"/>
    <cellStyle name="Normal 2 7 4 2 4 6" xfId="33664"/>
    <cellStyle name="Normal 2 7 4 2 5" xfId="33665"/>
    <cellStyle name="Normal 2 7 4 2 5 2" xfId="33666"/>
    <cellStyle name="Normal 2 7 4 2 5 2 2" xfId="33667"/>
    <cellStyle name="Normal 2 7 4 2 5 3" xfId="33668"/>
    <cellStyle name="Normal 2 7 4 2 5 4" xfId="33669"/>
    <cellStyle name="Normal 2 7 4 2 5 5" xfId="33670"/>
    <cellStyle name="Normal 2 7 4 2 6" xfId="33671"/>
    <cellStyle name="Normal 2 7 4 2 6 2" xfId="33672"/>
    <cellStyle name="Normal 2 7 4 2 6 3" xfId="33673"/>
    <cellStyle name="Normal 2 7 4 2 6 4" xfId="33674"/>
    <cellStyle name="Normal 2 7 4 2 7" xfId="33675"/>
    <cellStyle name="Normal 2 7 4 2 7 2" xfId="33676"/>
    <cellStyle name="Normal 2 7 4 2 8" xfId="33677"/>
    <cellStyle name="Normal 2 7 4 2 9" xfId="33678"/>
    <cellStyle name="Normal 2 7 4 20" xfId="33679"/>
    <cellStyle name="Normal 2 7 4 21" xfId="33680"/>
    <cellStyle name="Normal 2 7 4 22" xfId="33681"/>
    <cellStyle name="Normal 2 7 4 3" xfId="33682"/>
    <cellStyle name="Normal 2 7 4 3 10" xfId="33683"/>
    <cellStyle name="Normal 2 7 4 3 11" xfId="33684"/>
    <cellStyle name="Normal 2 7 4 3 2" xfId="33685"/>
    <cellStyle name="Normal 2 7 4 3 2 2" xfId="33686"/>
    <cellStyle name="Normal 2 7 4 3 2 2 2" xfId="33687"/>
    <cellStyle name="Normal 2 7 4 3 2 2 2 2" xfId="33688"/>
    <cellStyle name="Normal 2 7 4 3 2 2 2 3" xfId="33689"/>
    <cellStyle name="Normal 2 7 4 3 2 2 3" xfId="33690"/>
    <cellStyle name="Normal 2 7 4 3 2 2 4" xfId="33691"/>
    <cellStyle name="Normal 2 7 4 3 2 2 5" xfId="33692"/>
    <cellStyle name="Normal 2 7 4 3 2 2 6" xfId="33693"/>
    <cellStyle name="Normal 2 7 4 3 2 3" xfId="33694"/>
    <cellStyle name="Normal 2 7 4 3 2 3 2" xfId="33695"/>
    <cellStyle name="Normal 2 7 4 3 2 3 2 2" xfId="33696"/>
    <cellStyle name="Normal 2 7 4 3 2 3 3" xfId="33697"/>
    <cellStyle name="Normal 2 7 4 3 2 3 4" xfId="33698"/>
    <cellStyle name="Normal 2 7 4 3 2 3 5" xfId="33699"/>
    <cellStyle name="Normal 2 7 4 3 2 4" xfId="33700"/>
    <cellStyle name="Normal 2 7 4 3 2 4 2" xfId="33701"/>
    <cellStyle name="Normal 2 7 4 3 2 4 3" xfId="33702"/>
    <cellStyle name="Normal 2 7 4 3 2 4 4" xfId="33703"/>
    <cellStyle name="Normal 2 7 4 3 2 5" xfId="33704"/>
    <cellStyle name="Normal 2 7 4 3 2 5 2" xfId="33705"/>
    <cellStyle name="Normal 2 7 4 3 2 6" xfId="33706"/>
    <cellStyle name="Normal 2 7 4 3 2 7" xfId="33707"/>
    <cellStyle name="Normal 2 7 4 3 2 8" xfId="33708"/>
    <cellStyle name="Normal 2 7 4 3 2 9" xfId="33709"/>
    <cellStyle name="Normal 2 7 4 3 3" xfId="33710"/>
    <cellStyle name="Normal 2 7 4 3 3 2" xfId="33711"/>
    <cellStyle name="Normal 2 7 4 3 3 2 2" xfId="33712"/>
    <cellStyle name="Normal 2 7 4 3 3 2 2 2" xfId="33713"/>
    <cellStyle name="Normal 2 7 4 3 3 2 2 3" xfId="33714"/>
    <cellStyle name="Normal 2 7 4 3 3 2 3" xfId="33715"/>
    <cellStyle name="Normal 2 7 4 3 3 2 4" xfId="33716"/>
    <cellStyle name="Normal 2 7 4 3 3 2 5" xfId="33717"/>
    <cellStyle name="Normal 2 7 4 3 3 2 6" xfId="33718"/>
    <cellStyle name="Normal 2 7 4 3 3 3" xfId="33719"/>
    <cellStyle name="Normal 2 7 4 3 3 3 2" xfId="33720"/>
    <cellStyle name="Normal 2 7 4 3 3 3 2 2" xfId="33721"/>
    <cellStyle name="Normal 2 7 4 3 3 3 3" xfId="33722"/>
    <cellStyle name="Normal 2 7 4 3 3 3 4" xfId="33723"/>
    <cellStyle name="Normal 2 7 4 3 3 3 5" xfId="33724"/>
    <cellStyle name="Normal 2 7 4 3 3 4" xfId="33725"/>
    <cellStyle name="Normal 2 7 4 3 3 4 2" xfId="33726"/>
    <cellStyle name="Normal 2 7 4 3 3 4 3" xfId="33727"/>
    <cellStyle name="Normal 2 7 4 3 3 4 4" xfId="33728"/>
    <cellStyle name="Normal 2 7 4 3 3 5" xfId="33729"/>
    <cellStyle name="Normal 2 7 4 3 3 5 2" xfId="33730"/>
    <cellStyle name="Normal 2 7 4 3 3 6" xfId="33731"/>
    <cellStyle name="Normal 2 7 4 3 3 7" xfId="33732"/>
    <cellStyle name="Normal 2 7 4 3 3 8" xfId="33733"/>
    <cellStyle name="Normal 2 7 4 3 3 9" xfId="33734"/>
    <cellStyle name="Normal 2 7 4 3 4" xfId="33735"/>
    <cellStyle name="Normal 2 7 4 3 4 2" xfId="33736"/>
    <cellStyle name="Normal 2 7 4 3 4 2 2" xfId="33737"/>
    <cellStyle name="Normal 2 7 4 3 4 2 3" xfId="33738"/>
    <cellStyle name="Normal 2 7 4 3 4 3" xfId="33739"/>
    <cellStyle name="Normal 2 7 4 3 4 4" xfId="33740"/>
    <cellStyle name="Normal 2 7 4 3 4 5" xfId="33741"/>
    <cellStyle name="Normal 2 7 4 3 4 6" xfId="33742"/>
    <cellStyle name="Normal 2 7 4 3 5" xfId="33743"/>
    <cellStyle name="Normal 2 7 4 3 5 2" xfId="33744"/>
    <cellStyle name="Normal 2 7 4 3 5 2 2" xfId="33745"/>
    <cellStyle name="Normal 2 7 4 3 5 3" xfId="33746"/>
    <cellStyle name="Normal 2 7 4 3 5 4" xfId="33747"/>
    <cellStyle name="Normal 2 7 4 3 5 5" xfId="33748"/>
    <cellStyle name="Normal 2 7 4 3 6" xfId="33749"/>
    <cellStyle name="Normal 2 7 4 3 6 2" xfId="33750"/>
    <cellStyle name="Normal 2 7 4 3 6 3" xfId="33751"/>
    <cellStyle name="Normal 2 7 4 3 6 4" xfId="33752"/>
    <cellStyle name="Normal 2 7 4 3 7" xfId="33753"/>
    <cellStyle name="Normal 2 7 4 3 7 2" xfId="33754"/>
    <cellStyle name="Normal 2 7 4 3 8" xfId="33755"/>
    <cellStyle name="Normal 2 7 4 3 9" xfId="33756"/>
    <cellStyle name="Normal 2 7 4 4" xfId="33757"/>
    <cellStyle name="Normal 2 7 4 4 10" xfId="33758"/>
    <cellStyle name="Normal 2 7 4 4 11" xfId="33759"/>
    <cellStyle name="Normal 2 7 4 4 2" xfId="33760"/>
    <cellStyle name="Normal 2 7 4 4 2 2" xfId="33761"/>
    <cellStyle name="Normal 2 7 4 4 2 2 2" xfId="33762"/>
    <cellStyle name="Normal 2 7 4 4 2 2 2 2" xfId="33763"/>
    <cellStyle name="Normal 2 7 4 4 2 2 2 3" xfId="33764"/>
    <cellStyle name="Normal 2 7 4 4 2 2 3" xfId="33765"/>
    <cellStyle name="Normal 2 7 4 4 2 2 4" xfId="33766"/>
    <cellStyle name="Normal 2 7 4 4 2 2 5" xfId="33767"/>
    <cellStyle name="Normal 2 7 4 4 2 2 6" xfId="33768"/>
    <cellStyle name="Normal 2 7 4 4 2 3" xfId="33769"/>
    <cellStyle name="Normal 2 7 4 4 2 3 2" xfId="33770"/>
    <cellStyle name="Normal 2 7 4 4 2 3 2 2" xfId="33771"/>
    <cellStyle name="Normal 2 7 4 4 2 3 3" xfId="33772"/>
    <cellStyle name="Normal 2 7 4 4 2 3 4" xfId="33773"/>
    <cellStyle name="Normal 2 7 4 4 2 3 5" xfId="33774"/>
    <cellStyle name="Normal 2 7 4 4 2 4" xfId="33775"/>
    <cellStyle name="Normal 2 7 4 4 2 4 2" xfId="33776"/>
    <cellStyle name="Normal 2 7 4 4 2 4 3" xfId="33777"/>
    <cellStyle name="Normal 2 7 4 4 2 4 4" xfId="33778"/>
    <cellStyle name="Normal 2 7 4 4 2 5" xfId="33779"/>
    <cellStyle name="Normal 2 7 4 4 2 5 2" xfId="33780"/>
    <cellStyle name="Normal 2 7 4 4 2 6" xfId="33781"/>
    <cellStyle name="Normal 2 7 4 4 2 7" xfId="33782"/>
    <cellStyle name="Normal 2 7 4 4 2 8" xfId="33783"/>
    <cellStyle name="Normal 2 7 4 4 2 9" xfId="33784"/>
    <cellStyle name="Normal 2 7 4 4 3" xfId="33785"/>
    <cellStyle name="Normal 2 7 4 4 3 2" xfId="33786"/>
    <cellStyle name="Normal 2 7 4 4 3 2 2" xfId="33787"/>
    <cellStyle name="Normal 2 7 4 4 3 2 2 2" xfId="33788"/>
    <cellStyle name="Normal 2 7 4 4 3 2 2 3" xfId="33789"/>
    <cellStyle name="Normal 2 7 4 4 3 2 3" xfId="33790"/>
    <cellStyle name="Normal 2 7 4 4 3 2 4" xfId="33791"/>
    <cellStyle name="Normal 2 7 4 4 3 2 5" xfId="33792"/>
    <cellStyle name="Normal 2 7 4 4 3 2 6" xfId="33793"/>
    <cellStyle name="Normal 2 7 4 4 3 3" xfId="33794"/>
    <cellStyle name="Normal 2 7 4 4 3 3 2" xfId="33795"/>
    <cellStyle name="Normal 2 7 4 4 3 3 2 2" xfId="33796"/>
    <cellStyle name="Normal 2 7 4 4 3 3 3" xfId="33797"/>
    <cellStyle name="Normal 2 7 4 4 3 3 4" xfId="33798"/>
    <cellStyle name="Normal 2 7 4 4 3 3 5" xfId="33799"/>
    <cellStyle name="Normal 2 7 4 4 3 4" xfId="33800"/>
    <cellStyle name="Normal 2 7 4 4 3 4 2" xfId="33801"/>
    <cellStyle name="Normal 2 7 4 4 3 4 3" xfId="33802"/>
    <cellStyle name="Normal 2 7 4 4 3 4 4" xfId="33803"/>
    <cellStyle name="Normal 2 7 4 4 3 5" xfId="33804"/>
    <cellStyle name="Normal 2 7 4 4 3 5 2" xfId="33805"/>
    <cellStyle name="Normal 2 7 4 4 3 6" xfId="33806"/>
    <cellStyle name="Normal 2 7 4 4 3 7" xfId="33807"/>
    <cellStyle name="Normal 2 7 4 4 3 8" xfId="33808"/>
    <cellStyle name="Normal 2 7 4 4 3 9" xfId="33809"/>
    <cellStyle name="Normal 2 7 4 4 4" xfId="33810"/>
    <cellStyle name="Normal 2 7 4 4 4 2" xfId="33811"/>
    <cellStyle name="Normal 2 7 4 4 4 2 2" xfId="33812"/>
    <cellStyle name="Normal 2 7 4 4 4 2 3" xfId="33813"/>
    <cellStyle name="Normal 2 7 4 4 4 3" xfId="33814"/>
    <cellStyle name="Normal 2 7 4 4 4 4" xfId="33815"/>
    <cellStyle name="Normal 2 7 4 4 4 5" xfId="33816"/>
    <cellStyle name="Normal 2 7 4 4 4 6" xfId="33817"/>
    <cellStyle name="Normal 2 7 4 4 5" xfId="33818"/>
    <cellStyle name="Normal 2 7 4 4 5 2" xfId="33819"/>
    <cellStyle name="Normal 2 7 4 4 5 2 2" xfId="33820"/>
    <cellStyle name="Normal 2 7 4 4 5 3" xfId="33821"/>
    <cellStyle name="Normal 2 7 4 4 5 4" xfId="33822"/>
    <cellStyle name="Normal 2 7 4 4 5 5" xfId="33823"/>
    <cellStyle name="Normal 2 7 4 4 6" xfId="33824"/>
    <cellStyle name="Normal 2 7 4 4 6 2" xfId="33825"/>
    <cellStyle name="Normal 2 7 4 4 6 3" xfId="33826"/>
    <cellStyle name="Normal 2 7 4 4 6 4" xfId="33827"/>
    <cellStyle name="Normal 2 7 4 4 7" xfId="33828"/>
    <cellStyle name="Normal 2 7 4 4 7 2" xfId="33829"/>
    <cellStyle name="Normal 2 7 4 4 8" xfId="33830"/>
    <cellStyle name="Normal 2 7 4 4 9" xfId="33831"/>
    <cellStyle name="Normal 2 7 4 5" xfId="33832"/>
    <cellStyle name="Normal 2 7 4 5 10" xfId="33833"/>
    <cellStyle name="Normal 2 7 4 5 11" xfId="33834"/>
    <cellStyle name="Normal 2 7 4 5 2" xfId="33835"/>
    <cellStyle name="Normal 2 7 4 5 2 2" xfId="33836"/>
    <cellStyle name="Normal 2 7 4 5 2 2 2" xfId="33837"/>
    <cellStyle name="Normal 2 7 4 5 2 2 2 2" xfId="33838"/>
    <cellStyle name="Normal 2 7 4 5 2 2 2 3" xfId="33839"/>
    <cellStyle name="Normal 2 7 4 5 2 2 3" xfId="33840"/>
    <cellStyle name="Normal 2 7 4 5 2 2 4" xfId="33841"/>
    <cellStyle name="Normal 2 7 4 5 2 2 5" xfId="33842"/>
    <cellStyle name="Normal 2 7 4 5 2 2 6" xfId="33843"/>
    <cellStyle name="Normal 2 7 4 5 2 3" xfId="33844"/>
    <cellStyle name="Normal 2 7 4 5 2 3 2" xfId="33845"/>
    <cellStyle name="Normal 2 7 4 5 2 3 2 2" xfId="33846"/>
    <cellStyle name="Normal 2 7 4 5 2 3 3" xfId="33847"/>
    <cellStyle name="Normal 2 7 4 5 2 3 4" xfId="33848"/>
    <cellStyle name="Normal 2 7 4 5 2 3 5" xfId="33849"/>
    <cellStyle name="Normal 2 7 4 5 2 4" xfId="33850"/>
    <cellStyle name="Normal 2 7 4 5 2 4 2" xfId="33851"/>
    <cellStyle name="Normal 2 7 4 5 2 4 3" xfId="33852"/>
    <cellStyle name="Normal 2 7 4 5 2 4 4" xfId="33853"/>
    <cellStyle name="Normal 2 7 4 5 2 5" xfId="33854"/>
    <cellStyle name="Normal 2 7 4 5 2 5 2" xfId="33855"/>
    <cellStyle name="Normal 2 7 4 5 2 6" xfId="33856"/>
    <cellStyle name="Normal 2 7 4 5 2 7" xfId="33857"/>
    <cellStyle name="Normal 2 7 4 5 2 8" xfId="33858"/>
    <cellStyle name="Normal 2 7 4 5 2 9" xfId="33859"/>
    <cellStyle name="Normal 2 7 4 5 3" xfId="33860"/>
    <cellStyle name="Normal 2 7 4 5 3 2" xfId="33861"/>
    <cellStyle name="Normal 2 7 4 5 3 2 2" xfId="33862"/>
    <cellStyle name="Normal 2 7 4 5 3 2 2 2" xfId="33863"/>
    <cellStyle name="Normal 2 7 4 5 3 2 2 3" xfId="33864"/>
    <cellStyle name="Normal 2 7 4 5 3 2 3" xfId="33865"/>
    <cellStyle name="Normal 2 7 4 5 3 2 4" xfId="33866"/>
    <cellStyle name="Normal 2 7 4 5 3 2 5" xfId="33867"/>
    <cellStyle name="Normal 2 7 4 5 3 2 6" xfId="33868"/>
    <cellStyle name="Normal 2 7 4 5 3 3" xfId="33869"/>
    <cellStyle name="Normal 2 7 4 5 3 3 2" xfId="33870"/>
    <cellStyle name="Normal 2 7 4 5 3 3 2 2" xfId="33871"/>
    <cellStyle name="Normal 2 7 4 5 3 3 3" xfId="33872"/>
    <cellStyle name="Normal 2 7 4 5 3 3 4" xfId="33873"/>
    <cellStyle name="Normal 2 7 4 5 3 3 5" xfId="33874"/>
    <cellStyle name="Normal 2 7 4 5 3 4" xfId="33875"/>
    <cellStyle name="Normal 2 7 4 5 3 4 2" xfId="33876"/>
    <cellStyle name="Normal 2 7 4 5 3 4 3" xfId="33877"/>
    <cellStyle name="Normal 2 7 4 5 3 4 4" xfId="33878"/>
    <cellStyle name="Normal 2 7 4 5 3 5" xfId="33879"/>
    <cellStyle name="Normal 2 7 4 5 3 5 2" xfId="33880"/>
    <cellStyle name="Normal 2 7 4 5 3 6" xfId="33881"/>
    <cellStyle name="Normal 2 7 4 5 3 7" xfId="33882"/>
    <cellStyle name="Normal 2 7 4 5 3 8" xfId="33883"/>
    <cellStyle name="Normal 2 7 4 5 3 9" xfId="33884"/>
    <cellStyle name="Normal 2 7 4 5 4" xfId="33885"/>
    <cellStyle name="Normal 2 7 4 5 4 2" xfId="33886"/>
    <cellStyle name="Normal 2 7 4 5 4 2 2" xfId="33887"/>
    <cellStyle name="Normal 2 7 4 5 4 2 3" xfId="33888"/>
    <cellStyle name="Normal 2 7 4 5 4 3" xfId="33889"/>
    <cellStyle name="Normal 2 7 4 5 4 4" xfId="33890"/>
    <cellStyle name="Normal 2 7 4 5 4 5" xfId="33891"/>
    <cellStyle name="Normal 2 7 4 5 4 6" xfId="33892"/>
    <cellStyle name="Normal 2 7 4 5 5" xfId="33893"/>
    <cellStyle name="Normal 2 7 4 5 5 2" xfId="33894"/>
    <cellStyle name="Normal 2 7 4 5 5 2 2" xfId="33895"/>
    <cellStyle name="Normal 2 7 4 5 5 3" xfId="33896"/>
    <cellStyle name="Normal 2 7 4 5 5 4" xfId="33897"/>
    <cellStyle name="Normal 2 7 4 5 5 5" xfId="33898"/>
    <cellStyle name="Normal 2 7 4 5 6" xfId="33899"/>
    <cellStyle name="Normal 2 7 4 5 6 2" xfId="33900"/>
    <cellStyle name="Normal 2 7 4 5 6 3" xfId="33901"/>
    <cellStyle name="Normal 2 7 4 5 6 4" xfId="33902"/>
    <cellStyle name="Normal 2 7 4 5 7" xfId="33903"/>
    <cellStyle name="Normal 2 7 4 5 7 2" xfId="33904"/>
    <cellStyle name="Normal 2 7 4 5 8" xfId="33905"/>
    <cellStyle name="Normal 2 7 4 5 9" xfId="33906"/>
    <cellStyle name="Normal 2 7 4 6" xfId="33907"/>
    <cellStyle name="Normal 2 7 4 6 10" xfId="33908"/>
    <cellStyle name="Normal 2 7 4 6 11" xfId="33909"/>
    <cellStyle name="Normal 2 7 4 6 2" xfId="33910"/>
    <cellStyle name="Normal 2 7 4 6 2 2" xfId="33911"/>
    <cellStyle name="Normal 2 7 4 6 2 2 2" xfId="33912"/>
    <cellStyle name="Normal 2 7 4 6 2 2 2 2" xfId="33913"/>
    <cellStyle name="Normal 2 7 4 6 2 2 2 3" xfId="33914"/>
    <cellStyle name="Normal 2 7 4 6 2 2 3" xfId="33915"/>
    <cellStyle name="Normal 2 7 4 6 2 2 4" xfId="33916"/>
    <cellStyle name="Normal 2 7 4 6 2 2 5" xfId="33917"/>
    <cellStyle name="Normal 2 7 4 6 2 2 6" xfId="33918"/>
    <cellStyle name="Normal 2 7 4 6 2 3" xfId="33919"/>
    <cellStyle name="Normal 2 7 4 6 2 3 2" xfId="33920"/>
    <cellStyle name="Normal 2 7 4 6 2 3 2 2" xfId="33921"/>
    <cellStyle name="Normal 2 7 4 6 2 3 3" xfId="33922"/>
    <cellStyle name="Normal 2 7 4 6 2 3 4" xfId="33923"/>
    <cellStyle name="Normal 2 7 4 6 2 3 5" xfId="33924"/>
    <cellStyle name="Normal 2 7 4 6 2 4" xfId="33925"/>
    <cellStyle name="Normal 2 7 4 6 2 4 2" xfId="33926"/>
    <cellStyle name="Normal 2 7 4 6 2 4 3" xfId="33927"/>
    <cellStyle name="Normal 2 7 4 6 2 4 4" xfId="33928"/>
    <cellStyle name="Normal 2 7 4 6 2 5" xfId="33929"/>
    <cellStyle name="Normal 2 7 4 6 2 5 2" xfId="33930"/>
    <cellStyle name="Normal 2 7 4 6 2 6" xfId="33931"/>
    <cellStyle name="Normal 2 7 4 6 2 7" xfId="33932"/>
    <cellStyle name="Normal 2 7 4 6 2 8" xfId="33933"/>
    <cellStyle name="Normal 2 7 4 6 2 9" xfId="33934"/>
    <cellStyle name="Normal 2 7 4 6 3" xfId="33935"/>
    <cellStyle name="Normal 2 7 4 6 3 2" xfId="33936"/>
    <cellStyle name="Normal 2 7 4 6 3 2 2" xfId="33937"/>
    <cellStyle name="Normal 2 7 4 6 3 2 2 2" xfId="33938"/>
    <cellStyle name="Normal 2 7 4 6 3 2 2 3" xfId="33939"/>
    <cellStyle name="Normal 2 7 4 6 3 2 3" xfId="33940"/>
    <cellStyle name="Normal 2 7 4 6 3 2 4" xfId="33941"/>
    <cellStyle name="Normal 2 7 4 6 3 2 5" xfId="33942"/>
    <cellStyle name="Normal 2 7 4 6 3 2 6" xfId="33943"/>
    <cellStyle name="Normal 2 7 4 6 3 3" xfId="33944"/>
    <cellStyle name="Normal 2 7 4 6 3 3 2" xfId="33945"/>
    <cellStyle name="Normal 2 7 4 6 3 3 2 2" xfId="33946"/>
    <cellStyle name="Normal 2 7 4 6 3 3 3" xfId="33947"/>
    <cellStyle name="Normal 2 7 4 6 3 3 4" xfId="33948"/>
    <cellStyle name="Normal 2 7 4 6 3 3 5" xfId="33949"/>
    <cellStyle name="Normal 2 7 4 6 3 4" xfId="33950"/>
    <cellStyle name="Normal 2 7 4 6 3 4 2" xfId="33951"/>
    <cellStyle name="Normal 2 7 4 6 3 4 3" xfId="33952"/>
    <cellStyle name="Normal 2 7 4 6 3 4 4" xfId="33953"/>
    <cellStyle name="Normal 2 7 4 6 3 5" xfId="33954"/>
    <cellStyle name="Normal 2 7 4 6 3 5 2" xfId="33955"/>
    <cellStyle name="Normal 2 7 4 6 3 6" xfId="33956"/>
    <cellStyle name="Normal 2 7 4 6 3 7" xfId="33957"/>
    <cellStyle name="Normal 2 7 4 6 3 8" xfId="33958"/>
    <cellStyle name="Normal 2 7 4 6 3 9" xfId="33959"/>
    <cellStyle name="Normal 2 7 4 6 4" xfId="33960"/>
    <cellStyle name="Normal 2 7 4 6 4 2" xfId="33961"/>
    <cellStyle name="Normal 2 7 4 6 4 2 2" xfId="33962"/>
    <cellStyle name="Normal 2 7 4 6 4 2 3" xfId="33963"/>
    <cellStyle name="Normal 2 7 4 6 4 3" xfId="33964"/>
    <cellStyle name="Normal 2 7 4 6 4 4" xfId="33965"/>
    <cellStyle name="Normal 2 7 4 6 4 5" xfId="33966"/>
    <cellStyle name="Normal 2 7 4 6 4 6" xfId="33967"/>
    <cellStyle name="Normal 2 7 4 6 5" xfId="33968"/>
    <cellStyle name="Normal 2 7 4 6 5 2" xfId="33969"/>
    <cellStyle name="Normal 2 7 4 6 5 2 2" xfId="33970"/>
    <cellStyle name="Normal 2 7 4 6 5 3" xfId="33971"/>
    <cellStyle name="Normal 2 7 4 6 5 4" xfId="33972"/>
    <cellStyle name="Normal 2 7 4 6 5 5" xfId="33973"/>
    <cellStyle name="Normal 2 7 4 6 6" xfId="33974"/>
    <cellStyle name="Normal 2 7 4 6 6 2" xfId="33975"/>
    <cellStyle name="Normal 2 7 4 6 6 3" xfId="33976"/>
    <cellStyle name="Normal 2 7 4 6 6 4" xfId="33977"/>
    <cellStyle name="Normal 2 7 4 6 7" xfId="33978"/>
    <cellStyle name="Normal 2 7 4 6 7 2" xfId="33979"/>
    <cellStyle name="Normal 2 7 4 6 8" xfId="33980"/>
    <cellStyle name="Normal 2 7 4 6 9" xfId="33981"/>
    <cellStyle name="Normal 2 7 4 7" xfId="33982"/>
    <cellStyle name="Normal 2 7 4 7 10" xfId="33983"/>
    <cellStyle name="Normal 2 7 4 7 11" xfId="33984"/>
    <cellStyle name="Normal 2 7 4 7 2" xfId="33985"/>
    <cellStyle name="Normal 2 7 4 7 2 2" xfId="33986"/>
    <cellStyle name="Normal 2 7 4 7 2 2 2" xfId="33987"/>
    <cellStyle name="Normal 2 7 4 7 2 2 2 2" xfId="33988"/>
    <cellStyle name="Normal 2 7 4 7 2 2 2 3" xfId="33989"/>
    <cellStyle name="Normal 2 7 4 7 2 2 3" xfId="33990"/>
    <cellStyle name="Normal 2 7 4 7 2 2 4" xfId="33991"/>
    <cellStyle name="Normal 2 7 4 7 2 2 5" xfId="33992"/>
    <cellStyle name="Normal 2 7 4 7 2 2 6" xfId="33993"/>
    <cellStyle name="Normal 2 7 4 7 2 3" xfId="33994"/>
    <cellStyle name="Normal 2 7 4 7 2 3 2" xfId="33995"/>
    <cellStyle name="Normal 2 7 4 7 2 3 2 2" xfId="33996"/>
    <cellStyle name="Normal 2 7 4 7 2 3 3" xfId="33997"/>
    <cellStyle name="Normal 2 7 4 7 2 3 4" xfId="33998"/>
    <cellStyle name="Normal 2 7 4 7 2 3 5" xfId="33999"/>
    <cellStyle name="Normal 2 7 4 7 2 4" xfId="34000"/>
    <cellStyle name="Normal 2 7 4 7 2 4 2" xfId="34001"/>
    <cellStyle name="Normal 2 7 4 7 2 4 3" xfId="34002"/>
    <cellStyle name="Normal 2 7 4 7 2 4 4" xfId="34003"/>
    <cellStyle name="Normal 2 7 4 7 2 5" xfId="34004"/>
    <cellStyle name="Normal 2 7 4 7 2 5 2" xfId="34005"/>
    <cellStyle name="Normal 2 7 4 7 2 6" xfId="34006"/>
    <cellStyle name="Normal 2 7 4 7 2 7" xfId="34007"/>
    <cellStyle name="Normal 2 7 4 7 2 8" xfId="34008"/>
    <cellStyle name="Normal 2 7 4 7 2 9" xfId="34009"/>
    <cellStyle name="Normal 2 7 4 7 3" xfId="34010"/>
    <cellStyle name="Normal 2 7 4 7 3 2" xfId="34011"/>
    <cellStyle name="Normal 2 7 4 7 3 2 2" xfId="34012"/>
    <cellStyle name="Normal 2 7 4 7 3 2 2 2" xfId="34013"/>
    <cellStyle name="Normal 2 7 4 7 3 2 2 3" xfId="34014"/>
    <cellStyle name="Normal 2 7 4 7 3 2 3" xfId="34015"/>
    <cellStyle name="Normal 2 7 4 7 3 2 4" xfId="34016"/>
    <cellStyle name="Normal 2 7 4 7 3 2 5" xfId="34017"/>
    <cellStyle name="Normal 2 7 4 7 3 2 6" xfId="34018"/>
    <cellStyle name="Normal 2 7 4 7 3 3" xfId="34019"/>
    <cellStyle name="Normal 2 7 4 7 3 3 2" xfId="34020"/>
    <cellStyle name="Normal 2 7 4 7 3 3 2 2" xfId="34021"/>
    <cellStyle name="Normal 2 7 4 7 3 3 3" xfId="34022"/>
    <cellStyle name="Normal 2 7 4 7 3 3 4" xfId="34023"/>
    <cellStyle name="Normal 2 7 4 7 3 3 5" xfId="34024"/>
    <cellStyle name="Normal 2 7 4 7 3 4" xfId="34025"/>
    <cellStyle name="Normal 2 7 4 7 3 4 2" xfId="34026"/>
    <cellStyle name="Normal 2 7 4 7 3 4 3" xfId="34027"/>
    <cellStyle name="Normal 2 7 4 7 3 4 4" xfId="34028"/>
    <cellStyle name="Normal 2 7 4 7 3 5" xfId="34029"/>
    <cellStyle name="Normal 2 7 4 7 3 5 2" xfId="34030"/>
    <cellStyle name="Normal 2 7 4 7 3 6" xfId="34031"/>
    <cellStyle name="Normal 2 7 4 7 3 7" xfId="34032"/>
    <cellStyle name="Normal 2 7 4 7 3 8" xfId="34033"/>
    <cellStyle name="Normal 2 7 4 7 3 9" xfId="34034"/>
    <cellStyle name="Normal 2 7 4 7 4" xfId="34035"/>
    <cellStyle name="Normal 2 7 4 7 4 2" xfId="34036"/>
    <cellStyle name="Normal 2 7 4 7 4 2 2" xfId="34037"/>
    <cellStyle name="Normal 2 7 4 7 4 2 3" xfId="34038"/>
    <cellStyle name="Normal 2 7 4 7 4 3" xfId="34039"/>
    <cellStyle name="Normal 2 7 4 7 4 4" xfId="34040"/>
    <cellStyle name="Normal 2 7 4 7 4 5" xfId="34041"/>
    <cellStyle name="Normal 2 7 4 7 4 6" xfId="34042"/>
    <cellStyle name="Normal 2 7 4 7 5" xfId="34043"/>
    <cellStyle name="Normal 2 7 4 7 5 2" xfId="34044"/>
    <cellStyle name="Normal 2 7 4 7 5 2 2" xfId="34045"/>
    <cellStyle name="Normal 2 7 4 7 5 3" xfId="34046"/>
    <cellStyle name="Normal 2 7 4 7 5 4" xfId="34047"/>
    <cellStyle name="Normal 2 7 4 7 5 5" xfId="34048"/>
    <cellStyle name="Normal 2 7 4 7 6" xfId="34049"/>
    <cellStyle name="Normal 2 7 4 7 6 2" xfId="34050"/>
    <cellStyle name="Normal 2 7 4 7 6 3" xfId="34051"/>
    <cellStyle name="Normal 2 7 4 7 6 4" xfId="34052"/>
    <cellStyle name="Normal 2 7 4 7 7" xfId="34053"/>
    <cellStyle name="Normal 2 7 4 7 7 2" xfId="34054"/>
    <cellStyle name="Normal 2 7 4 7 8" xfId="34055"/>
    <cellStyle name="Normal 2 7 4 7 9" xfId="34056"/>
    <cellStyle name="Normal 2 7 4 8" xfId="34057"/>
    <cellStyle name="Normal 2 7 4 8 10" xfId="34058"/>
    <cellStyle name="Normal 2 7 4 8 2" xfId="34059"/>
    <cellStyle name="Normal 2 7 4 8 2 2" xfId="34060"/>
    <cellStyle name="Normal 2 7 4 8 2 2 2" xfId="34061"/>
    <cellStyle name="Normal 2 7 4 8 2 2 3" xfId="34062"/>
    <cellStyle name="Normal 2 7 4 8 2 3" xfId="34063"/>
    <cellStyle name="Normal 2 7 4 8 2 4" xfId="34064"/>
    <cellStyle name="Normal 2 7 4 8 2 5" xfId="34065"/>
    <cellStyle name="Normal 2 7 4 8 2 6" xfId="34066"/>
    <cellStyle name="Normal 2 7 4 8 3" xfId="34067"/>
    <cellStyle name="Normal 2 7 4 8 3 2" xfId="34068"/>
    <cellStyle name="Normal 2 7 4 8 3 2 2" xfId="34069"/>
    <cellStyle name="Normal 2 7 4 8 3 2 3" xfId="34070"/>
    <cellStyle name="Normal 2 7 4 8 3 3" xfId="34071"/>
    <cellStyle name="Normal 2 7 4 8 3 4" xfId="34072"/>
    <cellStyle name="Normal 2 7 4 8 3 5" xfId="34073"/>
    <cellStyle name="Normal 2 7 4 8 3 6" xfId="34074"/>
    <cellStyle name="Normal 2 7 4 8 4" xfId="34075"/>
    <cellStyle name="Normal 2 7 4 8 4 2" xfId="34076"/>
    <cellStyle name="Normal 2 7 4 8 4 2 2" xfId="34077"/>
    <cellStyle name="Normal 2 7 4 8 4 3" xfId="34078"/>
    <cellStyle name="Normal 2 7 4 8 4 4" xfId="34079"/>
    <cellStyle name="Normal 2 7 4 8 4 5" xfId="34080"/>
    <cellStyle name="Normal 2 7 4 8 5" xfId="34081"/>
    <cellStyle name="Normal 2 7 4 8 5 2" xfId="34082"/>
    <cellStyle name="Normal 2 7 4 8 5 3" xfId="34083"/>
    <cellStyle name="Normal 2 7 4 8 5 4" xfId="34084"/>
    <cellStyle name="Normal 2 7 4 8 6" xfId="34085"/>
    <cellStyle name="Normal 2 7 4 8 6 2" xfId="34086"/>
    <cellStyle name="Normal 2 7 4 8 7" xfId="34087"/>
    <cellStyle name="Normal 2 7 4 8 8" xfId="34088"/>
    <cellStyle name="Normal 2 7 4 8 9" xfId="34089"/>
    <cellStyle name="Normal 2 7 4 9" xfId="34090"/>
    <cellStyle name="Normal 2 7 4 9 10" xfId="34091"/>
    <cellStyle name="Normal 2 7 4 9 2" xfId="34092"/>
    <cellStyle name="Normal 2 7 4 9 2 2" xfId="34093"/>
    <cellStyle name="Normal 2 7 4 9 2 2 2" xfId="34094"/>
    <cellStyle name="Normal 2 7 4 9 2 2 3" xfId="34095"/>
    <cellStyle name="Normal 2 7 4 9 2 3" xfId="34096"/>
    <cellStyle name="Normal 2 7 4 9 2 4" xfId="34097"/>
    <cellStyle name="Normal 2 7 4 9 2 5" xfId="34098"/>
    <cellStyle name="Normal 2 7 4 9 2 6" xfId="34099"/>
    <cellStyle name="Normal 2 7 4 9 3" xfId="34100"/>
    <cellStyle name="Normal 2 7 4 9 3 2" xfId="34101"/>
    <cellStyle name="Normal 2 7 4 9 3 2 2" xfId="34102"/>
    <cellStyle name="Normal 2 7 4 9 3 2 3" xfId="34103"/>
    <cellStyle name="Normal 2 7 4 9 3 3" xfId="34104"/>
    <cellStyle name="Normal 2 7 4 9 3 4" xfId="34105"/>
    <cellStyle name="Normal 2 7 4 9 3 5" xfId="34106"/>
    <cellStyle name="Normal 2 7 4 9 3 6" xfId="34107"/>
    <cellStyle name="Normal 2 7 4 9 4" xfId="34108"/>
    <cellStyle name="Normal 2 7 4 9 4 2" xfId="34109"/>
    <cellStyle name="Normal 2 7 4 9 4 2 2" xfId="34110"/>
    <cellStyle name="Normal 2 7 4 9 4 3" xfId="34111"/>
    <cellStyle name="Normal 2 7 4 9 4 4" xfId="34112"/>
    <cellStyle name="Normal 2 7 4 9 4 5" xfId="34113"/>
    <cellStyle name="Normal 2 7 4 9 5" xfId="34114"/>
    <cellStyle name="Normal 2 7 4 9 5 2" xfId="34115"/>
    <cellStyle name="Normal 2 7 4 9 5 3" xfId="34116"/>
    <cellStyle name="Normal 2 7 4 9 5 4" xfId="34117"/>
    <cellStyle name="Normal 2 7 4 9 6" xfId="34118"/>
    <cellStyle name="Normal 2 7 4 9 6 2" xfId="34119"/>
    <cellStyle name="Normal 2 7 4 9 7" xfId="34120"/>
    <cellStyle name="Normal 2 7 4 9 8" xfId="34121"/>
    <cellStyle name="Normal 2 7 4 9 9" xfId="34122"/>
    <cellStyle name="Normal 2 7 5" xfId="34123"/>
    <cellStyle name="Normal 2 7 5 10" xfId="34124"/>
    <cellStyle name="Normal 2 7 5 11" xfId="34125"/>
    <cellStyle name="Normal 2 7 5 2" xfId="34126"/>
    <cellStyle name="Normal 2 7 5 2 2" xfId="34127"/>
    <cellStyle name="Normal 2 7 5 2 2 2" xfId="34128"/>
    <cellStyle name="Normal 2 7 5 2 2 2 2" xfId="34129"/>
    <cellStyle name="Normal 2 7 5 2 2 2 3" xfId="34130"/>
    <cellStyle name="Normal 2 7 5 2 2 3" xfId="34131"/>
    <cellStyle name="Normal 2 7 5 2 2 4" xfId="34132"/>
    <cellStyle name="Normal 2 7 5 2 2 5" xfId="34133"/>
    <cellStyle name="Normal 2 7 5 2 2 6" xfId="34134"/>
    <cellStyle name="Normal 2 7 5 2 3" xfId="34135"/>
    <cellStyle name="Normal 2 7 5 2 3 2" xfId="34136"/>
    <cellStyle name="Normal 2 7 5 2 3 2 2" xfId="34137"/>
    <cellStyle name="Normal 2 7 5 2 3 3" xfId="34138"/>
    <cellStyle name="Normal 2 7 5 2 3 4" xfId="34139"/>
    <cellStyle name="Normal 2 7 5 2 3 5" xfId="34140"/>
    <cellStyle name="Normal 2 7 5 2 4" xfId="34141"/>
    <cellStyle name="Normal 2 7 5 2 4 2" xfId="34142"/>
    <cellStyle name="Normal 2 7 5 2 4 3" xfId="34143"/>
    <cellStyle name="Normal 2 7 5 2 4 4" xfId="34144"/>
    <cellStyle name="Normal 2 7 5 2 5" xfId="34145"/>
    <cellStyle name="Normal 2 7 5 2 5 2" xfId="34146"/>
    <cellStyle name="Normal 2 7 5 2 6" xfId="34147"/>
    <cellStyle name="Normal 2 7 5 2 7" xfId="34148"/>
    <cellStyle name="Normal 2 7 5 2 8" xfId="34149"/>
    <cellStyle name="Normal 2 7 5 2 9" xfId="34150"/>
    <cellStyle name="Normal 2 7 5 3" xfId="34151"/>
    <cellStyle name="Normal 2 7 5 3 2" xfId="34152"/>
    <cellStyle name="Normal 2 7 5 3 2 2" xfId="34153"/>
    <cellStyle name="Normal 2 7 5 3 2 2 2" xfId="34154"/>
    <cellStyle name="Normal 2 7 5 3 2 2 3" xfId="34155"/>
    <cellStyle name="Normal 2 7 5 3 2 3" xfId="34156"/>
    <cellStyle name="Normal 2 7 5 3 2 4" xfId="34157"/>
    <cellStyle name="Normal 2 7 5 3 2 5" xfId="34158"/>
    <cellStyle name="Normal 2 7 5 3 2 6" xfId="34159"/>
    <cellStyle name="Normal 2 7 5 3 3" xfId="34160"/>
    <cellStyle name="Normal 2 7 5 3 3 2" xfId="34161"/>
    <cellStyle name="Normal 2 7 5 3 3 2 2" xfId="34162"/>
    <cellStyle name="Normal 2 7 5 3 3 3" xfId="34163"/>
    <cellStyle name="Normal 2 7 5 3 3 4" xfId="34164"/>
    <cellStyle name="Normal 2 7 5 3 3 5" xfId="34165"/>
    <cellStyle name="Normal 2 7 5 3 4" xfId="34166"/>
    <cellStyle name="Normal 2 7 5 3 4 2" xfId="34167"/>
    <cellStyle name="Normal 2 7 5 3 4 3" xfId="34168"/>
    <cellStyle name="Normal 2 7 5 3 4 4" xfId="34169"/>
    <cellStyle name="Normal 2 7 5 3 5" xfId="34170"/>
    <cellStyle name="Normal 2 7 5 3 5 2" xfId="34171"/>
    <cellStyle name="Normal 2 7 5 3 6" xfId="34172"/>
    <cellStyle name="Normal 2 7 5 3 7" xfId="34173"/>
    <cellStyle name="Normal 2 7 5 3 8" xfId="34174"/>
    <cellStyle name="Normal 2 7 5 3 9" xfId="34175"/>
    <cellStyle name="Normal 2 7 5 4" xfId="34176"/>
    <cellStyle name="Normal 2 7 5 4 2" xfId="34177"/>
    <cellStyle name="Normal 2 7 5 4 2 2" xfId="34178"/>
    <cellStyle name="Normal 2 7 5 4 2 3" xfId="34179"/>
    <cellStyle name="Normal 2 7 5 4 3" xfId="34180"/>
    <cellStyle name="Normal 2 7 5 4 4" xfId="34181"/>
    <cellStyle name="Normal 2 7 5 4 5" xfId="34182"/>
    <cellStyle name="Normal 2 7 5 4 6" xfId="34183"/>
    <cellStyle name="Normal 2 7 5 5" xfId="34184"/>
    <cellStyle name="Normal 2 7 5 5 2" xfId="34185"/>
    <cellStyle name="Normal 2 7 5 5 2 2" xfId="34186"/>
    <cellStyle name="Normal 2 7 5 5 3" xfId="34187"/>
    <cellStyle name="Normal 2 7 5 5 4" xfId="34188"/>
    <cellStyle name="Normal 2 7 5 5 5" xfId="34189"/>
    <cellStyle name="Normal 2 7 5 6" xfId="34190"/>
    <cellStyle name="Normal 2 7 5 6 2" xfId="34191"/>
    <cellStyle name="Normal 2 7 5 6 3" xfId="34192"/>
    <cellStyle name="Normal 2 7 5 6 4" xfId="34193"/>
    <cellStyle name="Normal 2 7 5 7" xfId="34194"/>
    <cellStyle name="Normal 2 7 5 7 2" xfId="34195"/>
    <cellStyle name="Normal 2 7 5 8" xfId="34196"/>
    <cellStyle name="Normal 2 7 5 9" xfId="34197"/>
    <cellStyle name="Normal 2 7 6" xfId="34198"/>
    <cellStyle name="Normal 2 7 6 10" xfId="34199"/>
    <cellStyle name="Normal 2 7 6 11" xfId="34200"/>
    <cellStyle name="Normal 2 7 6 2" xfId="34201"/>
    <cellStyle name="Normal 2 7 6 2 2" xfId="34202"/>
    <cellStyle name="Normal 2 7 6 2 2 2" xfId="34203"/>
    <cellStyle name="Normal 2 7 6 2 2 2 2" xfId="34204"/>
    <cellStyle name="Normal 2 7 6 2 2 2 3" xfId="34205"/>
    <cellStyle name="Normal 2 7 6 2 2 3" xfId="34206"/>
    <cellStyle name="Normal 2 7 6 2 2 4" xfId="34207"/>
    <cellStyle name="Normal 2 7 6 2 2 5" xfId="34208"/>
    <cellStyle name="Normal 2 7 6 2 2 6" xfId="34209"/>
    <cellStyle name="Normal 2 7 6 2 3" xfId="34210"/>
    <cellStyle name="Normal 2 7 6 2 3 2" xfId="34211"/>
    <cellStyle name="Normal 2 7 6 2 3 2 2" xfId="34212"/>
    <cellStyle name="Normal 2 7 6 2 3 3" xfId="34213"/>
    <cellStyle name="Normal 2 7 6 2 3 4" xfId="34214"/>
    <cellStyle name="Normal 2 7 6 2 3 5" xfId="34215"/>
    <cellStyle name="Normal 2 7 6 2 4" xfId="34216"/>
    <cellStyle name="Normal 2 7 6 2 4 2" xfId="34217"/>
    <cellStyle name="Normal 2 7 6 2 4 3" xfId="34218"/>
    <cellStyle name="Normal 2 7 6 2 4 4" xfId="34219"/>
    <cellStyle name="Normal 2 7 6 2 5" xfId="34220"/>
    <cellStyle name="Normal 2 7 6 2 5 2" xfId="34221"/>
    <cellStyle name="Normal 2 7 6 2 6" xfId="34222"/>
    <cellStyle name="Normal 2 7 6 2 7" xfId="34223"/>
    <cellStyle name="Normal 2 7 6 2 8" xfId="34224"/>
    <cellStyle name="Normal 2 7 6 2 9" xfId="34225"/>
    <cellStyle name="Normal 2 7 6 3" xfId="34226"/>
    <cellStyle name="Normal 2 7 6 3 2" xfId="34227"/>
    <cellStyle name="Normal 2 7 6 3 2 2" xfId="34228"/>
    <cellStyle name="Normal 2 7 6 3 2 2 2" xfId="34229"/>
    <cellStyle name="Normal 2 7 6 3 2 2 3" xfId="34230"/>
    <cellStyle name="Normal 2 7 6 3 2 3" xfId="34231"/>
    <cellStyle name="Normal 2 7 6 3 2 4" xfId="34232"/>
    <cellStyle name="Normal 2 7 6 3 2 5" xfId="34233"/>
    <cellStyle name="Normal 2 7 6 3 2 6" xfId="34234"/>
    <cellStyle name="Normal 2 7 6 3 3" xfId="34235"/>
    <cellStyle name="Normal 2 7 6 3 3 2" xfId="34236"/>
    <cellStyle name="Normal 2 7 6 3 3 2 2" xfId="34237"/>
    <cellStyle name="Normal 2 7 6 3 3 3" xfId="34238"/>
    <cellStyle name="Normal 2 7 6 3 3 4" xfId="34239"/>
    <cellStyle name="Normal 2 7 6 3 3 5" xfId="34240"/>
    <cellStyle name="Normal 2 7 6 3 4" xfId="34241"/>
    <cellStyle name="Normal 2 7 6 3 4 2" xfId="34242"/>
    <cellStyle name="Normal 2 7 6 3 4 3" xfId="34243"/>
    <cellStyle name="Normal 2 7 6 3 4 4" xfId="34244"/>
    <cellStyle name="Normal 2 7 6 3 5" xfId="34245"/>
    <cellStyle name="Normal 2 7 6 3 5 2" xfId="34246"/>
    <cellStyle name="Normal 2 7 6 3 6" xfId="34247"/>
    <cellStyle name="Normal 2 7 6 3 7" xfId="34248"/>
    <cellStyle name="Normal 2 7 6 3 8" xfId="34249"/>
    <cellStyle name="Normal 2 7 6 3 9" xfId="34250"/>
    <cellStyle name="Normal 2 7 6 4" xfId="34251"/>
    <cellStyle name="Normal 2 7 6 4 2" xfId="34252"/>
    <cellStyle name="Normal 2 7 6 4 2 2" xfId="34253"/>
    <cellStyle name="Normal 2 7 6 4 2 3" xfId="34254"/>
    <cellStyle name="Normal 2 7 6 4 3" xfId="34255"/>
    <cellStyle name="Normal 2 7 6 4 4" xfId="34256"/>
    <cellStyle name="Normal 2 7 6 4 5" xfId="34257"/>
    <cellStyle name="Normal 2 7 6 4 6" xfId="34258"/>
    <cellStyle name="Normal 2 7 6 5" xfId="34259"/>
    <cellStyle name="Normal 2 7 6 5 2" xfId="34260"/>
    <cellStyle name="Normal 2 7 6 5 2 2" xfId="34261"/>
    <cellStyle name="Normal 2 7 6 5 3" xfId="34262"/>
    <cellStyle name="Normal 2 7 6 5 4" xfId="34263"/>
    <cellStyle name="Normal 2 7 6 5 5" xfId="34264"/>
    <cellStyle name="Normal 2 7 6 6" xfId="34265"/>
    <cellStyle name="Normal 2 7 6 6 2" xfId="34266"/>
    <cellStyle name="Normal 2 7 6 6 3" xfId="34267"/>
    <cellStyle name="Normal 2 7 6 6 4" xfId="34268"/>
    <cellStyle name="Normal 2 7 6 7" xfId="34269"/>
    <cellStyle name="Normal 2 7 6 7 2" xfId="34270"/>
    <cellStyle name="Normal 2 7 6 8" xfId="34271"/>
    <cellStyle name="Normal 2 7 6 9" xfId="34272"/>
    <cellStyle name="Normal 2 7 7" xfId="34273"/>
    <cellStyle name="Normal 2 7 7 10" xfId="34274"/>
    <cellStyle name="Normal 2 7 7 11" xfId="34275"/>
    <cellStyle name="Normal 2 7 7 2" xfId="34276"/>
    <cellStyle name="Normal 2 7 7 2 2" xfId="34277"/>
    <cellStyle name="Normal 2 7 7 2 2 2" xfId="34278"/>
    <cellStyle name="Normal 2 7 7 2 2 2 2" xfId="34279"/>
    <cellStyle name="Normal 2 7 7 2 2 2 3" xfId="34280"/>
    <cellStyle name="Normal 2 7 7 2 2 3" xfId="34281"/>
    <cellStyle name="Normal 2 7 7 2 2 4" xfId="34282"/>
    <cellStyle name="Normal 2 7 7 2 2 5" xfId="34283"/>
    <cellStyle name="Normal 2 7 7 2 2 6" xfId="34284"/>
    <cellStyle name="Normal 2 7 7 2 3" xfId="34285"/>
    <cellStyle name="Normal 2 7 7 2 3 2" xfId="34286"/>
    <cellStyle name="Normal 2 7 7 2 3 2 2" xfId="34287"/>
    <cellStyle name="Normal 2 7 7 2 3 3" xfId="34288"/>
    <cellStyle name="Normal 2 7 7 2 3 4" xfId="34289"/>
    <cellStyle name="Normal 2 7 7 2 3 5" xfId="34290"/>
    <cellStyle name="Normal 2 7 7 2 4" xfId="34291"/>
    <cellStyle name="Normal 2 7 7 2 4 2" xfId="34292"/>
    <cellStyle name="Normal 2 7 7 2 4 3" xfId="34293"/>
    <cellStyle name="Normal 2 7 7 2 4 4" xfId="34294"/>
    <cellStyle name="Normal 2 7 7 2 5" xfId="34295"/>
    <cellStyle name="Normal 2 7 7 2 5 2" xfId="34296"/>
    <cellStyle name="Normal 2 7 7 2 6" xfId="34297"/>
    <cellStyle name="Normal 2 7 7 2 7" xfId="34298"/>
    <cellStyle name="Normal 2 7 7 2 8" xfId="34299"/>
    <cellStyle name="Normal 2 7 7 2 9" xfId="34300"/>
    <cellStyle name="Normal 2 7 7 3" xfId="34301"/>
    <cellStyle name="Normal 2 7 7 3 2" xfId="34302"/>
    <cellStyle name="Normal 2 7 7 3 2 2" xfId="34303"/>
    <cellStyle name="Normal 2 7 7 3 2 2 2" xfId="34304"/>
    <cellStyle name="Normal 2 7 7 3 2 2 3" xfId="34305"/>
    <cellStyle name="Normal 2 7 7 3 2 3" xfId="34306"/>
    <cellStyle name="Normal 2 7 7 3 2 4" xfId="34307"/>
    <cellStyle name="Normal 2 7 7 3 2 5" xfId="34308"/>
    <cellStyle name="Normal 2 7 7 3 2 6" xfId="34309"/>
    <cellStyle name="Normal 2 7 7 3 3" xfId="34310"/>
    <cellStyle name="Normal 2 7 7 3 3 2" xfId="34311"/>
    <cellStyle name="Normal 2 7 7 3 3 2 2" xfId="34312"/>
    <cellStyle name="Normal 2 7 7 3 3 3" xfId="34313"/>
    <cellStyle name="Normal 2 7 7 3 3 4" xfId="34314"/>
    <cellStyle name="Normal 2 7 7 3 3 5" xfId="34315"/>
    <cellStyle name="Normal 2 7 7 3 4" xfId="34316"/>
    <cellStyle name="Normal 2 7 7 3 4 2" xfId="34317"/>
    <cellStyle name="Normal 2 7 7 3 4 3" xfId="34318"/>
    <cellStyle name="Normal 2 7 7 3 4 4" xfId="34319"/>
    <cellStyle name="Normal 2 7 7 3 5" xfId="34320"/>
    <cellStyle name="Normal 2 7 7 3 5 2" xfId="34321"/>
    <cellStyle name="Normal 2 7 7 3 6" xfId="34322"/>
    <cellStyle name="Normal 2 7 7 3 7" xfId="34323"/>
    <cellStyle name="Normal 2 7 7 3 8" xfId="34324"/>
    <cellStyle name="Normal 2 7 7 3 9" xfId="34325"/>
    <cellStyle name="Normal 2 7 7 4" xfId="34326"/>
    <cellStyle name="Normal 2 7 7 4 2" xfId="34327"/>
    <cellStyle name="Normal 2 7 7 4 2 2" xfId="34328"/>
    <cellStyle name="Normal 2 7 7 4 2 3" xfId="34329"/>
    <cellStyle name="Normal 2 7 7 4 3" xfId="34330"/>
    <cellStyle name="Normal 2 7 7 4 4" xfId="34331"/>
    <cellStyle name="Normal 2 7 7 4 5" xfId="34332"/>
    <cellStyle name="Normal 2 7 7 4 6" xfId="34333"/>
    <cellStyle name="Normal 2 7 7 5" xfId="34334"/>
    <cellStyle name="Normal 2 7 7 5 2" xfId="34335"/>
    <cellStyle name="Normal 2 7 7 5 2 2" xfId="34336"/>
    <cellStyle name="Normal 2 7 7 5 3" xfId="34337"/>
    <cellStyle name="Normal 2 7 7 5 4" xfId="34338"/>
    <cellStyle name="Normal 2 7 7 5 5" xfId="34339"/>
    <cellStyle name="Normal 2 7 7 6" xfId="34340"/>
    <cellStyle name="Normal 2 7 7 6 2" xfId="34341"/>
    <cellStyle name="Normal 2 7 7 6 3" xfId="34342"/>
    <cellStyle name="Normal 2 7 7 6 4" xfId="34343"/>
    <cellStyle name="Normal 2 7 7 7" xfId="34344"/>
    <cellStyle name="Normal 2 7 7 7 2" xfId="34345"/>
    <cellStyle name="Normal 2 7 7 8" xfId="34346"/>
    <cellStyle name="Normal 2 7 7 9" xfId="34347"/>
    <cellStyle name="Normal 2 7 8" xfId="34348"/>
    <cellStyle name="Normal 2 7 8 10" xfId="34349"/>
    <cellStyle name="Normal 2 7 8 11" xfId="34350"/>
    <cellStyle name="Normal 2 7 8 2" xfId="34351"/>
    <cellStyle name="Normal 2 7 8 2 2" xfId="34352"/>
    <cellStyle name="Normal 2 7 8 2 2 2" xfId="34353"/>
    <cellStyle name="Normal 2 7 8 2 2 2 2" xfId="34354"/>
    <cellStyle name="Normal 2 7 8 2 2 2 3" xfId="34355"/>
    <cellStyle name="Normal 2 7 8 2 2 3" xfId="34356"/>
    <cellStyle name="Normal 2 7 8 2 2 4" xfId="34357"/>
    <cellStyle name="Normal 2 7 8 2 2 5" xfId="34358"/>
    <cellStyle name="Normal 2 7 8 2 2 6" xfId="34359"/>
    <cellStyle name="Normal 2 7 8 2 3" xfId="34360"/>
    <cellStyle name="Normal 2 7 8 2 3 2" xfId="34361"/>
    <cellStyle name="Normal 2 7 8 2 3 2 2" xfId="34362"/>
    <cellStyle name="Normal 2 7 8 2 3 3" xfId="34363"/>
    <cellStyle name="Normal 2 7 8 2 3 4" xfId="34364"/>
    <cellStyle name="Normal 2 7 8 2 3 5" xfId="34365"/>
    <cellStyle name="Normal 2 7 8 2 4" xfId="34366"/>
    <cellStyle name="Normal 2 7 8 2 4 2" xfId="34367"/>
    <cellStyle name="Normal 2 7 8 2 4 3" xfId="34368"/>
    <cellStyle name="Normal 2 7 8 2 4 4" xfId="34369"/>
    <cellStyle name="Normal 2 7 8 2 5" xfId="34370"/>
    <cellStyle name="Normal 2 7 8 2 5 2" xfId="34371"/>
    <cellStyle name="Normal 2 7 8 2 6" xfId="34372"/>
    <cellStyle name="Normal 2 7 8 2 7" xfId="34373"/>
    <cellStyle name="Normal 2 7 8 2 8" xfId="34374"/>
    <cellStyle name="Normal 2 7 8 2 9" xfId="34375"/>
    <cellStyle name="Normal 2 7 8 3" xfId="34376"/>
    <cellStyle name="Normal 2 7 8 3 2" xfId="34377"/>
    <cellStyle name="Normal 2 7 8 3 2 2" xfId="34378"/>
    <cellStyle name="Normal 2 7 8 3 2 2 2" xfId="34379"/>
    <cellStyle name="Normal 2 7 8 3 2 2 3" xfId="34380"/>
    <cellStyle name="Normal 2 7 8 3 2 3" xfId="34381"/>
    <cellStyle name="Normal 2 7 8 3 2 4" xfId="34382"/>
    <cellStyle name="Normal 2 7 8 3 2 5" xfId="34383"/>
    <cellStyle name="Normal 2 7 8 3 2 6" xfId="34384"/>
    <cellStyle name="Normal 2 7 8 3 3" xfId="34385"/>
    <cellStyle name="Normal 2 7 8 3 3 2" xfId="34386"/>
    <cellStyle name="Normal 2 7 8 3 3 2 2" xfId="34387"/>
    <cellStyle name="Normal 2 7 8 3 3 3" xfId="34388"/>
    <cellStyle name="Normal 2 7 8 3 3 4" xfId="34389"/>
    <cellStyle name="Normal 2 7 8 3 3 5" xfId="34390"/>
    <cellStyle name="Normal 2 7 8 3 4" xfId="34391"/>
    <cellStyle name="Normal 2 7 8 3 4 2" xfId="34392"/>
    <cellStyle name="Normal 2 7 8 3 4 3" xfId="34393"/>
    <cellStyle name="Normal 2 7 8 3 4 4" xfId="34394"/>
    <cellStyle name="Normal 2 7 8 3 5" xfId="34395"/>
    <cellStyle name="Normal 2 7 8 3 5 2" xfId="34396"/>
    <cellStyle name="Normal 2 7 8 3 6" xfId="34397"/>
    <cellStyle name="Normal 2 7 8 3 7" xfId="34398"/>
    <cellStyle name="Normal 2 7 8 3 8" xfId="34399"/>
    <cellStyle name="Normal 2 7 8 3 9" xfId="34400"/>
    <cellStyle name="Normal 2 7 8 4" xfId="34401"/>
    <cellStyle name="Normal 2 7 8 4 2" xfId="34402"/>
    <cellStyle name="Normal 2 7 8 4 2 2" xfId="34403"/>
    <cellStyle name="Normal 2 7 8 4 2 3" xfId="34404"/>
    <cellStyle name="Normal 2 7 8 4 3" xfId="34405"/>
    <cellStyle name="Normal 2 7 8 4 4" xfId="34406"/>
    <cellStyle name="Normal 2 7 8 4 5" xfId="34407"/>
    <cellStyle name="Normal 2 7 8 4 6" xfId="34408"/>
    <cellStyle name="Normal 2 7 8 5" xfId="34409"/>
    <cellStyle name="Normal 2 7 8 5 2" xfId="34410"/>
    <cellStyle name="Normal 2 7 8 5 2 2" xfId="34411"/>
    <cellStyle name="Normal 2 7 8 5 3" xfId="34412"/>
    <cellStyle name="Normal 2 7 8 5 4" xfId="34413"/>
    <cellStyle name="Normal 2 7 8 5 5" xfId="34414"/>
    <cellStyle name="Normal 2 7 8 6" xfId="34415"/>
    <cellStyle name="Normal 2 7 8 6 2" xfId="34416"/>
    <cellStyle name="Normal 2 7 8 6 3" xfId="34417"/>
    <cellStyle name="Normal 2 7 8 6 4" xfId="34418"/>
    <cellStyle name="Normal 2 7 8 7" xfId="34419"/>
    <cellStyle name="Normal 2 7 8 7 2" xfId="34420"/>
    <cellStyle name="Normal 2 7 8 8" xfId="34421"/>
    <cellStyle name="Normal 2 7 8 9" xfId="34422"/>
    <cellStyle name="Normal 2 7 9" xfId="34423"/>
    <cellStyle name="Normal 2 7 9 10" xfId="34424"/>
    <cellStyle name="Normal 2 7 9 11" xfId="34425"/>
    <cellStyle name="Normal 2 7 9 2" xfId="34426"/>
    <cellStyle name="Normal 2 7 9 2 2" xfId="34427"/>
    <cellStyle name="Normal 2 7 9 2 2 2" xfId="34428"/>
    <cellStyle name="Normal 2 7 9 2 2 2 2" xfId="34429"/>
    <cellStyle name="Normal 2 7 9 2 2 2 3" xfId="34430"/>
    <cellStyle name="Normal 2 7 9 2 2 3" xfId="34431"/>
    <cellStyle name="Normal 2 7 9 2 2 4" xfId="34432"/>
    <cellStyle name="Normal 2 7 9 2 2 5" xfId="34433"/>
    <cellStyle name="Normal 2 7 9 2 2 6" xfId="34434"/>
    <cellStyle name="Normal 2 7 9 2 3" xfId="34435"/>
    <cellStyle name="Normal 2 7 9 2 3 2" xfId="34436"/>
    <cellStyle name="Normal 2 7 9 2 3 2 2" xfId="34437"/>
    <cellStyle name="Normal 2 7 9 2 3 3" xfId="34438"/>
    <cellStyle name="Normal 2 7 9 2 3 4" xfId="34439"/>
    <cellStyle name="Normal 2 7 9 2 3 5" xfId="34440"/>
    <cellStyle name="Normal 2 7 9 2 4" xfId="34441"/>
    <cellStyle name="Normal 2 7 9 2 4 2" xfId="34442"/>
    <cellStyle name="Normal 2 7 9 2 4 3" xfId="34443"/>
    <cellStyle name="Normal 2 7 9 2 4 4" xfId="34444"/>
    <cellStyle name="Normal 2 7 9 2 5" xfId="34445"/>
    <cellStyle name="Normal 2 7 9 2 5 2" xfId="34446"/>
    <cellStyle name="Normal 2 7 9 2 6" xfId="34447"/>
    <cellStyle name="Normal 2 7 9 2 7" xfId="34448"/>
    <cellStyle name="Normal 2 7 9 2 8" xfId="34449"/>
    <cellStyle name="Normal 2 7 9 2 9" xfId="34450"/>
    <cellStyle name="Normal 2 7 9 3" xfId="34451"/>
    <cellStyle name="Normal 2 7 9 3 2" xfId="34452"/>
    <cellStyle name="Normal 2 7 9 3 2 2" xfId="34453"/>
    <cellStyle name="Normal 2 7 9 3 2 2 2" xfId="34454"/>
    <cellStyle name="Normal 2 7 9 3 2 2 3" xfId="34455"/>
    <cellStyle name="Normal 2 7 9 3 2 3" xfId="34456"/>
    <cellStyle name="Normal 2 7 9 3 2 4" xfId="34457"/>
    <cellStyle name="Normal 2 7 9 3 2 5" xfId="34458"/>
    <cellStyle name="Normal 2 7 9 3 2 6" xfId="34459"/>
    <cellStyle name="Normal 2 7 9 3 3" xfId="34460"/>
    <cellStyle name="Normal 2 7 9 3 3 2" xfId="34461"/>
    <cellStyle name="Normal 2 7 9 3 3 2 2" xfId="34462"/>
    <cellStyle name="Normal 2 7 9 3 3 3" xfId="34463"/>
    <cellStyle name="Normal 2 7 9 3 3 4" xfId="34464"/>
    <cellStyle name="Normal 2 7 9 3 3 5" xfId="34465"/>
    <cellStyle name="Normal 2 7 9 3 4" xfId="34466"/>
    <cellStyle name="Normal 2 7 9 3 4 2" xfId="34467"/>
    <cellStyle name="Normal 2 7 9 3 4 3" xfId="34468"/>
    <cellStyle name="Normal 2 7 9 3 4 4" xfId="34469"/>
    <cellStyle name="Normal 2 7 9 3 5" xfId="34470"/>
    <cellStyle name="Normal 2 7 9 3 5 2" xfId="34471"/>
    <cellStyle name="Normal 2 7 9 3 6" xfId="34472"/>
    <cellStyle name="Normal 2 7 9 3 7" xfId="34473"/>
    <cellStyle name="Normal 2 7 9 3 8" xfId="34474"/>
    <cellStyle name="Normal 2 7 9 3 9" xfId="34475"/>
    <cellStyle name="Normal 2 7 9 4" xfId="34476"/>
    <cellStyle name="Normal 2 7 9 4 2" xfId="34477"/>
    <cellStyle name="Normal 2 7 9 4 2 2" xfId="34478"/>
    <cellStyle name="Normal 2 7 9 4 2 3" xfId="34479"/>
    <cellStyle name="Normal 2 7 9 4 3" xfId="34480"/>
    <cellStyle name="Normal 2 7 9 4 4" xfId="34481"/>
    <cellStyle name="Normal 2 7 9 4 5" xfId="34482"/>
    <cellStyle name="Normal 2 7 9 4 6" xfId="34483"/>
    <cellStyle name="Normal 2 7 9 5" xfId="34484"/>
    <cellStyle name="Normal 2 7 9 5 2" xfId="34485"/>
    <cellStyle name="Normal 2 7 9 5 2 2" xfId="34486"/>
    <cellStyle name="Normal 2 7 9 5 3" xfId="34487"/>
    <cellStyle name="Normal 2 7 9 5 4" xfId="34488"/>
    <cellStyle name="Normal 2 7 9 5 5" xfId="34489"/>
    <cellStyle name="Normal 2 7 9 6" xfId="34490"/>
    <cellStyle name="Normal 2 7 9 6 2" xfId="34491"/>
    <cellStyle name="Normal 2 7 9 6 3" xfId="34492"/>
    <cellStyle name="Normal 2 7 9 6 4" xfId="34493"/>
    <cellStyle name="Normal 2 7 9 7" xfId="34494"/>
    <cellStyle name="Normal 2 7 9 7 2" xfId="34495"/>
    <cellStyle name="Normal 2 7 9 8" xfId="34496"/>
    <cellStyle name="Normal 2 7 9 9" xfId="34497"/>
    <cellStyle name="Normal 2 70" xfId="34498"/>
    <cellStyle name="Normal 2 8" xfId="34499"/>
    <cellStyle name="Normal 2 8 10" xfId="34500"/>
    <cellStyle name="Normal 2 8 10 10" xfId="34501"/>
    <cellStyle name="Normal 2 8 10 11" xfId="34502"/>
    <cellStyle name="Normal 2 8 10 2" xfId="34503"/>
    <cellStyle name="Normal 2 8 10 2 2" xfId="34504"/>
    <cellStyle name="Normal 2 8 10 2 2 2" xfId="34505"/>
    <cellStyle name="Normal 2 8 10 2 2 2 2" xfId="34506"/>
    <cellStyle name="Normal 2 8 10 2 2 2 3" xfId="34507"/>
    <cellStyle name="Normal 2 8 10 2 2 3" xfId="34508"/>
    <cellStyle name="Normal 2 8 10 2 2 4" xfId="34509"/>
    <cellStyle name="Normal 2 8 10 2 2 5" xfId="34510"/>
    <cellStyle name="Normal 2 8 10 2 2 6" xfId="34511"/>
    <cellStyle name="Normal 2 8 10 2 3" xfId="34512"/>
    <cellStyle name="Normal 2 8 10 2 3 2" xfId="34513"/>
    <cellStyle name="Normal 2 8 10 2 3 2 2" xfId="34514"/>
    <cellStyle name="Normal 2 8 10 2 3 3" xfId="34515"/>
    <cellStyle name="Normal 2 8 10 2 3 4" xfId="34516"/>
    <cellStyle name="Normal 2 8 10 2 3 5" xfId="34517"/>
    <cellStyle name="Normal 2 8 10 2 4" xfId="34518"/>
    <cellStyle name="Normal 2 8 10 2 4 2" xfId="34519"/>
    <cellStyle name="Normal 2 8 10 2 4 3" xfId="34520"/>
    <cellStyle name="Normal 2 8 10 2 4 4" xfId="34521"/>
    <cellStyle name="Normal 2 8 10 2 5" xfId="34522"/>
    <cellStyle name="Normal 2 8 10 2 5 2" xfId="34523"/>
    <cellStyle name="Normal 2 8 10 2 6" xfId="34524"/>
    <cellStyle name="Normal 2 8 10 2 7" xfId="34525"/>
    <cellStyle name="Normal 2 8 10 2 8" xfId="34526"/>
    <cellStyle name="Normal 2 8 10 2 9" xfId="34527"/>
    <cellStyle name="Normal 2 8 10 3" xfId="34528"/>
    <cellStyle name="Normal 2 8 10 3 2" xfId="34529"/>
    <cellStyle name="Normal 2 8 10 3 2 2" xfId="34530"/>
    <cellStyle name="Normal 2 8 10 3 2 2 2" xfId="34531"/>
    <cellStyle name="Normal 2 8 10 3 2 2 3" xfId="34532"/>
    <cellStyle name="Normal 2 8 10 3 2 3" xfId="34533"/>
    <cellStyle name="Normal 2 8 10 3 2 4" xfId="34534"/>
    <cellStyle name="Normal 2 8 10 3 2 5" xfId="34535"/>
    <cellStyle name="Normal 2 8 10 3 2 6" xfId="34536"/>
    <cellStyle name="Normal 2 8 10 3 3" xfId="34537"/>
    <cellStyle name="Normal 2 8 10 3 3 2" xfId="34538"/>
    <cellStyle name="Normal 2 8 10 3 3 2 2" xfId="34539"/>
    <cellStyle name="Normal 2 8 10 3 3 3" xfId="34540"/>
    <cellStyle name="Normal 2 8 10 3 3 4" xfId="34541"/>
    <cellStyle name="Normal 2 8 10 3 3 5" xfId="34542"/>
    <cellStyle name="Normal 2 8 10 3 4" xfId="34543"/>
    <cellStyle name="Normal 2 8 10 3 4 2" xfId="34544"/>
    <cellStyle name="Normal 2 8 10 3 4 3" xfId="34545"/>
    <cellStyle name="Normal 2 8 10 3 4 4" xfId="34546"/>
    <cellStyle name="Normal 2 8 10 3 5" xfId="34547"/>
    <cellStyle name="Normal 2 8 10 3 5 2" xfId="34548"/>
    <cellStyle name="Normal 2 8 10 3 6" xfId="34549"/>
    <cellStyle name="Normal 2 8 10 3 7" xfId="34550"/>
    <cellStyle name="Normal 2 8 10 3 8" xfId="34551"/>
    <cellStyle name="Normal 2 8 10 3 9" xfId="34552"/>
    <cellStyle name="Normal 2 8 10 4" xfId="34553"/>
    <cellStyle name="Normal 2 8 10 4 2" xfId="34554"/>
    <cellStyle name="Normal 2 8 10 4 2 2" xfId="34555"/>
    <cellStyle name="Normal 2 8 10 4 2 3" xfId="34556"/>
    <cellStyle name="Normal 2 8 10 4 3" xfId="34557"/>
    <cellStyle name="Normal 2 8 10 4 4" xfId="34558"/>
    <cellStyle name="Normal 2 8 10 4 5" xfId="34559"/>
    <cellStyle name="Normal 2 8 10 4 6" xfId="34560"/>
    <cellStyle name="Normal 2 8 10 5" xfId="34561"/>
    <cellStyle name="Normal 2 8 10 5 2" xfId="34562"/>
    <cellStyle name="Normal 2 8 10 5 2 2" xfId="34563"/>
    <cellStyle name="Normal 2 8 10 5 3" xfId="34564"/>
    <cellStyle name="Normal 2 8 10 5 4" xfId="34565"/>
    <cellStyle name="Normal 2 8 10 5 5" xfId="34566"/>
    <cellStyle name="Normal 2 8 10 6" xfId="34567"/>
    <cellStyle name="Normal 2 8 10 6 2" xfId="34568"/>
    <cellStyle name="Normal 2 8 10 6 3" xfId="34569"/>
    <cellStyle name="Normal 2 8 10 6 4" xfId="34570"/>
    <cellStyle name="Normal 2 8 10 7" xfId="34571"/>
    <cellStyle name="Normal 2 8 10 7 2" xfId="34572"/>
    <cellStyle name="Normal 2 8 10 8" xfId="34573"/>
    <cellStyle name="Normal 2 8 10 9" xfId="34574"/>
    <cellStyle name="Normal 2 8 11" xfId="34575"/>
    <cellStyle name="Normal 2 8 11 10" xfId="34576"/>
    <cellStyle name="Normal 2 8 11 2" xfId="34577"/>
    <cellStyle name="Normal 2 8 11 2 2" xfId="34578"/>
    <cellStyle name="Normal 2 8 11 2 2 2" xfId="34579"/>
    <cellStyle name="Normal 2 8 11 2 2 3" xfId="34580"/>
    <cellStyle name="Normal 2 8 11 2 3" xfId="34581"/>
    <cellStyle name="Normal 2 8 11 2 4" xfId="34582"/>
    <cellStyle name="Normal 2 8 11 2 5" xfId="34583"/>
    <cellStyle name="Normal 2 8 11 2 6" xfId="34584"/>
    <cellStyle name="Normal 2 8 11 3" xfId="34585"/>
    <cellStyle name="Normal 2 8 11 3 2" xfId="34586"/>
    <cellStyle name="Normal 2 8 11 3 2 2" xfId="34587"/>
    <cellStyle name="Normal 2 8 11 3 2 3" xfId="34588"/>
    <cellStyle name="Normal 2 8 11 3 3" xfId="34589"/>
    <cellStyle name="Normal 2 8 11 3 4" xfId="34590"/>
    <cellStyle name="Normal 2 8 11 3 5" xfId="34591"/>
    <cellStyle name="Normal 2 8 11 3 6" xfId="34592"/>
    <cellStyle name="Normal 2 8 11 4" xfId="34593"/>
    <cellStyle name="Normal 2 8 11 4 2" xfId="34594"/>
    <cellStyle name="Normal 2 8 11 4 2 2" xfId="34595"/>
    <cellStyle name="Normal 2 8 11 4 3" xfId="34596"/>
    <cellStyle name="Normal 2 8 11 4 4" xfId="34597"/>
    <cellStyle name="Normal 2 8 11 4 5" xfId="34598"/>
    <cellStyle name="Normal 2 8 11 5" xfId="34599"/>
    <cellStyle name="Normal 2 8 11 5 2" xfId="34600"/>
    <cellStyle name="Normal 2 8 11 5 3" xfId="34601"/>
    <cellStyle name="Normal 2 8 11 5 4" xfId="34602"/>
    <cellStyle name="Normal 2 8 11 6" xfId="34603"/>
    <cellStyle name="Normal 2 8 11 6 2" xfId="34604"/>
    <cellStyle name="Normal 2 8 11 7" xfId="34605"/>
    <cellStyle name="Normal 2 8 11 8" xfId="34606"/>
    <cellStyle name="Normal 2 8 11 9" xfId="34607"/>
    <cellStyle name="Normal 2 8 12" xfId="34608"/>
    <cellStyle name="Normal 2 8 12 10" xfId="34609"/>
    <cellStyle name="Normal 2 8 12 2" xfId="34610"/>
    <cellStyle name="Normal 2 8 12 2 2" xfId="34611"/>
    <cellStyle name="Normal 2 8 12 2 2 2" xfId="34612"/>
    <cellStyle name="Normal 2 8 12 2 2 3" xfId="34613"/>
    <cellStyle name="Normal 2 8 12 2 3" xfId="34614"/>
    <cellStyle name="Normal 2 8 12 2 4" xfId="34615"/>
    <cellStyle name="Normal 2 8 12 2 5" xfId="34616"/>
    <cellStyle name="Normal 2 8 12 2 6" xfId="34617"/>
    <cellStyle name="Normal 2 8 12 3" xfId="34618"/>
    <cellStyle name="Normal 2 8 12 3 2" xfId="34619"/>
    <cellStyle name="Normal 2 8 12 3 2 2" xfId="34620"/>
    <cellStyle name="Normal 2 8 12 3 2 3" xfId="34621"/>
    <cellStyle name="Normal 2 8 12 3 3" xfId="34622"/>
    <cellStyle name="Normal 2 8 12 3 4" xfId="34623"/>
    <cellStyle name="Normal 2 8 12 3 5" xfId="34624"/>
    <cellStyle name="Normal 2 8 12 3 6" xfId="34625"/>
    <cellStyle name="Normal 2 8 12 4" xfId="34626"/>
    <cellStyle name="Normal 2 8 12 4 2" xfId="34627"/>
    <cellStyle name="Normal 2 8 12 4 2 2" xfId="34628"/>
    <cellStyle name="Normal 2 8 12 4 3" xfId="34629"/>
    <cellStyle name="Normal 2 8 12 4 4" xfId="34630"/>
    <cellStyle name="Normal 2 8 12 4 5" xfId="34631"/>
    <cellStyle name="Normal 2 8 12 5" xfId="34632"/>
    <cellStyle name="Normal 2 8 12 5 2" xfId="34633"/>
    <cellStyle name="Normal 2 8 12 5 3" xfId="34634"/>
    <cellStyle name="Normal 2 8 12 5 4" xfId="34635"/>
    <cellStyle name="Normal 2 8 12 6" xfId="34636"/>
    <cellStyle name="Normal 2 8 12 6 2" xfId="34637"/>
    <cellStyle name="Normal 2 8 12 7" xfId="34638"/>
    <cellStyle name="Normal 2 8 12 8" xfId="34639"/>
    <cellStyle name="Normal 2 8 12 9" xfId="34640"/>
    <cellStyle name="Normal 2 8 13" xfId="34641"/>
    <cellStyle name="Normal 2 8 13 10" xfId="34642"/>
    <cellStyle name="Normal 2 8 13 2" xfId="34643"/>
    <cellStyle name="Normal 2 8 13 2 2" xfId="34644"/>
    <cellStyle name="Normal 2 8 13 2 2 2" xfId="34645"/>
    <cellStyle name="Normal 2 8 13 2 2 3" xfId="34646"/>
    <cellStyle name="Normal 2 8 13 2 3" xfId="34647"/>
    <cellStyle name="Normal 2 8 13 2 4" xfId="34648"/>
    <cellStyle name="Normal 2 8 13 2 5" xfId="34649"/>
    <cellStyle name="Normal 2 8 13 2 6" xfId="34650"/>
    <cellStyle name="Normal 2 8 13 3" xfId="34651"/>
    <cellStyle name="Normal 2 8 13 3 2" xfId="34652"/>
    <cellStyle name="Normal 2 8 13 3 2 2" xfId="34653"/>
    <cellStyle name="Normal 2 8 13 3 2 3" xfId="34654"/>
    <cellStyle name="Normal 2 8 13 3 3" xfId="34655"/>
    <cellStyle name="Normal 2 8 13 3 4" xfId="34656"/>
    <cellStyle name="Normal 2 8 13 3 5" xfId="34657"/>
    <cellStyle name="Normal 2 8 13 3 6" xfId="34658"/>
    <cellStyle name="Normal 2 8 13 4" xfId="34659"/>
    <cellStyle name="Normal 2 8 13 4 2" xfId="34660"/>
    <cellStyle name="Normal 2 8 13 4 2 2" xfId="34661"/>
    <cellStyle name="Normal 2 8 13 4 3" xfId="34662"/>
    <cellStyle name="Normal 2 8 13 4 4" xfId="34663"/>
    <cellStyle name="Normal 2 8 13 4 5" xfId="34664"/>
    <cellStyle name="Normal 2 8 13 5" xfId="34665"/>
    <cellStyle name="Normal 2 8 13 5 2" xfId="34666"/>
    <cellStyle name="Normal 2 8 13 5 3" xfId="34667"/>
    <cellStyle name="Normal 2 8 13 5 4" xfId="34668"/>
    <cellStyle name="Normal 2 8 13 6" xfId="34669"/>
    <cellStyle name="Normal 2 8 13 6 2" xfId="34670"/>
    <cellStyle name="Normal 2 8 13 7" xfId="34671"/>
    <cellStyle name="Normal 2 8 13 8" xfId="34672"/>
    <cellStyle name="Normal 2 8 13 9" xfId="34673"/>
    <cellStyle name="Normal 2 8 14" xfId="34674"/>
    <cellStyle name="Normal 2 8 14 10" xfId="34675"/>
    <cellStyle name="Normal 2 8 14 2" xfId="34676"/>
    <cellStyle name="Normal 2 8 14 2 2" xfId="34677"/>
    <cellStyle name="Normal 2 8 14 2 2 2" xfId="34678"/>
    <cellStyle name="Normal 2 8 14 2 2 3" xfId="34679"/>
    <cellStyle name="Normal 2 8 14 2 3" xfId="34680"/>
    <cellStyle name="Normal 2 8 14 2 4" xfId="34681"/>
    <cellStyle name="Normal 2 8 14 2 5" xfId="34682"/>
    <cellStyle name="Normal 2 8 14 2 6" xfId="34683"/>
    <cellStyle name="Normal 2 8 14 3" xfId="34684"/>
    <cellStyle name="Normal 2 8 14 3 2" xfId="34685"/>
    <cellStyle name="Normal 2 8 14 3 2 2" xfId="34686"/>
    <cellStyle name="Normal 2 8 14 3 2 3" xfId="34687"/>
    <cellStyle name="Normal 2 8 14 3 3" xfId="34688"/>
    <cellStyle name="Normal 2 8 14 3 4" xfId="34689"/>
    <cellStyle name="Normal 2 8 14 3 5" xfId="34690"/>
    <cellStyle name="Normal 2 8 14 3 6" xfId="34691"/>
    <cellStyle name="Normal 2 8 14 4" xfId="34692"/>
    <cellStyle name="Normal 2 8 14 4 2" xfId="34693"/>
    <cellStyle name="Normal 2 8 14 4 2 2" xfId="34694"/>
    <cellStyle name="Normal 2 8 14 4 3" xfId="34695"/>
    <cellStyle name="Normal 2 8 14 4 4" xfId="34696"/>
    <cellStyle name="Normal 2 8 14 4 5" xfId="34697"/>
    <cellStyle name="Normal 2 8 14 5" xfId="34698"/>
    <cellStyle name="Normal 2 8 14 5 2" xfId="34699"/>
    <cellStyle name="Normal 2 8 14 5 3" xfId="34700"/>
    <cellStyle name="Normal 2 8 14 5 4" xfId="34701"/>
    <cellStyle name="Normal 2 8 14 6" xfId="34702"/>
    <cellStyle name="Normal 2 8 14 6 2" xfId="34703"/>
    <cellStyle name="Normal 2 8 14 7" xfId="34704"/>
    <cellStyle name="Normal 2 8 14 8" xfId="34705"/>
    <cellStyle name="Normal 2 8 14 9" xfId="34706"/>
    <cellStyle name="Normal 2 8 15" xfId="34707"/>
    <cellStyle name="Normal 2 8 15 10" xfId="34708"/>
    <cellStyle name="Normal 2 8 15 2" xfId="34709"/>
    <cellStyle name="Normal 2 8 15 2 2" xfId="34710"/>
    <cellStyle name="Normal 2 8 15 2 2 2" xfId="34711"/>
    <cellStyle name="Normal 2 8 15 2 2 3" xfId="34712"/>
    <cellStyle name="Normal 2 8 15 2 3" xfId="34713"/>
    <cellStyle name="Normal 2 8 15 2 4" xfId="34714"/>
    <cellStyle name="Normal 2 8 15 2 5" xfId="34715"/>
    <cellStyle name="Normal 2 8 15 2 6" xfId="34716"/>
    <cellStyle name="Normal 2 8 15 3" xfId="34717"/>
    <cellStyle name="Normal 2 8 15 3 2" xfId="34718"/>
    <cellStyle name="Normal 2 8 15 3 2 2" xfId="34719"/>
    <cellStyle name="Normal 2 8 15 3 2 3" xfId="34720"/>
    <cellStyle name="Normal 2 8 15 3 3" xfId="34721"/>
    <cellStyle name="Normal 2 8 15 3 4" xfId="34722"/>
    <cellStyle name="Normal 2 8 15 3 5" xfId="34723"/>
    <cellStyle name="Normal 2 8 15 3 6" xfId="34724"/>
    <cellStyle name="Normal 2 8 15 4" xfId="34725"/>
    <cellStyle name="Normal 2 8 15 4 2" xfId="34726"/>
    <cellStyle name="Normal 2 8 15 4 2 2" xfId="34727"/>
    <cellStyle name="Normal 2 8 15 4 3" xfId="34728"/>
    <cellStyle name="Normal 2 8 15 4 4" xfId="34729"/>
    <cellStyle name="Normal 2 8 15 4 5" xfId="34730"/>
    <cellStyle name="Normal 2 8 15 5" xfId="34731"/>
    <cellStyle name="Normal 2 8 15 5 2" xfId="34732"/>
    <cellStyle name="Normal 2 8 15 5 3" xfId="34733"/>
    <cellStyle name="Normal 2 8 15 5 4" xfId="34734"/>
    <cellStyle name="Normal 2 8 15 6" xfId="34735"/>
    <cellStyle name="Normal 2 8 15 6 2" xfId="34736"/>
    <cellStyle name="Normal 2 8 15 7" xfId="34737"/>
    <cellStyle name="Normal 2 8 15 8" xfId="34738"/>
    <cellStyle name="Normal 2 8 15 9" xfId="34739"/>
    <cellStyle name="Normal 2 8 16" xfId="34740"/>
    <cellStyle name="Normal 2 8 16 10" xfId="34741"/>
    <cellStyle name="Normal 2 8 16 2" xfId="34742"/>
    <cellStyle name="Normal 2 8 16 2 2" xfId="34743"/>
    <cellStyle name="Normal 2 8 16 2 2 2" xfId="34744"/>
    <cellStyle name="Normal 2 8 16 2 2 3" xfId="34745"/>
    <cellStyle name="Normal 2 8 16 2 3" xfId="34746"/>
    <cellStyle name="Normal 2 8 16 2 4" xfId="34747"/>
    <cellStyle name="Normal 2 8 16 2 5" xfId="34748"/>
    <cellStyle name="Normal 2 8 16 2 6" xfId="34749"/>
    <cellStyle name="Normal 2 8 16 3" xfId="34750"/>
    <cellStyle name="Normal 2 8 16 3 2" xfId="34751"/>
    <cellStyle name="Normal 2 8 16 3 2 2" xfId="34752"/>
    <cellStyle name="Normal 2 8 16 3 2 3" xfId="34753"/>
    <cellStyle name="Normal 2 8 16 3 3" xfId="34754"/>
    <cellStyle name="Normal 2 8 16 3 4" xfId="34755"/>
    <cellStyle name="Normal 2 8 16 3 5" xfId="34756"/>
    <cellStyle name="Normal 2 8 16 3 6" xfId="34757"/>
    <cellStyle name="Normal 2 8 16 4" xfId="34758"/>
    <cellStyle name="Normal 2 8 16 4 2" xfId="34759"/>
    <cellStyle name="Normal 2 8 16 4 2 2" xfId="34760"/>
    <cellStyle name="Normal 2 8 16 4 3" xfId="34761"/>
    <cellStyle name="Normal 2 8 16 4 4" xfId="34762"/>
    <cellStyle name="Normal 2 8 16 4 5" xfId="34763"/>
    <cellStyle name="Normal 2 8 16 5" xfId="34764"/>
    <cellStyle name="Normal 2 8 16 5 2" xfId="34765"/>
    <cellStyle name="Normal 2 8 16 5 3" xfId="34766"/>
    <cellStyle name="Normal 2 8 16 5 4" xfId="34767"/>
    <cellStyle name="Normal 2 8 16 6" xfId="34768"/>
    <cellStyle name="Normal 2 8 16 6 2" xfId="34769"/>
    <cellStyle name="Normal 2 8 16 7" xfId="34770"/>
    <cellStyle name="Normal 2 8 16 8" xfId="34771"/>
    <cellStyle name="Normal 2 8 16 9" xfId="34772"/>
    <cellStyle name="Normal 2 8 17" xfId="34773"/>
    <cellStyle name="Normal 2 8 17 10" xfId="34774"/>
    <cellStyle name="Normal 2 8 17 2" xfId="34775"/>
    <cellStyle name="Normal 2 8 17 2 2" xfId="34776"/>
    <cellStyle name="Normal 2 8 17 2 2 2" xfId="34777"/>
    <cellStyle name="Normal 2 8 17 2 2 3" xfId="34778"/>
    <cellStyle name="Normal 2 8 17 2 3" xfId="34779"/>
    <cellStyle name="Normal 2 8 17 2 4" xfId="34780"/>
    <cellStyle name="Normal 2 8 17 2 5" xfId="34781"/>
    <cellStyle name="Normal 2 8 17 2 6" xfId="34782"/>
    <cellStyle name="Normal 2 8 17 3" xfId="34783"/>
    <cellStyle name="Normal 2 8 17 3 2" xfId="34784"/>
    <cellStyle name="Normal 2 8 17 3 2 2" xfId="34785"/>
    <cellStyle name="Normal 2 8 17 3 2 3" xfId="34786"/>
    <cellStyle name="Normal 2 8 17 3 3" xfId="34787"/>
    <cellStyle name="Normal 2 8 17 3 4" xfId="34788"/>
    <cellStyle name="Normal 2 8 17 3 5" xfId="34789"/>
    <cellStyle name="Normal 2 8 17 3 6" xfId="34790"/>
    <cellStyle name="Normal 2 8 17 4" xfId="34791"/>
    <cellStyle name="Normal 2 8 17 4 2" xfId="34792"/>
    <cellStyle name="Normal 2 8 17 4 2 2" xfId="34793"/>
    <cellStyle name="Normal 2 8 17 4 3" xfId="34794"/>
    <cellStyle name="Normal 2 8 17 4 4" xfId="34795"/>
    <cellStyle name="Normal 2 8 17 4 5" xfId="34796"/>
    <cellStyle name="Normal 2 8 17 5" xfId="34797"/>
    <cellStyle name="Normal 2 8 17 5 2" xfId="34798"/>
    <cellStyle name="Normal 2 8 17 5 3" xfId="34799"/>
    <cellStyle name="Normal 2 8 17 5 4" xfId="34800"/>
    <cellStyle name="Normal 2 8 17 6" xfId="34801"/>
    <cellStyle name="Normal 2 8 17 6 2" xfId="34802"/>
    <cellStyle name="Normal 2 8 17 7" xfId="34803"/>
    <cellStyle name="Normal 2 8 17 8" xfId="34804"/>
    <cellStyle name="Normal 2 8 17 9" xfId="34805"/>
    <cellStyle name="Normal 2 8 18" xfId="34806"/>
    <cellStyle name="Normal 2 8 18 10" xfId="34807"/>
    <cellStyle name="Normal 2 8 18 2" xfId="34808"/>
    <cellStyle name="Normal 2 8 18 2 2" xfId="34809"/>
    <cellStyle name="Normal 2 8 18 2 2 2" xfId="34810"/>
    <cellStyle name="Normal 2 8 18 2 2 3" xfId="34811"/>
    <cellStyle name="Normal 2 8 18 2 3" xfId="34812"/>
    <cellStyle name="Normal 2 8 18 2 4" xfId="34813"/>
    <cellStyle name="Normal 2 8 18 2 5" xfId="34814"/>
    <cellStyle name="Normal 2 8 18 2 6" xfId="34815"/>
    <cellStyle name="Normal 2 8 18 3" xfId="34816"/>
    <cellStyle name="Normal 2 8 18 3 2" xfId="34817"/>
    <cellStyle name="Normal 2 8 18 3 2 2" xfId="34818"/>
    <cellStyle name="Normal 2 8 18 3 2 3" xfId="34819"/>
    <cellStyle name="Normal 2 8 18 3 3" xfId="34820"/>
    <cellStyle name="Normal 2 8 18 3 4" xfId="34821"/>
    <cellStyle name="Normal 2 8 18 3 5" xfId="34822"/>
    <cellStyle name="Normal 2 8 18 3 6" xfId="34823"/>
    <cellStyle name="Normal 2 8 18 4" xfId="34824"/>
    <cellStyle name="Normal 2 8 18 4 2" xfId="34825"/>
    <cellStyle name="Normal 2 8 18 4 2 2" xfId="34826"/>
    <cellStyle name="Normal 2 8 18 4 3" xfId="34827"/>
    <cellStyle name="Normal 2 8 18 4 4" xfId="34828"/>
    <cellStyle name="Normal 2 8 18 4 5" xfId="34829"/>
    <cellStyle name="Normal 2 8 18 5" xfId="34830"/>
    <cellStyle name="Normal 2 8 18 5 2" xfId="34831"/>
    <cellStyle name="Normal 2 8 18 5 3" xfId="34832"/>
    <cellStyle name="Normal 2 8 18 5 4" xfId="34833"/>
    <cellStyle name="Normal 2 8 18 6" xfId="34834"/>
    <cellStyle name="Normal 2 8 18 6 2" xfId="34835"/>
    <cellStyle name="Normal 2 8 18 7" xfId="34836"/>
    <cellStyle name="Normal 2 8 18 8" xfId="34837"/>
    <cellStyle name="Normal 2 8 18 9" xfId="34838"/>
    <cellStyle name="Normal 2 8 19" xfId="34839"/>
    <cellStyle name="Normal 2 8 19 10" xfId="34840"/>
    <cellStyle name="Normal 2 8 19 2" xfId="34841"/>
    <cellStyle name="Normal 2 8 19 2 2" xfId="34842"/>
    <cellStyle name="Normal 2 8 19 2 2 2" xfId="34843"/>
    <cellStyle name="Normal 2 8 19 2 2 3" xfId="34844"/>
    <cellStyle name="Normal 2 8 19 2 3" xfId="34845"/>
    <cellStyle name="Normal 2 8 19 2 4" xfId="34846"/>
    <cellStyle name="Normal 2 8 19 2 5" xfId="34847"/>
    <cellStyle name="Normal 2 8 19 2 6" xfId="34848"/>
    <cellStyle name="Normal 2 8 19 3" xfId="34849"/>
    <cellStyle name="Normal 2 8 19 3 2" xfId="34850"/>
    <cellStyle name="Normal 2 8 19 3 2 2" xfId="34851"/>
    <cellStyle name="Normal 2 8 19 3 2 3" xfId="34852"/>
    <cellStyle name="Normal 2 8 19 3 3" xfId="34853"/>
    <cellStyle name="Normal 2 8 19 3 4" xfId="34854"/>
    <cellStyle name="Normal 2 8 19 3 5" xfId="34855"/>
    <cellStyle name="Normal 2 8 19 3 6" xfId="34856"/>
    <cellStyle name="Normal 2 8 19 4" xfId="34857"/>
    <cellStyle name="Normal 2 8 19 4 2" xfId="34858"/>
    <cellStyle name="Normal 2 8 19 4 2 2" xfId="34859"/>
    <cellStyle name="Normal 2 8 19 4 3" xfId="34860"/>
    <cellStyle name="Normal 2 8 19 4 4" xfId="34861"/>
    <cellStyle name="Normal 2 8 19 4 5" xfId="34862"/>
    <cellStyle name="Normal 2 8 19 5" xfId="34863"/>
    <cellStyle name="Normal 2 8 19 5 2" xfId="34864"/>
    <cellStyle name="Normal 2 8 19 5 3" xfId="34865"/>
    <cellStyle name="Normal 2 8 19 5 4" xfId="34866"/>
    <cellStyle name="Normal 2 8 19 6" xfId="34867"/>
    <cellStyle name="Normal 2 8 19 6 2" xfId="34868"/>
    <cellStyle name="Normal 2 8 19 7" xfId="34869"/>
    <cellStyle name="Normal 2 8 19 8" xfId="34870"/>
    <cellStyle name="Normal 2 8 19 9" xfId="34871"/>
    <cellStyle name="Normal 2 8 2" xfId="34872"/>
    <cellStyle name="Normal 2 8 2 10" xfId="34873"/>
    <cellStyle name="Normal 2 8 2 10 10" xfId="34874"/>
    <cellStyle name="Normal 2 8 2 10 2" xfId="34875"/>
    <cellStyle name="Normal 2 8 2 10 2 2" xfId="34876"/>
    <cellStyle name="Normal 2 8 2 10 2 2 2" xfId="34877"/>
    <cellStyle name="Normal 2 8 2 10 2 2 3" xfId="34878"/>
    <cellStyle name="Normal 2 8 2 10 2 3" xfId="34879"/>
    <cellStyle name="Normal 2 8 2 10 2 4" xfId="34880"/>
    <cellStyle name="Normal 2 8 2 10 2 5" xfId="34881"/>
    <cellStyle name="Normal 2 8 2 10 2 6" xfId="34882"/>
    <cellStyle name="Normal 2 8 2 10 3" xfId="34883"/>
    <cellStyle name="Normal 2 8 2 10 3 2" xfId="34884"/>
    <cellStyle name="Normal 2 8 2 10 3 2 2" xfId="34885"/>
    <cellStyle name="Normal 2 8 2 10 3 2 3" xfId="34886"/>
    <cellStyle name="Normal 2 8 2 10 3 3" xfId="34887"/>
    <cellStyle name="Normal 2 8 2 10 3 4" xfId="34888"/>
    <cellStyle name="Normal 2 8 2 10 3 5" xfId="34889"/>
    <cellStyle name="Normal 2 8 2 10 3 6" xfId="34890"/>
    <cellStyle name="Normal 2 8 2 10 4" xfId="34891"/>
    <cellStyle name="Normal 2 8 2 10 4 2" xfId="34892"/>
    <cellStyle name="Normal 2 8 2 10 4 2 2" xfId="34893"/>
    <cellStyle name="Normal 2 8 2 10 4 3" xfId="34894"/>
    <cellStyle name="Normal 2 8 2 10 4 4" xfId="34895"/>
    <cellStyle name="Normal 2 8 2 10 4 5" xfId="34896"/>
    <cellStyle name="Normal 2 8 2 10 5" xfId="34897"/>
    <cellStyle name="Normal 2 8 2 10 5 2" xfId="34898"/>
    <cellStyle name="Normal 2 8 2 10 5 3" xfId="34899"/>
    <cellStyle name="Normal 2 8 2 10 5 4" xfId="34900"/>
    <cellStyle name="Normal 2 8 2 10 6" xfId="34901"/>
    <cellStyle name="Normal 2 8 2 10 6 2" xfId="34902"/>
    <cellStyle name="Normal 2 8 2 10 7" xfId="34903"/>
    <cellStyle name="Normal 2 8 2 10 8" xfId="34904"/>
    <cellStyle name="Normal 2 8 2 10 9" xfId="34905"/>
    <cellStyle name="Normal 2 8 2 11" xfId="34906"/>
    <cellStyle name="Normal 2 8 2 11 10" xfId="34907"/>
    <cellStyle name="Normal 2 8 2 11 2" xfId="34908"/>
    <cellStyle name="Normal 2 8 2 11 2 2" xfId="34909"/>
    <cellStyle name="Normal 2 8 2 11 2 2 2" xfId="34910"/>
    <cellStyle name="Normal 2 8 2 11 2 2 3" xfId="34911"/>
    <cellStyle name="Normal 2 8 2 11 2 3" xfId="34912"/>
    <cellStyle name="Normal 2 8 2 11 2 4" xfId="34913"/>
    <cellStyle name="Normal 2 8 2 11 2 5" xfId="34914"/>
    <cellStyle name="Normal 2 8 2 11 2 6" xfId="34915"/>
    <cellStyle name="Normal 2 8 2 11 3" xfId="34916"/>
    <cellStyle name="Normal 2 8 2 11 3 2" xfId="34917"/>
    <cellStyle name="Normal 2 8 2 11 3 2 2" xfId="34918"/>
    <cellStyle name="Normal 2 8 2 11 3 2 3" xfId="34919"/>
    <cellStyle name="Normal 2 8 2 11 3 3" xfId="34920"/>
    <cellStyle name="Normal 2 8 2 11 3 4" xfId="34921"/>
    <cellStyle name="Normal 2 8 2 11 3 5" xfId="34922"/>
    <cellStyle name="Normal 2 8 2 11 3 6" xfId="34923"/>
    <cellStyle name="Normal 2 8 2 11 4" xfId="34924"/>
    <cellStyle name="Normal 2 8 2 11 4 2" xfId="34925"/>
    <cellStyle name="Normal 2 8 2 11 4 2 2" xfId="34926"/>
    <cellStyle name="Normal 2 8 2 11 4 3" xfId="34927"/>
    <cellStyle name="Normal 2 8 2 11 4 4" xfId="34928"/>
    <cellStyle name="Normal 2 8 2 11 4 5" xfId="34929"/>
    <cellStyle name="Normal 2 8 2 11 5" xfId="34930"/>
    <cellStyle name="Normal 2 8 2 11 5 2" xfId="34931"/>
    <cellStyle name="Normal 2 8 2 11 5 3" xfId="34932"/>
    <cellStyle name="Normal 2 8 2 11 5 4" xfId="34933"/>
    <cellStyle name="Normal 2 8 2 11 6" xfId="34934"/>
    <cellStyle name="Normal 2 8 2 11 6 2" xfId="34935"/>
    <cellStyle name="Normal 2 8 2 11 7" xfId="34936"/>
    <cellStyle name="Normal 2 8 2 11 8" xfId="34937"/>
    <cellStyle name="Normal 2 8 2 11 9" xfId="34938"/>
    <cellStyle name="Normal 2 8 2 12" xfId="34939"/>
    <cellStyle name="Normal 2 8 2 12 10" xfId="34940"/>
    <cellStyle name="Normal 2 8 2 12 2" xfId="34941"/>
    <cellStyle name="Normal 2 8 2 12 2 2" xfId="34942"/>
    <cellStyle name="Normal 2 8 2 12 2 2 2" xfId="34943"/>
    <cellStyle name="Normal 2 8 2 12 2 2 3" xfId="34944"/>
    <cellStyle name="Normal 2 8 2 12 2 3" xfId="34945"/>
    <cellStyle name="Normal 2 8 2 12 2 4" xfId="34946"/>
    <cellStyle name="Normal 2 8 2 12 2 5" xfId="34947"/>
    <cellStyle name="Normal 2 8 2 12 2 6" xfId="34948"/>
    <cellStyle name="Normal 2 8 2 12 3" xfId="34949"/>
    <cellStyle name="Normal 2 8 2 12 3 2" xfId="34950"/>
    <cellStyle name="Normal 2 8 2 12 3 2 2" xfId="34951"/>
    <cellStyle name="Normal 2 8 2 12 3 2 3" xfId="34952"/>
    <cellStyle name="Normal 2 8 2 12 3 3" xfId="34953"/>
    <cellStyle name="Normal 2 8 2 12 3 4" xfId="34954"/>
    <cellStyle name="Normal 2 8 2 12 3 5" xfId="34955"/>
    <cellStyle name="Normal 2 8 2 12 3 6" xfId="34956"/>
    <cellStyle name="Normal 2 8 2 12 4" xfId="34957"/>
    <cellStyle name="Normal 2 8 2 12 4 2" xfId="34958"/>
    <cellStyle name="Normal 2 8 2 12 4 2 2" xfId="34959"/>
    <cellStyle name="Normal 2 8 2 12 4 3" xfId="34960"/>
    <cellStyle name="Normal 2 8 2 12 4 4" xfId="34961"/>
    <cellStyle name="Normal 2 8 2 12 4 5" xfId="34962"/>
    <cellStyle name="Normal 2 8 2 12 5" xfId="34963"/>
    <cellStyle name="Normal 2 8 2 12 5 2" xfId="34964"/>
    <cellStyle name="Normal 2 8 2 12 5 3" xfId="34965"/>
    <cellStyle name="Normal 2 8 2 12 5 4" xfId="34966"/>
    <cellStyle name="Normal 2 8 2 12 6" xfId="34967"/>
    <cellStyle name="Normal 2 8 2 12 6 2" xfId="34968"/>
    <cellStyle name="Normal 2 8 2 12 7" xfId="34969"/>
    <cellStyle name="Normal 2 8 2 12 8" xfId="34970"/>
    <cellStyle name="Normal 2 8 2 12 9" xfId="34971"/>
    <cellStyle name="Normal 2 8 2 13" xfId="34972"/>
    <cellStyle name="Normal 2 8 2 13 2" xfId="34973"/>
    <cellStyle name="Normal 2 8 2 13 2 2" xfId="34974"/>
    <cellStyle name="Normal 2 8 2 13 2 2 2" xfId="34975"/>
    <cellStyle name="Normal 2 8 2 13 2 2 3" xfId="34976"/>
    <cellStyle name="Normal 2 8 2 13 2 3" xfId="34977"/>
    <cellStyle name="Normal 2 8 2 13 2 4" xfId="34978"/>
    <cellStyle name="Normal 2 8 2 13 2 5" xfId="34979"/>
    <cellStyle name="Normal 2 8 2 13 2 6" xfId="34980"/>
    <cellStyle name="Normal 2 8 2 13 3" xfId="34981"/>
    <cellStyle name="Normal 2 8 2 13 3 2" xfId="34982"/>
    <cellStyle name="Normal 2 8 2 13 3 2 2" xfId="34983"/>
    <cellStyle name="Normal 2 8 2 13 3 3" xfId="34984"/>
    <cellStyle name="Normal 2 8 2 13 3 4" xfId="34985"/>
    <cellStyle name="Normal 2 8 2 13 3 5" xfId="34986"/>
    <cellStyle name="Normal 2 8 2 13 4" xfId="34987"/>
    <cellStyle name="Normal 2 8 2 13 4 2" xfId="34988"/>
    <cellStyle name="Normal 2 8 2 13 4 3" xfId="34989"/>
    <cellStyle name="Normal 2 8 2 13 4 4" xfId="34990"/>
    <cellStyle name="Normal 2 8 2 13 5" xfId="34991"/>
    <cellStyle name="Normal 2 8 2 13 5 2" xfId="34992"/>
    <cellStyle name="Normal 2 8 2 13 6" xfId="34993"/>
    <cellStyle name="Normal 2 8 2 13 7" xfId="34994"/>
    <cellStyle name="Normal 2 8 2 13 8" xfId="34995"/>
    <cellStyle name="Normal 2 8 2 13 9" xfId="34996"/>
    <cellStyle name="Normal 2 8 2 14" xfId="34997"/>
    <cellStyle name="Normal 2 8 2 14 2" xfId="34998"/>
    <cellStyle name="Normal 2 8 2 14 2 2" xfId="34999"/>
    <cellStyle name="Normal 2 8 2 14 2 2 2" xfId="35000"/>
    <cellStyle name="Normal 2 8 2 14 2 2 3" xfId="35001"/>
    <cellStyle name="Normal 2 8 2 14 2 3" xfId="35002"/>
    <cellStyle name="Normal 2 8 2 14 2 4" xfId="35003"/>
    <cellStyle name="Normal 2 8 2 14 2 5" xfId="35004"/>
    <cellStyle name="Normal 2 8 2 14 2 6" xfId="35005"/>
    <cellStyle name="Normal 2 8 2 14 3" xfId="35006"/>
    <cellStyle name="Normal 2 8 2 14 3 2" xfId="35007"/>
    <cellStyle name="Normal 2 8 2 14 3 2 2" xfId="35008"/>
    <cellStyle name="Normal 2 8 2 14 3 3" xfId="35009"/>
    <cellStyle name="Normal 2 8 2 14 3 4" xfId="35010"/>
    <cellStyle name="Normal 2 8 2 14 3 5" xfId="35011"/>
    <cellStyle name="Normal 2 8 2 14 4" xfId="35012"/>
    <cellStyle name="Normal 2 8 2 14 4 2" xfId="35013"/>
    <cellStyle name="Normal 2 8 2 14 4 3" xfId="35014"/>
    <cellStyle name="Normal 2 8 2 14 4 4" xfId="35015"/>
    <cellStyle name="Normal 2 8 2 14 5" xfId="35016"/>
    <cellStyle name="Normal 2 8 2 14 5 2" xfId="35017"/>
    <cellStyle name="Normal 2 8 2 14 6" xfId="35018"/>
    <cellStyle name="Normal 2 8 2 14 7" xfId="35019"/>
    <cellStyle name="Normal 2 8 2 14 8" xfId="35020"/>
    <cellStyle name="Normal 2 8 2 14 9" xfId="35021"/>
    <cellStyle name="Normal 2 8 2 15" xfId="35022"/>
    <cellStyle name="Normal 2 8 2 15 2" xfId="35023"/>
    <cellStyle name="Normal 2 8 2 15 2 2" xfId="35024"/>
    <cellStyle name="Normal 2 8 2 15 2 3" xfId="35025"/>
    <cellStyle name="Normal 2 8 2 15 3" xfId="35026"/>
    <cellStyle name="Normal 2 8 2 15 4" xfId="35027"/>
    <cellStyle name="Normal 2 8 2 15 5" xfId="35028"/>
    <cellStyle name="Normal 2 8 2 15 6" xfId="35029"/>
    <cellStyle name="Normal 2 8 2 16" xfId="35030"/>
    <cellStyle name="Normal 2 8 2 16 2" xfId="35031"/>
    <cellStyle name="Normal 2 8 2 16 2 2" xfId="35032"/>
    <cellStyle name="Normal 2 8 2 16 3" xfId="35033"/>
    <cellStyle name="Normal 2 8 2 16 4" xfId="35034"/>
    <cellStyle name="Normal 2 8 2 16 5" xfId="35035"/>
    <cellStyle name="Normal 2 8 2 17" xfId="35036"/>
    <cellStyle name="Normal 2 8 2 17 2" xfId="35037"/>
    <cellStyle name="Normal 2 8 2 17 2 2" xfId="35038"/>
    <cellStyle name="Normal 2 8 2 17 3" xfId="35039"/>
    <cellStyle name="Normal 2 8 2 17 4" xfId="35040"/>
    <cellStyle name="Normal 2 8 2 17 5" xfId="35041"/>
    <cellStyle name="Normal 2 8 2 18" xfId="35042"/>
    <cellStyle name="Normal 2 8 2 18 2" xfId="35043"/>
    <cellStyle name="Normal 2 8 2 19" xfId="35044"/>
    <cellStyle name="Normal 2 8 2 2" xfId="35045"/>
    <cellStyle name="Normal 2 8 2 2 10" xfId="35046"/>
    <cellStyle name="Normal 2 8 2 2 11" xfId="35047"/>
    <cellStyle name="Normal 2 8 2 2 2" xfId="35048"/>
    <cellStyle name="Normal 2 8 2 2 2 2" xfId="35049"/>
    <cellStyle name="Normal 2 8 2 2 2 2 2" xfId="35050"/>
    <cellStyle name="Normal 2 8 2 2 2 2 2 2" xfId="35051"/>
    <cellStyle name="Normal 2 8 2 2 2 2 2 3" xfId="35052"/>
    <cellStyle name="Normal 2 8 2 2 2 2 3" xfId="35053"/>
    <cellStyle name="Normal 2 8 2 2 2 2 4" xfId="35054"/>
    <cellStyle name="Normal 2 8 2 2 2 2 5" xfId="35055"/>
    <cellStyle name="Normal 2 8 2 2 2 2 6" xfId="35056"/>
    <cellStyle name="Normal 2 8 2 2 2 3" xfId="35057"/>
    <cellStyle name="Normal 2 8 2 2 2 3 2" xfId="35058"/>
    <cellStyle name="Normal 2 8 2 2 2 3 2 2" xfId="35059"/>
    <cellStyle name="Normal 2 8 2 2 2 3 3" xfId="35060"/>
    <cellStyle name="Normal 2 8 2 2 2 3 4" xfId="35061"/>
    <cellStyle name="Normal 2 8 2 2 2 3 5" xfId="35062"/>
    <cellStyle name="Normal 2 8 2 2 2 4" xfId="35063"/>
    <cellStyle name="Normal 2 8 2 2 2 4 2" xfId="35064"/>
    <cellStyle name="Normal 2 8 2 2 2 4 3" xfId="35065"/>
    <cellStyle name="Normal 2 8 2 2 2 4 4" xfId="35066"/>
    <cellStyle name="Normal 2 8 2 2 2 5" xfId="35067"/>
    <cellStyle name="Normal 2 8 2 2 2 5 2" xfId="35068"/>
    <cellStyle name="Normal 2 8 2 2 2 6" xfId="35069"/>
    <cellStyle name="Normal 2 8 2 2 2 7" xfId="35070"/>
    <cellStyle name="Normal 2 8 2 2 2 8" xfId="35071"/>
    <cellStyle name="Normal 2 8 2 2 2 9" xfId="35072"/>
    <cellStyle name="Normal 2 8 2 2 3" xfId="35073"/>
    <cellStyle name="Normal 2 8 2 2 3 2" xfId="35074"/>
    <cellStyle name="Normal 2 8 2 2 3 2 2" xfId="35075"/>
    <cellStyle name="Normal 2 8 2 2 3 2 2 2" xfId="35076"/>
    <cellStyle name="Normal 2 8 2 2 3 2 2 3" xfId="35077"/>
    <cellStyle name="Normal 2 8 2 2 3 2 3" xfId="35078"/>
    <cellStyle name="Normal 2 8 2 2 3 2 4" xfId="35079"/>
    <cellStyle name="Normal 2 8 2 2 3 2 5" xfId="35080"/>
    <cellStyle name="Normal 2 8 2 2 3 2 6" xfId="35081"/>
    <cellStyle name="Normal 2 8 2 2 3 3" xfId="35082"/>
    <cellStyle name="Normal 2 8 2 2 3 3 2" xfId="35083"/>
    <cellStyle name="Normal 2 8 2 2 3 3 2 2" xfId="35084"/>
    <cellStyle name="Normal 2 8 2 2 3 3 3" xfId="35085"/>
    <cellStyle name="Normal 2 8 2 2 3 3 4" xfId="35086"/>
    <cellStyle name="Normal 2 8 2 2 3 3 5" xfId="35087"/>
    <cellStyle name="Normal 2 8 2 2 3 4" xfId="35088"/>
    <cellStyle name="Normal 2 8 2 2 3 4 2" xfId="35089"/>
    <cellStyle name="Normal 2 8 2 2 3 4 3" xfId="35090"/>
    <cellStyle name="Normal 2 8 2 2 3 4 4" xfId="35091"/>
    <cellStyle name="Normal 2 8 2 2 3 5" xfId="35092"/>
    <cellStyle name="Normal 2 8 2 2 3 5 2" xfId="35093"/>
    <cellStyle name="Normal 2 8 2 2 3 6" xfId="35094"/>
    <cellStyle name="Normal 2 8 2 2 3 7" xfId="35095"/>
    <cellStyle name="Normal 2 8 2 2 3 8" xfId="35096"/>
    <cellStyle name="Normal 2 8 2 2 3 9" xfId="35097"/>
    <cellStyle name="Normal 2 8 2 2 4" xfId="35098"/>
    <cellStyle name="Normal 2 8 2 2 4 2" xfId="35099"/>
    <cellStyle name="Normal 2 8 2 2 4 2 2" xfId="35100"/>
    <cellStyle name="Normal 2 8 2 2 4 2 3" xfId="35101"/>
    <cellStyle name="Normal 2 8 2 2 4 3" xfId="35102"/>
    <cellStyle name="Normal 2 8 2 2 4 4" xfId="35103"/>
    <cellStyle name="Normal 2 8 2 2 4 5" xfId="35104"/>
    <cellStyle name="Normal 2 8 2 2 4 6" xfId="35105"/>
    <cellStyle name="Normal 2 8 2 2 5" xfId="35106"/>
    <cellStyle name="Normal 2 8 2 2 5 2" xfId="35107"/>
    <cellStyle name="Normal 2 8 2 2 5 2 2" xfId="35108"/>
    <cellStyle name="Normal 2 8 2 2 5 3" xfId="35109"/>
    <cellStyle name="Normal 2 8 2 2 5 4" xfId="35110"/>
    <cellStyle name="Normal 2 8 2 2 5 5" xfId="35111"/>
    <cellStyle name="Normal 2 8 2 2 6" xfId="35112"/>
    <cellStyle name="Normal 2 8 2 2 6 2" xfId="35113"/>
    <cellStyle name="Normal 2 8 2 2 6 3" xfId="35114"/>
    <cellStyle name="Normal 2 8 2 2 6 4" xfId="35115"/>
    <cellStyle name="Normal 2 8 2 2 7" xfId="35116"/>
    <cellStyle name="Normal 2 8 2 2 7 2" xfId="35117"/>
    <cellStyle name="Normal 2 8 2 2 8" xfId="35118"/>
    <cellStyle name="Normal 2 8 2 2 9" xfId="35119"/>
    <cellStyle name="Normal 2 8 2 20" xfId="35120"/>
    <cellStyle name="Normal 2 8 2 21" xfId="35121"/>
    <cellStyle name="Normal 2 8 2 22" xfId="35122"/>
    <cellStyle name="Normal 2 8 2 3" xfId="35123"/>
    <cellStyle name="Normal 2 8 2 3 10" xfId="35124"/>
    <cellStyle name="Normal 2 8 2 3 11" xfId="35125"/>
    <cellStyle name="Normal 2 8 2 3 2" xfId="35126"/>
    <cellStyle name="Normal 2 8 2 3 2 2" xfId="35127"/>
    <cellStyle name="Normal 2 8 2 3 2 2 2" xfId="35128"/>
    <cellStyle name="Normal 2 8 2 3 2 2 2 2" xfId="35129"/>
    <cellStyle name="Normal 2 8 2 3 2 2 2 3" xfId="35130"/>
    <cellStyle name="Normal 2 8 2 3 2 2 3" xfId="35131"/>
    <cellStyle name="Normal 2 8 2 3 2 2 4" xfId="35132"/>
    <cellStyle name="Normal 2 8 2 3 2 2 5" xfId="35133"/>
    <cellStyle name="Normal 2 8 2 3 2 2 6" xfId="35134"/>
    <cellStyle name="Normal 2 8 2 3 2 3" xfId="35135"/>
    <cellStyle name="Normal 2 8 2 3 2 3 2" xfId="35136"/>
    <cellStyle name="Normal 2 8 2 3 2 3 2 2" xfId="35137"/>
    <cellStyle name="Normal 2 8 2 3 2 3 3" xfId="35138"/>
    <cellStyle name="Normal 2 8 2 3 2 3 4" xfId="35139"/>
    <cellStyle name="Normal 2 8 2 3 2 3 5" xfId="35140"/>
    <cellStyle name="Normal 2 8 2 3 2 4" xfId="35141"/>
    <cellStyle name="Normal 2 8 2 3 2 4 2" xfId="35142"/>
    <cellStyle name="Normal 2 8 2 3 2 4 3" xfId="35143"/>
    <cellStyle name="Normal 2 8 2 3 2 4 4" xfId="35144"/>
    <cellStyle name="Normal 2 8 2 3 2 5" xfId="35145"/>
    <cellStyle name="Normal 2 8 2 3 2 5 2" xfId="35146"/>
    <cellStyle name="Normal 2 8 2 3 2 6" xfId="35147"/>
    <cellStyle name="Normal 2 8 2 3 2 7" xfId="35148"/>
    <cellStyle name="Normal 2 8 2 3 2 8" xfId="35149"/>
    <cellStyle name="Normal 2 8 2 3 2 9" xfId="35150"/>
    <cellStyle name="Normal 2 8 2 3 3" xfId="35151"/>
    <cellStyle name="Normal 2 8 2 3 3 2" xfId="35152"/>
    <cellStyle name="Normal 2 8 2 3 3 2 2" xfId="35153"/>
    <cellStyle name="Normal 2 8 2 3 3 2 2 2" xfId="35154"/>
    <cellStyle name="Normal 2 8 2 3 3 2 2 3" xfId="35155"/>
    <cellStyle name="Normal 2 8 2 3 3 2 3" xfId="35156"/>
    <cellStyle name="Normal 2 8 2 3 3 2 4" xfId="35157"/>
    <cellStyle name="Normal 2 8 2 3 3 2 5" xfId="35158"/>
    <cellStyle name="Normal 2 8 2 3 3 2 6" xfId="35159"/>
    <cellStyle name="Normal 2 8 2 3 3 3" xfId="35160"/>
    <cellStyle name="Normal 2 8 2 3 3 3 2" xfId="35161"/>
    <cellStyle name="Normal 2 8 2 3 3 3 2 2" xfId="35162"/>
    <cellStyle name="Normal 2 8 2 3 3 3 3" xfId="35163"/>
    <cellStyle name="Normal 2 8 2 3 3 3 4" xfId="35164"/>
    <cellStyle name="Normal 2 8 2 3 3 3 5" xfId="35165"/>
    <cellStyle name="Normal 2 8 2 3 3 4" xfId="35166"/>
    <cellStyle name="Normal 2 8 2 3 3 4 2" xfId="35167"/>
    <cellStyle name="Normal 2 8 2 3 3 4 3" xfId="35168"/>
    <cellStyle name="Normal 2 8 2 3 3 4 4" xfId="35169"/>
    <cellStyle name="Normal 2 8 2 3 3 5" xfId="35170"/>
    <cellStyle name="Normal 2 8 2 3 3 5 2" xfId="35171"/>
    <cellStyle name="Normal 2 8 2 3 3 6" xfId="35172"/>
    <cellStyle name="Normal 2 8 2 3 3 7" xfId="35173"/>
    <cellStyle name="Normal 2 8 2 3 3 8" xfId="35174"/>
    <cellStyle name="Normal 2 8 2 3 3 9" xfId="35175"/>
    <cellStyle name="Normal 2 8 2 3 4" xfId="35176"/>
    <cellStyle name="Normal 2 8 2 3 4 2" xfId="35177"/>
    <cellStyle name="Normal 2 8 2 3 4 2 2" xfId="35178"/>
    <cellStyle name="Normal 2 8 2 3 4 2 3" xfId="35179"/>
    <cellStyle name="Normal 2 8 2 3 4 3" xfId="35180"/>
    <cellStyle name="Normal 2 8 2 3 4 4" xfId="35181"/>
    <cellStyle name="Normal 2 8 2 3 4 5" xfId="35182"/>
    <cellStyle name="Normal 2 8 2 3 4 6" xfId="35183"/>
    <cellStyle name="Normal 2 8 2 3 5" xfId="35184"/>
    <cellStyle name="Normal 2 8 2 3 5 2" xfId="35185"/>
    <cellStyle name="Normal 2 8 2 3 5 2 2" xfId="35186"/>
    <cellStyle name="Normal 2 8 2 3 5 3" xfId="35187"/>
    <cellStyle name="Normal 2 8 2 3 5 4" xfId="35188"/>
    <cellStyle name="Normal 2 8 2 3 5 5" xfId="35189"/>
    <cellStyle name="Normal 2 8 2 3 6" xfId="35190"/>
    <cellStyle name="Normal 2 8 2 3 6 2" xfId="35191"/>
    <cellStyle name="Normal 2 8 2 3 6 3" xfId="35192"/>
    <cellStyle name="Normal 2 8 2 3 6 4" xfId="35193"/>
    <cellStyle name="Normal 2 8 2 3 7" xfId="35194"/>
    <cellStyle name="Normal 2 8 2 3 7 2" xfId="35195"/>
    <cellStyle name="Normal 2 8 2 3 8" xfId="35196"/>
    <cellStyle name="Normal 2 8 2 3 9" xfId="35197"/>
    <cellStyle name="Normal 2 8 2 4" xfId="35198"/>
    <cellStyle name="Normal 2 8 2 4 10" xfId="35199"/>
    <cellStyle name="Normal 2 8 2 4 11" xfId="35200"/>
    <cellStyle name="Normal 2 8 2 4 2" xfId="35201"/>
    <cellStyle name="Normal 2 8 2 4 2 2" xfId="35202"/>
    <cellStyle name="Normal 2 8 2 4 2 2 2" xfId="35203"/>
    <cellStyle name="Normal 2 8 2 4 2 2 2 2" xfId="35204"/>
    <cellStyle name="Normal 2 8 2 4 2 2 2 3" xfId="35205"/>
    <cellStyle name="Normal 2 8 2 4 2 2 3" xfId="35206"/>
    <cellStyle name="Normal 2 8 2 4 2 2 4" xfId="35207"/>
    <cellStyle name="Normal 2 8 2 4 2 2 5" xfId="35208"/>
    <cellStyle name="Normal 2 8 2 4 2 2 6" xfId="35209"/>
    <cellStyle name="Normal 2 8 2 4 2 3" xfId="35210"/>
    <cellStyle name="Normal 2 8 2 4 2 3 2" xfId="35211"/>
    <cellStyle name="Normal 2 8 2 4 2 3 2 2" xfId="35212"/>
    <cellStyle name="Normal 2 8 2 4 2 3 3" xfId="35213"/>
    <cellStyle name="Normal 2 8 2 4 2 3 4" xfId="35214"/>
    <cellStyle name="Normal 2 8 2 4 2 3 5" xfId="35215"/>
    <cellStyle name="Normal 2 8 2 4 2 4" xfId="35216"/>
    <cellStyle name="Normal 2 8 2 4 2 4 2" xfId="35217"/>
    <cellStyle name="Normal 2 8 2 4 2 4 3" xfId="35218"/>
    <cellStyle name="Normal 2 8 2 4 2 4 4" xfId="35219"/>
    <cellStyle name="Normal 2 8 2 4 2 5" xfId="35220"/>
    <cellStyle name="Normal 2 8 2 4 2 5 2" xfId="35221"/>
    <cellStyle name="Normal 2 8 2 4 2 6" xfId="35222"/>
    <cellStyle name="Normal 2 8 2 4 2 7" xfId="35223"/>
    <cellStyle name="Normal 2 8 2 4 2 8" xfId="35224"/>
    <cellStyle name="Normal 2 8 2 4 2 9" xfId="35225"/>
    <cellStyle name="Normal 2 8 2 4 3" xfId="35226"/>
    <cellStyle name="Normal 2 8 2 4 3 2" xfId="35227"/>
    <cellStyle name="Normal 2 8 2 4 3 2 2" xfId="35228"/>
    <cellStyle name="Normal 2 8 2 4 3 2 2 2" xfId="35229"/>
    <cellStyle name="Normal 2 8 2 4 3 2 2 3" xfId="35230"/>
    <cellStyle name="Normal 2 8 2 4 3 2 3" xfId="35231"/>
    <cellStyle name="Normal 2 8 2 4 3 2 4" xfId="35232"/>
    <cellStyle name="Normal 2 8 2 4 3 2 5" xfId="35233"/>
    <cellStyle name="Normal 2 8 2 4 3 2 6" xfId="35234"/>
    <cellStyle name="Normal 2 8 2 4 3 3" xfId="35235"/>
    <cellStyle name="Normal 2 8 2 4 3 3 2" xfId="35236"/>
    <cellStyle name="Normal 2 8 2 4 3 3 2 2" xfId="35237"/>
    <cellStyle name="Normal 2 8 2 4 3 3 3" xfId="35238"/>
    <cellStyle name="Normal 2 8 2 4 3 3 4" xfId="35239"/>
    <cellStyle name="Normal 2 8 2 4 3 3 5" xfId="35240"/>
    <cellStyle name="Normal 2 8 2 4 3 4" xfId="35241"/>
    <cellStyle name="Normal 2 8 2 4 3 4 2" xfId="35242"/>
    <cellStyle name="Normal 2 8 2 4 3 4 3" xfId="35243"/>
    <cellStyle name="Normal 2 8 2 4 3 4 4" xfId="35244"/>
    <cellStyle name="Normal 2 8 2 4 3 5" xfId="35245"/>
    <cellStyle name="Normal 2 8 2 4 3 5 2" xfId="35246"/>
    <cellStyle name="Normal 2 8 2 4 3 6" xfId="35247"/>
    <cellStyle name="Normal 2 8 2 4 3 7" xfId="35248"/>
    <cellStyle name="Normal 2 8 2 4 3 8" xfId="35249"/>
    <cellStyle name="Normal 2 8 2 4 3 9" xfId="35250"/>
    <cellStyle name="Normal 2 8 2 4 4" xfId="35251"/>
    <cellStyle name="Normal 2 8 2 4 4 2" xfId="35252"/>
    <cellStyle name="Normal 2 8 2 4 4 2 2" xfId="35253"/>
    <cellStyle name="Normal 2 8 2 4 4 2 3" xfId="35254"/>
    <cellStyle name="Normal 2 8 2 4 4 3" xfId="35255"/>
    <cellStyle name="Normal 2 8 2 4 4 4" xfId="35256"/>
    <cellStyle name="Normal 2 8 2 4 4 5" xfId="35257"/>
    <cellStyle name="Normal 2 8 2 4 4 6" xfId="35258"/>
    <cellStyle name="Normal 2 8 2 4 5" xfId="35259"/>
    <cellStyle name="Normal 2 8 2 4 5 2" xfId="35260"/>
    <cellStyle name="Normal 2 8 2 4 5 2 2" xfId="35261"/>
    <cellStyle name="Normal 2 8 2 4 5 3" xfId="35262"/>
    <cellStyle name="Normal 2 8 2 4 5 4" xfId="35263"/>
    <cellStyle name="Normal 2 8 2 4 5 5" xfId="35264"/>
    <cellStyle name="Normal 2 8 2 4 6" xfId="35265"/>
    <cellStyle name="Normal 2 8 2 4 6 2" xfId="35266"/>
    <cellStyle name="Normal 2 8 2 4 6 3" xfId="35267"/>
    <cellStyle name="Normal 2 8 2 4 6 4" xfId="35268"/>
    <cellStyle name="Normal 2 8 2 4 7" xfId="35269"/>
    <cellStyle name="Normal 2 8 2 4 7 2" xfId="35270"/>
    <cellStyle name="Normal 2 8 2 4 8" xfId="35271"/>
    <cellStyle name="Normal 2 8 2 4 9" xfId="35272"/>
    <cellStyle name="Normal 2 8 2 5" xfId="35273"/>
    <cellStyle name="Normal 2 8 2 5 10" xfId="35274"/>
    <cellStyle name="Normal 2 8 2 5 11" xfId="35275"/>
    <cellStyle name="Normal 2 8 2 5 2" xfId="35276"/>
    <cellStyle name="Normal 2 8 2 5 2 2" xfId="35277"/>
    <cellStyle name="Normal 2 8 2 5 2 2 2" xfId="35278"/>
    <cellStyle name="Normal 2 8 2 5 2 2 2 2" xfId="35279"/>
    <cellStyle name="Normal 2 8 2 5 2 2 2 3" xfId="35280"/>
    <cellStyle name="Normal 2 8 2 5 2 2 3" xfId="35281"/>
    <cellStyle name="Normal 2 8 2 5 2 2 4" xfId="35282"/>
    <cellStyle name="Normal 2 8 2 5 2 2 5" xfId="35283"/>
    <cellStyle name="Normal 2 8 2 5 2 2 6" xfId="35284"/>
    <cellStyle name="Normal 2 8 2 5 2 3" xfId="35285"/>
    <cellStyle name="Normal 2 8 2 5 2 3 2" xfId="35286"/>
    <cellStyle name="Normal 2 8 2 5 2 3 2 2" xfId="35287"/>
    <cellStyle name="Normal 2 8 2 5 2 3 3" xfId="35288"/>
    <cellStyle name="Normal 2 8 2 5 2 3 4" xfId="35289"/>
    <cellStyle name="Normal 2 8 2 5 2 3 5" xfId="35290"/>
    <cellStyle name="Normal 2 8 2 5 2 4" xfId="35291"/>
    <cellStyle name="Normal 2 8 2 5 2 4 2" xfId="35292"/>
    <cellStyle name="Normal 2 8 2 5 2 4 3" xfId="35293"/>
    <cellStyle name="Normal 2 8 2 5 2 4 4" xfId="35294"/>
    <cellStyle name="Normal 2 8 2 5 2 5" xfId="35295"/>
    <cellStyle name="Normal 2 8 2 5 2 5 2" xfId="35296"/>
    <cellStyle name="Normal 2 8 2 5 2 6" xfId="35297"/>
    <cellStyle name="Normal 2 8 2 5 2 7" xfId="35298"/>
    <cellStyle name="Normal 2 8 2 5 2 8" xfId="35299"/>
    <cellStyle name="Normal 2 8 2 5 2 9" xfId="35300"/>
    <cellStyle name="Normal 2 8 2 5 3" xfId="35301"/>
    <cellStyle name="Normal 2 8 2 5 3 2" xfId="35302"/>
    <cellStyle name="Normal 2 8 2 5 3 2 2" xfId="35303"/>
    <cellStyle name="Normal 2 8 2 5 3 2 2 2" xfId="35304"/>
    <cellStyle name="Normal 2 8 2 5 3 2 2 3" xfId="35305"/>
    <cellStyle name="Normal 2 8 2 5 3 2 3" xfId="35306"/>
    <cellStyle name="Normal 2 8 2 5 3 2 4" xfId="35307"/>
    <cellStyle name="Normal 2 8 2 5 3 2 5" xfId="35308"/>
    <cellStyle name="Normal 2 8 2 5 3 2 6" xfId="35309"/>
    <cellStyle name="Normal 2 8 2 5 3 3" xfId="35310"/>
    <cellStyle name="Normal 2 8 2 5 3 3 2" xfId="35311"/>
    <cellStyle name="Normal 2 8 2 5 3 3 2 2" xfId="35312"/>
    <cellStyle name="Normal 2 8 2 5 3 3 3" xfId="35313"/>
    <cellStyle name="Normal 2 8 2 5 3 3 4" xfId="35314"/>
    <cellStyle name="Normal 2 8 2 5 3 3 5" xfId="35315"/>
    <cellStyle name="Normal 2 8 2 5 3 4" xfId="35316"/>
    <cellStyle name="Normal 2 8 2 5 3 4 2" xfId="35317"/>
    <cellStyle name="Normal 2 8 2 5 3 4 3" xfId="35318"/>
    <cellStyle name="Normal 2 8 2 5 3 4 4" xfId="35319"/>
    <cellStyle name="Normal 2 8 2 5 3 5" xfId="35320"/>
    <cellStyle name="Normal 2 8 2 5 3 5 2" xfId="35321"/>
    <cellStyle name="Normal 2 8 2 5 3 6" xfId="35322"/>
    <cellStyle name="Normal 2 8 2 5 3 7" xfId="35323"/>
    <cellStyle name="Normal 2 8 2 5 3 8" xfId="35324"/>
    <cellStyle name="Normal 2 8 2 5 3 9" xfId="35325"/>
    <cellStyle name="Normal 2 8 2 5 4" xfId="35326"/>
    <cellStyle name="Normal 2 8 2 5 4 2" xfId="35327"/>
    <cellStyle name="Normal 2 8 2 5 4 2 2" xfId="35328"/>
    <cellStyle name="Normal 2 8 2 5 4 2 3" xfId="35329"/>
    <cellStyle name="Normal 2 8 2 5 4 3" xfId="35330"/>
    <cellStyle name="Normal 2 8 2 5 4 4" xfId="35331"/>
    <cellStyle name="Normal 2 8 2 5 4 5" xfId="35332"/>
    <cellStyle name="Normal 2 8 2 5 4 6" xfId="35333"/>
    <cellStyle name="Normal 2 8 2 5 5" xfId="35334"/>
    <cellStyle name="Normal 2 8 2 5 5 2" xfId="35335"/>
    <cellStyle name="Normal 2 8 2 5 5 2 2" xfId="35336"/>
    <cellStyle name="Normal 2 8 2 5 5 3" xfId="35337"/>
    <cellStyle name="Normal 2 8 2 5 5 4" xfId="35338"/>
    <cellStyle name="Normal 2 8 2 5 5 5" xfId="35339"/>
    <cellStyle name="Normal 2 8 2 5 6" xfId="35340"/>
    <cellStyle name="Normal 2 8 2 5 6 2" xfId="35341"/>
    <cellStyle name="Normal 2 8 2 5 6 3" xfId="35342"/>
    <cellStyle name="Normal 2 8 2 5 6 4" xfId="35343"/>
    <cellStyle name="Normal 2 8 2 5 7" xfId="35344"/>
    <cellStyle name="Normal 2 8 2 5 7 2" xfId="35345"/>
    <cellStyle name="Normal 2 8 2 5 8" xfId="35346"/>
    <cellStyle name="Normal 2 8 2 5 9" xfId="35347"/>
    <cellStyle name="Normal 2 8 2 6" xfId="35348"/>
    <cellStyle name="Normal 2 8 2 6 10" xfId="35349"/>
    <cellStyle name="Normal 2 8 2 6 11" xfId="35350"/>
    <cellStyle name="Normal 2 8 2 6 2" xfId="35351"/>
    <cellStyle name="Normal 2 8 2 6 2 2" xfId="35352"/>
    <cellStyle name="Normal 2 8 2 6 2 2 2" xfId="35353"/>
    <cellStyle name="Normal 2 8 2 6 2 2 2 2" xfId="35354"/>
    <cellStyle name="Normal 2 8 2 6 2 2 2 3" xfId="35355"/>
    <cellStyle name="Normal 2 8 2 6 2 2 3" xfId="35356"/>
    <cellStyle name="Normal 2 8 2 6 2 2 4" xfId="35357"/>
    <cellStyle name="Normal 2 8 2 6 2 2 5" xfId="35358"/>
    <cellStyle name="Normal 2 8 2 6 2 2 6" xfId="35359"/>
    <cellStyle name="Normal 2 8 2 6 2 3" xfId="35360"/>
    <cellStyle name="Normal 2 8 2 6 2 3 2" xfId="35361"/>
    <cellStyle name="Normal 2 8 2 6 2 3 2 2" xfId="35362"/>
    <cellStyle name="Normal 2 8 2 6 2 3 3" xfId="35363"/>
    <cellStyle name="Normal 2 8 2 6 2 3 4" xfId="35364"/>
    <cellStyle name="Normal 2 8 2 6 2 3 5" xfId="35365"/>
    <cellStyle name="Normal 2 8 2 6 2 4" xfId="35366"/>
    <cellStyle name="Normal 2 8 2 6 2 4 2" xfId="35367"/>
    <cellStyle name="Normal 2 8 2 6 2 4 3" xfId="35368"/>
    <cellStyle name="Normal 2 8 2 6 2 4 4" xfId="35369"/>
    <cellStyle name="Normal 2 8 2 6 2 5" xfId="35370"/>
    <cellStyle name="Normal 2 8 2 6 2 5 2" xfId="35371"/>
    <cellStyle name="Normal 2 8 2 6 2 6" xfId="35372"/>
    <cellStyle name="Normal 2 8 2 6 2 7" xfId="35373"/>
    <cellStyle name="Normal 2 8 2 6 2 8" xfId="35374"/>
    <cellStyle name="Normal 2 8 2 6 2 9" xfId="35375"/>
    <cellStyle name="Normal 2 8 2 6 3" xfId="35376"/>
    <cellStyle name="Normal 2 8 2 6 3 2" xfId="35377"/>
    <cellStyle name="Normal 2 8 2 6 3 2 2" xfId="35378"/>
    <cellStyle name="Normal 2 8 2 6 3 2 2 2" xfId="35379"/>
    <cellStyle name="Normal 2 8 2 6 3 2 2 3" xfId="35380"/>
    <cellStyle name="Normal 2 8 2 6 3 2 3" xfId="35381"/>
    <cellStyle name="Normal 2 8 2 6 3 2 4" xfId="35382"/>
    <cellStyle name="Normal 2 8 2 6 3 2 5" xfId="35383"/>
    <cellStyle name="Normal 2 8 2 6 3 2 6" xfId="35384"/>
    <cellStyle name="Normal 2 8 2 6 3 3" xfId="35385"/>
    <cellStyle name="Normal 2 8 2 6 3 3 2" xfId="35386"/>
    <cellStyle name="Normal 2 8 2 6 3 3 2 2" xfId="35387"/>
    <cellStyle name="Normal 2 8 2 6 3 3 3" xfId="35388"/>
    <cellStyle name="Normal 2 8 2 6 3 3 4" xfId="35389"/>
    <cellStyle name="Normal 2 8 2 6 3 3 5" xfId="35390"/>
    <cellStyle name="Normal 2 8 2 6 3 4" xfId="35391"/>
    <cellStyle name="Normal 2 8 2 6 3 4 2" xfId="35392"/>
    <cellStyle name="Normal 2 8 2 6 3 4 3" xfId="35393"/>
    <cellStyle name="Normal 2 8 2 6 3 4 4" xfId="35394"/>
    <cellStyle name="Normal 2 8 2 6 3 5" xfId="35395"/>
    <cellStyle name="Normal 2 8 2 6 3 5 2" xfId="35396"/>
    <cellStyle name="Normal 2 8 2 6 3 6" xfId="35397"/>
    <cellStyle name="Normal 2 8 2 6 3 7" xfId="35398"/>
    <cellStyle name="Normal 2 8 2 6 3 8" xfId="35399"/>
    <cellStyle name="Normal 2 8 2 6 3 9" xfId="35400"/>
    <cellStyle name="Normal 2 8 2 6 4" xfId="35401"/>
    <cellStyle name="Normal 2 8 2 6 4 2" xfId="35402"/>
    <cellStyle name="Normal 2 8 2 6 4 2 2" xfId="35403"/>
    <cellStyle name="Normal 2 8 2 6 4 2 3" xfId="35404"/>
    <cellStyle name="Normal 2 8 2 6 4 3" xfId="35405"/>
    <cellStyle name="Normal 2 8 2 6 4 4" xfId="35406"/>
    <cellStyle name="Normal 2 8 2 6 4 5" xfId="35407"/>
    <cellStyle name="Normal 2 8 2 6 4 6" xfId="35408"/>
    <cellStyle name="Normal 2 8 2 6 5" xfId="35409"/>
    <cellStyle name="Normal 2 8 2 6 5 2" xfId="35410"/>
    <cellStyle name="Normal 2 8 2 6 5 2 2" xfId="35411"/>
    <cellStyle name="Normal 2 8 2 6 5 3" xfId="35412"/>
    <cellStyle name="Normal 2 8 2 6 5 4" xfId="35413"/>
    <cellStyle name="Normal 2 8 2 6 5 5" xfId="35414"/>
    <cellStyle name="Normal 2 8 2 6 6" xfId="35415"/>
    <cellStyle name="Normal 2 8 2 6 6 2" xfId="35416"/>
    <cellStyle name="Normal 2 8 2 6 6 3" xfId="35417"/>
    <cellStyle name="Normal 2 8 2 6 6 4" xfId="35418"/>
    <cellStyle name="Normal 2 8 2 6 7" xfId="35419"/>
    <cellStyle name="Normal 2 8 2 6 7 2" xfId="35420"/>
    <cellStyle name="Normal 2 8 2 6 8" xfId="35421"/>
    <cellStyle name="Normal 2 8 2 6 9" xfId="35422"/>
    <cellStyle name="Normal 2 8 2 7" xfId="35423"/>
    <cellStyle name="Normal 2 8 2 7 10" xfId="35424"/>
    <cellStyle name="Normal 2 8 2 7 11" xfId="35425"/>
    <cellStyle name="Normal 2 8 2 7 2" xfId="35426"/>
    <cellStyle name="Normal 2 8 2 7 2 2" xfId="35427"/>
    <cellStyle name="Normal 2 8 2 7 2 2 2" xfId="35428"/>
    <cellStyle name="Normal 2 8 2 7 2 2 2 2" xfId="35429"/>
    <cellStyle name="Normal 2 8 2 7 2 2 2 3" xfId="35430"/>
    <cellStyle name="Normal 2 8 2 7 2 2 3" xfId="35431"/>
    <cellStyle name="Normal 2 8 2 7 2 2 4" xfId="35432"/>
    <cellStyle name="Normal 2 8 2 7 2 2 5" xfId="35433"/>
    <cellStyle name="Normal 2 8 2 7 2 2 6" xfId="35434"/>
    <cellStyle name="Normal 2 8 2 7 2 3" xfId="35435"/>
    <cellStyle name="Normal 2 8 2 7 2 3 2" xfId="35436"/>
    <cellStyle name="Normal 2 8 2 7 2 3 2 2" xfId="35437"/>
    <cellStyle name="Normal 2 8 2 7 2 3 3" xfId="35438"/>
    <cellStyle name="Normal 2 8 2 7 2 3 4" xfId="35439"/>
    <cellStyle name="Normal 2 8 2 7 2 3 5" xfId="35440"/>
    <cellStyle name="Normal 2 8 2 7 2 4" xfId="35441"/>
    <cellStyle name="Normal 2 8 2 7 2 4 2" xfId="35442"/>
    <cellStyle name="Normal 2 8 2 7 2 4 3" xfId="35443"/>
    <cellStyle name="Normal 2 8 2 7 2 4 4" xfId="35444"/>
    <cellStyle name="Normal 2 8 2 7 2 5" xfId="35445"/>
    <cellStyle name="Normal 2 8 2 7 2 5 2" xfId="35446"/>
    <cellStyle name="Normal 2 8 2 7 2 6" xfId="35447"/>
    <cellStyle name="Normal 2 8 2 7 2 7" xfId="35448"/>
    <cellStyle name="Normal 2 8 2 7 2 8" xfId="35449"/>
    <cellStyle name="Normal 2 8 2 7 2 9" xfId="35450"/>
    <cellStyle name="Normal 2 8 2 7 3" xfId="35451"/>
    <cellStyle name="Normal 2 8 2 7 3 2" xfId="35452"/>
    <cellStyle name="Normal 2 8 2 7 3 2 2" xfId="35453"/>
    <cellStyle name="Normal 2 8 2 7 3 2 2 2" xfId="35454"/>
    <cellStyle name="Normal 2 8 2 7 3 2 2 3" xfId="35455"/>
    <cellStyle name="Normal 2 8 2 7 3 2 3" xfId="35456"/>
    <cellStyle name="Normal 2 8 2 7 3 2 4" xfId="35457"/>
    <cellStyle name="Normal 2 8 2 7 3 2 5" xfId="35458"/>
    <cellStyle name="Normal 2 8 2 7 3 2 6" xfId="35459"/>
    <cellStyle name="Normal 2 8 2 7 3 3" xfId="35460"/>
    <cellStyle name="Normal 2 8 2 7 3 3 2" xfId="35461"/>
    <cellStyle name="Normal 2 8 2 7 3 3 2 2" xfId="35462"/>
    <cellStyle name="Normal 2 8 2 7 3 3 3" xfId="35463"/>
    <cellStyle name="Normal 2 8 2 7 3 3 4" xfId="35464"/>
    <cellStyle name="Normal 2 8 2 7 3 3 5" xfId="35465"/>
    <cellStyle name="Normal 2 8 2 7 3 4" xfId="35466"/>
    <cellStyle name="Normal 2 8 2 7 3 4 2" xfId="35467"/>
    <cellStyle name="Normal 2 8 2 7 3 4 3" xfId="35468"/>
    <cellStyle name="Normal 2 8 2 7 3 4 4" xfId="35469"/>
    <cellStyle name="Normal 2 8 2 7 3 5" xfId="35470"/>
    <cellStyle name="Normal 2 8 2 7 3 5 2" xfId="35471"/>
    <cellStyle name="Normal 2 8 2 7 3 6" xfId="35472"/>
    <cellStyle name="Normal 2 8 2 7 3 7" xfId="35473"/>
    <cellStyle name="Normal 2 8 2 7 3 8" xfId="35474"/>
    <cellStyle name="Normal 2 8 2 7 3 9" xfId="35475"/>
    <cellStyle name="Normal 2 8 2 7 4" xfId="35476"/>
    <cellStyle name="Normal 2 8 2 7 4 2" xfId="35477"/>
    <cellStyle name="Normal 2 8 2 7 4 2 2" xfId="35478"/>
    <cellStyle name="Normal 2 8 2 7 4 2 3" xfId="35479"/>
    <cellStyle name="Normal 2 8 2 7 4 3" xfId="35480"/>
    <cellStyle name="Normal 2 8 2 7 4 4" xfId="35481"/>
    <cellStyle name="Normal 2 8 2 7 4 5" xfId="35482"/>
    <cellStyle name="Normal 2 8 2 7 4 6" xfId="35483"/>
    <cellStyle name="Normal 2 8 2 7 5" xfId="35484"/>
    <cellStyle name="Normal 2 8 2 7 5 2" xfId="35485"/>
    <cellStyle name="Normal 2 8 2 7 5 2 2" xfId="35486"/>
    <cellStyle name="Normal 2 8 2 7 5 3" xfId="35487"/>
    <cellStyle name="Normal 2 8 2 7 5 4" xfId="35488"/>
    <cellStyle name="Normal 2 8 2 7 5 5" xfId="35489"/>
    <cellStyle name="Normal 2 8 2 7 6" xfId="35490"/>
    <cellStyle name="Normal 2 8 2 7 6 2" xfId="35491"/>
    <cellStyle name="Normal 2 8 2 7 6 3" xfId="35492"/>
    <cellStyle name="Normal 2 8 2 7 6 4" xfId="35493"/>
    <cellStyle name="Normal 2 8 2 7 7" xfId="35494"/>
    <cellStyle name="Normal 2 8 2 7 7 2" xfId="35495"/>
    <cellStyle name="Normal 2 8 2 7 8" xfId="35496"/>
    <cellStyle name="Normal 2 8 2 7 9" xfId="35497"/>
    <cellStyle name="Normal 2 8 2 8" xfId="35498"/>
    <cellStyle name="Normal 2 8 2 8 10" xfId="35499"/>
    <cellStyle name="Normal 2 8 2 8 2" xfId="35500"/>
    <cellStyle name="Normal 2 8 2 8 2 2" xfId="35501"/>
    <cellStyle name="Normal 2 8 2 8 2 2 2" xfId="35502"/>
    <cellStyle name="Normal 2 8 2 8 2 2 3" xfId="35503"/>
    <cellStyle name="Normal 2 8 2 8 2 3" xfId="35504"/>
    <cellStyle name="Normal 2 8 2 8 2 4" xfId="35505"/>
    <cellStyle name="Normal 2 8 2 8 2 5" xfId="35506"/>
    <cellStyle name="Normal 2 8 2 8 2 6" xfId="35507"/>
    <cellStyle name="Normal 2 8 2 8 3" xfId="35508"/>
    <cellStyle name="Normal 2 8 2 8 3 2" xfId="35509"/>
    <cellStyle name="Normal 2 8 2 8 3 2 2" xfId="35510"/>
    <cellStyle name="Normal 2 8 2 8 3 2 3" xfId="35511"/>
    <cellStyle name="Normal 2 8 2 8 3 3" xfId="35512"/>
    <cellStyle name="Normal 2 8 2 8 3 4" xfId="35513"/>
    <cellStyle name="Normal 2 8 2 8 3 5" xfId="35514"/>
    <cellStyle name="Normal 2 8 2 8 3 6" xfId="35515"/>
    <cellStyle name="Normal 2 8 2 8 4" xfId="35516"/>
    <cellStyle name="Normal 2 8 2 8 4 2" xfId="35517"/>
    <cellStyle name="Normal 2 8 2 8 4 2 2" xfId="35518"/>
    <cellStyle name="Normal 2 8 2 8 4 3" xfId="35519"/>
    <cellStyle name="Normal 2 8 2 8 4 4" xfId="35520"/>
    <cellStyle name="Normal 2 8 2 8 4 5" xfId="35521"/>
    <cellStyle name="Normal 2 8 2 8 5" xfId="35522"/>
    <cellStyle name="Normal 2 8 2 8 5 2" xfId="35523"/>
    <cellStyle name="Normal 2 8 2 8 5 3" xfId="35524"/>
    <cellStyle name="Normal 2 8 2 8 5 4" xfId="35525"/>
    <cellStyle name="Normal 2 8 2 8 6" xfId="35526"/>
    <cellStyle name="Normal 2 8 2 8 6 2" xfId="35527"/>
    <cellStyle name="Normal 2 8 2 8 7" xfId="35528"/>
    <cellStyle name="Normal 2 8 2 8 8" xfId="35529"/>
    <cellStyle name="Normal 2 8 2 8 9" xfId="35530"/>
    <cellStyle name="Normal 2 8 2 9" xfId="35531"/>
    <cellStyle name="Normal 2 8 2 9 10" xfId="35532"/>
    <cellStyle name="Normal 2 8 2 9 2" xfId="35533"/>
    <cellStyle name="Normal 2 8 2 9 2 2" xfId="35534"/>
    <cellStyle name="Normal 2 8 2 9 2 2 2" xfId="35535"/>
    <cellStyle name="Normal 2 8 2 9 2 2 3" xfId="35536"/>
    <cellStyle name="Normal 2 8 2 9 2 3" xfId="35537"/>
    <cellStyle name="Normal 2 8 2 9 2 4" xfId="35538"/>
    <cellStyle name="Normal 2 8 2 9 2 5" xfId="35539"/>
    <cellStyle name="Normal 2 8 2 9 2 6" xfId="35540"/>
    <cellStyle name="Normal 2 8 2 9 3" xfId="35541"/>
    <cellStyle name="Normal 2 8 2 9 3 2" xfId="35542"/>
    <cellStyle name="Normal 2 8 2 9 3 2 2" xfId="35543"/>
    <cellStyle name="Normal 2 8 2 9 3 2 3" xfId="35544"/>
    <cellStyle name="Normal 2 8 2 9 3 3" xfId="35545"/>
    <cellStyle name="Normal 2 8 2 9 3 4" xfId="35546"/>
    <cellStyle name="Normal 2 8 2 9 3 5" xfId="35547"/>
    <cellStyle name="Normal 2 8 2 9 3 6" xfId="35548"/>
    <cellStyle name="Normal 2 8 2 9 4" xfId="35549"/>
    <cellStyle name="Normal 2 8 2 9 4 2" xfId="35550"/>
    <cellStyle name="Normal 2 8 2 9 4 2 2" xfId="35551"/>
    <cellStyle name="Normal 2 8 2 9 4 3" xfId="35552"/>
    <cellStyle name="Normal 2 8 2 9 4 4" xfId="35553"/>
    <cellStyle name="Normal 2 8 2 9 4 5" xfId="35554"/>
    <cellStyle name="Normal 2 8 2 9 5" xfId="35555"/>
    <cellStyle name="Normal 2 8 2 9 5 2" xfId="35556"/>
    <cellStyle name="Normal 2 8 2 9 5 3" xfId="35557"/>
    <cellStyle name="Normal 2 8 2 9 5 4" xfId="35558"/>
    <cellStyle name="Normal 2 8 2 9 6" xfId="35559"/>
    <cellStyle name="Normal 2 8 2 9 6 2" xfId="35560"/>
    <cellStyle name="Normal 2 8 2 9 7" xfId="35561"/>
    <cellStyle name="Normal 2 8 2 9 8" xfId="35562"/>
    <cellStyle name="Normal 2 8 2 9 9" xfId="35563"/>
    <cellStyle name="Normal 2 8 20" xfId="35564"/>
    <cellStyle name="Normal 2 8 20 10" xfId="35565"/>
    <cellStyle name="Normal 2 8 20 2" xfId="35566"/>
    <cellStyle name="Normal 2 8 20 2 2" xfId="35567"/>
    <cellStyle name="Normal 2 8 20 2 2 2" xfId="35568"/>
    <cellStyle name="Normal 2 8 20 2 2 3" xfId="35569"/>
    <cellStyle name="Normal 2 8 20 2 3" xfId="35570"/>
    <cellStyle name="Normal 2 8 20 2 4" xfId="35571"/>
    <cellStyle name="Normal 2 8 20 2 5" xfId="35572"/>
    <cellStyle name="Normal 2 8 20 2 6" xfId="35573"/>
    <cellStyle name="Normal 2 8 20 3" xfId="35574"/>
    <cellStyle name="Normal 2 8 20 3 2" xfId="35575"/>
    <cellStyle name="Normal 2 8 20 3 2 2" xfId="35576"/>
    <cellStyle name="Normal 2 8 20 3 2 3" xfId="35577"/>
    <cellStyle name="Normal 2 8 20 3 3" xfId="35578"/>
    <cellStyle name="Normal 2 8 20 3 4" xfId="35579"/>
    <cellStyle name="Normal 2 8 20 3 5" xfId="35580"/>
    <cellStyle name="Normal 2 8 20 3 6" xfId="35581"/>
    <cellStyle name="Normal 2 8 20 4" xfId="35582"/>
    <cellStyle name="Normal 2 8 20 4 2" xfId="35583"/>
    <cellStyle name="Normal 2 8 20 4 2 2" xfId="35584"/>
    <cellStyle name="Normal 2 8 20 4 3" xfId="35585"/>
    <cellStyle name="Normal 2 8 20 4 4" xfId="35586"/>
    <cellStyle name="Normal 2 8 20 4 5" xfId="35587"/>
    <cellStyle name="Normal 2 8 20 5" xfId="35588"/>
    <cellStyle name="Normal 2 8 20 5 2" xfId="35589"/>
    <cellStyle name="Normal 2 8 20 5 3" xfId="35590"/>
    <cellStyle name="Normal 2 8 20 5 4" xfId="35591"/>
    <cellStyle name="Normal 2 8 20 6" xfId="35592"/>
    <cellStyle name="Normal 2 8 20 6 2" xfId="35593"/>
    <cellStyle name="Normal 2 8 20 7" xfId="35594"/>
    <cellStyle name="Normal 2 8 20 8" xfId="35595"/>
    <cellStyle name="Normal 2 8 20 9" xfId="35596"/>
    <cellStyle name="Normal 2 8 21" xfId="35597"/>
    <cellStyle name="Normal 2 8 21 10" xfId="35598"/>
    <cellStyle name="Normal 2 8 21 2" xfId="35599"/>
    <cellStyle name="Normal 2 8 21 2 2" xfId="35600"/>
    <cellStyle name="Normal 2 8 21 2 2 2" xfId="35601"/>
    <cellStyle name="Normal 2 8 21 2 2 3" xfId="35602"/>
    <cellStyle name="Normal 2 8 21 2 3" xfId="35603"/>
    <cellStyle name="Normal 2 8 21 2 4" xfId="35604"/>
    <cellStyle name="Normal 2 8 21 2 5" xfId="35605"/>
    <cellStyle name="Normal 2 8 21 2 6" xfId="35606"/>
    <cellStyle name="Normal 2 8 21 3" xfId="35607"/>
    <cellStyle name="Normal 2 8 21 3 2" xfId="35608"/>
    <cellStyle name="Normal 2 8 21 3 2 2" xfId="35609"/>
    <cellStyle name="Normal 2 8 21 3 2 3" xfId="35610"/>
    <cellStyle name="Normal 2 8 21 3 3" xfId="35611"/>
    <cellStyle name="Normal 2 8 21 3 4" xfId="35612"/>
    <cellStyle name="Normal 2 8 21 3 5" xfId="35613"/>
    <cellStyle name="Normal 2 8 21 3 6" xfId="35614"/>
    <cellStyle name="Normal 2 8 21 4" xfId="35615"/>
    <cellStyle name="Normal 2 8 21 4 2" xfId="35616"/>
    <cellStyle name="Normal 2 8 21 4 2 2" xfId="35617"/>
    <cellStyle name="Normal 2 8 21 4 3" xfId="35618"/>
    <cellStyle name="Normal 2 8 21 4 4" xfId="35619"/>
    <cellStyle name="Normal 2 8 21 4 5" xfId="35620"/>
    <cellStyle name="Normal 2 8 21 5" xfId="35621"/>
    <cellStyle name="Normal 2 8 21 5 2" xfId="35622"/>
    <cellStyle name="Normal 2 8 21 5 3" xfId="35623"/>
    <cellStyle name="Normal 2 8 21 5 4" xfId="35624"/>
    <cellStyle name="Normal 2 8 21 6" xfId="35625"/>
    <cellStyle name="Normal 2 8 21 6 2" xfId="35626"/>
    <cellStyle name="Normal 2 8 21 7" xfId="35627"/>
    <cellStyle name="Normal 2 8 21 8" xfId="35628"/>
    <cellStyle name="Normal 2 8 21 9" xfId="35629"/>
    <cellStyle name="Normal 2 8 22" xfId="35630"/>
    <cellStyle name="Normal 2 8 22 10" xfId="35631"/>
    <cellStyle name="Normal 2 8 22 2" xfId="35632"/>
    <cellStyle name="Normal 2 8 22 2 2" xfId="35633"/>
    <cellStyle name="Normal 2 8 22 2 2 2" xfId="35634"/>
    <cellStyle name="Normal 2 8 22 2 2 3" xfId="35635"/>
    <cellStyle name="Normal 2 8 22 2 3" xfId="35636"/>
    <cellStyle name="Normal 2 8 22 2 4" xfId="35637"/>
    <cellStyle name="Normal 2 8 22 2 5" xfId="35638"/>
    <cellStyle name="Normal 2 8 22 2 6" xfId="35639"/>
    <cellStyle name="Normal 2 8 22 3" xfId="35640"/>
    <cellStyle name="Normal 2 8 22 3 2" xfId="35641"/>
    <cellStyle name="Normal 2 8 22 3 2 2" xfId="35642"/>
    <cellStyle name="Normal 2 8 22 3 2 3" xfId="35643"/>
    <cellStyle name="Normal 2 8 22 3 3" xfId="35644"/>
    <cellStyle name="Normal 2 8 22 3 4" xfId="35645"/>
    <cellStyle name="Normal 2 8 22 3 5" xfId="35646"/>
    <cellStyle name="Normal 2 8 22 3 6" xfId="35647"/>
    <cellStyle name="Normal 2 8 22 4" xfId="35648"/>
    <cellStyle name="Normal 2 8 22 4 2" xfId="35649"/>
    <cellStyle name="Normal 2 8 22 4 2 2" xfId="35650"/>
    <cellStyle name="Normal 2 8 22 4 3" xfId="35651"/>
    <cellStyle name="Normal 2 8 22 4 4" xfId="35652"/>
    <cellStyle name="Normal 2 8 22 4 5" xfId="35653"/>
    <cellStyle name="Normal 2 8 22 5" xfId="35654"/>
    <cellStyle name="Normal 2 8 22 5 2" xfId="35655"/>
    <cellStyle name="Normal 2 8 22 5 3" xfId="35656"/>
    <cellStyle name="Normal 2 8 22 5 4" xfId="35657"/>
    <cellStyle name="Normal 2 8 22 6" xfId="35658"/>
    <cellStyle name="Normal 2 8 22 6 2" xfId="35659"/>
    <cellStyle name="Normal 2 8 22 7" xfId="35660"/>
    <cellStyle name="Normal 2 8 22 8" xfId="35661"/>
    <cellStyle name="Normal 2 8 22 9" xfId="35662"/>
    <cellStyle name="Normal 2 8 23" xfId="35663"/>
    <cellStyle name="Normal 2 8 23 10" xfId="35664"/>
    <cellStyle name="Normal 2 8 23 2" xfId="35665"/>
    <cellStyle name="Normal 2 8 23 2 2" xfId="35666"/>
    <cellStyle name="Normal 2 8 23 2 2 2" xfId="35667"/>
    <cellStyle name="Normal 2 8 23 2 2 3" xfId="35668"/>
    <cellStyle name="Normal 2 8 23 2 3" xfId="35669"/>
    <cellStyle name="Normal 2 8 23 2 4" xfId="35670"/>
    <cellStyle name="Normal 2 8 23 2 5" xfId="35671"/>
    <cellStyle name="Normal 2 8 23 2 6" xfId="35672"/>
    <cellStyle name="Normal 2 8 23 3" xfId="35673"/>
    <cellStyle name="Normal 2 8 23 3 2" xfId="35674"/>
    <cellStyle name="Normal 2 8 23 3 2 2" xfId="35675"/>
    <cellStyle name="Normal 2 8 23 3 2 3" xfId="35676"/>
    <cellStyle name="Normal 2 8 23 3 3" xfId="35677"/>
    <cellStyle name="Normal 2 8 23 3 4" xfId="35678"/>
    <cellStyle name="Normal 2 8 23 3 5" xfId="35679"/>
    <cellStyle name="Normal 2 8 23 3 6" xfId="35680"/>
    <cellStyle name="Normal 2 8 23 4" xfId="35681"/>
    <cellStyle name="Normal 2 8 23 4 2" xfId="35682"/>
    <cellStyle name="Normal 2 8 23 4 2 2" xfId="35683"/>
    <cellStyle name="Normal 2 8 23 4 3" xfId="35684"/>
    <cellStyle name="Normal 2 8 23 4 4" xfId="35685"/>
    <cellStyle name="Normal 2 8 23 4 5" xfId="35686"/>
    <cellStyle name="Normal 2 8 23 5" xfId="35687"/>
    <cellStyle name="Normal 2 8 23 5 2" xfId="35688"/>
    <cellStyle name="Normal 2 8 23 5 3" xfId="35689"/>
    <cellStyle name="Normal 2 8 23 5 4" xfId="35690"/>
    <cellStyle name="Normal 2 8 23 6" xfId="35691"/>
    <cellStyle name="Normal 2 8 23 6 2" xfId="35692"/>
    <cellStyle name="Normal 2 8 23 7" xfId="35693"/>
    <cellStyle name="Normal 2 8 23 8" xfId="35694"/>
    <cellStyle name="Normal 2 8 23 9" xfId="35695"/>
    <cellStyle name="Normal 2 8 24" xfId="35696"/>
    <cellStyle name="Normal 2 8 24 10" xfId="35697"/>
    <cellStyle name="Normal 2 8 24 2" xfId="35698"/>
    <cellStyle name="Normal 2 8 24 2 2" xfId="35699"/>
    <cellStyle name="Normal 2 8 24 2 2 2" xfId="35700"/>
    <cellStyle name="Normal 2 8 24 2 2 3" xfId="35701"/>
    <cellStyle name="Normal 2 8 24 2 3" xfId="35702"/>
    <cellStyle name="Normal 2 8 24 2 4" xfId="35703"/>
    <cellStyle name="Normal 2 8 24 2 5" xfId="35704"/>
    <cellStyle name="Normal 2 8 24 2 6" xfId="35705"/>
    <cellStyle name="Normal 2 8 24 3" xfId="35706"/>
    <cellStyle name="Normal 2 8 24 3 2" xfId="35707"/>
    <cellStyle name="Normal 2 8 24 3 2 2" xfId="35708"/>
    <cellStyle name="Normal 2 8 24 3 2 3" xfId="35709"/>
    <cellStyle name="Normal 2 8 24 3 3" xfId="35710"/>
    <cellStyle name="Normal 2 8 24 3 4" xfId="35711"/>
    <cellStyle name="Normal 2 8 24 3 5" xfId="35712"/>
    <cellStyle name="Normal 2 8 24 3 6" xfId="35713"/>
    <cellStyle name="Normal 2 8 24 4" xfId="35714"/>
    <cellStyle name="Normal 2 8 24 4 2" xfId="35715"/>
    <cellStyle name="Normal 2 8 24 4 2 2" xfId="35716"/>
    <cellStyle name="Normal 2 8 24 4 3" xfId="35717"/>
    <cellStyle name="Normal 2 8 24 4 4" xfId="35718"/>
    <cellStyle name="Normal 2 8 24 4 5" xfId="35719"/>
    <cellStyle name="Normal 2 8 24 5" xfId="35720"/>
    <cellStyle name="Normal 2 8 24 5 2" xfId="35721"/>
    <cellStyle name="Normal 2 8 24 5 3" xfId="35722"/>
    <cellStyle name="Normal 2 8 24 5 4" xfId="35723"/>
    <cellStyle name="Normal 2 8 24 6" xfId="35724"/>
    <cellStyle name="Normal 2 8 24 6 2" xfId="35725"/>
    <cellStyle name="Normal 2 8 24 7" xfId="35726"/>
    <cellStyle name="Normal 2 8 24 8" xfId="35727"/>
    <cellStyle name="Normal 2 8 24 9" xfId="35728"/>
    <cellStyle name="Normal 2 8 25" xfId="35729"/>
    <cellStyle name="Normal 2 8 25 10" xfId="35730"/>
    <cellStyle name="Normal 2 8 25 2" xfId="35731"/>
    <cellStyle name="Normal 2 8 25 2 2" xfId="35732"/>
    <cellStyle name="Normal 2 8 25 2 2 2" xfId="35733"/>
    <cellStyle name="Normal 2 8 25 2 2 3" xfId="35734"/>
    <cellStyle name="Normal 2 8 25 2 3" xfId="35735"/>
    <cellStyle name="Normal 2 8 25 2 4" xfId="35736"/>
    <cellStyle name="Normal 2 8 25 2 5" xfId="35737"/>
    <cellStyle name="Normal 2 8 25 2 6" xfId="35738"/>
    <cellStyle name="Normal 2 8 25 3" xfId="35739"/>
    <cellStyle name="Normal 2 8 25 3 2" xfId="35740"/>
    <cellStyle name="Normal 2 8 25 3 2 2" xfId="35741"/>
    <cellStyle name="Normal 2 8 25 3 2 3" xfId="35742"/>
    <cellStyle name="Normal 2 8 25 3 3" xfId="35743"/>
    <cellStyle name="Normal 2 8 25 3 4" xfId="35744"/>
    <cellStyle name="Normal 2 8 25 3 5" xfId="35745"/>
    <cellStyle name="Normal 2 8 25 3 6" xfId="35746"/>
    <cellStyle name="Normal 2 8 25 4" xfId="35747"/>
    <cellStyle name="Normal 2 8 25 4 2" xfId="35748"/>
    <cellStyle name="Normal 2 8 25 4 2 2" xfId="35749"/>
    <cellStyle name="Normal 2 8 25 4 3" xfId="35750"/>
    <cellStyle name="Normal 2 8 25 4 4" xfId="35751"/>
    <cellStyle name="Normal 2 8 25 4 5" xfId="35752"/>
    <cellStyle name="Normal 2 8 25 5" xfId="35753"/>
    <cellStyle name="Normal 2 8 25 5 2" xfId="35754"/>
    <cellStyle name="Normal 2 8 25 5 3" xfId="35755"/>
    <cellStyle name="Normal 2 8 25 5 4" xfId="35756"/>
    <cellStyle name="Normal 2 8 25 6" xfId="35757"/>
    <cellStyle name="Normal 2 8 25 6 2" xfId="35758"/>
    <cellStyle name="Normal 2 8 25 7" xfId="35759"/>
    <cellStyle name="Normal 2 8 25 8" xfId="35760"/>
    <cellStyle name="Normal 2 8 25 9" xfId="35761"/>
    <cellStyle name="Normal 2 8 26" xfId="35762"/>
    <cellStyle name="Normal 2 8 26 10" xfId="35763"/>
    <cellStyle name="Normal 2 8 26 2" xfId="35764"/>
    <cellStyle name="Normal 2 8 26 2 2" xfId="35765"/>
    <cellStyle name="Normal 2 8 26 2 2 2" xfId="35766"/>
    <cellStyle name="Normal 2 8 26 2 2 3" xfId="35767"/>
    <cellStyle name="Normal 2 8 26 2 3" xfId="35768"/>
    <cellStyle name="Normal 2 8 26 2 4" xfId="35769"/>
    <cellStyle name="Normal 2 8 26 2 5" xfId="35770"/>
    <cellStyle name="Normal 2 8 26 2 6" xfId="35771"/>
    <cellStyle name="Normal 2 8 26 3" xfId="35772"/>
    <cellStyle name="Normal 2 8 26 3 2" xfId="35773"/>
    <cellStyle name="Normal 2 8 26 3 2 2" xfId="35774"/>
    <cellStyle name="Normal 2 8 26 3 2 3" xfId="35775"/>
    <cellStyle name="Normal 2 8 26 3 3" xfId="35776"/>
    <cellStyle name="Normal 2 8 26 3 4" xfId="35777"/>
    <cellStyle name="Normal 2 8 26 3 5" xfId="35778"/>
    <cellStyle name="Normal 2 8 26 3 6" xfId="35779"/>
    <cellStyle name="Normal 2 8 26 4" xfId="35780"/>
    <cellStyle name="Normal 2 8 26 4 2" xfId="35781"/>
    <cellStyle name="Normal 2 8 26 4 2 2" xfId="35782"/>
    <cellStyle name="Normal 2 8 26 4 3" xfId="35783"/>
    <cellStyle name="Normal 2 8 26 4 4" xfId="35784"/>
    <cellStyle name="Normal 2 8 26 4 5" xfId="35785"/>
    <cellStyle name="Normal 2 8 26 5" xfId="35786"/>
    <cellStyle name="Normal 2 8 26 5 2" xfId="35787"/>
    <cellStyle name="Normal 2 8 26 5 3" xfId="35788"/>
    <cellStyle name="Normal 2 8 26 5 4" xfId="35789"/>
    <cellStyle name="Normal 2 8 26 6" xfId="35790"/>
    <cellStyle name="Normal 2 8 26 6 2" xfId="35791"/>
    <cellStyle name="Normal 2 8 26 7" xfId="35792"/>
    <cellStyle name="Normal 2 8 26 8" xfId="35793"/>
    <cellStyle name="Normal 2 8 26 9" xfId="35794"/>
    <cellStyle name="Normal 2 8 27" xfId="35795"/>
    <cellStyle name="Normal 2 8 27 10" xfId="35796"/>
    <cellStyle name="Normal 2 8 27 2" xfId="35797"/>
    <cellStyle name="Normal 2 8 27 2 2" xfId="35798"/>
    <cellStyle name="Normal 2 8 27 2 2 2" xfId="35799"/>
    <cellStyle name="Normal 2 8 27 2 2 3" xfId="35800"/>
    <cellStyle name="Normal 2 8 27 2 3" xfId="35801"/>
    <cellStyle name="Normal 2 8 27 2 4" xfId="35802"/>
    <cellStyle name="Normal 2 8 27 2 5" xfId="35803"/>
    <cellStyle name="Normal 2 8 27 2 6" xfId="35804"/>
    <cellStyle name="Normal 2 8 27 3" xfId="35805"/>
    <cellStyle name="Normal 2 8 27 3 2" xfId="35806"/>
    <cellStyle name="Normal 2 8 27 3 2 2" xfId="35807"/>
    <cellStyle name="Normal 2 8 27 3 2 3" xfId="35808"/>
    <cellStyle name="Normal 2 8 27 3 3" xfId="35809"/>
    <cellStyle name="Normal 2 8 27 3 4" xfId="35810"/>
    <cellStyle name="Normal 2 8 27 3 5" xfId="35811"/>
    <cellStyle name="Normal 2 8 27 3 6" xfId="35812"/>
    <cellStyle name="Normal 2 8 27 4" xfId="35813"/>
    <cellStyle name="Normal 2 8 27 4 2" xfId="35814"/>
    <cellStyle name="Normal 2 8 27 4 2 2" xfId="35815"/>
    <cellStyle name="Normal 2 8 27 4 3" xfId="35816"/>
    <cellStyle name="Normal 2 8 27 4 4" xfId="35817"/>
    <cellStyle name="Normal 2 8 27 4 5" xfId="35818"/>
    <cellStyle name="Normal 2 8 27 5" xfId="35819"/>
    <cellStyle name="Normal 2 8 27 5 2" xfId="35820"/>
    <cellStyle name="Normal 2 8 27 5 3" xfId="35821"/>
    <cellStyle name="Normal 2 8 27 5 4" xfId="35822"/>
    <cellStyle name="Normal 2 8 27 6" xfId="35823"/>
    <cellStyle name="Normal 2 8 27 6 2" xfId="35824"/>
    <cellStyle name="Normal 2 8 27 7" xfId="35825"/>
    <cellStyle name="Normal 2 8 27 8" xfId="35826"/>
    <cellStyle name="Normal 2 8 27 9" xfId="35827"/>
    <cellStyle name="Normal 2 8 28" xfId="35828"/>
    <cellStyle name="Normal 2 8 28 10" xfId="35829"/>
    <cellStyle name="Normal 2 8 28 2" xfId="35830"/>
    <cellStyle name="Normal 2 8 28 2 2" xfId="35831"/>
    <cellStyle name="Normal 2 8 28 2 2 2" xfId="35832"/>
    <cellStyle name="Normal 2 8 28 2 2 3" xfId="35833"/>
    <cellStyle name="Normal 2 8 28 2 3" xfId="35834"/>
    <cellStyle name="Normal 2 8 28 2 4" xfId="35835"/>
    <cellStyle name="Normal 2 8 28 2 5" xfId="35836"/>
    <cellStyle name="Normal 2 8 28 2 6" xfId="35837"/>
    <cellStyle name="Normal 2 8 28 3" xfId="35838"/>
    <cellStyle name="Normal 2 8 28 3 2" xfId="35839"/>
    <cellStyle name="Normal 2 8 28 3 2 2" xfId="35840"/>
    <cellStyle name="Normal 2 8 28 3 2 3" xfId="35841"/>
    <cellStyle name="Normal 2 8 28 3 3" xfId="35842"/>
    <cellStyle name="Normal 2 8 28 3 4" xfId="35843"/>
    <cellStyle name="Normal 2 8 28 3 5" xfId="35844"/>
    <cellStyle name="Normal 2 8 28 3 6" xfId="35845"/>
    <cellStyle name="Normal 2 8 28 4" xfId="35846"/>
    <cellStyle name="Normal 2 8 28 4 2" xfId="35847"/>
    <cellStyle name="Normal 2 8 28 4 2 2" xfId="35848"/>
    <cellStyle name="Normal 2 8 28 4 3" xfId="35849"/>
    <cellStyle name="Normal 2 8 28 4 4" xfId="35850"/>
    <cellStyle name="Normal 2 8 28 4 5" xfId="35851"/>
    <cellStyle name="Normal 2 8 28 5" xfId="35852"/>
    <cellStyle name="Normal 2 8 28 5 2" xfId="35853"/>
    <cellStyle name="Normal 2 8 28 5 3" xfId="35854"/>
    <cellStyle name="Normal 2 8 28 5 4" xfId="35855"/>
    <cellStyle name="Normal 2 8 28 6" xfId="35856"/>
    <cellStyle name="Normal 2 8 28 6 2" xfId="35857"/>
    <cellStyle name="Normal 2 8 28 7" xfId="35858"/>
    <cellStyle name="Normal 2 8 28 8" xfId="35859"/>
    <cellStyle name="Normal 2 8 28 9" xfId="35860"/>
    <cellStyle name="Normal 2 8 29" xfId="35861"/>
    <cellStyle name="Normal 2 8 29 10" xfId="35862"/>
    <cellStyle name="Normal 2 8 29 2" xfId="35863"/>
    <cellStyle name="Normal 2 8 29 2 2" xfId="35864"/>
    <cellStyle name="Normal 2 8 29 2 2 2" xfId="35865"/>
    <cellStyle name="Normal 2 8 29 2 2 3" xfId="35866"/>
    <cellStyle name="Normal 2 8 29 2 3" xfId="35867"/>
    <cellStyle name="Normal 2 8 29 2 4" xfId="35868"/>
    <cellStyle name="Normal 2 8 29 2 5" xfId="35869"/>
    <cellStyle name="Normal 2 8 29 2 6" xfId="35870"/>
    <cellStyle name="Normal 2 8 29 3" xfId="35871"/>
    <cellStyle name="Normal 2 8 29 3 2" xfId="35872"/>
    <cellStyle name="Normal 2 8 29 3 2 2" xfId="35873"/>
    <cellStyle name="Normal 2 8 29 3 2 3" xfId="35874"/>
    <cellStyle name="Normal 2 8 29 3 3" xfId="35875"/>
    <cellStyle name="Normal 2 8 29 3 4" xfId="35876"/>
    <cellStyle name="Normal 2 8 29 3 5" xfId="35877"/>
    <cellStyle name="Normal 2 8 29 3 6" xfId="35878"/>
    <cellStyle name="Normal 2 8 29 4" xfId="35879"/>
    <cellStyle name="Normal 2 8 29 4 2" xfId="35880"/>
    <cellStyle name="Normal 2 8 29 4 2 2" xfId="35881"/>
    <cellStyle name="Normal 2 8 29 4 3" xfId="35882"/>
    <cellStyle name="Normal 2 8 29 4 4" xfId="35883"/>
    <cellStyle name="Normal 2 8 29 4 5" xfId="35884"/>
    <cellStyle name="Normal 2 8 29 5" xfId="35885"/>
    <cellStyle name="Normal 2 8 29 5 2" xfId="35886"/>
    <cellStyle name="Normal 2 8 29 5 3" xfId="35887"/>
    <cellStyle name="Normal 2 8 29 5 4" xfId="35888"/>
    <cellStyle name="Normal 2 8 29 6" xfId="35889"/>
    <cellStyle name="Normal 2 8 29 6 2" xfId="35890"/>
    <cellStyle name="Normal 2 8 29 7" xfId="35891"/>
    <cellStyle name="Normal 2 8 29 8" xfId="35892"/>
    <cellStyle name="Normal 2 8 29 9" xfId="35893"/>
    <cellStyle name="Normal 2 8 3" xfId="35894"/>
    <cellStyle name="Normal 2 8 3 10" xfId="35895"/>
    <cellStyle name="Normal 2 8 3 10 10" xfId="35896"/>
    <cellStyle name="Normal 2 8 3 10 2" xfId="35897"/>
    <cellStyle name="Normal 2 8 3 10 2 2" xfId="35898"/>
    <cellStyle name="Normal 2 8 3 10 2 2 2" xfId="35899"/>
    <cellStyle name="Normal 2 8 3 10 2 2 3" xfId="35900"/>
    <cellStyle name="Normal 2 8 3 10 2 3" xfId="35901"/>
    <cellStyle name="Normal 2 8 3 10 2 4" xfId="35902"/>
    <cellStyle name="Normal 2 8 3 10 2 5" xfId="35903"/>
    <cellStyle name="Normal 2 8 3 10 2 6" xfId="35904"/>
    <cellStyle name="Normal 2 8 3 10 3" xfId="35905"/>
    <cellStyle name="Normal 2 8 3 10 3 2" xfId="35906"/>
    <cellStyle name="Normal 2 8 3 10 3 2 2" xfId="35907"/>
    <cellStyle name="Normal 2 8 3 10 3 2 3" xfId="35908"/>
    <cellStyle name="Normal 2 8 3 10 3 3" xfId="35909"/>
    <cellStyle name="Normal 2 8 3 10 3 4" xfId="35910"/>
    <cellStyle name="Normal 2 8 3 10 3 5" xfId="35911"/>
    <cellStyle name="Normal 2 8 3 10 3 6" xfId="35912"/>
    <cellStyle name="Normal 2 8 3 10 4" xfId="35913"/>
    <cellStyle name="Normal 2 8 3 10 4 2" xfId="35914"/>
    <cellStyle name="Normal 2 8 3 10 4 2 2" xfId="35915"/>
    <cellStyle name="Normal 2 8 3 10 4 3" xfId="35916"/>
    <cellStyle name="Normal 2 8 3 10 4 4" xfId="35917"/>
    <cellStyle name="Normal 2 8 3 10 4 5" xfId="35918"/>
    <cellStyle name="Normal 2 8 3 10 5" xfId="35919"/>
    <cellStyle name="Normal 2 8 3 10 5 2" xfId="35920"/>
    <cellStyle name="Normal 2 8 3 10 5 3" xfId="35921"/>
    <cellStyle name="Normal 2 8 3 10 5 4" xfId="35922"/>
    <cellStyle name="Normal 2 8 3 10 6" xfId="35923"/>
    <cellStyle name="Normal 2 8 3 10 6 2" xfId="35924"/>
    <cellStyle name="Normal 2 8 3 10 7" xfId="35925"/>
    <cellStyle name="Normal 2 8 3 10 8" xfId="35926"/>
    <cellStyle name="Normal 2 8 3 10 9" xfId="35927"/>
    <cellStyle name="Normal 2 8 3 11" xfId="35928"/>
    <cellStyle name="Normal 2 8 3 11 10" xfId="35929"/>
    <cellStyle name="Normal 2 8 3 11 2" xfId="35930"/>
    <cellStyle name="Normal 2 8 3 11 2 2" xfId="35931"/>
    <cellStyle name="Normal 2 8 3 11 2 2 2" xfId="35932"/>
    <cellStyle name="Normal 2 8 3 11 2 2 3" xfId="35933"/>
    <cellStyle name="Normal 2 8 3 11 2 3" xfId="35934"/>
    <cellStyle name="Normal 2 8 3 11 2 4" xfId="35935"/>
    <cellStyle name="Normal 2 8 3 11 2 5" xfId="35936"/>
    <cellStyle name="Normal 2 8 3 11 2 6" xfId="35937"/>
    <cellStyle name="Normal 2 8 3 11 3" xfId="35938"/>
    <cellStyle name="Normal 2 8 3 11 3 2" xfId="35939"/>
    <cellStyle name="Normal 2 8 3 11 3 2 2" xfId="35940"/>
    <cellStyle name="Normal 2 8 3 11 3 2 3" xfId="35941"/>
    <cellStyle name="Normal 2 8 3 11 3 3" xfId="35942"/>
    <cellStyle name="Normal 2 8 3 11 3 4" xfId="35943"/>
    <cellStyle name="Normal 2 8 3 11 3 5" xfId="35944"/>
    <cellStyle name="Normal 2 8 3 11 3 6" xfId="35945"/>
    <cellStyle name="Normal 2 8 3 11 4" xfId="35946"/>
    <cellStyle name="Normal 2 8 3 11 4 2" xfId="35947"/>
    <cellStyle name="Normal 2 8 3 11 4 2 2" xfId="35948"/>
    <cellStyle name="Normal 2 8 3 11 4 3" xfId="35949"/>
    <cellStyle name="Normal 2 8 3 11 4 4" xfId="35950"/>
    <cellStyle name="Normal 2 8 3 11 4 5" xfId="35951"/>
    <cellStyle name="Normal 2 8 3 11 5" xfId="35952"/>
    <cellStyle name="Normal 2 8 3 11 5 2" xfId="35953"/>
    <cellStyle name="Normal 2 8 3 11 5 3" xfId="35954"/>
    <cellStyle name="Normal 2 8 3 11 5 4" xfId="35955"/>
    <cellStyle name="Normal 2 8 3 11 6" xfId="35956"/>
    <cellStyle name="Normal 2 8 3 11 6 2" xfId="35957"/>
    <cellStyle name="Normal 2 8 3 11 7" xfId="35958"/>
    <cellStyle name="Normal 2 8 3 11 8" xfId="35959"/>
    <cellStyle name="Normal 2 8 3 11 9" xfId="35960"/>
    <cellStyle name="Normal 2 8 3 12" xfId="35961"/>
    <cellStyle name="Normal 2 8 3 12 10" xfId="35962"/>
    <cellStyle name="Normal 2 8 3 12 2" xfId="35963"/>
    <cellStyle name="Normal 2 8 3 12 2 2" xfId="35964"/>
    <cellStyle name="Normal 2 8 3 12 2 2 2" xfId="35965"/>
    <cellStyle name="Normal 2 8 3 12 2 2 3" xfId="35966"/>
    <cellStyle name="Normal 2 8 3 12 2 3" xfId="35967"/>
    <cellStyle name="Normal 2 8 3 12 2 4" xfId="35968"/>
    <cellStyle name="Normal 2 8 3 12 2 5" xfId="35969"/>
    <cellStyle name="Normal 2 8 3 12 2 6" xfId="35970"/>
    <cellStyle name="Normal 2 8 3 12 3" xfId="35971"/>
    <cellStyle name="Normal 2 8 3 12 3 2" xfId="35972"/>
    <cellStyle name="Normal 2 8 3 12 3 2 2" xfId="35973"/>
    <cellStyle name="Normal 2 8 3 12 3 2 3" xfId="35974"/>
    <cellStyle name="Normal 2 8 3 12 3 3" xfId="35975"/>
    <cellStyle name="Normal 2 8 3 12 3 4" xfId="35976"/>
    <cellStyle name="Normal 2 8 3 12 3 5" xfId="35977"/>
    <cellStyle name="Normal 2 8 3 12 3 6" xfId="35978"/>
    <cellStyle name="Normal 2 8 3 12 4" xfId="35979"/>
    <cellStyle name="Normal 2 8 3 12 4 2" xfId="35980"/>
    <cellStyle name="Normal 2 8 3 12 4 2 2" xfId="35981"/>
    <cellStyle name="Normal 2 8 3 12 4 3" xfId="35982"/>
    <cellStyle name="Normal 2 8 3 12 4 4" xfId="35983"/>
    <cellStyle name="Normal 2 8 3 12 4 5" xfId="35984"/>
    <cellStyle name="Normal 2 8 3 12 5" xfId="35985"/>
    <cellStyle name="Normal 2 8 3 12 5 2" xfId="35986"/>
    <cellStyle name="Normal 2 8 3 12 5 3" xfId="35987"/>
    <cellStyle name="Normal 2 8 3 12 5 4" xfId="35988"/>
    <cellStyle name="Normal 2 8 3 12 6" xfId="35989"/>
    <cellStyle name="Normal 2 8 3 12 6 2" xfId="35990"/>
    <cellStyle name="Normal 2 8 3 12 7" xfId="35991"/>
    <cellStyle name="Normal 2 8 3 12 8" xfId="35992"/>
    <cellStyle name="Normal 2 8 3 12 9" xfId="35993"/>
    <cellStyle name="Normal 2 8 3 13" xfId="35994"/>
    <cellStyle name="Normal 2 8 3 13 2" xfId="35995"/>
    <cellStyle name="Normal 2 8 3 13 2 2" xfId="35996"/>
    <cellStyle name="Normal 2 8 3 13 2 2 2" xfId="35997"/>
    <cellStyle name="Normal 2 8 3 13 2 2 3" xfId="35998"/>
    <cellStyle name="Normal 2 8 3 13 2 3" xfId="35999"/>
    <cellStyle name="Normal 2 8 3 13 2 4" xfId="36000"/>
    <cellStyle name="Normal 2 8 3 13 2 5" xfId="36001"/>
    <cellStyle name="Normal 2 8 3 13 2 6" xfId="36002"/>
    <cellStyle name="Normal 2 8 3 13 3" xfId="36003"/>
    <cellStyle name="Normal 2 8 3 13 3 2" xfId="36004"/>
    <cellStyle name="Normal 2 8 3 13 3 2 2" xfId="36005"/>
    <cellStyle name="Normal 2 8 3 13 3 3" xfId="36006"/>
    <cellStyle name="Normal 2 8 3 13 3 4" xfId="36007"/>
    <cellStyle name="Normal 2 8 3 13 3 5" xfId="36008"/>
    <cellStyle name="Normal 2 8 3 13 4" xfId="36009"/>
    <cellStyle name="Normal 2 8 3 13 4 2" xfId="36010"/>
    <cellStyle name="Normal 2 8 3 13 4 3" xfId="36011"/>
    <cellStyle name="Normal 2 8 3 13 4 4" xfId="36012"/>
    <cellStyle name="Normal 2 8 3 13 5" xfId="36013"/>
    <cellStyle name="Normal 2 8 3 13 5 2" xfId="36014"/>
    <cellStyle name="Normal 2 8 3 13 6" xfId="36015"/>
    <cellStyle name="Normal 2 8 3 13 7" xfId="36016"/>
    <cellStyle name="Normal 2 8 3 13 8" xfId="36017"/>
    <cellStyle name="Normal 2 8 3 13 9" xfId="36018"/>
    <cellStyle name="Normal 2 8 3 14" xfId="36019"/>
    <cellStyle name="Normal 2 8 3 14 2" xfId="36020"/>
    <cellStyle name="Normal 2 8 3 14 2 2" xfId="36021"/>
    <cellStyle name="Normal 2 8 3 14 2 2 2" xfId="36022"/>
    <cellStyle name="Normal 2 8 3 14 2 2 3" xfId="36023"/>
    <cellStyle name="Normal 2 8 3 14 2 3" xfId="36024"/>
    <cellStyle name="Normal 2 8 3 14 2 4" xfId="36025"/>
    <cellStyle name="Normal 2 8 3 14 2 5" xfId="36026"/>
    <cellStyle name="Normal 2 8 3 14 2 6" xfId="36027"/>
    <cellStyle name="Normal 2 8 3 14 3" xfId="36028"/>
    <cellStyle name="Normal 2 8 3 14 3 2" xfId="36029"/>
    <cellStyle name="Normal 2 8 3 14 3 2 2" xfId="36030"/>
    <cellStyle name="Normal 2 8 3 14 3 3" xfId="36031"/>
    <cellStyle name="Normal 2 8 3 14 3 4" xfId="36032"/>
    <cellStyle name="Normal 2 8 3 14 3 5" xfId="36033"/>
    <cellStyle name="Normal 2 8 3 14 4" xfId="36034"/>
    <cellStyle name="Normal 2 8 3 14 4 2" xfId="36035"/>
    <cellStyle name="Normal 2 8 3 14 4 3" xfId="36036"/>
    <cellStyle name="Normal 2 8 3 14 4 4" xfId="36037"/>
    <cellStyle name="Normal 2 8 3 14 5" xfId="36038"/>
    <cellStyle name="Normal 2 8 3 14 5 2" xfId="36039"/>
    <cellStyle name="Normal 2 8 3 14 6" xfId="36040"/>
    <cellStyle name="Normal 2 8 3 14 7" xfId="36041"/>
    <cellStyle name="Normal 2 8 3 14 8" xfId="36042"/>
    <cellStyle name="Normal 2 8 3 14 9" xfId="36043"/>
    <cellStyle name="Normal 2 8 3 15" xfId="36044"/>
    <cellStyle name="Normal 2 8 3 15 2" xfId="36045"/>
    <cellStyle name="Normal 2 8 3 15 2 2" xfId="36046"/>
    <cellStyle name="Normal 2 8 3 15 2 3" xfId="36047"/>
    <cellStyle name="Normal 2 8 3 15 3" xfId="36048"/>
    <cellStyle name="Normal 2 8 3 15 4" xfId="36049"/>
    <cellStyle name="Normal 2 8 3 15 5" xfId="36050"/>
    <cellStyle name="Normal 2 8 3 15 6" xfId="36051"/>
    <cellStyle name="Normal 2 8 3 16" xfId="36052"/>
    <cellStyle name="Normal 2 8 3 16 2" xfId="36053"/>
    <cellStyle name="Normal 2 8 3 16 2 2" xfId="36054"/>
    <cellStyle name="Normal 2 8 3 16 3" xfId="36055"/>
    <cellStyle name="Normal 2 8 3 16 4" xfId="36056"/>
    <cellStyle name="Normal 2 8 3 16 5" xfId="36057"/>
    <cellStyle name="Normal 2 8 3 17" xfId="36058"/>
    <cellStyle name="Normal 2 8 3 17 2" xfId="36059"/>
    <cellStyle name="Normal 2 8 3 17 2 2" xfId="36060"/>
    <cellStyle name="Normal 2 8 3 17 3" xfId="36061"/>
    <cellStyle name="Normal 2 8 3 17 4" xfId="36062"/>
    <cellStyle name="Normal 2 8 3 17 5" xfId="36063"/>
    <cellStyle name="Normal 2 8 3 18" xfId="36064"/>
    <cellStyle name="Normal 2 8 3 18 2" xfId="36065"/>
    <cellStyle name="Normal 2 8 3 19" xfId="36066"/>
    <cellStyle name="Normal 2 8 3 2" xfId="36067"/>
    <cellStyle name="Normal 2 8 3 2 10" xfId="36068"/>
    <cellStyle name="Normal 2 8 3 2 11" xfId="36069"/>
    <cellStyle name="Normal 2 8 3 2 2" xfId="36070"/>
    <cellStyle name="Normal 2 8 3 2 2 2" xfId="36071"/>
    <cellStyle name="Normal 2 8 3 2 2 2 2" xfId="36072"/>
    <cellStyle name="Normal 2 8 3 2 2 2 2 2" xfId="36073"/>
    <cellStyle name="Normal 2 8 3 2 2 2 2 3" xfId="36074"/>
    <cellStyle name="Normal 2 8 3 2 2 2 3" xfId="36075"/>
    <cellStyle name="Normal 2 8 3 2 2 2 4" xfId="36076"/>
    <cellStyle name="Normal 2 8 3 2 2 2 5" xfId="36077"/>
    <cellStyle name="Normal 2 8 3 2 2 2 6" xfId="36078"/>
    <cellStyle name="Normal 2 8 3 2 2 3" xfId="36079"/>
    <cellStyle name="Normal 2 8 3 2 2 3 2" xfId="36080"/>
    <cellStyle name="Normal 2 8 3 2 2 3 2 2" xfId="36081"/>
    <cellStyle name="Normal 2 8 3 2 2 3 3" xfId="36082"/>
    <cellStyle name="Normal 2 8 3 2 2 3 4" xfId="36083"/>
    <cellStyle name="Normal 2 8 3 2 2 3 5" xfId="36084"/>
    <cellStyle name="Normal 2 8 3 2 2 4" xfId="36085"/>
    <cellStyle name="Normal 2 8 3 2 2 4 2" xfId="36086"/>
    <cellStyle name="Normal 2 8 3 2 2 4 3" xfId="36087"/>
    <cellStyle name="Normal 2 8 3 2 2 4 4" xfId="36088"/>
    <cellStyle name="Normal 2 8 3 2 2 5" xfId="36089"/>
    <cellStyle name="Normal 2 8 3 2 2 5 2" xfId="36090"/>
    <cellStyle name="Normal 2 8 3 2 2 6" xfId="36091"/>
    <cellStyle name="Normal 2 8 3 2 2 7" xfId="36092"/>
    <cellStyle name="Normal 2 8 3 2 2 8" xfId="36093"/>
    <cellStyle name="Normal 2 8 3 2 2 9" xfId="36094"/>
    <cellStyle name="Normal 2 8 3 2 3" xfId="36095"/>
    <cellStyle name="Normal 2 8 3 2 3 2" xfId="36096"/>
    <cellStyle name="Normal 2 8 3 2 3 2 2" xfId="36097"/>
    <cellStyle name="Normal 2 8 3 2 3 2 2 2" xfId="36098"/>
    <cellStyle name="Normal 2 8 3 2 3 2 2 3" xfId="36099"/>
    <cellStyle name="Normal 2 8 3 2 3 2 3" xfId="36100"/>
    <cellStyle name="Normal 2 8 3 2 3 2 4" xfId="36101"/>
    <cellStyle name="Normal 2 8 3 2 3 2 5" xfId="36102"/>
    <cellStyle name="Normal 2 8 3 2 3 2 6" xfId="36103"/>
    <cellStyle name="Normal 2 8 3 2 3 3" xfId="36104"/>
    <cellStyle name="Normal 2 8 3 2 3 3 2" xfId="36105"/>
    <cellStyle name="Normal 2 8 3 2 3 3 2 2" xfId="36106"/>
    <cellStyle name="Normal 2 8 3 2 3 3 3" xfId="36107"/>
    <cellStyle name="Normal 2 8 3 2 3 3 4" xfId="36108"/>
    <cellStyle name="Normal 2 8 3 2 3 3 5" xfId="36109"/>
    <cellStyle name="Normal 2 8 3 2 3 4" xfId="36110"/>
    <cellStyle name="Normal 2 8 3 2 3 4 2" xfId="36111"/>
    <cellStyle name="Normal 2 8 3 2 3 4 3" xfId="36112"/>
    <cellStyle name="Normal 2 8 3 2 3 4 4" xfId="36113"/>
    <cellStyle name="Normal 2 8 3 2 3 5" xfId="36114"/>
    <cellStyle name="Normal 2 8 3 2 3 5 2" xfId="36115"/>
    <cellStyle name="Normal 2 8 3 2 3 6" xfId="36116"/>
    <cellStyle name="Normal 2 8 3 2 3 7" xfId="36117"/>
    <cellStyle name="Normal 2 8 3 2 3 8" xfId="36118"/>
    <cellStyle name="Normal 2 8 3 2 3 9" xfId="36119"/>
    <cellStyle name="Normal 2 8 3 2 4" xfId="36120"/>
    <cellStyle name="Normal 2 8 3 2 4 2" xfId="36121"/>
    <cellStyle name="Normal 2 8 3 2 4 2 2" xfId="36122"/>
    <cellStyle name="Normal 2 8 3 2 4 2 3" xfId="36123"/>
    <cellStyle name="Normal 2 8 3 2 4 3" xfId="36124"/>
    <cellStyle name="Normal 2 8 3 2 4 4" xfId="36125"/>
    <cellStyle name="Normal 2 8 3 2 4 5" xfId="36126"/>
    <cellStyle name="Normal 2 8 3 2 4 6" xfId="36127"/>
    <cellStyle name="Normal 2 8 3 2 5" xfId="36128"/>
    <cellStyle name="Normal 2 8 3 2 5 2" xfId="36129"/>
    <cellStyle name="Normal 2 8 3 2 5 2 2" xfId="36130"/>
    <cellStyle name="Normal 2 8 3 2 5 3" xfId="36131"/>
    <cellStyle name="Normal 2 8 3 2 5 4" xfId="36132"/>
    <cellStyle name="Normal 2 8 3 2 5 5" xfId="36133"/>
    <cellStyle name="Normal 2 8 3 2 6" xfId="36134"/>
    <cellStyle name="Normal 2 8 3 2 6 2" xfId="36135"/>
    <cellStyle name="Normal 2 8 3 2 6 3" xfId="36136"/>
    <cellStyle name="Normal 2 8 3 2 6 4" xfId="36137"/>
    <cellStyle name="Normal 2 8 3 2 7" xfId="36138"/>
    <cellStyle name="Normal 2 8 3 2 7 2" xfId="36139"/>
    <cellStyle name="Normal 2 8 3 2 8" xfId="36140"/>
    <cellStyle name="Normal 2 8 3 2 9" xfId="36141"/>
    <cellStyle name="Normal 2 8 3 20" xfId="36142"/>
    <cellStyle name="Normal 2 8 3 21" xfId="36143"/>
    <cellStyle name="Normal 2 8 3 22" xfId="36144"/>
    <cellStyle name="Normal 2 8 3 3" xfId="36145"/>
    <cellStyle name="Normal 2 8 3 3 10" xfId="36146"/>
    <cellStyle name="Normal 2 8 3 3 11" xfId="36147"/>
    <cellStyle name="Normal 2 8 3 3 2" xfId="36148"/>
    <cellStyle name="Normal 2 8 3 3 2 2" xfId="36149"/>
    <cellStyle name="Normal 2 8 3 3 2 2 2" xfId="36150"/>
    <cellStyle name="Normal 2 8 3 3 2 2 2 2" xfId="36151"/>
    <cellStyle name="Normal 2 8 3 3 2 2 2 3" xfId="36152"/>
    <cellStyle name="Normal 2 8 3 3 2 2 3" xfId="36153"/>
    <cellStyle name="Normal 2 8 3 3 2 2 4" xfId="36154"/>
    <cellStyle name="Normal 2 8 3 3 2 2 5" xfId="36155"/>
    <cellStyle name="Normal 2 8 3 3 2 2 6" xfId="36156"/>
    <cellStyle name="Normal 2 8 3 3 2 3" xfId="36157"/>
    <cellStyle name="Normal 2 8 3 3 2 3 2" xfId="36158"/>
    <cellStyle name="Normal 2 8 3 3 2 3 2 2" xfId="36159"/>
    <cellStyle name="Normal 2 8 3 3 2 3 3" xfId="36160"/>
    <cellStyle name="Normal 2 8 3 3 2 3 4" xfId="36161"/>
    <cellStyle name="Normal 2 8 3 3 2 3 5" xfId="36162"/>
    <cellStyle name="Normal 2 8 3 3 2 4" xfId="36163"/>
    <cellStyle name="Normal 2 8 3 3 2 4 2" xfId="36164"/>
    <cellStyle name="Normal 2 8 3 3 2 4 3" xfId="36165"/>
    <cellStyle name="Normal 2 8 3 3 2 4 4" xfId="36166"/>
    <cellStyle name="Normal 2 8 3 3 2 5" xfId="36167"/>
    <cellStyle name="Normal 2 8 3 3 2 5 2" xfId="36168"/>
    <cellStyle name="Normal 2 8 3 3 2 6" xfId="36169"/>
    <cellStyle name="Normal 2 8 3 3 2 7" xfId="36170"/>
    <cellStyle name="Normal 2 8 3 3 2 8" xfId="36171"/>
    <cellStyle name="Normal 2 8 3 3 2 9" xfId="36172"/>
    <cellStyle name="Normal 2 8 3 3 3" xfId="36173"/>
    <cellStyle name="Normal 2 8 3 3 3 2" xfId="36174"/>
    <cellStyle name="Normal 2 8 3 3 3 2 2" xfId="36175"/>
    <cellStyle name="Normal 2 8 3 3 3 2 2 2" xfId="36176"/>
    <cellStyle name="Normal 2 8 3 3 3 2 2 3" xfId="36177"/>
    <cellStyle name="Normal 2 8 3 3 3 2 3" xfId="36178"/>
    <cellStyle name="Normal 2 8 3 3 3 2 4" xfId="36179"/>
    <cellStyle name="Normal 2 8 3 3 3 2 5" xfId="36180"/>
    <cellStyle name="Normal 2 8 3 3 3 2 6" xfId="36181"/>
    <cellStyle name="Normal 2 8 3 3 3 3" xfId="36182"/>
    <cellStyle name="Normal 2 8 3 3 3 3 2" xfId="36183"/>
    <cellStyle name="Normal 2 8 3 3 3 3 2 2" xfId="36184"/>
    <cellStyle name="Normal 2 8 3 3 3 3 3" xfId="36185"/>
    <cellStyle name="Normal 2 8 3 3 3 3 4" xfId="36186"/>
    <cellStyle name="Normal 2 8 3 3 3 3 5" xfId="36187"/>
    <cellStyle name="Normal 2 8 3 3 3 4" xfId="36188"/>
    <cellStyle name="Normal 2 8 3 3 3 4 2" xfId="36189"/>
    <cellStyle name="Normal 2 8 3 3 3 4 3" xfId="36190"/>
    <cellStyle name="Normal 2 8 3 3 3 4 4" xfId="36191"/>
    <cellStyle name="Normal 2 8 3 3 3 5" xfId="36192"/>
    <cellStyle name="Normal 2 8 3 3 3 5 2" xfId="36193"/>
    <cellStyle name="Normal 2 8 3 3 3 6" xfId="36194"/>
    <cellStyle name="Normal 2 8 3 3 3 7" xfId="36195"/>
    <cellStyle name="Normal 2 8 3 3 3 8" xfId="36196"/>
    <cellStyle name="Normal 2 8 3 3 3 9" xfId="36197"/>
    <cellStyle name="Normal 2 8 3 3 4" xfId="36198"/>
    <cellStyle name="Normal 2 8 3 3 4 2" xfId="36199"/>
    <cellStyle name="Normal 2 8 3 3 4 2 2" xfId="36200"/>
    <cellStyle name="Normal 2 8 3 3 4 2 3" xfId="36201"/>
    <cellStyle name="Normal 2 8 3 3 4 3" xfId="36202"/>
    <cellStyle name="Normal 2 8 3 3 4 4" xfId="36203"/>
    <cellStyle name="Normal 2 8 3 3 4 5" xfId="36204"/>
    <cellStyle name="Normal 2 8 3 3 4 6" xfId="36205"/>
    <cellStyle name="Normal 2 8 3 3 5" xfId="36206"/>
    <cellStyle name="Normal 2 8 3 3 5 2" xfId="36207"/>
    <cellStyle name="Normal 2 8 3 3 5 2 2" xfId="36208"/>
    <cellStyle name="Normal 2 8 3 3 5 3" xfId="36209"/>
    <cellStyle name="Normal 2 8 3 3 5 4" xfId="36210"/>
    <cellStyle name="Normal 2 8 3 3 5 5" xfId="36211"/>
    <cellStyle name="Normal 2 8 3 3 6" xfId="36212"/>
    <cellStyle name="Normal 2 8 3 3 6 2" xfId="36213"/>
    <cellStyle name="Normal 2 8 3 3 6 3" xfId="36214"/>
    <cellStyle name="Normal 2 8 3 3 6 4" xfId="36215"/>
    <cellStyle name="Normal 2 8 3 3 7" xfId="36216"/>
    <cellStyle name="Normal 2 8 3 3 7 2" xfId="36217"/>
    <cellStyle name="Normal 2 8 3 3 8" xfId="36218"/>
    <cellStyle name="Normal 2 8 3 3 9" xfId="36219"/>
    <cellStyle name="Normal 2 8 3 4" xfId="36220"/>
    <cellStyle name="Normal 2 8 3 4 10" xfId="36221"/>
    <cellStyle name="Normal 2 8 3 4 11" xfId="36222"/>
    <cellStyle name="Normal 2 8 3 4 2" xfId="36223"/>
    <cellStyle name="Normal 2 8 3 4 2 2" xfId="36224"/>
    <cellStyle name="Normal 2 8 3 4 2 2 2" xfId="36225"/>
    <cellStyle name="Normal 2 8 3 4 2 2 2 2" xfId="36226"/>
    <cellStyle name="Normal 2 8 3 4 2 2 2 3" xfId="36227"/>
    <cellStyle name="Normal 2 8 3 4 2 2 3" xfId="36228"/>
    <cellStyle name="Normal 2 8 3 4 2 2 4" xfId="36229"/>
    <cellStyle name="Normal 2 8 3 4 2 2 5" xfId="36230"/>
    <cellStyle name="Normal 2 8 3 4 2 2 6" xfId="36231"/>
    <cellStyle name="Normal 2 8 3 4 2 3" xfId="36232"/>
    <cellStyle name="Normal 2 8 3 4 2 3 2" xfId="36233"/>
    <cellStyle name="Normal 2 8 3 4 2 3 2 2" xfId="36234"/>
    <cellStyle name="Normal 2 8 3 4 2 3 3" xfId="36235"/>
    <cellStyle name="Normal 2 8 3 4 2 3 4" xfId="36236"/>
    <cellStyle name="Normal 2 8 3 4 2 3 5" xfId="36237"/>
    <cellStyle name="Normal 2 8 3 4 2 4" xfId="36238"/>
    <cellStyle name="Normal 2 8 3 4 2 4 2" xfId="36239"/>
    <cellStyle name="Normal 2 8 3 4 2 4 3" xfId="36240"/>
    <cellStyle name="Normal 2 8 3 4 2 4 4" xfId="36241"/>
    <cellStyle name="Normal 2 8 3 4 2 5" xfId="36242"/>
    <cellStyle name="Normal 2 8 3 4 2 5 2" xfId="36243"/>
    <cellStyle name="Normal 2 8 3 4 2 6" xfId="36244"/>
    <cellStyle name="Normal 2 8 3 4 2 7" xfId="36245"/>
    <cellStyle name="Normal 2 8 3 4 2 8" xfId="36246"/>
    <cellStyle name="Normal 2 8 3 4 2 9" xfId="36247"/>
    <cellStyle name="Normal 2 8 3 4 3" xfId="36248"/>
    <cellStyle name="Normal 2 8 3 4 3 2" xfId="36249"/>
    <cellStyle name="Normal 2 8 3 4 3 2 2" xfId="36250"/>
    <cellStyle name="Normal 2 8 3 4 3 2 2 2" xfId="36251"/>
    <cellStyle name="Normal 2 8 3 4 3 2 2 3" xfId="36252"/>
    <cellStyle name="Normal 2 8 3 4 3 2 3" xfId="36253"/>
    <cellStyle name="Normal 2 8 3 4 3 2 4" xfId="36254"/>
    <cellStyle name="Normal 2 8 3 4 3 2 5" xfId="36255"/>
    <cellStyle name="Normal 2 8 3 4 3 2 6" xfId="36256"/>
    <cellStyle name="Normal 2 8 3 4 3 3" xfId="36257"/>
    <cellStyle name="Normal 2 8 3 4 3 3 2" xfId="36258"/>
    <cellStyle name="Normal 2 8 3 4 3 3 2 2" xfId="36259"/>
    <cellStyle name="Normal 2 8 3 4 3 3 3" xfId="36260"/>
    <cellStyle name="Normal 2 8 3 4 3 3 4" xfId="36261"/>
    <cellStyle name="Normal 2 8 3 4 3 3 5" xfId="36262"/>
    <cellStyle name="Normal 2 8 3 4 3 4" xfId="36263"/>
    <cellStyle name="Normal 2 8 3 4 3 4 2" xfId="36264"/>
    <cellStyle name="Normal 2 8 3 4 3 4 3" xfId="36265"/>
    <cellStyle name="Normal 2 8 3 4 3 4 4" xfId="36266"/>
    <cellStyle name="Normal 2 8 3 4 3 5" xfId="36267"/>
    <cellStyle name="Normal 2 8 3 4 3 5 2" xfId="36268"/>
    <cellStyle name="Normal 2 8 3 4 3 6" xfId="36269"/>
    <cellStyle name="Normal 2 8 3 4 3 7" xfId="36270"/>
    <cellStyle name="Normal 2 8 3 4 3 8" xfId="36271"/>
    <cellStyle name="Normal 2 8 3 4 3 9" xfId="36272"/>
    <cellStyle name="Normal 2 8 3 4 4" xfId="36273"/>
    <cellStyle name="Normal 2 8 3 4 4 2" xfId="36274"/>
    <cellStyle name="Normal 2 8 3 4 4 2 2" xfId="36275"/>
    <cellStyle name="Normal 2 8 3 4 4 2 3" xfId="36276"/>
    <cellStyle name="Normal 2 8 3 4 4 3" xfId="36277"/>
    <cellStyle name="Normal 2 8 3 4 4 4" xfId="36278"/>
    <cellStyle name="Normal 2 8 3 4 4 5" xfId="36279"/>
    <cellStyle name="Normal 2 8 3 4 4 6" xfId="36280"/>
    <cellStyle name="Normal 2 8 3 4 5" xfId="36281"/>
    <cellStyle name="Normal 2 8 3 4 5 2" xfId="36282"/>
    <cellStyle name="Normal 2 8 3 4 5 2 2" xfId="36283"/>
    <cellStyle name="Normal 2 8 3 4 5 3" xfId="36284"/>
    <cellStyle name="Normal 2 8 3 4 5 4" xfId="36285"/>
    <cellStyle name="Normal 2 8 3 4 5 5" xfId="36286"/>
    <cellStyle name="Normal 2 8 3 4 6" xfId="36287"/>
    <cellStyle name="Normal 2 8 3 4 6 2" xfId="36288"/>
    <cellStyle name="Normal 2 8 3 4 6 3" xfId="36289"/>
    <cellStyle name="Normal 2 8 3 4 6 4" xfId="36290"/>
    <cellStyle name="Normal 2 8 3 4 7" xfId="36291"/>
    <cellStyle name="Normal 2 8 3 4 7 2" xfId="36292"/>
    <cellStyle name="Normal 2 8 3 4 8" xfId="36293"/>
    <cellStyle name="Normal 2 8 3 4 9" xfId="36294"/>
    <cellStyle name="Normal 2 8 3 5" xfId="36295"/>
    <cellStyle name="Normal 2 8 3 5 10" xfId="36296"/>
    <cellStyle name="Normal 2 8 3 5 11" xfId="36297"/>
    <cellStyle name="Normal 2 8 3 5 2" xfId="36298"/>
    <cellStyle name="Normal 2 8 3 5 2 2" xfId="36299"/>
    <cellStyle name="Normal 2 8 3 5 2 2 2" xfId="36300"/>
    <cellStyle name="Normal 2 8 3 5 2 2 2 2" xfId="36301"/>
    <cellStyle name="Normal 2 8 3 5 2 2 2 3" xfId="36302"/>
    <cellStyle name="Normal 2 8 3 5 2 2 3" xfId="36303"/>
    <cellStyle name="Normal 2 8 3 5 2 2 4" xfId="36304"/>
    <cellStyle name="Normal 2 8 3 5 2 2 5" xfId="36305"/>
    <cellStyle name="Normal 2 8 3 5 2 2 6" xfId="36306"/>
    <cellStyle name="Normal 2 8 3 5 2 3" xfId="36307"/>
    <cellStyle name="Normal 2 8 3 5 2 3 2" xfId="36308"/>
    <cellStyle name="Normal 2 8 3 5 2 3 2 2" xfId="36309"/>
    <cellStyle name="Normal 2 8 3 5 2 3 3" xfId="36310"/>
    <cellStyle name="Normal 2 8 3 5 2 3 4" xfId="36311"/>
    <cellStyle name="Normal 2 8 3 5 2 3 5" xfId="36312"/>
    <cellStyle name="Normal 2 8 3 5 2 4" xfId="36313"/>
    <cellStyle name="Normal 2 8 3 5 2 4 2" xfId="36314"/>
    <cellStyle name="Normal 2 8 3 5 2 4 3" xfId="36315"/>
    <cellStyle name="Normal 2 8 3 5 2 4 4" xfId="36316"/>
    <cellStyle name="Normal 2 8 3 5 2 5" xfId="36317"/>
    <cellStyle name="Normal 2 8 3 5 2 5 2" xfId="36318"/>
    <cellStyle name="Normal 2 8 3 5 2 6" xfId="36319"/>
    <cellStyle name="Normal 2 8 3 5 2 7" xfId="36320"/>
    <cellStyle name="Normal 2 8 3 5 2 8" xfId="36321"/>
    <cellStyle name="Normal 2 8 3 5 2 9" xfId="36322"/>
    <cellStyle name="Normal 2 8 3 5 3" xfId="36323"/>
    <cellStyle name="Normal 2 8 3 5 3 2" xfId="36324"/>
    <cellStyle name="Normal 2 8 3 5 3 2 2" xfId="36325"/>
    <cellStyle name="Normal 2 8 3 5 3 2 2 2" xfId="36326"/>
    <cellStyle name="Normal 2 8 3 5 3 2 2 3" xfId="36327"/>
    <cellStyle name="Normal 2 8 3 5 3 2 3" xfId="36328"/>
    <cellStyle name="Normal 2 8 3 5 3 2 4" xfId="36329"/>
    <cellStyle name="Normal 2 8 3 5 3 2 5" xfId="36330"/>
    <cellStyle name="Normal 2 8 3 5 3 2 6" xfId="36331"/>
    <cellStyle name="Normal 2 8 3 5 3 3" xfId="36332"/>
    <cellStyle name="Normal 2 8 3 5 3 3 2" xfId="36333"/>
    <cellStyle name="Normal 2 8 3 5 3 3 2 2" xfId="36334"/>
    <cellStyle name="Normal 2 8 3 5 3 3 3" xfId="36335"/>
    <cellStyle name="Normal 2 8 3 5 3 3 4" xfId="36336"/>
    <cellStyle name="Normal 2 8 3 5 3 3 5" xfId="36337"/>
    <cellStyle name="Normal 2 8 3 5 3 4" xfId="36338"/>
    <cellStyle name="Normal 2 8 3 5 3 4 2" xfId="36339"/>
    <cellStyle name="Normal 2 8 3 5 3 4 3" xfId="36340"/>
    <cellStyle name="Normal 2 8 3 5 3 4 4" xfId="36341"/>
    <cellStyle name="Normal 2 8 3 5 3 5" xfId="36342"/>
    <cellStyle name="Normal 2 8 3 5 3 5 2" xfId="36343"/>
    <cellStyle name="Normal 2 8 3 5 3 6" xfId="36344"/>
    <cellStyle name="Normal 2 8 3 5 3 7" xfId="36345"/>
    <cellStyle name="Normal 2 8 3 5 3 8" xfId="36346"/>
    <cellStyle name="Normal 2 8 3 5 3 9" xfId="36347"/>
    <cellStyle name="Normal 2 8 3 5 4" xfId="36348"/>
    <cellStyle name="Normal 2 8 3 5 4 2" xfId="36349"/>
    <cellStyle name="Normal 2 8 3 5 4 2 2" xfId="36350"/>
    <cellStyle name="Normal 2 8 3 5 4 2 3" xfId="36351"/>
    <cellStyle name="Normal 2 8 3 5 4 3" xfId="36352"/>
    <cellStyle name="Normal 2 8 3 5 4 4" xfId="36353"/>
    <cellStyle name="Normal 2 8 3 5 4 5" xfId="36354"/>
    <cellStyle name="Normal 2 8 3 5 4 6" xfId="36355"/>
    <cellStyle name="Normal 2 8 3 5 5" xfId="36356"/>
    <cellStyle name="Normal 2 8 3 5 5 2" xfId="36357"/>
    <cellStyle name="Normal 2 8 3 5 5 2 2" xfId="36358"/>
    <cellStyle name="Normal 2 8 3 5 5 3" xfId="36359"/>
    <cellStyle name="Normal 2 8 3 5 5 4" xfId="36360"/>
    <cellStyle name="Normal 2 8 3 5 5 5" xfId="36361"/>
    <cellStyle name="Normal 2 8 3 5 6" xfId="36362"/>
    <cellStyle name="Normal 2 8 3 5 6 2" xfId="36363"/>
    <cellStyle name="Normal 2 8 3 5 6 3" xfId="36364"/>
    <cellStyle name="Normal 2 8 3 5 6 4" xfId="36365"/>
    <cellStyle name="Normal 2 8 3 5 7" xfId="36366"/>
    <cellStyle name="Normal 2 8 3 5 7 2" xfId="36367"/>
    <cellStyle name="Normal 2 8 3 5 8" xfId="36368"/>
    <cellStyle name="Normal 2 8 3 5 9" xfId="36369"/>
    <cellStyle name="Normal 2 8 3 6" xfId="36370"/>
    <cellStyle name="Normal 2 8 3 6 10" xfId="36371"/>
    <cellStyle name="Normal 2 8 3 6 11" xfId="36372"/>
    <cellStyle name="Normal 2 8 3 6 2" xfId="36373"/>
    <cellStyle name="Normal 2 8 3 6 2 2" xfId="36374"/>
    <cellStyle name="Normal 2 8 3 6 2 2 2" xfId="36375"/>
    <cellStyle name="Normal 2 8 3 6 2 2 2 2" xfId="36376"/>
    <cellStyle name="Normal 2 8 3 6 2 2 2 3" xfId="36377"/>
    <cellStyle name="Normal 2 8 3 6 2 2 3" xfId="36378"/>
    <cellStyle name="Normal 2 8 3 6 2 2 4" xfId="36379"/>
    <cellStyle name="Normal 2 8 3 6 2 2 5" xfId="36380"/>
    <cellStyle name="Normal 2 8 3 6 2 2 6" xfId="36381"/>
    <cellStyle name="Normal 2 8 3 6 2 3" xfId="36382"/>
    <cellStyle name="Normal 2 8 3 6 2 3 2" xfId="36383"/>
    <cellStyle name="Normal 2 8 3 6 2 3 2 2" xfId="36384"/>
    <cellStyle name="Normal 2 8 3 6 2 3 3" xfId="36385"/>
    <cellStyle name="Normal 2 8 3 6 2 3 4" xfId="36386"/>
    <cellStyle name="Normal 2 8 3 6 2 3 5" xfId="36387"/>
    <cellStyle name="Normal 2 8 3 6 2 4" xfId="36388"/>
    <cellStyle name="Normal 2 8 3 6 2 4 2" xfId="36389"/>
    <cellStyle name="Normal 2 8 3 6 2 4 3" xfId="36390"/>
    <cellStyle name="Normal 2 8 3 6 2 4 4" xfId="36391"/>
    <cellStyle name="Normal 2 8 3 6 2 5" xfId="36392"/>
    <cellStyle name="Normal 2 8 3 6 2 5 2" xfId="36393"/>
    <cellStyle name="Normal 2 8 3 6 2 6" xfId="36394"/>
    <cellStyle name="Normal 2 8 3 6 2 7" xfId="36395"/>
    <cellStyle name="Normal 2 8 3 6 2 8" xfId="36396"/>
    <cellStyle name="Normal 2 8 3 6 2 9" xfId="36397"/>
    <cellStyle name="Normal 2 8 3 6 3" xfId="36398"/>
    <cellStyle name="Normal 2 8 3 6 3 2" xfId="36399"/>
    <cellStyle name="Normal 2 8 3 6 3 2 2" xfId="36400"/>
    <cellStyle name="Normal 2 8 3 6 3 2 2 2" xfId="36401"/>
    <cellStyle name="Normal 2 8 3 6 3 2 2 3" xfId="36402"/>
    <cellStyle name="Normal 2 8 3 6 3 2 3" xfId="36403"/>
    <cellStyle name="Normal 2 8 3 6 3 2 4" xfId="36404"/>
    <cellStyle name="Normal 2 8 3 6 3 2 5" xfId="36405"/>
    <cellStyle name="Normal 2 8 3 6 3 2 6" xfId="36406"/>
    <cellStyle name="Normal 2 8 3 6 3 3" xfId="36407"/>
    <cellStyle name="Normal 2 8 3 6 3 3 2" xfId="36408"/>
    <cellStyle name="Normal 2 8 3 6 3 3 2 2" xfId="36409"/>
    <cellStyle name="Normal 2 8 3 6 3 3 3" xfId="36410"/>
    <cellStyle name="Normal 2 8 3 6 3 3 4" xfId="36411"/>
    <cellStyle name="Normal 2 8 3 6 3 3 5" xfId="36412"/>
    <cellStyle name="Normal 2 8 3 6 3 4" xfId="36413"/>
    <cellStyle name="Normal 2 8 3 6 3 4 2" xfId="36414"/>
    <cellStyle name="Normal 2 8 3 6 3 4 3" xfId="36415"/>
    <cellStyle name="Normal 2 8 3 6 3 4 4" xfId="36416"/>
    <cellStyle name="Normal 2 8 3 6 3 5" xfId="36417"/>
    <cellStyle name="Normal 2 8 3 6 3 5 2" xfId="36418"/>
    <cellStyle name="Normal 2 8 3 6 3 6" xfId="36419"/>
    <cellStyle name="Normal 2 8 3 6 3 7" xfId="36420"/>
    <cellStyle name="Normal 2 8 3 6 3 8" xfId="36421"/>
    <cellStyle name="Normal 2 8 3 6 3 9" xfId="36422"/>
    <cellStyle name="Normal 2 8 3 6 4" xfId="36423"/>
    <cellStyle name="Normal 2 8 3 6 4 2" xfId="36424"/>
    <cellStyle name="Normal 2 8 3 6 4 2 2" xfId="36425"/>
    <cellStyle name="Normal 2 8 3 6 4 2 3" xfId="36426"/>
    <cellStyle name="Normal 2 8 3 6 4 3" xfId="36427"/>
    <cellStyle name="Normal 2 8 3 6 4 4" xfId="36428"/>
    <cellStyle name="Normal 2 8 3 6 4 5" xfId="36429"/>
    <cellStyle name="Normal 2 8 3 6 4 6" xfId="36430"/>
    <cellStyle name="Normal 2 8 3 6 5" xfId="36431"/>
    <cellStyle name="Normal 2 8 3 6 5 2" xfId="36432"/>
    <cellStyle name="Normal 2 8 3 6 5 2 2" xfId="36433"/>
    <cellStyle name="Normal 2 8 3 6 5 3" xfId="36434"/>
    <cellStyle name="Normal 2 8 3 6 5 4" xfId="36435"/>
    <cellStyle name="Normal 2 8 3 6 5 5" xfId="36436"/>
    <cellStyle name="Normal 2 8 3 6 6" xfId="36437"/>
    <cellStyle name="Normal 2 8 3 6 6 2" xfId="36438"/>
    <cellStyle name="Normal 2 8 3 6 6 3" xfId="36439"/>
    <cellStyle name="Normal 2 8 3 6 6 4" xfId="36440"/>
    <cellStyle name="Normal 2 8 3 6 7" xfId="36441"/>
    <cellStyle name="Normal 2 8 3 6 7 2" xfId="36442"/>
    <cellStyle name="Normal 2 8 3 6 8" xfId="36443"/>
    <cellStyle name="Normal 2 8 3 6 9" xfId="36444"/>
    <cellStyle name="Normal 2 8 3 7" xfId="36445"/>
    <cellStyle name="Normal 2 8 3 7 10" xfId="36446"/>
    <cellStyle name="Normal 2 8 3 7 11" xfId="36447"/>
    <cellStyle name="Normal 2 8 3 7 2" xfId="36448"/>
    <cellStyle name="Normal 2 8 3 7 2 2" xfId="36449"/>
    <cellStyle name="Normal 2 8 3 7 2 2 2" xfId="36450"/>
    <cellStyle name="Normal 2 8 3 7 2 2 2 2" xfId="36451"/>
    <cellStyle name="Normal 2 8 3 7 2 2 2 3" xfId="36452"/>
    <cellStyle name="Normal 2 8 3 7 2 2 3" xfId="36453"/>
    <cellStyle name="Normal 2 8 3 7 2 2 4" xfId="36454"/>
    <cellStyle name="Normal 2 8 3 7 2 2 5" xfId="36455"/>
    <cellStyle name="Normal 2 8 3 7 2 2 6" xfId="36456"/>
    <cellStyle name="Normal 2 8 3 7 2 3" xfId="36457"/>
    <cellStyle name="Normal 2 8 3 7 2 3 2" xfId="36458"/>
    <cellStyle name="Normal 2 8 3 7 2 3 2 2" xfId="36459"/>
    <cellStyle name="Normal 2 8 3 7 2 3 3" xfId="36460"/>
    <cellStyle name="Normal 2 8 3 7 2 3 4" xfId="36461"/>
    <cellStyle name="Normal 2 8 3 7 2 3 5" xfId="36462"/>
    <cellStyle name="Normal 2 8 3 7 2 4" xfId="36463"/>
    <cellStyle name="Normal 2 8 3 7 2 4 2" xfId="36464"/>
    <cellStyle name="Normal 2 8 3 7 2 4 3" xfId="36465"/>
    <cellStyle name="Normal 2 8 3 7 2 4 4" xfId="36466"/>
    <cellStyle name="Normal 2 8 3 7 2 5" xfId="36467"/>
    <cellStyle name="Normal 2 8 3 7 2 5 2" xfId="36468"/>
    <cellStyle name="Normal 2 8 3 7 2 6" xfId="36469"/>
    <cellStyle name="Normal 2 8 3 7 2 7" xfId="36470"/>
    <cellStyle name="Normal 2 8 3 7 2 8" xfId="36471"/>
    <cellStyle name="Normal 2 8 3 7 2 9" xfId="36472"/>
    <cellStyle name="Normal 2 8 3 7 3" xfId="36473"/>
    <cellStyle name="Normal 2 8 3 7 3 2" xfId="36474"/>
    <cellStyle name="Normal 2 8 3 7 3 2 2" xfId="36475"/>
    <cellStyle name="Normal 2 8 3 7 3 2 2 2" xfId="36476"/>
    <cellStyle name="Normal 2 8 3 7 3 2 2 3" xfId="36477"/>
    <cellStyle name="Normal 2 8 3 7 3 2 3" xfId="36478"/>
    <cellStyle name="Normal 2 8 3 7 3 2 4" xfId="36479"/>
    <cellStyle name="Normal 2 8 3 7 3 2 5" xfId="36480"/>
    <cellStyle name="Normal 2 8 3 7 3 2 6" xfId="36481"/>
    <cellStyle name="Normal 2 8 3 7 3 3" xfId="36482"/>
    <cellStyle name="Normal 2 8 3 7 3 3 2" xfId="36483"/>
    <cellStyle name="Normal 2 8 3 7 3 3 2 2" xfId="36484"/>
    <cellStyle name="Normal 2 8 3 7 3 3 3" xfId="36485"/>
    <cellStyle name="Normal 2 8 3 7 3 3 4" xfId="36486"/>
    <cellStyle name="Normal 2 8 3 7 3 3 5" xfId="36487"/>
    <cellStyle name="Normal 2 8 3 7 3 4" xfId="36488"/>
    <cellStyle name="Normal 2 8 3 7 3 4 2" xfId="36489"/>
    <cellStyle name="Normal 2 8 3 7 3 4 3" xfId="36490"/>
    <cellStyle name="Normal 2 8 3 7 3 4 4" xfId="36491"/>
    <cellStyle name="Normal 2 8 3 7 3 5" xfId="36492"/>
    <cellStyle name="Normal 2 8 3 7 3 5 2" xfId="36493"/>
    <cellStyle name="Normal 2 8 3 7 3 6" xfId="36494"/>
    <cellStyle name="Normal 2 8 3 7 3 7" xfId="36495"/>
    <cellStyle name="Normal 2 8 3 7 3 8" xfId="36496"/>
    <cellStyle name="Normal 2 8 3 7 3 9" xfId="36497"/>
    <cellStyle name="Normal 2 8 3 7 4" xfId="36498"/>
    <cellStyle name="Normal 2 8 3 7 4 2" xfId="36499"/>
    <cellStyle name="Normal 2 8 3 7 4 2 2" xfId="36500"/>
    <cellStyle name="Normal 2 8 3 7 4 2 3" xfId="36501"/>
    <cellStyle name="Normal 2 8 3 7 4 3" xfId="36502"/>
    <cellStyle name="Normal 2 8 3 7 4 4" xfId="36503"/>
    <cellStyle name="Normal 2 8 3 7 4 5" xfId="36504"/>
    <cellStyle name="Normal 2 8 3 7 4 6" xfId="36505"/>
    <cellStyle name="Normal 2 8 3 7 5" xfId="36506"/>
    <cellStyle name="Normal 2 8 3 7 5 2" xfId="36507"/>
    <cellStyle name="Normal 2 8 3 7 5 2 2" xfId="36508"/>
    <cellStyle name="Normal 2 8 3 7 5 3" xfId="36509"/>
    <cellStyle name="Normal 2 8 3 7 5 4" xfId="36510"/>
    <cellStyle name="Normal 2 8 3 7 5 5" xfId="36511"/>
    <cellStyle name="Normal 2 8 3 7 6" xfId="36512"/>
    <cellStyle name="Normal 2 8 3 7 6 2" xfId="36513"/>
    <cellStyle name="Normal 2 8 3 7 6 3" xfId="36514"/>
    <cellStyle name="Normal 2 8 3 7 6 4" xfId="36515"/>
    <cellStyle name="Normal 2 8 3 7 7" xfId="36516"/>
    <cellStyle name="Normal 2 8 3 7 7 2" xfId="36517"/>
    <cellStyle name="Normal 2 8 3 7 8" xfId="36518"/>
    <cellStyle name="Normal 2 8 3 7 9" xfId="36519"/>
    <cellStyle name="Normal 2 8 3 8" xfId="36520"/>
    <cellStyle name="Normal 2 8 3 8 10" xfId="36521"/>
    <cellStyle name="Normal 2 8 3 8 2" xfId="36522"/>
    <cellStyle name="Normal 2 8 3 8 2 2" xfId="36523"/>
    <cellStyle name="Normal 2 8 3 8 2 2 2" xfId="36524"/>
    <cellStyle name="Normal 2 8 3 8 2 2 3" xfId="36525"/>
    <cellStyle name="Normal 2 8 3 8 2 3" xfId="36526"/>
    <cellStyle name="Normal 2 8 3 8 2 4" xfId="36527"/>
    <cellStyle name="Normal 2 8 3 8 2 5" xfId="36528"/>
    <cellStyle name="Normal 2 8 3 8 2 6" xfId="36529"/>
    <cellStyle name="Normal 2 8 3 8 3" xfId="36530"/>
    <cellStyle name="Normal 2 8 3 8 3 2" xfId="36531"/>
    <cellStyle name="Normal 2 8 3 8 3 2 2" xfId="36532"/>
    <cellStyle name="Normal 2 8 3 8 3 2 3" xfId="36533"/>
    <cellStyle name="Normal 2 8 3 8 3 3" xfId="36534"/>
    <cellStyle name="Normal 2 8 3 8 3 4" xfId="36535"/>
    <cellStyle name="Normal 2 8 3 8 3 5" xfId="36536"/>
    <cellStyle name="Normal 2 8 3 8 3 6" xfId="36537"/>
    <cellStyle name="Normal 2 8 3 8 4" xfId="36538"/>
    <cellStyle name="Normal 2 8 3 8 4 2" xfId="36539"/>
    <cellStyle name="Normal 2 8 3 8 4 2 2" xfId="36540"/>
    <cellStyle name="Normal 2 8 3 8 4 3" xfId="36541"/>
    <cellStyle name="Normal 2 8 3 8 4 4" xfId="36542"/>
    <cellStyle name="Normal 2 8 3 8 4 5" xfId="36543"/>
    <cellStyle name="Normal 2 8 3 8 5" xfId="36544"/>
    <cellStyle name="Normal 2 8 3 8 5 2" xfId="36545"/>
    <cellStyle name="Normal 2 8 3 8 5 3" xfId="36546"/>
    <cellStyle name="Normal 2 8 3 8 5 4" xfId="36547"/>
    <cellStyle name="Normal 2 8 3 8 6" xfId="36548"/>
    <cellStyle name="Normal 2 8 3 8 6 2" xfId="36549"/>
    <cellStyle name="Normal 2 8 3 8 7" xfId="36550"/>
    <cellStyle name="Normal 2 8 3 8 8" xfId="36551"/>
    <cellStyle name="Normal 2 8 3 8 9" xfId="36552"/>
    <cellStyle name="Normal 2 8 3 9" xfId="36553"/>
    <cellStyle name="Normal 2 8 3 9 10" xfId="36554"/>
    <cellStyle name="Normal 2 8 3 9 2" xfId="36555"/>
    <cellStyle name="Normal 2 8 3 9 2 2" xfId="36556"/>
    <cellStyle name="Normal 2 8 3 9 2 2 2" xfId="36557"/>
    <cellStyle name="Normal 2 8 3 9 2 2 3" xfId="36558"/>
    <cellStyle name="Normal 2 8 3 9 2 3" xfId="36559"/>
    <cellStyle name="Normal 2 8 3 9 2 4" xfId="36560"/>
    <cellStyle name="Normal 2 8 3 9 2 5" xfId="36561"/>
    <cellStyle name="Normal 2 8 3 9 2 6" xfId="36562"/>
    <cellStyle name="Normal 2 8 3 9 3" xfId="36563"/>
    <cellStyle name="Normal 2 8 3 9 3 2" xfId="36564"/>
    <cellStyle name="Normal 2 8 3 9 3 2 2" xfId="36565"/>
    <cellStyle name="Normal 2 8 3 9 3 2 3" xfId="36566"/>
    <cellStyle name="Normal 2 8 3 9 3 3" xfId="36567"/>
    <cellStyle name="Normal 2 8 3 9 3 4" xfId="36568"/>
    <cellStyle name="Normal 2 8 3 9 3 5" xfId="36569"/>
    <cellStyle name="Normal 2 8 3 9 3 6" xfId="36570"/>
    <cellStyle name="Normal 2 8 3 9 4" xfId="36571"/>
    <cellStyle name="Normal 2 8 3 9 4 2" xfId="36572"/>
    <cellStyle name="Normal 2 8 3 9 4 2 2" xfId="36573"/>
    <cellStyle name="Normal 2 8 3 9 4 3" xfId="36574"/>
    <cellStyle name="Normal 2 8 3 9 4 4" xfId="36575"/>
    <cellStyle name="Normal 2 8 3 9 4 5" xfId="36576"/>
    <cellStyle name="Normal 2 8 3 9 5" xfId="36577"/>
    <cellStyle name="Normal 2 8 3 9 5 2" xfId="36578"/>
    <cellStyle name="Normal 2 8 3 9 5 3" xfId="36579"/>
    <cellStyle name="Normal 2 8 3 9 5 4" xfId="36580"/>
    <cellStyle name="Normal 2 8 3 9 6" xfId="36581"/>
    <cellStyle name="Normal 2 8 3 9 6 2" xfId="36582"/>
    <cellStyle name="Normal 2 8 3 9 7" xfId="36583"/>
    <cellStyle name="Normal 2 8 3 9 8" xfId="36584"/>
    <cellStyle name="Normal 2 8 3 9 9" xfId="36585"/>
    <cellStyle name="Normal 2 8 30" xfId="36586"/>
    <cellStyle name="Normal 2 8 30 2" xfId="36587"/>
    <cellStyle name="Normal 2 8 30 2 2" xfId="36588"/>
    <cellStyle name="Normal 2 8 30 2 2 2" xfId="36589"/>
    <cellStyle name="Normal 2 8 30 2 2 3" xfId="36590"/>
    <cellStyle name="Normal 2 8 30 2 3" xfId="36591"/>
    <cellStyle name="Normal 2 8 30 2 4" xfId="36592"/>
    <cellStyle name="Normal 2 8 30 2 5" xfId="36593"/>
    <cellStyle name="Normal 2 8 30 2 6" xfId="36594"/>
    <cellStyle name="Normal 2 8 30 3" xfId="36595"/>
    <cellStyle name="Normal 2 8 30 3 2" xfId="36596"/>
    <cellStyle name="Normal 2 8 30 3 2 2" xfId="36597"/>
    <cellStyle name="Normal 2 8 30 3 3" xfId="36598"/>
    <cellStyle name="Normal 2 8 30 3 4" xfId="36599"/>
    <cellStyle name="Normal 2 8 30 3 5" xfId="36600"/>
    <cellStyle name="Normal 2 8 30 4" xfId="36601"/>
    <cellStyle name="Normal 2 8 30 4 2" xfId="36602"/>
    <cellStyle name="Normal 2 8 30 4 3" xfId="36603"/>
    <cellStyle name="Normal 2 8 30 4 4" xfId="36604"/>
    <cellStyle name="Normal 2 8 30 5" xfId="36605"/>
    <cellStyle name="Normal 2 8 30 5 2" xfId="36606"/>
    <cellStyle name="Normal 2 8 30 6" xfId="36607"/>
    <cellStyle name="Normal 2 8 30 7" xfId="36608"/>
    <cellStyle name="Normal 2 8 30 8" xfId="36609"/>
    <cellStyle name="Normal 2 8 30 9" xfId="36610"/>
    <cellStyle name="Normal 2 8 31" xfId="36611"/>
    <cellStyle name="Normal 2 8 31 2" xfId="36612"/>
    <cellStyle name="Normal 2 8 31 2 2" xfId="36613"/>
    <cellStyle name="Normal 2 8 31 2 2 2" xfId="36614"/>
    <cellStyle name="Normal 2 8 31 2 2 3" xfId="36615"/>
    <cellStyle name="Normal 2 8 31 2 3" xfId="36616"/>
    <cellStyle name="Normal 2 8 31 2 4" xfId="36617"/>
    <cellStyle name="Normal 2 8 31 2 5" xfId="36618"/>
    <cellStyle name="Normal 2 8 31 2 6" xfId="36619"/>
    <cellStyle name="Normal 2 8 31 3" xfId="36620"/>
    <cellStyle name="Normal 2 8 31 3 2" xfId="36621"/>
    <cellStyle name="Normal 2 8 31 3 2 2" xfId="36622"/>
    <cellStyle name="Normal 2 8 31 3 3" xfId="36623"/>
    <cellStyle name="Normal 2 8 31 3 4" xfId="36624"/>
    <cellStyle name="Normal 2 8 31 3 5" xfId="36625"/>
    <cellStyle name="Normal 2 8 31 4" xfId="36626"/>
    <cellStyle name="Normal 2 8 31 4 2" xfId="36627"/>
    <cellStyle name="Normal 2 8 31 4 3" xfId="36628"/>
    <cellStyle name="Normal 2 8 31 4 4" xfId="36629"/>
    <cellStyle name="Normal 2 8 31 5" xfId="36630"/>
    <cellStyle name="Normal 2 8 31 5 2" xfId="36631"/>
    <cellStyle name="Normal 2 8 31 6" xfId="36632"/>
    <cellStyle name="Normal 2 8 31 7" xfId="36633"/>
    <cellStyle name="Normal 2 8 31 8" xfId="36634"/>
    <cellStyle name="Normal 2 8 31 9" xfId="36635"/>
    <cellStyle name="Normal 2 8 32" xfId="36636"/>
    <cellStyle name="Normal 2 8 32 2" xfId="36637"/>
    <cellStyle name="Normal 2 8 32 2 2" xfId="36638"/>
    <cellStyle name="Normal 2 8 32 2 3" xfId="36639"/>
    <cellStyle name="Normal 2 8 32 3" xfId="36640"/>
    <cellStyle name="Normal 2 8 32 4" xfId="36641"/>
    <cellStyle name="Normal 2 8 32 5" xfId="36642"/>
    <cellStyle name="Normal 2 8 32 6" xfId="36643"/>
    <cellStyle name="Normal 2 8 33" xfId="36644"/>
    <cellStyle name="Normal 2 8 33 2" xfId="36645"/>
    <cellStyle name="Normal 2 8 33 2 2" xfId="36646"/>
    <cellStyle name="Normal 2 8 33 3" xfId="36647"/>
    <cellStyle name="Normal 2 8 33 4" xfId="36648"/>
    <cellStyle name="Normal 2 8 33 5" xfId="36649"/>
    <cellStyle name="Normal 2 8 34" xfId="36650"/>
    <cellStyle name="Normal 2 8 34 2" xfId="36651"/>
    <cellStyle name="Normal 2 8 34 2 2" xfId="36652"/>
    <cellStyle name="Normal 2 8 34 3" xfId="36653"/>
    <cellStyle name="Normal 2 8 34 4" xfId="36654"/>
    <cellStyle name="Normal 2 8 34 5" xfId="36655"/>
    <cellStyle name="Normal 2 8 35" xfId="36656"/>
    <cellStyle name="Normal 2 8 35 2" xfId="36657"/>
    <cellStyle name="Normal 2 8 36" xfId="36658"/>
    <cellStyle name="Normal 2 8 37" xfId="36659"/>
    <cellStyle name="Normal 2 8 38" xfId="36660"/>
    <cellStyle name="Normal 2 8 39" xfId="36661"/>
    <cellStyle name="Normal 2 8 4" xfId="36662"/>
    <cellStyle name="Normal 2 8 4 10" xfId="36663"/>
    <cellStyle name="Normal 2 8 4 10 10" xfId="36664"/>
    <cellStyle name="Normal 2 8 4 10 2" xfId="36665"/>
    <cellStyle name="Normal 2 8 4 10 2 2" xfId="36666"/>
    <cellStyle name="Normal 2 8 4 10 2 2 2" xfId="36667"/>
    <cellStyle name="Normal 2 8 4 10 2 2 3" xfId="36668"/>
    <cellStyle name="Normal 2 8 4 10 2 3" xfId="36669"/>
    <cellStyle name="Normal 2 8 4 10 2 4" xfId="36670"/>
    <cellStyle name="Normal 2 8 4 10 2 5" xfId="36671"/>
    <cellStyle name="Normal 2 8 4 10 2 6" xfId="36672"/>
    <cellStyle name="Normal 2 8 4 10 3" xfId="36673"/>
    <cellStyle name="Normal 2 8 4 10 3 2" xfId="36674"/>
    <cellStyle name="Normal 2 8 4 10 3 2 2" xfId="36675"/>
    <cellStyle name="Normal 2 8 4 10 3 2 3" xfId="36676"/>
    <cellStyle name="Normal 2 8 4 10 3 3" xfId="36677"/>
    <cellStyle name="Normal 2 8 4 10 3 4" xfId="36678"/>
    <cellStyle name="Normal 2 8 4 10 3 5" xfId="36679"/>
    <cellStyle name="Normal 2 8 4 10 3 6" xfId="36680"/>
    <cellStyle name="Normal 2 8 4 10 4" xfId="36681"/>
    <cellStyle name="Normal 2 8 4 10 4 2" xfId="36682"/>
    <cellStyle name="Normal 2 8 4 10 4 2 2" xfId="36683"/>
    <cellStyle name="Normal 2 8 4 10 4 3" xfId="36684"/>
    <cellStyle name="Normal 2 8 4 10 4 4" xfId="36685"/>
    <cellStyle name="Normal 2 8 4 10 4 5" xfId="36686"/>
    <cellStyle name="Normal 2 8 4 10 5" xfId="36687"/>
    <cellStyle name="Normal 2 8 4 10 5 2" xfId="36688"/>
    <cellStyle name="Normal 2 8 4 10 5 3" xfId="36689"/>
    <cellStyle name="Normal 2 8 4 10 5 4" xfId="36690"/>
    <cellStyle name="Normal 2 8 4 10 6" xfId="36691"/>
    <cellStyle name="Normal 2 8 4 10 6 2" xfId="36692"/>
    <cellStyle name="Normal 2 8 4 10 7" xfId="36693"/>
    <cellStyle name="Normal 2 8 4 10 8" xfId="36694"/>
    <cellStyle name="Normal 2 8 4 10 9" xfId="36695"/>
    <cellStyle name="Normal 2 8 4 11" xfId="36696"/>
    <cellStyle name="Normal 2 8 4 11 10" xfId="36697"/>
    <cellStyle name="Normal 2 8 4 11 2" xfId="36698"/>
    <cellStyle name="Normal 2 8 4 11 2 2" xfId="36699"/>
    <cellStyle name="Normal 2 8 4 11 2 2 2" xfId="36700"/>
    <cellStyle name="Normal 2 8 4 11 2 2 3" xfId="36701"/>
    <cellStyle name="Normal 2 8 4 11 2 3" xfId="36702"/>
    <cellStyle name="Normal 2 8 4 11 2 4" xfId="36703"/>
    <cellStyle name="Normal 2 8 4 11 2 5" xfId="36704"/>
    <cellStyle name="Normal 2 8 4 11 2 6" xfId="36705"/>
    <cellStyle name="Normal 2 8 4 11 3" xfId="36706"/>
    <cellStyle name="Normal 2 8 4 11 3 2" xfId="36707"/>
    <cellStyle name="Normal 2 8 4 11 3 2 2" xfId="36708"/>
    <cellStyle name="Normal 2 8 4 11 3 2 3" xfId="36709"/>
    <cellStyle name="Normal 2 8 4 11 3 3" xfId="36710"/>
    <cellStyle name="Normal 2 8 4 11 3 4" xfId="36711"/>
    <cellStyle name="Normal 2 8 4 11 3 5" xfId="36712"/>
    <cellStyle name="Normal 2 8 4 11 3 6" xfId="36713"/>
    <cellStyle name="Normal 2 8 4 11 4" xfId="36714"/>
    <cellStyle name="Normal 2 8 4 11 4 2" xfId="36715"/>
    <cellStyle name="Normal 2 8 4 11 4 2 2" xfId="36716"/>
    <cellStyle name="Normal 2 8 4 11 4 3" xfId="36717"/>
    <cellStyle name="Normal 2 8 4 11 4 4" xfId="36718"/>
    <cellStyle name="Normal 2 8 4 11 4 5" xfId="36719"/>
    <cellStyle name="Normal 2 8 4 11 5" xfId="36720"/>
    <cellStyle name="Normal 2 8 4 11 5 2" xfId="36721"/>
    <cellStyle name="Normal 2 8 4 11 5 3" xfId="36722"/>
    <cellStyle name="Normal 2 8 4 11 5 4" xfId="36723"/>
    <cellStyle name="Normal 2 8 4 11 6" xfId="36724"/>
    <cellStyle name="Normal 2 8 4 11 6 2" xfId="36725"/>
    <cellStyle name="Normal 2 8 4 11 7" xfId="36726"/>
    <cellStyle name="Normal 2 8 4 11 8" xfId="36727"/>
    <cellStyle name="Normal 2 8 4 11 9" xfId="36728"/>
    <cellStyle name="Normal 2 8 4 12" xfId="36729"/>
    <cellStyle name="Normal 2 8 4 12 10" xfId="36730"/>
    <cellStyle name="Normal 2 8 4 12 2" xfId="36731"/>
    <cellStyle name="Normal 2 8 4 12 2 2" xfId="36732"/>
    <cellStyle name="Normal 2 8 4 12 2 2 2" xfId="36733"/>
    <cellStyle name="Normal 2 8 4 12 2 2 3" xfId="36734"/>
    <cellStyle name="Normal 2 8 4 12 2 3" xfId="36735"/>
    <cellStyle name="Normal 2 8 4 12 2 4" xfId="36736"/>
    <cellStyle name="Normal 2 8 4 12 2 5" xfId="36737"/>
    <cellStyle name="Normal 2 8 4 12 2 6" xfId="36738"/>
    <cellStyle name="Normal 2 8 4 12 3" xfId="36739"/>
    <cellStyle name="Normal 2 8 4 12 3 2" xfId="36740"/>
    <cellStyle name="Normal 2 8 4 12 3 2 2" xfId="36741"/>
    <cellStyle name="Normal 2 8 4 12 3 2 3" xfId="36742"/>
    <cellStyle name="Normal 2 8 4 12 3 3" xfId="36743"/>
    <cellStyle name="Normal 2 8 4 12 3 4" xfId="36744"/>
    <cellStyle name="Normal 2 8 4 12 3 5" xfId="36745"/>
    <cellStyle name="Normal 2 8 4 12 3 6" xfId="36746"/>
    <cellStyle name="Normal 2 8 4 12 4" xfId="36747"/>
    <cellStyle name="Normal 2 8 4 12 4 2" xfId="36748"/>
    <cellStyle name="Normal 2 8 4 12 4 2 2" xfId="36749"/>
    <cellStyle name="Normal 2 8 4 12 4 3" xfId="36750"/>
    <cellStyle name="Normal 2 8 4 12 4 4" xfId="36751"/>
    <cellStyle name="Normal 2 8 4 12 4 5" xfId="36752"/>
    <cellStyle name="Normal 2 8 4 12 5" xfId="36753"/>
    <cellStyle name="Normal 2 8 4 12 5 2" xfId="36754"/>
    <cellStyle name="Normal 2 8 4 12 5 3" xfId="36755"/>
    <cellStyle name="Normal 2 8 4 12 5 4" xfId="36756"/>
    <cellStyle name="Normal 2 8 4 12 6" xfId="36757"/>
    <cellStyle name="Normal 2 8 4 12 6 2" xfId="36758"/>
    <cellStyle name="Normal 2 8 4 12 7" xfId="36759"/>
    <cellStyle name="Normal 2 8 4 12 8" xfId="36760"/>
    <cellStyle name="Normal 2 8 4 12 9" xfId="36761"/>
    <cellStyle name="Normal 2 8 4 13" xfId="36762"/>
    <cellStyle name="Normal 2 8 4 13 2" xfId="36763"/>
    <cellStyle name="Normal 2 8 4 13 2 2" xfId="36764"/>
    <cellStyle name="Normal 2 8 4 13 2 2 2" xfId="36765"/>
    <cellStyle name="Normal 2 8 4 13 2 2 3" xfId="36766"/>
    <cellStyle name="Normal 2 8 4 13 2 3" xfId="36767"/>
    <cellStyle name="Normal 2 8 4 13 2 4" xfId="36768"/>
    <cellStyle name="Normal 2 8 4 13 2 5" xfId="36769"/>
    <cellStyle name="Normal 2 8 4 13 2 6" xfId="36770"/>
    <cellStyle name="Normal 2 8 4 13 3" xfId="36771"/>
    <cellStyle name="Normal 2 8 4 13 3 2" xfId="36772"/>
    <cellStyle name="Normal 2 8 4 13 3 2 2" xfId="36773"/>
    <cellStyle name="Normal 2 8 4 13 3 3" xfId="36774"/>
    <cellStyle name="Normal 2 8 4 13 3 4" xfId="36775"/>
    <cellStyle name="Normal 2 8 4 13 3 5" xfId="36776"/>
    <cellStyle name="Normal 2 8 4 13 4" xfId="36777"/>
    <cellStyle name="Normal 2 8 4 13 4 2" xfId="36778"/>
    <cellStyle name="Normal 2 8 4 13 4 3" xfId="36779"/>
    <cellStyle name="Normal 2 8 4 13 4 4" xfId="36780"/>
    <cellStyle name="Normal 2 8 4 13 5" xfId="36781"/>
    <cellStyle name="Normal 2 8 4 13 5 2" xfId="36782"/>
    <cellStyle name="Normal 2 8 4 13 6" xfId="36783"/>
    <cellStyle name="Normal 2 8 4 13 7" xfId="36784"/>
    <cellStyle name="Normal 2 8 4 13 8" xfId="36785"/>
    <cellStyle name="Normal 2 8 4 13 9" xfId="36786"/>
    <cellStyle name="Normal 2 8 4 14" xfId="36787"/>
    <cellStyle name="Normal 2 8 4 14 2" xfId="36788"/>
    <cellStyle name="Normal 2 8 4 14 2 2" xfId="36789"/>
    <cellStyle name="Normal 2 8 4 14 2 2 2" xfId="36790"/>
    <cellStyle name="Normal 2 8 4 14 2 2 3" xfId="36791"/>
    <cellStyle name="Normal 2 8 4 14 2 3" xfId="36792"/>
    <cellStyle name="Normal 2 8 4 14 2 4" xfId="36793"/>
    <cellStyle name="Normal 2 8 4 14 2 5" xfId="36794"/>
    <cellStyle name="Normal 2 8 4 14 2 6" xfId="36795"/>
    <cellStyle name="Normal 2 8 4 14 3" xfId="36796"/>
    <cellStyle name="Normal 2 8 4 14 3 2" xfId="36797"/>
    <cellStyle name="Normal 2 8 4 14 3 2 2" xfId="36798"/>
    <cellStyle name="Normal 2 8 4 14 3 3" xfId="36799"/>
    <cellStyle name="Normal 2 8 4 14 3 4" xfId="36800"/>
    <cellStyle name="Normal 2 8 4 14 3 5" xfId="36801"/>
    <cellStyle name="Normal 2 8 4 14 4" xfId="36802"/>
    <cellStyle name="Normal 2 8 4 14 4 2" xfId="36803"/>
    <cellStyle name="Normal 2 8 4 14 4 3" xfId="36804"/>
    <cellStyle name="Normal 2 8 4 14 4 4" xfId="36805"/>
    <cellStyle name="Normal 2 8 4 14 5" xfId="36806"/>
    <cellStyle name="Normal 2 8 4 14 5 2" xfId="36807"/>
    <cellStyle name="Normal 2 8 4 14 6" xfId="36808"/>
    <cellStyle name="Normal 2 8 4 14 7" xfId="36809"/>
    <cellStyle name="Normal 2 8 4 14 8" xfId="36810"/>
    <cellStyle name="Normal 2 8 4 14 9" xfId="36811"/>
    <cellStyle name="Normal 2 8 4 15" xfId="36812"/>
    <cellStyle name="Normal 2 8 4 15 2" xfId="36813"/>
    <cellStyle name="Normal 2 8 4 15 2 2" xfId="36814"/>
    <cellStyle name="Normal 2 8 4 15 2 3" xfId="36815"/>
    <cellStyle name="Normal 2 8 4 15 3" xfId="36816"/>
    <cellStyle name="Normal 2 8 4 15 4" xfId="36817"/>
    <cellStyle name="Normal 2 8 4 15 5" xfId="36818"/>
    <cellStyle name="Normal 2 8 4 15 6" xfId="36819"/>
    <cellStyle name="Normal 2 8 4 16" xfId="36820"/>
    <cellStyle name="Normal 2 8 4 16 2" xfId="36821"/>
    <cellStyle name="Normal 2 8 4 16 2 2" xfId="36822"/>
    <cellStyle name="Normal 2 8 4 16 3" xfId="36823"/>
    <cellStyle name="Normal 2 8 4 16 4" xfId="36824"/>
    <cellStyle name="Normal 2 8 4 16 5" xfId="36825"/>
    <cellStyle name="Normal 2 8 4 17" xfId="36826"/>
    <cellStyle name="Normal 2 8 4 17 2" xfId="36827"/>
    <cellStyle name="Normal 2 8 4 17 2 2" xfId="36828"/>
    <cellStyle name="Normal 2 8 4 17 3" xfId="36829"/>
    <cellStyle name="Normal 2 8 4 17 4" xfId="36830"/>
    <cellStyle name="Normal 2 8 4 17 5" xfId="36831"/>
    <cellStyle name="Normal 2 8 4 18" xfId="36832"/>
    <cellStyle name="Normal 2 8 4 18 2" xfId="36833"/>
    <cellStyle name="Normal 2 8 4 19" xfId="36834"/>
    <cellStyle name="Normal 2 8 4 2" xfId="36835"/>
    <cellStyle name="Normal 2 8 4 2 10" xfId="36836"/>
    <cellStyle name="Normal 2 8 4 2 11" xfId="36837"/>
    <cellStyle name="Normal 2 8 4 2 2" xfId="36838"/>
    <cellStyle name="Normal 2 8 4 2 2 2" xfId="36839"/>
    <cellStyle name="Normal 2 8 4 2 2 2 2" xfId="36840"/>
    <cellStyle name="Normal 2 8 4 2 2 2 2 2" xfId="36841"/>
    <cellStyle name="Normal 2 8 4 2 2 2 2 3" xfId="36842"/>
    <cellStyle name="Normal 2 8 4 2 2 2 3" xfId="36843"/>
    <cellStyle name="Normal 2 8 4 2 2 2 4" xfId="36844"/>
    <cellStyle name="Normal 2 8 4 2 2 2 5" xfId="36845"/>
    <cellStyle name="Normal 2 8 4 2 2 2 6" xfId="36846"/>
    <cellStyle name="Normal 2 8 4 2 2 3" xfId="36847"/>
    <cellStyle name="Normal 2 8 4 2 2 3 2" xfId="36848"/>
    <cellStyle name="Normal 2 8 4 2 2 3 2 2" xfId="36849"/>
    <cellStyle name="Normal 2 8 4 2 2 3 3" xfId="36850"/>
    <cellStyle name="Normal 2 8 4 2 2 3 4" xfId="36851"/>
    <cellStyle name="Normal 2 8 4 2 2 3 5" xfId="36852"/>
    <cellStyle name="Normal 2 8 4 2 2 4" xfId="36853"/>
    <cellStyle name="Normal 2 8 4 2 2 4 2" xfId="36854"/>
    <cellStyle name="Normal 2 8 4 2 2 4 3" xfId="36855"/>
    <cellStyle name="Normal 2 8 4 2 2 4 4" xfId="36856"/>
    <cellStyle name="Normal 2 8 4 2 2 5" xfId="36857"/>
    <cellStyle name="Normal 2 8 4 2 2 5 2" xfId="36858"/>
    <cellStyle name="Normal 2 8 4 2 2 6" xfId="36859"/>
    <cellStyle name="Normal 2 8 4 2 2 7" xfId="36860"/>
    <cellStyle name="Normal 2 8 4 2 2 8" xfId="36861"/>
    <cellStyle name="Normal 2 8 4 2 2 9" xfId="36862"/>
    <cellStyle name="Normal 2 8 4 2 3" xfId="36863"/>
    <cellStyle name="Normal 2 8 4 2 3 2" xfId="36864"/>
    <cellStyle name="Normal 2 8 4 2 3 2 2" xfId="36865"/>
    <cellStyle name="Normal 2 8 4 2 3 2 2 2" xfId="36866"/>
    <cellStyle name="Normal 2 8 4 2 3 2 2 3" xfId="36867"/>
    <cellStyle name="Normal 2 8 4 2 3 2 3" xfId="36868"/>
    <cellStyle name="Normal 2 8 4 2 3 2 4" xfId="36869"/>
    <cellStyle name="Normal 2 8 4 2 3 2 5" xfId="36870"/>
    <cellStyle name="Normal 2 8 4 2 3 2 6" xfId="36871"/>
    <cellStyle name="Normal 2 8 4 2 3 3" xfId="36872"/>
    <cellStyle name="Normal 2 8 4 2 3 3 2" xfId="36873"/>
    <cellStyle name="Normal 2 8 4 2 3 3 2 2" xfId="36874"/>
    <cellStyle name="Normal 2 8 4 2 3 3 3" xfId="36875"/>
    <cellStyle name="Normal 2 8 4 2 3 3 4" xfId="36876"/>
    <cellStyle name="Normal 2 8 4 2 3 3 5" xfId="36877"/>
    <cellStyle name="Normal 2 8 4 2 3 4" xfId="36878"/>
    <cellStyle name="Normal 2 8 4 2 3 4 2" xfId="36879"/>
    <cellStyle name="Normal 2 8 4 2 3 4 3" xfId="36880"/>
    <cellStyle name="Normal 2 8 4 2 3 4 4" xfId="36881"/>
    <cellStyle name="Normal 2 8 4 2 3 5" xfId="36882"/>
    <cellStyle name="Normal 2 8 4 2 3 5 2" xfId="36883"/>
    <cellStyle name="Normal 2 8 4 2 3 6" xfId="36884"/>
    <cellStyle name="Normal 2 8 4 2 3 7" xfId="36885"/>
    <cellStyle name="Normal 2 8 4 2 3 8" xfId="36886"/>
    <cellStyle name="Normal 2 8 4 2 3 9" xfId="36887"/>
    <cellStyle name="Normal 2 8 4 2 4" xfId="36888"/>
    <cellStyle name="Normal 2 8 4 2 4 2" xfId="36889"/>
    <cellStyle name="Normal 2 8 4 2 4 2 2" xfId="36890"/>
    <cellStyle name="Normal 2 8 4 2 4 2 3" xfId="36891"/>
    <cellStyle name="Normal 2 8 4 2 4 3" xfId="36892"/>
    <cellStyle name="Normal 2 8 4 2 4 4" xfId="36893"/>
    <cellStyle name="Normal 2 8 4 2 4 5" xfId="36894"/>
    <cellStyle name="Normal 2 8 4 2 4 6" xfId="36895"/>
    <cellStyle name="Normal 2 8 4 2 5" xfId="36896"/>
    <cellStyle name="Normal 2 8 4 2 5 2" xfId="36897"/>
    <cellStyle name="Normal 2 8 4 2 5 2 2" xfId="36898"/>
    <cellStyle name="Normal 2 8 4 2 5 3" xfId="36899"/>
    <cellStyle name="Normal 2 8 4 2 5 4" xfId="36900"/>
    <cellStyle name="Normal 2 8 4 2 5 5" xfId="36901"/>
    <cellStyle name="Normal 2 8 4 2 6" xfId="36902"/>
    <cellStyle name="Normal 2 8 4 2 6 2" xfId="36903"/>
    <cellStyle name="Normal 2 8 4 2 6 3" xfId="36904"/>
    <cellStyle name="Normal 2 8 4 2 6 4" xfId="36905"/>
    <cellStyle name="Normal 2 8 4 2 7" xfId="36906"/>
    <cellStyle name="Normal 2 8 4 2 7 2" xfId="36907"/>
    <cellStyle name="Normal 2 8 4 2 8" xfId="36908"/>
    <cellStyle name="Normal 2 8 4 2 9" xfId="36909"/>
    <cellStyle name="Normal 2 8 4 20" xfId="36910"/>
    <cellStyle name="Normal 2 8 4 21" xfId="36911"/>
    <cellStyle name="Normal 2 8 4 22" xfId="36912"/>
    <cellStyle name="Normal 2 8 4 3" xfId="36913"/>
    <cellStyle name="Normal 2 8 4 3 10" xfId="36914"/>
    <cellStyle name="Normal 2 8 4 3 11" xfId="36915"/>
    <cellStyle name="Normal 2 8 4 3 2" xfId="36916"/>
    <cellStyle name="Normal 2 8 4 3 2 2" xfId="36917"/>
    <cellStyle name="Normal 2 8 4 3 2 2 2" xfId="36918"/>
    <cellStyle name="Normal 2 8 4 3 2 2 2 2" xfId="36919"/>
    <cellStyle name="Normal 2 8 4 3 2 2 2 3" xfId="36920"/>
    <cellStyle name="Normal 2 8 4 3 2 2 3" xfId="36921"/>
    <cellStyle name="Normal 2 8 4 3 2 2 4" xfId="36922"/>
    <cellStyle name="Normal 2 8 4 3 2 2 5" xfId="36923"/>
    <cellStyle name="Normal 2 8 4 3 2 2 6" xfId="36924"/>
    <cellStyle name="Normal 2 8 4 3 2 3" xfId="36925"/>
    <cellStyle name="Normal 2 8 4 3 2 3 2" xfId="36926"/>
    <cellStyle name="Normal 2 8 4 3 2 3 2 2" xfId="36927"/>
    <cellStyle name="Normal 2 8 4 3 2 3 3" xfId="36928"/>
    <cellStyle name="Normal 2 8 4 3 2 3 4" xfId="36929"/>
    <cellStyle name="Normal 2 8 4 3 2 3 5" xfId="36930"/>
    <cellStyle name="Normal 2 8 4 3 2 4" xfId="36931"/>
    <cellStyle name="Normal 2 8 4 3 2 4 2" xfId="36932"/>
    <cellStyle name="Normal 2 8 4 3 2 4 3" xfId="36933"/>
    <cellStyle name="Normal 2 8 4 3 2 4 4" xfId="36934"/>
    <cellStyle name="Normal 2 8 4 3 2 5" xfId="36935"/>
    <cellStyle name="Normal 2 8 4 3 2 5 2" xfId="36936"/>
    <cellStyle name="Normal 2 8 4 3 2 6" xfId="36937"/>
    <cellStyle name="Normal 2 8 4 3 2 7" xfId="36938"/>
    <cellStyle name="Normal 2 8 4 3 2 8" xfId="36939"/>
    <cellStyle name="Normal 2 8 4 3 2 9" xfId="36940"/>
    <cellStyle name="Normal 2 8 4 3 3" xfId="36941"/>
    <cellStyle name="Normal 2 8 4 3 3 2" xfId="36942"/>
    <cellStyle name="Normal 2 8 4 3 3 2 2" xfId="36943"/>
    <cellStyle name="Normal 2 8 4 3 3 2 2 2" xfId="36944"/>
    <cellStyle name="Normal 2 8 4 3 3 2 2 3" xfId="36945"/>
    <cellStyle name="Normal 2 8 4 3 3 2 3" xfId="36946"/>
    <cellStyle name="Normal 2 8 4 3 3 2 4" xfId="36947"/>
    <cellStyle name="Normal 2 8 4 3 3 2 5" xfId="36948"/>
    <cellStyle name="Normal 2 8 4 3 3 2 6" xfId="36949"/>
    <cellStyle name="Normal 2 8 4 3 3 3" xfId="36950"/>
    <cellStyle name="Normal 2 8 4 3 3 3 2" xfId="36951"/>
    <cellStyle name="Normal 2 8 4 3 3 3 2 2" xfId="36952"/>
    <cellStyle name="Normal 2 8 4 3 3 3 3" xfId="36953"/>
    <cellStyle name="Normal 2 8 4 3 3 3 4" xfId="36954"/>
    <cellStyle name="Normal 2 8 4 3 3 3 5" xfId="36955"/>
    <cellStyle name="Normal 2 8 4 3 3 4" xfId="36956"/>
    <cellStyle name="Normal 2 8 4 3 3 4 2" xfId="36957"/>
    <cellStyle name="Normal 2 8 4 3 3 4 3" xfId="36958"/>
    <cellStyle name="Normal 2 8 4 3 3 4 4" xfId="36959"/>
    <cellStyle name="Normal 2 8 4 3 3 5" xfId="36960"/>
    <cellStyle name="Normal 2 8 4 3 3 5 2" xfId="36961"/>
    <cellStyle name="Normal 2 8 4 3 3 6" xfId="36962"/>
    <cellStyle name="Normal 2 8 4 3 3 7" xfId="36963"/>
    <cellStyle name="Normal 2 8 4 3 3 8" xfId="36964"/>
    <cellStyle name="Normal 2 8 4 3 3 9" xfId="36965"/>
    <cellStyle name="Normal 2 8 4 3 4" xfId="36966"/>
    <cellStyle name="Normal 2 8 4 3 4 2" xfId="36967"/>
    <cellStyle name="Normal 2 8 4 3 4 2 2" xfId="36968"/>
    <cellStyle name="Normal 2 8 4 3 4 2 3" xfId="36969"/>
    <cellStyle name="Normal 2 8 4 3 4 3" xfId="36970"/>
    <cellStyle name="Normal 2 8 4 3 4 4" xfId="36971"/>
    <cellStyle name="Normal 2 8 4 3 4 5" xfId="36972"/>
    <cellStyle name="Normal 2 8 4 3 4 6" xfId="36973"/>
    <cellStyle name="Normal 2 8 4 3 5" xfId="36974"/>
    <cellStyle name="Normal 2 8 4 3 5 2" xfId="36975"/>
    <cellStyle name="Normal 2 8 4 3 5 2 2" xfId="36976"/>
    <cellStyle name="Normal 2 8 4 3 5 3" xfId="36977"/>
    <cellStyle name="Normal 2 8 4 3 5 4" xfId="36978"/>
    <cellStyle name="Normal 2 8 4 3 5 5" xfId="36979"/>
    <cellStyle name="Normal 2 8 4 3 6" xfId="36980"/>
    <cellStyle name="Normal 2 8 4 3 6 2" xfId="36981"/>
    <cellStyle name="Normal 2 8 4 3 6 3" xfId="36982"/>
    <cellStyle name="Normal 2 8 4 3 6 4" xfId="36983"/>
    <cellStyle name="Normal 2 8 4 3 7" xfId="36984"/>
    <cellStyle name="Normal 2 8 4 3 7 2" xfId="36985"/>
    <cellStyle name="Normal 2 8 4 3 8" xfId="36986"/>
    <cellStyle name="Normal 2 8 4 3 9" xfId="36987"/>
    <cellStyle name="Normal 2 8 4 4" xfId="36988"/>
    <cellStyle name="Normal 2 8 4 4 10" xfId="36989"/>
    <cellStyle name="Normal 2 8 4 4 11" xfId="36990"/>
    <cellStyle name="Normal 2 8 4 4 2" xfId="36991"/>
    <cellStyle name="Normal 2 8 4 4 2 2" xfId="36992"/>
    <cellStyle name="Normal 2 8 4 4 2 2 2" xfId="36993"/>
    <cellStyle name="Normal 2 8 4 4 2 2 2 2" xfId="36994"/>
    <cellStyle name="Normal 2 8 4 4 2 2 2 3" xfId="36995"/>
    <cellStyle name="Normal 2 8 4 4 2 2 3" xfId="36996"/>
    <cellStyle name="Normal 2 8 4 4 2 2 4" xfId="36997"/>
    <cellStyle name="Normal 2 8 4 4 2 2 5" xfId="36998"/>
    <cellStyle name="Normal 2 8 4 4 2 2 6" xfId="36999"/>
    <cellStyle name="Normal 2 8 4 4 2 3" xfId="37000"/>
    <cellStyle name="Normal 2 8 4 4 2 3 2" xfId="37001"/>
    <cellStyle name="Normal 2 8 4 4 2 3 2 2" xfId="37002"/>
    <cellStyle name="Normal 2 8 4 4 2 3 3" xfId="37003"/>
    <cellStyle name="Normal 2 8 4 4 2 3 4" xfId="37004"/>
    <cellStyle name="Normal 2 8 4 4 2 3 5" xfId="37005"/>
    <cellStyle name="Normal 2 8 4 4 2 4" xfId="37006"/>
    <cellStyle name="Normal 2 8 4 4 2 4 2" xfId="37007"/>
    <cellStyle name="Normal 2 8 4 4 2 4 3" xfId="37008"/>
    <cellStyle name="Normal 2 8 4 4 2 4 4" xfId="37009"/>
    <cellStyle name="Normal 2 8 4 4 2 5" xfId="37010"/>
    <cellStyle name="Normal 2 8 4 4 2 5 2" xfId="37011"/>
    <cellStyle name="Normal 2 8 4 4 2 6" xfId="37012"/>
    <cellStyle name="Normal 2 8 4 4 2 7" xfId="37013"/>
    <cellStyle name="Normal 2 8 4 4 2 8" xfId="37014"/>
    <cellStyle name="Normal 2 8 4 4 2 9" xfId="37015"/>
    <cellStyle name="Normal 2 8 4 4 3" xfId="37016"/>
    <cellStyle name="Normal 2 8 4 4 3 2" xfId="37017"/>
    <cellStyle name="Normal 2 8 4 4 3 2 2" xfId="37018"/>
    <cellStyle name="Normal 2 8 4 4 3 2 2 2" xfId="37019"/>
    <cellStyle name="Normal 2 8 4 4 3 2 2 3" xfId="37020"/>
    <cellStyle name="Normal 2 8 4 4 3 2 3" xfId="37021"/>
    <cellStyle name="Normal 2 8 4 4 3 2 4" xfId="37022"/>
    <cellStyle name="Normal 2 8 4 4 3 2 5" xfId="37023"/>
    <cellStyle name="Normal 2 8 4 4 3 2 6" xfId="37024"/>
    <cellStyle name="Normal 2 8 4 4 3 3" xfId="37025"/>
    <cellStyle name="Normal 2 8 4 4 3 3 2" xfId="37026"/>
    <cellStyle name="Normal 2 8 4 4 3 3 2 2" xfId="37027"/>
    <cellStyle name="Normal 2 8 4 4 3 3 3" xfId="37028"/>
    <cellStyle name="Normal 2 8 4 4 3 3 4" xfId="37029"/>
    <cellStyle name="Normal 2 8 4 4 3 3 5" xfId="37030"/>
    <cellStyle name="Normal 2 8 4 4 3 4" xfId="37031"/>
    <cellStyle name="Normal 2 8 4 4 3 4 2" xfId="37032"/>
    <cellStyle name="Normal 2 8 4 4 3 4 3" xfId="37033"/>
    <cellStyle name="Normal 2 8 4 4 3 4 4" xfId="37034"/>
    <cellStyle name="Normal 2 8 4 4 3 5" xfId="37035"/>
    <cellStyle name="Normal 2 8 4 4 3 5 2" xfId="37036"/>
    <cellStyle name="Normal 2 8 4 4 3 6" xfId="37037"/>
    <cellStyle name="Normal 2 8 4 4 3 7" xfId="37038"/>
    <cellStyle name="Normal 2 8 4 4 3 8" xfId="37039"/>
    <cellStyle name="Normal 2 8 4 4 3 9" xfId="37040"/>
    <cellStyle name="Normal 2 8 4 4 4" xfId="37041"/>
    <cellStyle name="Normal 2 8 4 4 4 2" xfId="37042"/>
    <cellStyle name="Normal 2 8 4 4 4 2 2" xfId="37043"/>
    <cellStyle name="Normal 2 8 4 4 4 2 3" xfId="37044"/>
    <cellStyle name="Normal 2 8 4 4 4 3" xfId="37045"/>
    <cellStyle name="Normal 2 8 4 4 4 4" xfId="37046"/>
    <cellStyle name="Normal 2 8 4 4 4 5" xfId="37047"/>
    <cellStyle name="Normal 2 8 4 4 4 6" xfId="37048"/>
    <cellStyle name="Normal 2 8 4 4 5" xfId="37049"/>
    <cellStyle name="Normal 2 8 4 4 5 2" xfId="37050"/>
    <cellStyle name="Normal 2 8 4 4 5 2 2" xfId="37051"/>
    <cellStyle name="Normal 2 8 4 4 5 3" xfId="37052"/>
    <cellStyle name="Normal 2 8 4 4 5 4" xfId="37053"/>
    <cellStyle name="Normal 2 8 4 4 5 5" xfId="37054"/>
    <cellStyle name="Normal 2 8 4 4 6" xfId="37055"/>
    <cellStyle name="Normal 2 8 4 4 6 2" xfId="37056"/>
    <cellStyle name="Normal 2 8 4 4 6 3" xfId="37057"/>
    <cellStyle name="Normal 2 8 4 4 6 4" xfId="37058"/>
    <cellStyle name="Normal 2 8 4 4 7" xfId="37059"/>
    <cellStyle name="Normal 2 8 4 4 7 2" xfId="37060"/>
    <cellStyle name="Normal 2 8 4 4 8" xfId="37061"/>
    <cellStyle name="Normal 2 8 4 4 9" xfId="37062"/>
    <cellStyle name="Normal 2 8 4 5" xfId="37063"/>
    <cellStyle name="Normal 2 8 4 5 10" xfId="37064"/>
    <cellStyle name="Normal 2 8 4 5 11" xfId="37065"/>
    <cellStyle name="Normal 2 8 4 5 2" xfId="37066"/>
    <cellStyle name="Normal 2 8 4 5 2 2" xfId="37067"/>
    <cellStyle name="Normal 2 8 4 5 2 2 2" xfId="37068"/>
    <cellStyle name="Normal 2 8 4 5 2 2 2 2" xfId="37069"/>
    <cellStyle name="Normal 2 8 4 5 2 2 2 3" xfId="37070"/>
    <cellStyle name="Normal 2 8 4 5 2 2 3" xfId="37071"/>
    <cellStyle name="Normal 2 8 4 5 2 2 4" xfId="37072"/>
    <cellStyle name="Normal 2 8 4 5 2 2 5" xfId="37073"/>
    <cellStyle name="Normal 2 8 4 5 2 2 6" xfId="37074"/>
    <cellStyle name="Normal 2 8 4 5 2 3" xfId="37075"/>
    <cellStyle name="Normal 2 8 4 5 2 3 2" xfId="37076"/>
    <cellStyle name="Normal 2 8 4 5 2 3 2 2" xfId="37077"/>
    <cellStyle name="Normal 2 8 4 5 2 3 3" xfId="37078"/>
    <cellStyle name="Normal 2 8 4 5 2 3 4" xfId="37079"/>
    <cellStyle name="Normal 2 8 4 5 2 3 5" xfId="37080"/>
    <cellStyle name="Normal 2 8 4 5 2 4" xfId="37081"/>
    <cellStyle name="Normal 2 8 4 5 2 4 2" xfId="37082"/>
    <cellStyle name="Normal 2 8 4 5 2 4 3" xfId="37083"/>
    <cellStyle name="Normal 2 8 4 5 2 4 4" xfId="37084"/>
    <cellStyle name="Normal 2 8 4 5 2 5" xfId="37085"/>
    <cellStyle name="Normal 2 8 4 5 2 5 2" xfId="37086"/>
    <cellStyle name="Normal 2 8 4 5 2 6" xfId="37087"/>
    <cellStyle name="Normal 2 8 4 5 2 7" xfId="37088"/>
    <cellStyle name="Normal 2 8 4 5 2 8" xfId="37089"/>
    <cellStyle name="Normal 2 8 4 5 2 9" xfId="37090"/>
    <cellStyle name="Normal 2 8 4 5 3" xfId="37091"/>
    <cellStyle name="Normal 2 8 4 5 3 2" xfId="37092"/>
    <cellStyle name="Normal 2 8 4 5 3 2 2" xfId="37093"/>
    <cellStyle name="Normal 2 8 4 5 3 2 2 2" xfId="37094"/>
    <cellStyle name="Normal 2 8 4 5 3 2 2 3" xfId="37095"/>
    <cellStyle name="Normal 2 8 4 5 3 2 3" xfId="37096"/>
    <cellStyle name="Normal 2 8 4 5 3 2 4" xfId="37097"/>
    <cellStyle name="Normal 2 8 4 5 3 2 5" xfId="37098"/>
    <cellStyle name="Normal 2 8 4 5 3 2 6" xfId="37099"/>
    <cellStyle name="Normal 2 8 4 5 3 3" xfId="37100"/>
    <cellStyle name="Normal 2 8 4 5 3 3 2" xfId="37101"/>
    <cellStyle name="Normal 2 8 4 5 3 3 2 2" xfId="37102"/>
    <cellStyle name="Normal 2 8 4 5 3 3 3" xfId="37103"/>
    <cellStyle name="Normal 2 8 4 5 3 3 4" xfId="37104"/>
    <cellStyle name="Normal 2 8 4 5 3 3 5" xfId="37105"/>
    <cellStyle name="Normal 2 8 4 5 3 4" xfId="37106"/>
    <cellStyle name="Normal 2 8 4 5 3 4 2" xfId="37107"/>
    <cellStyle name="Normal 2 8 4 5 3 4 3" xfId="37108"/>
    <cellStyle name="Normal 2 8 4 5 3 4 4" xfId="37109"/>
    <cellStyle name="Normal 2 8 4 5 3 5" xfId="37110"/>
    <cellStyle name="Normal 2 8 4 5 3 5 2" xfId="37111"/>
    <cellStyle name="Normal 2 8 4 5 3 6" xfId="37112"/>
    <cellStyle name="Normal 2 8 4 5 3 7" xfId="37113"/>
    <cellStyle name="Normal 2 8 4 5 3 8" xfId="37114"/>
    <cellStyle name="Normal 2 8 4 5 3 9" xfId="37115"/>
    <cellStyle name="Normal 2 8 4 5 4" xfId="37116"/>
    <cellStyle name="Normal 2 8 4 5 4 2" xfId="37117"/>
    <cellStyle name="Normal 2 8 4 5 4 2 2" xfId="37118"/>
    <cellStyle name="Normal 2 8 4 5 4 2 3" xfId="37119"/>
    <cellStyle name="Normal 2 8 4 5 4 3" xfId="37120"/>
    <cellStyle name="Normal 2 8 4 5 4 4" xfId="37121"/>
    <cellStyle name="Normal 2 8 4 5 4 5" xfId="37122"/>
    <cellStyle name="Normal 2 8 4 5 4 6" xfId="37123"/>
    <cellStyle name="Normal 2 8 4 5 5" xfId="37124"/>
    <cellStyle name="Normal 2 8 4 5 5 2" xfId="37125"/>
    <cellStyle name="Normal 2 8 4 5 5 2 2" xfId="37126"/>
    <cellStyle name="Normal 2 8 4 5 5 3" xfId="37127"/>
    <cellStyle name="Normal 2 8 4 5 5 4" xfId="37128"/>
    <cellStyle name="Normal 2 8 4 5 5 5" xfId="37129"/>
    <cellStyle name="Normal 2 8 4 5 6" xfId="37130"/>
    <cellStyle name="Normal 2 8 4 5 6 2" xfId="37131"/>
    <cellStyle name="Normal 2 8 4 5 6 3" xfId="37132"/>
    <cellStyle name="Normal 2 8 4 5 6 4" xfId="37133"/>
    <cellStyle name="Normal 2 8 4 5 7" xfId="37134"/>
    <cellStyle name="Normal 2 8 4 5 7 2" xfId="37135"/>
    <cellStyle name="Normal 2 8 4 5 8" xfId="37136"/>
    <cellStyle name="Normal 2 8 4 5 9" xfId="37137"/>
    <cellStyle name="Normal 2 8 4 6" xfId="37138"/>
    <cellStyle name="Normal 2 8 4 6 10" xfId="37139"/>
    <cellStyle name="Normal 2 8 4 6 11" xfId="37140"/>
    <cellStyle name="Normal 2 8 4 6 2" xfId="37141"/>
    <cellStyle name="Normal 2 8 4 6 2 2" xfId="37142"/>
    <cellStyle name="Normal 2 8 4 6 2 2 2" xfId="37143"/>
    <cellStyle name="Normal 2 8 4 6 2 2 2 2" xfId="37144"/>
    <cellStyle name="Normal 2 8 4 6 2 2 2 3" xfId="37145"/>
    <cellStyle name="Normal 2 8 4 6 2 2 3" xfId="37146"/>
    <cellStyle name="Normal 2 8 4 6 2 2 4" xfId="37147"/>
    <cellStyle name="Normal 2 8 4 6 2 2 5" xfId="37148"/>
    <cellStyle name="Normal 2 8 4 6 2 2 6" xfId="37149"/>
    <cellStyle name="Normal 2 8 4 6 2 3" xfId="37150"/>
    <cellStyle name="Normal 2 8 4 6 2 3 2" xfId="37151"/>
    <cellStyle name="Normal 2 8 4 6 2 3 2 2" xfId="37152"/>
    <cellStyle name="Normal 2 8 4 6 2 3 3" xfId="37153"/>
    <cellStyle name="Normal 2 8 4 6 2 3 4" xfId="37154"/>
    <cellStyle name="Normal 2 8 4 6 2 3 5" xfId="37155"/>
    <cellStyle name="Normal 2 8 4 6 2 4" xfId="37156"/>
    <cellStyle name="Normal 2 8 4 6 2 4 2" xfId="37157"/>
    <cellStyle name="Normal 2 8 4 6 2 4 3" xfId="37158"/>
    <cellStyle name="Normal 2 8 4 6 2 4 4" xfId="37159"/>
    <cellStyle name="Normal 2 8 4 6 2 5" xfId="37160"/>
    <cellStyle name="Normal 2 8 4 6 2 5 2" xfId="37161"/>
    <cellStyle name="Normal 2 8 4 6 2 6" xfId="37162"/>
    <cellStyle name="Normal 2 8 4 6 2 7" xfId="37163"/>
    <cellStyle name="Normal 2 8 4 6 2 8" xfId="37164"/>
    <cellStyle name="Normal 2 8 4 6 2 9" xfId="37165"/>
    <cellStyle name="Normal 2 8 4 6 3" xfId="37166"/>
    <cellStyle name="Normal 2 8 4 6 3 2" xfId="37167"/>
    <cellStyle name="Normal 2 8 4 6 3 2 2" xfId="37168"/>
    <cellStyle name="Normal 2 8 4 6 3 2 2 2" xfId="37169"/>
    <cellStyle name="Normal 2 8 4 6 3 2 2 3" xfId="37170"/>
    <cellStyle name="Normal 2 8 4 6 3 2 3" xfId="37171"/>
    <cellStyle name="Normal 2 8 4 6 3 2 4" xfId="37172"/>
    <cellStyle name="Normal 2 8 4 6 3 2 5" xfId="37173"/>
    <cellStyle name="Normal 2 8 4 6 3 2 6" xfId="37174"/>
    <cellStyle name="Normal 2 8 4 6 3 3" xfId="37175"/>
    <cellStyle name="Normal 2 8 4 6 3 3 2" xfId="37176"/>
    <cellStyle name="Normal 2 8 4 6 3 3 2 2" xfId="37177"/>
    <cellStyle name="Normal 2 8 4 6 3 3 3" xfId="37178"/>
    <cellStyle name="Normal 2 8 4 6 3 3 4" xfId="37179"/>
    <cellStyle name="Normal 2 8 4 6 3 3 5" xfId="37180"/>
    <cellStyle name="Normal 2 8 4 6 3 4" xfId="37181"/>
    <cellStyle name="Normal 2 8 4 6 3 4 2" xfId="37182"/>
    <cellStyle name="Normal 2 8 4 6 3 4 3" xfId="37183"/>
    <cellStyle name="Normal 2 8 4 6 3 4 4" xfId="37184"/>
    <cellStyle name="Normal 2 8 4 6 3 5" xfId="37185"/>
    <cellStyle name="Normal 2 8 4 6 3 5 2" xfId="37186"/>
    <cellStyle name="Normal 2 8 4 6 3 6" xfId="37187"/>
    <cellStyle name="Normal 2 8 4 6 3 7" xfId="37188"/>
    <cellStyle name="Normal 2 8 4 6 3 8" xfId="37189"/>
    <cellStyle name="Normal 2 8 4 6 3 9" xfId="37190"/>
    <cellStyle name="Normal 2 8 4 6 4" xfId="37191"/>
    <cellStyle name="Normal 2 8 4 6 4 2" xfId="37192"/>
    <cellStyle name="Normal 2 8 4 6 4 2 2" xfId="37193"/>
    <cellStyle name="Normal 2 8 4 6 4 2 3" xfId="37194"/>
    <cellStyle name="Normal 2 8 4 6 4 3" xfId="37195"/>
    <cellStyle name="Normal 2 8 4 6 4 4" xfId="37196"/>
    <cellStyle name="Normal 2 8 4 6 4 5" xfId="37197"/>
    <cellStyle name="Normal 2 8 4 6 4 6" xfId="37198"/>
    <cellStyle name="Normal 2 8 4 6 5" xfId="37199"/>
    <cellStyle name="Normal 2 8 4 6 5 2" xfId="37200"/>
    <cellStyle name="Normal 2 8 4 6 5 2 2" xfId="37201"/>
    <cellStyle name="Normal 2 8 4 6 5 3" xfId="37202"/>
    <cellStyle name="Normal 2 8 4 6 5 4" xfId="37203"/>
    <cellStyle name="Normal 2 8 4 6 5 5" xfId="37204"/>
    <cellStyle name="Normal 2 8 4 6 6" xfId="37205"/>
    <cellStyle name="Normal 2 8 4 6 6 2" xfId="37206"/>
    <cellStyle name="Normal 2 8 4 6 6 3" xfId="37207"/>
    <cellStyle name="Normal 2 8 4 6 6 4" xfId="37208"/>
    <cellStyle name="Normal 2 8 4 6 7" xfId="37209"/>
    <cellStyle name="Normal 2 8 4 6 7 2" xfId="37210"/>
    <cellStyle name="Normal 2 8 4 6 8" xfId="37211"/>
    <cellStyle name="Normal 2 8 4 6 9" xfId="37212"/>
    <cellStyle name="Normal 2 8 4 7" xfId="37213"/>
    <cellStyle name="Normal 2 8 4 7 10" xfId="37214"/>
    <cellStyle name="Normal 2 8 4 7 11" xfId="37215"/>
    <cellStyle name="Normal 2 8 4 7 2" xfId="37216"/>
    <cellStyle name="Normal 2 8 4 7 2 2" xfId="37217"/>
    <cellStyle name="Normal 2 8 4 7 2 2 2" xfId="37218"/>
    <cellStyle name="Normal 2 8 4 7 2 2 2 2" xfId="37219"/>
    <cellStyle name="Normal 2 8 4 7 2 2 2 3" xfId="37220"/>
    <cellStyle name="Normal 2 8 4 7 2 2 3" xfId="37221"/>
    <cellStyle name="Normal 2 8 4 7 2 2 4" xfId="37222"/>
    <cellStyle name="Normal 2 8 4 7 2 2 5" xfId="37223"/>
    <cellStyle name="Normal 2 8 4 7 2 2 6" xfId="37224"/>
    <cellStyle name="Normal 2 8 4 7 2 3" xfId="37225"/>
    <cellStyle name="Normal 2 8 4 7 2 3 2" xfId="37226"/>
    <cellStyle name="Normal 2 8 4 7 2 3 2 2" xfId="37227"/>
    <cellStyle name="Normal 2 8 4 7 2 3 3" xfId="37228"/>
    <cellStyle name="Normal 2 8 4 7 2 3 4" xfId="37229"/>
    <cellStyle name="Normal 2 8 4 7 2 3 5" xfId="37230"/>
    <cellStyle name="Normal 2 8 4 7 2 4" xfId="37231"/>
    <cellStyle name="Normal 2 8 4 7 2 4 2" xfId="37232"/>
    <cellStyle name="Normal 2 8 4 7 2 4 3" xfId="37233"/>
    <cellStyle name="Normal 2 8 4 7 2 4 4" xfId="37234"/>
    <cellStyle name="Normal 2 8 4 7 2 5" xfId="37235"/>
    <cellStyle name="Normal 2 8 4 7 2 5 2" xfId="37236"/>
    <cellStyle name="Normal 2 8 4 7 2 6" xfId="37237"/>
    <cellStyle name="Normal 2 8 4 7 2 7" xfId="37238"/>
    <cellStyle name="Normal 2 8 4 7 2 8" xfId="37239"/>
    <cellStyle name="Normal 2 8 4 7 2 9" xfId="37240"/>
    <cellStyle name="Normal 2 8 4 7 3" xfId="37241"/>
    <cellStyle name="Normal 2 8 4 7 3 2" xfId="37242"/>
    <cellStyle name="Normal 2 8 4 7 3 2 2" xfId="37243"/>
    <cellStyle name="Normal 2 8 4 7 3 2 2 2" xfId="37244"/>
    <cellStyle name="Normal 2 8 4 7 3 2 2 3" xfId="37245"/>
    <cellStyle name="Normal 2 8 4 7 3 2 3" xfId="37246"/>
    <cellStyle name="Normal 2 8 4 7 3 2 4" xfId="37247"/>
    <cellStyle name="Normal 2 8 4 7 3 2 5" xfId="37248"/>
    <cellStyle name="Normal 2 8 4 7 3 2 6" xfId="37249"/>
    <cellStyle name="Normal 2 8 4 7 3 3" xfId="37250"/>
    <cellStyle name="Normal 2 8 4 7 3 3 2" xfId="37251"/>
    <cellStyle name="Normal 2 8 4 7 3 3 2 2" xfId="37252"/>
    <cellStyle name="Normal 2 8 4 7 3 3 3" xfId="37253"/>
    <cellStyle name="Normal 2 8 4 7 3 3 4" xfId="37254"/>
    <cellStyle name="Normal 2 8 4 7 3 3 5" xfId="37255"/>
    <cellStyle name="Normal 2 8 4 7 3 4" xfId="37256"/>
    <cellStyle name="Normal 2 8 4 7 3 4 2" xfId="37257"/>
    <cellStyle name="Normal 2 8 4 7 3 4 3" xfId="37258"/>
    <cellStyle name="Normal 2 8 4 7 3 4 4" xfId="37259"/>
    <cellStyle name="Normal 2 8 4 7 3 5" xfId="37260"/>
    <cellStyle name="Normal 2 8 4 7 3 5 2" xfId="37261"/>
    <cellStyle name="Normal 2 8 4 7 3 6" xfId="37262"/>
    <cellStyle name="Normal 2 8 4 7 3 7" xfId="37263"/>
    <cellStyle name="Normal 2 8 4 7 3 8" xfId="37264"/>
    <cellStyle name="Normal 2 8 4 7 3 9" xfId="37265"/>
    <cellStyle name="Normal 2 8 4 7 4" xfId="37266"/>
    <cellStyle name="Normal 2 8 4 7 4 2" xfId="37267"/>
    <cellStyle name="Normal 2 8 4 7 4 2 2" xfId="37268"/>
    <cellStyle name="Normal 2 8 4 7 4 2 3" xfId="37269"/>
    <cellStyle name="Normal 2 8 4 7 4 3" xfId="37270"/>
    <cellStyle name="Normal 2 8 4 7 4 4" xfId="37271"/>
    <cellStyle name="Normal 2 8 4 7 4 5" xfId="37272"/>
    <cellStyle name="Normal 2 8 4 7 4 6" xfId="37273"/>
    <cellStyle name="Normal 2 8 4 7 5" xfId="37274"/>
    <cellStyle name="Normal 2 8 4 7 5 2" xfId="37275"/>
    <cellStyle name="Normal 2 8 4 7 5 2 2" xfId="37276"/>
    <cellStyle name="Normal 2 8 4 7 5 3" xfId="37277"/>
    <cellStyle name="Normal 2 8 4 7 5 4" xfId="37278"/>
    <cellStyle name="Normal 2 8 4 7 5 5" xfId="37279"/>
    <cellStyle name="Normal 2 8 4 7 6" xfId="37280"/>
    <cellStyle name="Normal 2 8 4 7 6 2" xfId="37281"/>
    <cellStyle name="Normal 2 8 4 7 6 3" xfId="37282"/>
    <cellStyle name="Normal 2 8 4 7 6 4" xfId="37283"/>
    <cellStyle name="Normal 2 8 4 7 7" xfId="37284"/>
    <cellStyle name="Normal 2 8 4 7 7 2" xfId="37285"/>
    <cellStyle name="Normal 2 8 4 7 8" xfId="37286"/>
    <cellStyle name="Normal 2 8 4 7 9" xfId="37287"/>
    <cellStyle name="Normal 2 8 4 8" xfId="37288"/>
    <cellStyle name="Normal 2 8 4 8 10" xfId="37289"/>
    <cellStyle name="Normal 2 8 4 8 2" xfId="37290"/>
    <cellStyle name="Normal 2 8 4 8 2 2" xfId="37291"/>
    <cellStyle name="Normal 2 8 4 8 2 2 2" xfId="37292"/>
    <cellStyle name="Normal 2 8 4 8 2 2 3" xfId="37293"/>
    <cellStyle name="Normal 2 8 4 8 2 3" xfId="37294"/>
    <cellStyle name="Normal 2 8 4 8 2 4" xfId="37295"/>
    <cellStyle name="Normal 2 8 4 8 2 5" xfId="37296"/>
    <cellStyle name="Normal 2 8 4 8 2 6" xfId="37297"/>
    <cellStyle name="Normal 2 8 4 8 3" xfId="37298"/>
    <cellStyle name="Normal 2 8 4 8 3 2" xfId="37299"/>
    <cellStyle name="Normal 2 8 4 8 3 2 2" xfId="37300"/>
    <cellStyle name="Normal 2 8 4 8 3 2 3" xfId="37301"/>
    <cellStyle name="Normal 2 8 4 8 3 3" xfId="37302"/>
    <cellStyle name="Normal 2 8 4 8 3 4" xfId="37303"/>
    <cellStyle name="Normal 2 8 4 8 3 5" xfId="37304"/>
    <cellStyle name="Normal 2 8 4 8 3 6" xfId="37305"/>
    <cellStyle name="Normal 2 8 4 8 4" xfId="37306"/>
    <cellStyle name="Normal 2 8 4 8 4 2" xfId="37307"/>
    <cellStyle name="Normal 2 8 4 8 4 2 2" xfId="37308"/>
    <cellStyle name="Normal 2 8 4 8 4 3" xfId="37309"/>
    <cellStyle name="Normal 2 8 4 8 4 4" xfId="37310"/>
    <cellStyle name="Normal 2 8 4 8 4 5" xfId="37311"/>
    <cellStyle name="Normal 2 8 4 8 5" xfId="37312"/>
    <cellStyle name="Normal 2 8 4 8 5 2" xfId="37313"/>
    <cellStyle name="Normal 2 8 4 8 5 3" xfId="37314"/>
    <cellStyle name="Normal 2 8 4 8 5 4" xfId="37315"/>
    <cellStyle name="Normal 2 8 4 8 6" xfId="37316"/>
    <cellStyle name="Normal 2 8 4 8 6 2" xfId="37317"/>
    <cellStyle name="Normal 2 8 4 8 7" xfId="37318"/>
    <cellStyle name="Normal 2 8 4 8 8" xfId="37319"/>
    <cellStyle name="Normal 2 8 4 8 9" xfId="37320"/>
    <cellStyle name="Normal 2 8 4 9" xfId="37321"/>
    <cellStyle name="Normal 2 8 4 9 10" xfId="37322"/>
    <cellStyle name="Normal 2 8 4 9 2" xfId="37323"/>
    <cellStyle name="Normal 2 8 4 9 2 2" xfId="37324"/>
    <cellStyle name="Normal 2 8 4 9 2 2 2" xfId="37325"/>
    <cellStyle name="Normal 2 8 4 9 2 2 3" xfId="37326"/>
    <cellStyle name="Normal 2 8 4 9 2 3" xfId="37327"/>
    <cellStyle name="Normal 2 8 4 9 2 4" xfId="37328"/>
    <cellStyle name="Normal 2 8 4 9 2 5" xfId="37329"/>
    <cellStyle name="Normal 2 8 4 9 2 6" xfId="37330"/>
    <cellStyle name="Normal 2 8 4 9 3" xfId="37331"/>
    <cellStyle name="Normal 2 8 4 9 3 2" xfId="37332"/>
    <cellStyle name="Normal 2 8 4 9 3 2 2" xfId="37333"/>
    <cellStyle name="Normal 2 8 4 9 3 2 3" xfId="37334"/>
    <cellStyle name="Normal 2 8 4 9 3 3" xfId="37335"/>
    <cellStyle name="Normal 2 8 4 9 3 4" xfId="37336"/>
    <cellStyle name="Normal 2 8 4 9 3 5" xfId="37337"/>
    <cellStyle name="Normal 2 8 4 9 3 6" xfId="37338"/>
    <cellStyle name="Normal 2 8 4 9 4" xfId="37339"/>
    <cellStyle name="Normal 2 8 4 9 4 2" xfId="37340"/>
    <cellStyle name="Normal 2 8 4 9 4 2 2" xfId="37341"/>
    <cellStyle name="Normal 2 8 4 9 4 3" xfId="37342"/>
    <cellStyle name="Normal 2 8 4 9 4 4" xfId="37343"/>
    <cellStyle name="Normal 2 8 4 9 4 5" xfId="37344"/>
    <cellStyle name="Normal 2 8 4 9 5" xfId="37345"/>
    <cellStyle name="Normal 2 8 4 9 5 2" xfId="37346"/>
    <cellStyle name="Normal 2 8 4 9 5 3" xfId="37347"/>
    <cellStyle name="Normal 2 8 4 9 5 4" xfId="37348"/>
    <cellStyle name="Normal 2 8 4 9 6" xfId="37349"/>
    <cellStyle name="Normal 2 8 4 9 6 2" xfId="37350"/>
    <cellStyle name="Normal 2 8 4 9 7" xfId="37351"/>
    <cellStyle name="Normal 2 8 4 9 8" xfId="37352"/>
    <cellStyle name="Normal 2 8 4 9 9" xfId="37353"/>
    <cellStyle name="Normal 2 8 5" xfId="37354"/>
    <cellStyle name="Normal 2 8 5 10" xfId="37355"/>
    <cellStyle name="Normal 2 8 5 11" xfId="37356"/>
    <cellStyle name="Normal 2 8 5 2" xfId="37357"/>
    <cellStyle name="Normal 2 8 5 2 2" xfId="37358"/>
    <cellStyle name="Normal 2 8 5 2 2 2" xfId="37359"/>
    <cellStyle name="Normal 2 8 5 2 2 2 2" xfId="37360"/>
    <cellStyle name="Normal 2 8 5 2 2 2 3" xfId="37361"/>
    <cellStyle name="Normal 2 8 5 2 2 3" xfId="37362"/>
    <cellStyle name="Normal 2 8 5 2 2 4" xfId="37363"/>
    <cellStyle name="Normal 2 8 5 2 2 5" xfId="37364"/>
    <cellStyle name="Normal 2 8 5 2 2 6" xfId="37365"/>
    <cellStyle name="Normal 2 8 5 2 3" xfId="37366"/>
    <cellStyle name="Normal 2 8 5 2 3 2" xfId="37367"/>
    <cellStyle name="Normal 2 8 5 2 3 2 2" xfId="37368"/>
    <cellStyle name="Normal 2 8 5 2 3 3" xfId="37369"/>
    <cellStyle name="Normal 2 8 5 2 3 4" xfId="37370"/>
    <cellStyle name="Normal 2 8 5 2 3 5" xfId="37371"/>
    <cellStyle name="Normal 2 8 5 2 4" xfId="37372"/>
    <cellStyle name="Normal 2 8 5 2 4 2" xfId="37373"/>
    <cellStyle name="Normal 2 8 5 2 4 3" xfId="37374"/>
    <cellStyle name="Normal 2 8 5 2 4 4" xfId="37375"/>
    <cellStyle name="Normal 2 8 5 2 5" xfId="37376"/>
    <cellStyle name="Normal 2 8 5 2 5 2" xfId="37377"/>
    <cellStyle name="Normal 2 8 5 2 6" xfId="37378"/>
    <cellStyle name="Normal 2 8 5 2 7" xfId="37379"/>
    <cellStyle name="Normal 2 8 5 2 8" xfId="37380"/>
    <cellStyle name="Normal 2 8 5 2 9" xfId="37381"/>
    <cellStyle name="Normal 2 8 5 3" xfId="37382"/>
    <cellStyle name="Normal 2 8 5 3 2" xfId="37383"/>
    <cellStyle name="Normal 2 8 5 3 2 2" xfId="37384"/>
    <cellStyle name="Normal 2 8 5 3 2 2 2" xfId="37385"/>
    <cellStyle name="Normal 2 8 5 3 2 2 3" xfId="37386"/>
    <cellStyle name="Normal 2 8 5 3 2 3" xfId="37387"/>
    <cellStyle name="Normal 2 8 5 3 2 4" xfId="37388"/>
    <cellStyle name="Normal 2 8 5 3 2 5" xfId="37389"/>
    <cellStyle name="Normal 2 8 5 3 2 6" xfId="37390"/>
    <cellStyle name="Normal 2 8 5 3 3" xfId="37391"/>
    <cellStyle name="Normal 2 8 5 3 3 2" xfId="37392"/>
    <cellStyle name="Normal 2 8 5 3 3 2 2" xfId="37393"/>
    <cellStyle name="Normal 2 8 5 3 3 3" xfId="37394"/>
    <cellStyle name="Normal 2 8 5 3 3 4" xfId="37395"/>
    <cellStyle name="Normal 2 8 5 3 3 5" xfId="37396"/>
    <cellStyle name="Normal 2 8 5 3 4" xfId="37397"/>
    <cellStyle name="Normal 2 8 5 3 4 2" xfId="37398"/>
    <cellStyle name="Normal 2 8 5 3 4 3" xfId="37399"/>
    <cellStyle name="Normal 2 8 5 3 4 4" xfId="37400"/>
    <cellStyle name="Normal 2 8 5 3 5" xfId="37401"/>
    <cellStyle name="Normal 2 8 5 3 5 2" xfId="37402"/>
    <cellStyle name="Normal 2 8 5 3 6" xfId="37403"/>
    <cellStyle name="Normal 2 8 5 3 7" xfId="37404"/>
    <cellStyle name="Normal 2 8 5 3 8" xfId="37405"/>
    <cellStyle name="Normal 2 8 5 3 9" xfId="37406"/>
    <cellStyle name="Normal 2 8 5 4" xfId="37407"/>
    <cellStyle name="Normal 2 8 5 4 2" xfId="37408"/>
    <cellStyle name="Normal 2 8 5 4 2 2" xfId="37409"/>
    <cellStyle name="Normal 2 8 5 4 2 3" xfId="37410"/>
    <cellStyle name="Normal 2 8 5 4 3" xfId="37411"/>
    <cellStyle name="Normal 2 8 5 4 4" xfId="37412"/>
    <cellStyle name="Normal 2 8 5 4 5" xfId="37413"/>
    <cellStyle name="Normal 2 8 5 4 6" xfId="37414"/>
    <cellStyle name="Normal 2 8 5 5" xfId="37415"/>
    <cellStyle name="Normal 2 8 5 5 2" xfId="37416"/>
    <cellStyle name="Normal 2 8 5 5 2 2" xfId="37417"/>
    <cellStyle name="Normal 2 8 5 5 3" xfId="37418"/>
    <cellStyle name="Normal 2 8 5 5 4" xfId="37419"/>
    <cellStyle name="Normal 2 8 5 5 5" xfId="37420"/>
    <cellStyle name="Normal 2 8 5 6" xfId="37421"/>
    <cellStyle name="Normal 2 8 5 6 2" xfId="37422"/>
    <cellStyle name="Normal 2 8 5 6 3" xfId="37423"/>
    <cellStyle name="Normal 2 8 5 6 4" xfId="37424"/>
    <cellStyle name="Normal 2 8 5 7" xfId="37425"/>
    <cellStyle name="Normal 2 8 5 7 2" xfId="37426"/>
    <cellStyle name="Normal 2 8 5 8" xfId="37427"/>
    <cellStyle name="Normal 2 8 5 9" xfId="37428"/>
    <cellStyle name="Normal 2 8 6" xfId="37429"/>
    <cellStyle name="Normal 2 8 6 10" xfId="37430"/>
    <cellStyle name="Normal 2 8 6 11" xfId="37431"/>
    <cellStyle name="Normal 2 8 6 2" xfId="37432"/>
    <cellStyle name="Normal 2 8 6 2 2" xfId="37433"/>
    <cellStyle name="Normal 2 8 6 2 2 2" xfId="37434"/>
    <cellStyle name="Normal 2 8 6 2 2 2 2" xfId="37435"/>
    <cellStyle name="Normal 2 8 6 2 2 2 3" xfId="37436"/>
    <cellStyle name="Normal 2 8 6 2 2 3" xfId="37437"/>
    <cellStyle name="Normal 2 8 6 2 2 4" xfId="37438"/>
    <cellStyle name="Normal 2 8 6 2 2 5" xfId="37439"/>
    <cellStyle name="Normal 2 8 6 2 2 6" xfId="37440"/>
    <cellStyle name="Normal 2 8 6 2 3" xfId="37441"/>
    <cellStyle name="Normal 2 8 6 2 3 2" xfId="37442"/>
    <cellStyle name="Normal 2 8 6 2 3 2 2" xfId="37443"/>
    <cellStyle name="Normal 2 8 6 2 3 3" xfId="37444"/>
    <cellStyle name="Normal 2 8 6 2 3 4" xfId="37445"/>
    <cellStyle name="Normal 2 8 6 2 3 5" xfId="37446"/>
    <cellStyle name="Normal 2 8 6 2 4" xfId="37447"/>
    <cellStyle name="Normal 2 8 6 2 4 2" xfId="37448"/>
    <cellStyle name="Normal 2 8 6 2 4 3" xfId="37449"/>
    <cellStyle name="Normal 2 8 6 2 4 4" xfId="37450"/>
    <cellStyle name="Normal 2 8 6 2 5" xfId="37451"/>
    <cellStyle name="Normal 2 8 6 2 5 2" xfId="37452"/>
    <cellStyle name="Normal 2 8 6 2 6" xfId="37453"/>
    <cellStyle name="Normal 2 8 6 2 7" xfId="37454"/>
    <cellStyle name="Normal 2 8 6 2 8" xfId="37455"/>
    <cellStyle name="Normal 2 8 6 2 9" xfId="37456"/>
    <cellStyle name="Normal 2 8 6 3" xfId="37457"/>
    <cellStyle name="Normal 2 8 6 3 2" xfId="37458"/>
    <cellStyle name="Normal 2 8 6 3 2 2" xfId="37459"/>
    <cellStyle name="Normal 2 8 6 3 2 2 2" xfId="37460"/>
    <cellStyle name="Normal 2 8 6 3 2 2 3" xfId="37461"/>
    <cellStyle name="Normal 2 8 6 3 2 3" xfId="37462"/>
    <cellStyle name="Normal 2 8 6 3 2 4" xfId="37463"/>
    <cellStyle name="Normal 2 8 6 3 2 5" xfId="37464"/>
    <cellStyle name="Normal 2 8 6 3 2 6" xfId="37465"/>
    <cellStyle name="Normal 2 8 6 3 3" xfId="37466"/>
    <cellStyle name="Normal 2 8 6 3 3 2" xfId="37467"/>
    <cellStyle name="Normal 2 8 6 3 3 2 2" xfId="37468"/>
    <cellStyle name="Normal 2 8 6 3 3 3" xfId="37469"/>
    <cellStyle name="Normal 2 8 6 3 3 4" xfId="37470"/>
    <cellStyle name="Normal 2 8 6 3 3 5" xfId="37471"/>
    <cellStyle name="Normal 2 8 6 3 4" xfId="37472"/>
    <cellStyle name="Normal 2 8 6 3 4 2" xfId="37473"/>
    <cellStyle name="Normal 2 8 6 3 4 3" xfId="37474"/>
    <cellStyle name="Normal 2 8 6 3 4 4" xfId="37475"/>
    <cellStyle name="Normal 2 8 6 3 5" xfId="37476"/>
    <cellStyle name="Normal 2 8 6 3 5 2" xfId="37477"/>
    <cellStyle name="Normal 2 8 6 3 6" xfId="37478"/>
    <cellStyle name="Normal 2 8 6 3 7" xfId="37479"/>
    <cellStyle name="Normal 2 8 6 3 8" xfId="37480"/>
    <cellStyle name="Normal 2 8 6 3 9" xfId="37481"/>
    <cellStyle name="Normal 2 8 6 4" xfId="37482"/>
    <cellStyle name="Normal 2 8 6 4 2" xfId="37483"/>
    <cellStyle name="Normal 2 8 6 4 2 2" xfId="37484"/>
    <cellStyle name="Normal 2 8 6 4 2 3" xfId="37485"/>
    <cellStyle name="Normal 2 8 6 4 3" xfId="37486"/>
    <cellStyle name="Normal 2 8 6 4 4" xfId="37487"/>
    <cellStyle name="Normal 2 8 6 4 5" xfId="37488"/>
    <cellStyle name="Normal 2 8 6 4 6" xfId="37489"/>
    <cellStyle name="Normal 2 8 6 5" xfId="37490"/>
    <cellStyle name="Normal 2 8 6 5 2" xfId="37491"/>
    <cellStyle name="Normal 2 8 6 5 2 2" xfId="37492"/>
    <cellStyle name="Normal 2 8 6 5 3" xfId="37493"/>
    <cellStyle name="Normal 2 8 6 5 4" xfId="37494"/>
    <cellStyle name="Normal 2 8 6 5 5" xfId="37495"/>
    <cellStyle name="Normal 2 8 6 6" xfId="37496"/>
    <cellStyle name="Normal 2 8 6 6 2" xfId="37497"/>
    <cellStyle name="Normal 2 8 6 6 3" xfId="37498"/>
    <cellStyle name="Normal 2 8 6 6 4" xfId="37499"/>
    <cellStyle name="Normal 2 8 6 7" xfId="37500"/>
    <cellStyle name="Normal 2 8 6 7 2" xfId="37501"/>
    <cellStyle name="Normal 2 8 6 8" xfId="37502"/>
    <cellStyle name="Normal 2 8 6 9" xfId="37503"/>
    <cellStyle name="Normal 2 8 7" xfId="37504"/>
    <cellStyle name="Normal 2 8 7 10" xfId="37505"/>
    <cellStyle name="Normal 2 8 7 11" xfId="37506"/>
    <cellStyle name="Normal 2 8 7 2" xfId="37507"/>
    <cellStyle name="Normal 2 8 7 2 2" xfId="37508"/>
    <cellStyle name="Normal 2 8 7 2 2 2" xfId="37509"/>
    <cellStyle name="Normal 2 8 7 2 2 2 2" xfId="37510"/>
    <cellStyle name="Normal 2 8 7 2 2 2 3" xfId="37511"/>
    <cellStyle name="Normal 2 8 7 2 2 3" xfId="37512"/>
    <cellStyle name="Normal 2 8 7 2 2 4" xfId="37513"/>
    <cellStyle name="Normal 2 8 7 2 2 5" xfId="37514"/>
    <cellStyle name="Normal 2 8 7 2 2 6" xfId="37515"/>
    <cellStyle name="Normal 2 8 7 2 3" xfId="37516"/>
    <cellStyle name="Normal 2 8 7 2 3 2" xfId="37517"/>
    <cellStyle name="Normal 2 8 7 2 3 2 2" xfId="37518"/>
    <cellStyle name="Normal 2 8 7 2 3 3" xfId="37519"/>
    <cellStyle name="Normal 2 8 7 2 3 4" xfId="37520"/>
    <cellStyle name="Normal 2 8 7 2 3 5" xfId="37521"/>
    <cellStyle name="Normal 2 8 7 2 4" xfId="37522"/>
    <cellStyle name="Normal 2 8 7 2 4 2" xfId="37523"/>
    <cellStyle name="Normal 2 8 7 2 4 3" xfId="37524"/>
    <cellStyle name="Normal 2 8 7 2 4 4" xfId="37525"/>
    <cellStyle name="Normal 2 8 7 2 5" xfId="37526"/>
    <cellStyle name="Normal 2 8 7 2 5 2" xfId="37527"/>
    <cellStyle name="Normal 2 8 7 2 6" xfId="37528"/>
    <cellStyle name="Normal 2 8 7 2 7" xfId="37529"/>
    <cellStyle name="Normal 2 8 7 2 8" xfId="37530"/>
    <cellStyle name="Normal 2 8 7 2 9" xfId="37531"/>
    <cellStyle name="Normal 2 8 7 3" xfId="37532"/>
    <cellStyle name="Normal 2 8 7 3 2" xfId="37533"/>
    <cellStyle name="Normal 2 8 7 3 2 2" xfId="37534"/>
    <cellStyle name="Normal 2 8 7 3 2 2 2" xfId="37535"/>
    <cellStyle name="Normal 2 8 7 3 2 2 3" xfId="37536"/>
    <cellStyle name="Normal 2 8 7 3 2 3" xfId="37537"/>
    <cellStyle name="Normal 2 8 7 3 2 4" xfId="37538"/>
    <cellStyle name="Normal 2 8 7 3 2 5" xfId="37539"/>
    <cellStyle name="Normal 2 8 7 3 2 6" xfId="37540"/>
    <cellStyle name="Normal 2 8 7 3 3" xfId="37541"/>
    <cellStyle name="Normal 2 8 7 3 3 2" xfId="37542"/>
    <cellStyle name="Normal 2 8 7 3 3 2 2" xfId="37543"/>
    <cellStyle name="Normal 2 8 7 3 3 3" xfId="37544"/>
    <cellStyle name="Normal 2 8 7 3 3 4" xfId="37545"/>
    <cellStyle name="Normal 2 8 7 3 3 5" xfId="37546"/>
    <cellStyle name="Normal 2 8 7 3 4" xfId="37547"/>
    <cellStyle name="Normal 2 8 7 3 4 2" xfId="37548"/>
    <cellStyle name="Normal 2 8 7 3 4 3" xfId="37549"/>
    <cellStyle name="Normal 2 8 7 3 4 4" xfId="37550"/>
    <cellStyle name="Normal 2 8 7 3 5" xfId="37551"/>
    <cellStyle name="Normal 2 8 7 3 5 2" xfId="37552"/>
    <cellStyle name="Normal 2 8 7 3 6" xfId="37553"/>
    <cellStyle name="Normal 2 8 7 3 7" xfId="37554"/>
    <cellStyle name="Normal 2 8 7 3 8" xfId="37555"/>
    <cellStyle name="Normal 2 8 7 3 9" xfId="37556"/>
    <cellStyle name="Normal 2 8 7 4" xfId="37557"/>
    <cellStyle name="Normal 2 8 7 4 2" xfId="37558"/>
    <cellStyle name="Normal 2 8 7 4 2 2" xfId="37559"/>
    <cellStyle name="Normal 2 8 7 4 2 3" xfId="37560"/>
    <cellStyle name="Normal 2 8 7 4 3" xfId="37561"/>
    <cellStyle name="Normal 2 8 7 4 4" xfId="37562"/>
    <cellStyle name="Normal 2 8 7 4 5" xfId="37563"/>
    <cellStyle name="Normal 2 8 7 4 6" xfId="37564"/>
    <cellStyle name="Normal 2 8 7 5" xfId="37565"/>
    <cellStyle name="Normal 2 8 7 5 2" xfId="37566"/>
    <cellStyle name="Normal 2 8 7 5 2 2" xfId="37567"/>
    <cellStyle name="Normal 2 8 7 5 3" xfId="37568"/>
    <cellStyle name="Normal 2 8 7 5 4" xfId="37569"/>
    <cellStyle name="Normal 2 8 7 5 5" xfId="37570"/>
    <cellStyle name="Normal 2 8 7 6" xfId="37571"/>
    <cellStyle name="Normal 2 8 7 6 2" xfId="37572"/>
    <cellStyle name="Normal 2 8 7 6 3" xfId="37573"/>
    <cellStyle name="Normal 2 8 7 6 4" xfId="37574"/>
    <cellStyle name="Normal 2 8 7 7" xfId="37575"/>
    <cellStyle name="Normal 2 8 7 7 2" xfId="37576"/>
    <cellStyle name="Normal 2 8 7 8" xfId="37577"/>
    <cellStyle name="Normal 2 8 7 9" xfId="37578"/>
    <cellStyle name="Normal 2 8 8" xfId="37579"/>
    <cellStyle name="Normal 2 8 8 10" xfId="37580"/>
    <cellStyle name="Normal 2 8 8 11" xfId="37581"/>
    <cellStyle name="Normal 2 8 8 2" xfId="37582"/>
    <cellStyle name="Normal 2 8 8 2 2" xfId="37583"/>
    <cellStyle name="Normal 2 8 8 2 2 2" xfId="37584"/>
    <cellStyle name="Normal 2 8 8 2 2 2 2" xfId="37585"/>
    <cellStyle name="Normal 2 8 8 2 2 2 3" xfId="37586"/>
    <cellStyle name="Normal 2 8 8 2 2 3" xfId="37587"/>
    <cellStyle name="Normal 2 8 8 2 2 4" xfId="37588"/>
    <cellStyle name="Normal 2 8 8 2 2 5" xfId="37589"/>
    <cellStyle name="Normal 2 8 8 2 2 6" xfId="37590"/>
    <cellStyle name="Normal 2 8 8 2 3" xfId="37591"/>
    <cellStyle name="Normal 2 8 8 2 3 2" xfId="37592"/>
    <cellStyle name="Normal 2 8 8 2 3 2 2" xfId="37593"/>
    <cellStyle name="Normal 2 8 8 2 3 3" xfId="37594"/>
    <cellStyle name="Normal 2 8 8 2 3 4" xfId="37595"/>
    <cellStyle name="Normal 2 8 8 2 3 5" xfId="37596"/>
    <cellStyle name="Normal 2 8 8 2 4" xfId="37597"/>
    <cellStyle name="Normal 2 8 8 2 4 2" xfId="37598"/>
    <cellStyle name="Normal 2 8 8 2 4 3" xfId="37599"/>
    <cellStyle name="Normal 2 8 8 2 4 4" xfId="37600"/>
    <cellStyle name="Normal 2 8 8 2 5" xfId="37601"/>
    <cellStyle name="Normal 2 8 8 2 5 2" xfId="37602"/>
    <cellStyle name="Normal 2 8 8 2 6" xfId="37603"/>
    <cellStyle name="Normal 2 8 8 2 7" xfId="37604"/>
    <cellStyle name="Normal 2 8 8 2 8" xfId="37605"/>
    <cellStyle name="Normal 2 8 8 2 9" xfId="37606"/>
    <cellStyle name="Normal 2 8 8 3" xfId="37607"/>
    <cellStyle name="Normal 2 8 8 3 2" xfId="37608"/>
    <cellStyle name="Normal 2 8 8 3 2 2" xfId="37609"/>
    <cellStyle name="Normal 2 8 8 3 2 2 2" xfId="37610"/>
    <cellStyle name="Normal 2 8 8 3 2 2 3" xfId="37611"/>
    <cellStyle name="Normal 2 8 8 3 2 3" xfId="37612"/>
    <cellStyle name="Normal 2 8 8 3 2 4" xfId="37613"/>
    <cellStyle name="Normal 2 8 8 3 2 5" xfId="37614"/>
    <cellStyle name="Normal 2 8 8 3 2 6" xfId="37615"/>
    <cellStyle name="Normal 2 8 8 3 3" xfId="37616"/>
    <cellStyle name="Normal 2 8 8 3 3 2" xfId="37617"/>
    <cellStyle name="Normal 2 8 8 3 3 2 2" xfId="37618"/>
    <cellStyle name="Normal 2 8 8 3 3 3" xfId="37619"/>
    <cellStyle name="Normal 2 8 8 3 3 4" xfId="37620"/>
    <cellStyle name="Normal 2 8 8 3 3 5" xfId="37621"/>
    <cellStyle name="Normal 2 8 8 3 4" xfId="37622"/>
    <cellStyle name="Normal 2 8 8 3 4 2" xfId="37623"/>
    <cellStyle name="Normal 2 8 8 3 4 3" xfId="37624"/>
    <cellStyle name="Normal 2 8 8 3 4 4" xfId="37625"/>
    <cellStyle name="Normal 2 8 8 3 5" xfId="37626"/>
    <cellStyle name="Normal 2 8 8 3 5 2" xfId="37627"/>
    <cellStyle name="Normal 2 8 8 3 6" xfId="37628"/>
    <cellStyle name="Normal 2 8 8 3 7" xfId="37629"/>
    <cellStyle name="Normal 2 8 8 3 8" xfId="37630"/>
    <cellStyle name="Normal 2 8 8 3 9" xfId="37631"/>
    <cellStyle name="Normal 2 8 8 4" xfId="37632"/>
    <cellStyle name="Normal 2 8 8 4 2" xfId="37633"/>
    <cellStyle name="Normal 2 8 8 4 2 2" xfId="37634"/>
    <cellStyle name="Normal 2 8 8 4 2 3" xfId="37635"/>
    <cellStyle name="Normal 2 8 8 4 3" xfId="37636"/>
    <cellStyle name="Normal 2 8 8 4 4" xfId="37637"/>
    <cellStyle name="Normal 2 8 8 4 5" xfId="37638"/>
    <cellStyle name="Normal 2 8 8 4 6" xfId="37639"/>
    <cellStyle name="Normal 2 8 8 5" xfId="37640"/>
    <cellStyle name="Normal 2 8 8 5 2" xfId="37641"/>
    <cellStyle name="Normal 2 8 8 5 2 2" xfId="37642"/>
    <cellStyle name="Normal 2 8 8 5 3" xfId="37643"/>
    <cellStyle name="Normal 2 8 8 5 4" xfId="37644"/>
    <cellStyle name="Normal 2 8 8 5 5" xfId="37645"/>
    <cellStyle name="Normal 2 8 8 6" xfId="37646"/>
    <cellStyle name="Normal 2 8 8 6 2" xfId="37647"/>
    <cellStyle name="Normal 2 8 8 6 3" xfId="37648"/>
    <cellStyle name="Normal 2 8 8 6 4" xfId="37649"/>
    <cellStyle name="Normal 2 8 8 7" xfId="37650"/>
    <cellStyle name="Normal 2 8 8 7 2" xfId="37651"/>
    <cellStyle name="Normal 2 8 8 8" xfId="37652"/>
    <cellStyle name="Normal 2 8 8 9" xfId="37653"/>
    <cellStyle name="Normal 2 8 9" xfId="37654"/>
    <cellStyle name="Normal 2 8 9 10" xfId="37655"/>
    <cellStyle name="Normal 2 8 9 11" xfId="37656"/>
    <cellStyle name="Normal 2 8 9 2" xfId="37657"/>
    <cellStyle name="Normal 2 8 9 2 2" xfId="37658"/>
    <cellStyle name="Normal 2 8 9 2 2 2" xfId="37659"/>
    <cellStyle name="Normal 2 8 9 2 2 2 2" xfId="37660"/>
    <cellStyle name="Normal 2 8 9 2 2 2 3" xfId="37661"/>
    <cellStyle name="Normal 2 8 9 2 2 3" xfId="37662"/>
    <cellStyle name="Normal 2 8 9 2 2 4" xfId="37663"/>
    <cellStyle name="Normal 2 8 9 2 2 5" xfId="37664"/>
    <cellStyle name="Normal 2 8 9 2 2 6" xfId="37665"/>
    <cellStyle name="Normal 2 8 9 2 3" xfId="37666"/>
    <cellStyle name="Normal 2 8 9 2 3 2" xfId="37667"/>
    <cellStyle name="Normal 2 8 9 2 3 2 2" xfId="37668"/>
    <cellStyle name="Normal 2 8 9 2 3 3" xfId="37669"/>
    <cellStyle name="Normal 2 8 9 2 3 4" xfId="37670"/>
    <cellStyle name="Normal 2 8 9 2 3 5" xfId="37671"/>
    <cellStyle name="Normal 2 8 9 2 4" xfId="37672"/>
    <cellStyle name="Normal 2 8 9 2 4 2" xfId="37673"/>
    <cellStyle name="Normal 2 8 9 2 4 3" xfId="37674"/>
    <cellStyle name="Normal 2 8 9 2 4 4" xfId="37675"/>
    <cellStyle name="Normal 2 8 9 2 5" xfId="37676"/>
    <cellStyle name="Normal 2 8 9 2 5 2" xfId="37677"/>
    <cellStyle name="Normal 2 8 9 2 6" xfId="37678"/>
    <cellStyle name="Normal 2 8 9 2 7" xfId="37679"/>
    <cellStyle name="Normal 2 8 9 2 8" xfId="37680"/>
    <cellStyle name="Normal 2 8 9 2 9" xfId="37681"/>
    <cellStyle name="Normal 2 8 9 3" xfId="37682"/>
    <cellStyle name="Normal 2 8 9 3 2" xfId="37683"/>
    <cellStyle name="Normal 2 8 9 3 2 2" xfId="37684"/>
    <cellStyle name="Normal 2 8 9 3 2 2 2" xfId="37685"/>
    <cellStyle name="Normal 2 8 9 3 2 2 3" xfId="37686"/>
    <cellStyle name="Normal 2 8 9 3 2 3" xfId="37687"/>
    <cellStyle name="Normal 2 8 9 3 2 4" xfId="37688"/>
    <cellStyle name="Normal 2 8 9 3 2 5" xfId="37689"/>
    <cellStyle name="Normal 2 8 9 3 2 6" xfId="37690"/>
    <cellStyle name="Normal 2 8 9 3 3" xfId="37691"/>
    <cellStyle name="Normal 2 8 9 3 3 2" xfId="37692"/>
    <cellStyle name="Normal 2 8 9 3 3 2 2" xfId="37693"/>
    <cellStyle name="Normal 2 8 9 3 3 3" xfId="37694"/>
    <cellStyle name="Normal 2 8 9 3 3 4" xfId="37695"/>
    <cellStyle name="Normal 2 8 9 3 3 5" xfId="37696"/>
    <cellStyle name="Normal 2 8 9 3 4" xfId="37697"/>
    <cellStyle name="Normal 2 8 9 3 4 2" xfId="37698"/>
    <cellStyle name="Normal 2 8 9 3 4 3" xfId="37699"/>
    <cellStyle name="Normal 2 8 9 3 4 4" xfId="37700"/>
    <cellStyle name="Normal 2 8 9 3 5" xfId="37701"/>
    <cellStyle name="Normal 2 8 9 3 5 2" xfId="37702"/>
    <cellStyle name="Normal 2 8 9 3 6" xfId="37703"/>
    <cellStyle name="Normal 2 8 9 3 7" xfId="37704"/>
    <cellStyle name="Normal 2 8 9 3 8" xfId="37705"/>
    <cellStyle name="Normal 2 8 9 3 9" xfId="37706"/>
    <cellStyle name="Normal 2 8 9 4" xfId="37707"/>
    <cellStyle name="Normal 2 8 9 4 2" xfId="37708"/>
    <cellStyle name="Normal 2 8 9 4 2 2" xfId="37709"/>
    <cellStyle name="Normal 2 8 9 4 2 3" xfId="37710"/>
    <cellStyle name="Normal 2 8 9 4 3" xfId="37711"/>
    <cellStyle name="Normal 2 8 9 4 4" xfId="37712"/>
    <cellStyle name="Normal 2 8 9 4 5" xfId="37713"/>
    <cellStyle name="Normal 2 8 9 4 6" xfId="37714"/>
    <cellStyle name="Normal 2 8 9 5" xfId="37715"/>
    <cellStyle name="Normal 2 8 9 5 2" xfId="37716"/>
    <cellStyle name="Normal 2 8 9 5 2 2" xfId="37717"/>
    <cellStyle name="Normal 2 8 9 5 3" xfId="37718"/>
    <cellStyle name="Normal 2 8 9 5 4" xfId="37719"/>
    <cellStyle name="Normal 2 8 9 5 5" xfId="37720"/>
    <cellStyle name="Normal 2 8 9 6" xfId="37721"/>
    <cellStyle name="Normal 2 8 9 6 2" xfId="37722"/>
    <cellStyle name="Normal 2 8 9 6 3" xfId="37723"/>
    <cellStyle name="Normal 2 8 9 6 4" xfId="37724"/>
    <cellStyle name="Normal 2 8 9 7" xfId="37725"/>
    <cellStyle name="Normal 2 8 9 7 2" xfId="37726"/>
    <cellStyle name="Normal 2 8 9 8" xfId="37727"/>
    <cellStyle name="Normal 2 8 9 9" xfId="37728"/>
    <cellStyle name="Normal 2 9" xfId="37729"/>
    <cellStyle name="Normal 2 9 2" xfId="37730"/>
    <cellStyle name="Normal 2 9 2 10" xfId="37731"/>
    <cellStyle name="Normal 2 9 2 10 10" xfId="37732"/>
    <cellStyle name="Normal 2 9 2 10 2" xfId="37733"/>
    <cellStyle name="Normal 2 9 2 10 2 2" xfId="37734"/>
    <cellStyle name="Normal 2 9 2 10 2 2 2" xfId="37735"/>
    <cellStyle name="Normal 2 9 2 10 2 2 3" xfId="37736"/>
    <cellStyle name="Normal 2 9 2 10 2 3" xfId="37737"/>
    <cellStyle name="Normal 2 9 2 10 2 4" xfId="37738"/>
    <cellStyle name="Normal 2 9 2 10 2 5" xfId="37739"/>
    <cellStyle name="Normal 2 9 2 10 2 6" xfId="37740"/>
    <cellStyle name="Normal 2 9 2 10 3" xfId="37741"/>
    <cellStyle name="Normal 2 9 2 10 3 2" xfId="37742"/>
    <cellStyle name="Normal 2 9 2 10 3 2 2" xfId="37743"/>
    <cellStyle name="Normal 2 9 2 10 3 2 3" xfId="37744"/>
    <cellStyle name="Normal 2 9 2 10 3 3" xfId="37745"/>
    <cellStyle name="Normal 2 9 2 10 3 4" xfId="37746"/>
    <cellStyle name="Normal 2 9 2 10 3 5" xfId="37747"/>
    <cellStyle name="Normal 2 9 2 10 3 6" xfId="37748"/>
    <cellStyle name="Normal 2 9 2 10 4" xfId="37749"/>
    <cellStyle name="Normal 2 9 2 10 4 2" xfId="37750"/>
    <cellStyle name="Normal 2 9 2 10 4 2 2" xfId="37751"/>
    <cellStyle name="Normal 2 9 2 10 4 3" xfId="37752"/>
    <cellStyle name="Normal 2 9 2 10 4 4" xfId="37753"/>
    <cellStyle name="Normal 2 9 2 10 4 5" xfId="37754"/>
    <cellStyle name="Normal 2 9 2 10 5" xfId="37755"/>
    <cellStyle name="Normal 2 9 2 10 5 2" xfId="37756"/>
    <cellStyle name="Normal 2 9 2 10 5 3" xfId="37757"/>
    <cellStyle name="Normal 2 9 2 10 5 4" xfId="37758"/>
    <cellStyle name="Normal 2 9 2 10 6" xfId="37759"/>
    <cellStyle name="Normal 2 9 2 10 6 2" xfId="37760"/>
    <cellStyle name="Normal 2 9 2 10 7" xfId="37761"/>
    <cellStyle name="Normal 2 9 2 10 8" xfId="37762"/>
    <cellStyle name="Normal 2 9 2 10 9" xfId="37763"/>
    <cellStyle name="Normal 2 9 2 11" xfId="37764"/>
    <cellStyle name="Normal 2 9 2 11 10" xfId="37765"/>
    <cellStyle name="Normal 2 9 2 11 2" xfId="37766"/>
    <cellStyle name="Normal 2 9 2 11 2 2" xfId="37767"/>
    <cellStyle name="Normal 2 9 2 11 2 2 2" xfId="37768"/>
    <cellStyle name="Normal 2 9 2 11 2 2 3" xfId="37769"/>
    <cellStyle name="Normal 2 9 2 11 2 3" xfId="37770"/>
    <cellStyle name="Normal 2 9 2 11 2 4" xfId="37771"/>
    <cellStyle name="Normal 2 9 2 11 2 5" xfId="37772"/>
    <cellStyle name="Normal 2 9 2 11 2 6" xfId="37773"/>
    <cellStyle name="Normal 2 9 2 11 3" xfId="37774"/>
    <cellStyle name="Normal 2 9 2 11 3 2" xfId="37775"/>
    <cellStyle name="Normal 2 9 2 11 3 2 2" xfId="37776"/>
    <cellStyle name="Normal 2 9 2 11 3 2 3" xfId="37777"/>
    <cellStyle name="Normal 2 9 2 11 3 3" xfId="37778"/>
    <cellStyle name="Normal 2 9 2 11 3 4" xfId="37779"/>
    <cellStyle name="Normal 2 9 2 11 3 5" xfId="37780"/>
    <cellStyle name="Normal 2 9 2 11 3 6" xfId="37781"/>
    <cellStyle name="Normal 2 9 2 11 4" xfId="37782"/>
    <cellStyle name="Normal 2 9 2 11 4 2" xfId="37783"/>
    <cellStyle name="Normal 2 9 2 11 4 2 2" xfId="37784"/>
    <cellStyle name="Normal 2 9 2 11 4 3" xfId="37785"/>
    <cellStyle name="Normal 2 9 2 11 4 4" xfId="37786"/>
    <cellStyle name="Normal 2 9 2 11 4 5" xfId="37787"/>
    <cellStyle name="Normal 2 9 2 11 5" xfId="37788"/>
    <cellStyle name="Normal 2 9 2 11 5 2" xfId="37789"/>
    <cellStyle name="Normal 2 9 2 11 5 3" xfId="37790"/>
    <cellStyle name="Normal 2 9 2 11 5 4" xfId="37791"/>
    <cellStyle name="Normal 2 9 2 11 6" xfId="37792"/>
    <cellStyle name="Normal 2 9 2 11 6 2" xfId="37793"/>
    <cellStyle name="Normal 2 9 2 11 7" xfId="37794"/>
    <cellStyle name="Normal 2 9 2 11 8" xfId="37795"/>
    <cellStyle name="Normal 2 9 2 11 9" xfId="37796"/>
    <cellStyle name="Normal 2 9 2 12" xfId="37797"/>
    <cellStyle name="Normal 2 9 2 12 10" xfId="37798"/>
    <cellStyle name="Normal 2 9 2 12 2" xfId="37799"/>
    <cellStyle name="Normal 2 9 2 12 2 2" xfId="37800"/>
    <cellStyle name="Normal 2 9 2 12 2 2 2" xfId="37801"/>
    <cellStyle name="Normal 2 9 2 12 2 2 3" xfId="37802"/>
    <cellStyle name="Normal 2 9 2 12 2 3" xfId="37803"/>
    <cellStyle name="Normal 2 9 2 12 2 4" xfId="37804"/>
    <cellStyle name="Normal 2 9 2 12 2 5" xfId="37805"/>
    <cellStyle name="Normal 2 9 2 12 2 6" xfId="37806"/>
    <cellStyle name="Normal 2 9 2 12 3" xfId="37807"/>
    <cellStyle name="Normal 2 9 2 12 3 2" xfId="37808"/>
    <cellStyle name="Normal 2 9 2 12 3 2 2" xfId="37809"/>
    <cellStyle name="Normal 2 9 2 12 3 2 3" xfId="37810"/>
    <cellStyle name="Normal 2 9 2 12 3 3" xfId="37811"/>
    <cellStyle name="Normal 2 9 2 12 3 4" xfId="37812"/>
    <cellStyle name="Normal 2 9 2 12 3 5" xfId="37813"/>
    <cellStyle name="Normal 2 9 2 12 3 6" xfId="37814"/>
    <cellStyle name="Normal 2 9 2 12 4" xfId="37815"/>
    <cellStyle name="Normal 2 9 2 12 4 2" xfId="37816"/>
    <cellStyle name="Normal 2 9 2 12 4 2 2" xfId="37817"/>
    <cellStyle name="Normal 2 9 2 12 4 3" xfId="37818"/>
    <cellStyle name="Normal 2 9 2 12 4 4" xfId="37819"/>
    <cellStyle name="Normal 2 9 2 12 4 5" xfId="37820"/>
    <cellStyle name="Normal 2 9 2 12 5" xfId="37821"/>
    <cellStyle name="Normal 2 9 2 12 5 2" xfId="37822"/>
    <cellStyle name="Normal 2 9 2 12 5 3" xfId="37823"/>
    <cellStyle name="Normal 2 9 2 12 5 4" xfId="37824"/>
    <cellStyle name="Normal 2 9 2 12 6" xfId="37825"/>
    <cellStyle name="Normal 2 9 2 12 6 2" xfId="37826"/>
    <cellStyle name="Normal 2 9 2 12 7" xfId="37827"/>
    <cellStyle name="Normal 2 9 2 12 8" xfId="37828"/>
    <cellStyle name="Normal 2 9 2 12 9" xfId="37829"/>
    <cellStyle name="Normal 2 9 2 13" xfId="37830"/>
    <cellStyle name="Normal 2 9 2 13 2" xfId="37831"/>
    <cellStyle name="Normal 2 9 2 13 2 2" xfId="37832"/>
    <cellStyle name="Normal 2 9 2 13 2 2 2" xfId="37833"/>
    <cellStyle name="Normal 2 9 2 13 2 2 3" xfId="37834"/>
    <cellStyle name="Normal 2 9 2 13 2 3" xfId="37835"/>
    <cellStyle name="Normal 2 9 2 13 2 4" xfId="37836"/>
    <cellStyle name="Normal 2 9 2 13 2 5" xfId="37837"/>
    <cellStyle name="Normal 2 9 2 13 2 6" xfId="37838"/>
    <cellStyle name="Normal 2 9 2 13 3" xfId="37839"/>
    <cellStyle name="Normal 2 9 2 13 3 2" xfId="37840"/>
    <cellStyle name="Normal 2 9 2 13 3 2 2" xfId="37841"/>
    <cellStyle name="Normal 2 9 2 13 3 3" xfId="37842"/>
    <cellStyle name="Normal 2 9 2 13 3 4" xfId="37843"/>
    <cellStyle name="Normal 2 9 2 13 3 5" xfId="37844"/>
    <cellStyle name="Normal 2 9 2 13 4" xfId="37845"/>
    <cellStyle name="Normal 2 9 2 13 4 2" xfId="37846"/>
    <cellStyle name="Normal 2 9 2 13 4 3" xfId="37847"/>
    <cellStyle name="Normal 2 9 2 13 4 4" xfId="37848"/>
    <cellStyle name="Normal 2 9 2 13 5" xfId="37849"/>
    <cellStyle name="Normal 2 9 2 13 5 2" xfId="37850"/>
    <cellStyle name="Normal 2 9 2 13 6" xfId="37851"/>
    <cellStyle name="Normal 2 9 2 13 7" xfId="37852"/>
    <cellStyle name="Normal 2 9 2 13 8" xfId="37853"/>
    <cellStyle name="Normal 2 9 2 13 9" xfId="37854"/>
    <cellStyle name="Normal 2 9 2 14" xfId="37855"/>
    <cellStyle name="Normal 2 9 2 14 2" xfId="37856"/>
    <cellStyle name="Normal 2 9 2 14 2 2" xfId="37857"/>
    <cellStyle name="Normal 2 9 2 14 2 2 2" xfId="37858"/>
    <cellStyle name="Normal 2 9 2 14 2 2 3" xfId="37859"/>
    <cellStyle name="Normal 2 9 2 14 2 3" xfId="37860"/>
    <cellStyle name="Normal 2 9 2 14 2 4" xfId="37861"/>
    <cellStyle name="Normal 2 9 2 14 2 5" xfId="37862"/>
    <cellStyle name="Normal 2 9 2 14 2 6" xfId="37863"/>
    <cellStyle name="Normal 2 9 2 14 3" xfId="37864"/>
    <cellStyle name="Normal 2 9 2 14 3 2" xfId="37865"/>
    <cellStyle name="Normal 2 9 2 14 3 2 2" xfId="37866"/>
    <cellStyle name="Normal 2 9 2 14 3 3" xfId="37867"/>
    <cellStyle name="Normal 2 9 2 14 3 4" xfId="37868"/>
    <cellStyle name="Normal 2 9 2 14 3 5" xfId="37869"/>
    <cellStyle name="Normal 2 9 2 14 4" xfId="37870"/>
    <cellStyle name="Normal 2 9 2 14 4 2" xfId="37871"/>
    <cellStyle name="Normal 2 9 2 14 4 3" xfId="37872"/>
    <cellStyle name="Normal 2 9 2 14 4 4" xfId="37873"/>
    <cellStyle name="Normal 2 9 2 14 5" xfId="37874"/>
    <cellStyle name="Normal 2 9 2 14 5 2" xfId="37875"/>
    <cellStyle name="Normal 2 9 2 14 6" xfId="37876"/>
    <cellStyle name="Normal 2 9 2 14 7" xfId="37877"/>
    <cellStyle name="Normal 2 9 2 14 8" xfId="37878"/>
    <cellStyle name="Normal 2 9 2 14 9" xfId="37879"/>
    <cellStyle name="Normal 2 9 2 15" xfId="37880"/>
    <cellStyle name="Normal 2 9 2 15 2" xfId="37881"/>
    <cellStyle name="Normal 2 9 2 15 2 2" xfId="37882"/>
    <cellStyle name="Normal 2 9 2 15 2 3" xfId="37883"/>
    <cellStyle name="Normal 2 9 2 15 3" xfId="37884"/>
    <cellStyle name="Normal 2 9 2 15 4" xfId="37885"/>
    <cellStyle name="Normal 2 9 2 15 5" xfId="37886"/>
    <cellStyle name="Normal 2 9 2 15 6" xfId="37887"/>
    <cellStyle name="Normal 2 9 2 16" xfId="37888"/>
    <cellStyle name="Normal 2 9 2 16 2" xfId="37889"/>
    <cellStyle name="Normal 2 9 2 16 2 2" xfId="37890"/>
    <cellStyle name="Normal 2 9 2 16 3" xfId="37891"/>
    <cellStyle name="Normal 2 9 2 16 4" xfId="37892"/>
    <cellStyle name="Normal 2 9 2 16 5" xfId="37893"/>
    <cellStyle name="Normal 2 9 2 17" xfId="37894"/>
    <cellStyle name="Normal 2 9 2 17 2" xfId="37895"/>
    <cellStyle name="Normal 2 9 2 17 2 2" xfId="37896"/>
    <cellStyle name="Normal 2 9 2 17 3" xfId="37897"/>
    <cellStyle name="Normal 2 9 2 17 4" xfId="37898"/>
    <cellStyle name="Normal 2 9 2 17 5" xfId="37899"/>
    <cellStyle name="Normal 2 9 2 18" xfId="37900"/>
    <cellStyle name="Normal 2 9 2 18 2" xfId="37901"/>
    <cellStyle name="Normal 2 9 2 19" xfId="37902"/>
    <cellStyle name="Normal 2 9 2 2" xfId="37903"/>
    <cellStyle name="Normal 2 9 2 2 10" xfId="37904"/>
    <cellStyle name="Normal 2 9 2 2 11" xfId="37905"/>
    <cellStyle name="Normal 2 9 2 2 2" xfId="37906"/>
    <cellStyle name="Normal 2 9 2 2 2 2" xfId="37907"/>
    <cellStyle name="Normal 2 9 2 2 2 2 2" xfId="37908"/>
    <cellStyle name="Normal 2 9 2 2 2 2 2 2" xfId="37909"/>
    <cellStyle name="Normal 2 9 2 2 2 2 2 3" xfId="37910"/>
    <cellStyle name="Normal 2 9 2 2 2 2 3" xfId="37911"/>
    <cellStyle name="Normal 2 9 2 2 2 2 4" xfId="37912"/>
    <cellStyle name="Normal 2 9 2 2 2 2 5" xfId="37913"/>
    <cellStyle name="Normal 2 9 2 2 2 2 6" xfId="37914"/>
    <cellStyle name="Normal 2 9 2 2 2 3" xfId="37915"/>
    <cellStyle name="Normal 2 9 2 2 2 3 2" xfId="37916"/>
    <cellStyle name="Normal 2 9 2 2 2 3 2 2" xfId="37917"/>
    <cellStyle name="Normal 2 9 2 2 2 3 3" xfId="37918"/>
    <cellStyle name="Normal 2 9 2 2 2 3 4" xfId="37919"/>
    <cellStyle name="Normal 2 9 2 2 2 3 5" xfId="37920"/>
    <cellStyle name="Normal 2 9 2 2 2 4" xfId="37921"/>
    <cellStyle name="Normal 2 9 2 2 2 4 2" xfId="37922"/>
    <cellStyle name="Normal 2 9 2 2 2 4 3" xfId="37923"/>
    <cellStyle name="Normal 2 9 2 2 2 4 4" xfId="37924"/>
    <cellStyle name="Normal 2 9 2 2 2 5" xfId="37925"/>
    <cellStyle name="Normal 2 9 2 2 2 5 2" xfId="37926"/>
    <cellStyle name="Normal 2 9 2 2 2 6" xfId="37927"/>
    <cellStyle name="Normal 2 9 2 2 2 7" xfId="37928"/>
    <cellStyle name="Normal 2 9 2 2 2 8" xfId="37929"/>
    <cellStyle name="Normal 2 9 2 2 2 9" xfId="37930"/>
    <cellStyle name="Normal 2 9 2 2 3" xfId="37931"/>
    <cellStyle name="Normal 2 9 2 2 3 2" xfId="37932"/>
    <cellStyle name="Normal 2 9 2 2 3 2 2" xfId="37933"/>
    <cellStyle name="Normal 2 9 2 2 3 2 2 2" xfId="37934"/>
    <cellStyle name="Normal 2 9 2 2 3 2 2 3" xfId="37935"/>
    <cellStyle name="Normal 2 9 2 2 3 2 3" xfId="37936"/>
    <cellStyle name="Normal 2 9 2 2 3 2 4" xfId="37937"/>
    <cellStyle name="Normal 2 9 2 2 3 2 5" xfId="37938"/>
    <cellStyle name="Normal 2 9 2 2 3 2 6" xfId="37939"/>
    <cellStyle name="Normal 2 9 2 2 3 3" xfId="37940"/>
    <cellStyle name="Normal 2 9 2 2 3 3 2" xfId="37941"/>
    <cellStyle name="Normal 2 9 2 2 3 3 2 2" xfId="37942"/>
    <cellStyle name="Normal 2 9 2 2 3 3 3" xfId="37943"/>
    <cellStyle name="Normal 2 9 2 2 3 3 4" xfId="37944"/>
    <cellStyle name="Normal 2 9 2 2 3 3 5" xfId="37945"/>
    <cellStyle name="Normal 2 9 2 2 3 4" xfId="37946"/>
    <cellStyle name="Normal 2 9 2 2 3 4 2" xfId="37947"/>
    <cellStyle name="Normal 2 9 2 2 3 4 3" xfId="37948"/>
    <cellStyle name="Normal 2 9 2 2 3 4 4" xfId="37949"/>
    <cellStyle name="Normal 2 9 2 2 3 5" xfId="37950"/>
    <cellStyle name="Normal 2 9 2 2 3 5 2" xfId="37951"/>
    <cellStyle name="Normal 2 9 2 2 3 6" xfId="37952"/>
    <cellStyle name="Normal 2 9 2 2 3 7" xfId="37953"/>
    <cellStyle name="Normal 2 9 2 2 3 8" xfId="37954"/>
    <cellStyle name="Normal 2 9 2 2 3 9" xfId="37955"/>
    <cellStyle name="Normal 2 9 2 2 4" xfId="37956"/>
    <cellStyle name="Normal 2 9 2 2 4 2" xfId="37957"/>
    <cellStyle name="Normal 2 9 2 2 4 2 2" xfId="37958"/>
    <cellStyle name="Normal 2 9 2 2 4 2 3" xfId="37959"/>
    <cellStyle name="Normal 2 9 2 2 4 3" xfId="37960"/>
    <cellStyle name="Normal 2 9 2 2 4 4" xfId="37961"/>
    <cellStyle name="Normal 2 9 2 2 4 5" xfId="37962"/>
    <cellStyle name="Normal 2 9 2 2 4 6" xfId="37963"/>
    <cellStyle name="Normal 2 9 2 2 5" xfId="37964"/>
    <cellStyle name="Normal 2 9 2 2 5 2" xfId="37965"/>
    <cellStyle name="Normal 2 9 2 2 5 2 2" xfId="37966"/>
    <cellStyle name="Normal 2 9 2 2 5 3" xfId="37967"/>
    <cellStyle name="Normal 2 9 2 2 5 4" xfId="37968"/>
    <cellStyle name="Normal 2 9 2 2 5 5" xfId="37969"/>
    <cellStyle name="Normal 2 9 2 2 6" xfId="37970"/>
    <cellStyle name="Normal 2 9 2 2 6 2" xfId="37971"/>
    <cellStyle name="Normal 2 9 2 2 6 3" xfId="37972"/>
    <cellStyle name="Normal 2 9 2 2 6 4" xfId="37973"/>
    <cellStyle name="Normal 2 9 2 2 7" xfId="37974"/>
    <cellStyle name="Normal 2 9 2 2 7 2" xfId="37975"/>
    <cellStyle name="Normal 2 9 2 2 8" xfId="37976"/>
    <cellStyle name="Normal 2 9 2 2 9" xfId="37977"/>
    <cellStyle name="Normal 2 9 2 20" xfId="37978"/>
    <cellStyle name="Normal 2 9 2 21" xfId="37979"/>
    <cellStyle name="Normal 2 9 2 22" xfId="37980"/>
    <cellStyle name="Normal 2 9 2 3" xfId="37981"/>
    <cellStyle name="Normal 2 9 2 3 10" xfId="37982"/>
    <cellStyle name="Normal 2 9 2 3 11" xfId="37983"/>
    <cellStyle name="Normal 2 9 2 3 2" xfId="37984"/>
    <cellStyle name="Normal 2 9 2 3 2 2" xfId="37985"/>
    <cellStyle name="Normal 2 9 2 3 2 2 2" xfId="37986"/>
    <cellStyle name="Normal 2 9 2 3 2 2 2 2" xfId="37987"/>
    <cellStyle name="Normal 2 9 2 3 2 2 2 3" xfId="37988"/>
    <cellStyle name="Normal 2 9 2 3 2 2 3" xfId="37989"/>
    <cellStyle name="Normal 2 9 2 3 2 2 4" xfId="37990"/>
    <cellStyle name="Normal 2 9 2 3 2 2 5" xfId="37991"/>
    <cellStyle name="Normal 2 9 2 3 2 2 6" xfId="37992"/>
    <cellStyle name="Normal 2 9 2 3 2 3" xfId="37993"/>
    <cellStyle name="Normal 2 9 2 3 2 3 2" xfId="37994"/>
    <cellStyle name="Normal 2 9 2 3 2 3 2 2" xfId="37995"/>
    <cellStyle name="Normal 2 9 2 3 2 3 3" xfId="37996"/>
    <cellStyle name="Normal 2 9 2 3 2 3 4" xfId="37997"/>
    <cellStyle name="Normal 2 9 2 3 2 3 5" xfId="37998"/>
    <cellStyle name="Normal 2 9 2 3 2 4" xfId="37999"/>
    <cellStyle name="Normal 2 9 2 3 2 4 2" xfId="38000"/>
    <cellStyle name="Normal 2 9 2 3 2 4 3" xfId="38001"/>
    <cellStyle name="Normal 2 9 2 3 2 4 4" xfId="38002"/>
    <cellStyle name="Normal 2 9 2 3 2 5" xfId="38003"/>
    <cellStyle name="Normal 2 9 2 3 2 5 2" xfId="38004"/>
    <cellStyle name="Normal 2 9 2 3 2 6" xfId="38005"/>
    <cellStyle name="Normal 2 9 2 3 2 7" xfId="38006"/>
    <cellStyle name="Normal 2 9 2 3 2 8" xfId="38007"/>
    <cellStyle name="Normal 2 9 2 3 2 9" xfId="38008"/>
    <cellStyle name="Normal 2 9 2 3 3" xfId="38009"/>
    <cellStyle name="Normal 2 9 2 3 3 2" xfId="38010"/>
    <cellStyle name="Normal 2 9 2 3 3 2 2" xfId="38011"/>
    <cellStyle name="Normal 2 9 2 3 3 2 2 2" xfId="38012"/>
    <cellStyle name="Normal 2 9 2 3 3 2 2 3" xfId="38013"/>
    <cellStyle name="Normal 2 9 2 3 3 2 3" xfId="38014"/>
    <cellStyle name="Normal 2 9 2 3 3 2 4" xfId="38015"/>
    <cellStyle name="Normal 2 9 2 3 3 2 5" xfId="38016"/>
    <cellStyle name="Normal 2 9 2 3 3 2 6" xfId="38017"/>
    <cellStyle name="Normal 2 9 2 3 3 3" xfId="38018"/>
    <cellStyle name="Normal 2 9 2 3 3 3 2" xfId="38019"/>
    <cellStyle name="Normal 2 9 2 3 3 3 2 2" xfId="38020"/>
    <cellStyle name="Normal 2 9 2 3 3 3 3" xfId="38021"/>
    <cellStyle name="Normal 2 9 2 3 3 3 4" xfId="38022"/>
    <cellStyle name="Normal 2 9 2 3 3 3 5" xfId="38023"/>
    <cellStyle name="Normal 2 9 2 3 3 4" xfId="38024"/>
    <cellStyle name="Normal 2 9 2 3 3 4 2" xfId="38025"/>
    <cellStyle name="Normal 2 9 2 3 3 4 3" xfId="38026"/>
    <cellStyle name="Normal 2 9 2 3 3 4 4" xfId="38027"/>
    <cellStyle name="Normal 2 9 2 3 3 5" xfId="38028"/>
    <cellStyle name="Normal 2 9 2 3 3 5 2" xfId="38029"/>
    <cellStyle name="Normal 2 9 2 3 3 6" xfId="38030"/>
    <cellStyle name="Normal 2 9 2 3 3 7" xfId="38031"/>
    <cellStyle name="Normal 2 9 2 3 3 8" xfId="38032"/>
    <cellStyle name="Normal 2 9 2 3 3 9" xfId="38033"/>
    <cellStyle name="Normal 2 9 2 3 4" xfId="38034"/>
    <cellStyle name="Normal 2 9 2 3 4 2" xfId="38035"/>
    <cellStyle name="Normal 2 9 2 3 4 2 2" xfId="38036"/>
    <cellStyle name="Normal 2 9 2 3 4 2 3" xfId="38037"/>
    <cellStyle name="Normal 2 9 2 3 4 3" xfId="38038"/>
    <cellStyle name="Normal 2 9 2 3 4 4" xfId="38039"/>
    <cellStyle name="Normal 2 9 2 3 4 5" xfId="38040"/>
    <cellStyle name="Normal 2 9 2 3 4 6" xfId="38041"/>
    <cellStyle name="Normal 2 9 2 3 5" xfId="38042"/>
    <cellStyle name="Normal 2 9 2 3 5 2" xfId="38043"/>
    <cellStyle name="Normal 2 9 2 3 5 2 2" xfId="38044"/>
    <cellStyle name="Normal 2 9 2 3 5 3" xfId="38045"/>
    <cellStyle name="Normal 2 9 2 3 5 4" xfId="38046"/>
    <cellStyle name="Normal 2 9 2 3 5 5" xfId="38047"/>
    <cellStyle name="Normal 2 9 2 3 6" xfId="38048"/>
    <cellStyle name="Normal 2 9 2 3 6 2" xfId="38049"/>
    <cellStyle name="Normal 2 9 2 3 6 3" xfId="38050"/>
    <cellStyle name="Normal 2 9 2 3 6 4" xfId="38051"/>
    <cellStyle name="Normal 2 9 2 3 7" xfId="38052"/>
    <cellStyle name="Normal 2 9 2 3 7 2" xfId="38053"/>
    <cellStyle name="Normal 2 9 2 3 8" xfId="38054"/>
    <cellStyle name="Normal 2 9 2 3 9" xfId="38055"/>
    <cellStyle name="Normal 2 9 2 4" xfId="38056"/>
    <cellStyle name="Normal 2 9 2 4 10" xfId="38057"/>
    <cellStyle name="Normal 2 9 2 4 11" xfId="38058"/>
    <cellStyle name="Normal 2 9 2 4 2" xfId="38059"/>
    <cellStyle name="Normal 2 9 2 4 2 2" xfId="38060"/>
    <cellStyle name="Normal 2 9 2 4 2 2 2" xfId="38061"/>
    <cellStyle name="Normal 2 9 2 4 2 2 2 2" xfId="38062"/>
    <cellStyle name="Normal 2 9 2 4 2 2 2 3" xfId="38063"/>
    <cellStyle name="Normal 2 9 2 4 2 2 3" xfId="38064"/>
    <cellStyle name="Normal 2 9 2 4 2 2 4" xfId="38065"/>
    <cellStyle name="Normal 2 9 2 4 2 2 5" xfId="38066"/>
    <cellStyle name="Normal 2 9 2 4 2 2 6" xfId="38067"/>
    <cellStyle name="Normal 2 9 2 4 2 3" xfId="38068"/>
    <cellStyle name="Normal 2 9 2 4 2 3 2" xfId="38069"/>
    <cellStyle name="Normal 2 9 2 4 2 3 2 2" xfId="38070"/>
    <cellStyle name="Normal 2 9 2 4 2 3 3" xfId="38071"/>
    <cellStyle name="Normal 2 9 2 4 2 3 4" xfId="38072"/>
    <cellStyle name="Normal 2 9 2 4 2 3 5" xfId="38073"/>
    <cellStyle name="Normal 2 9 2 4 2 4" xfId="38074"/>
    <cellStyle name="Normal 2 9 2 4 2 4 2" xfId="38075"/>
    <cellStyle name="Normal 2 9 2 4 2 4 3" xfId="38076"/>
    <cellStyle name="Normal 2 9 2 4 2 4 4" xfId="38077"/>
    <cellStyle name="Normal 2 9 2 4 2 5" xfId="38078"/>
    <cellStyle name="Normal 2 9 2 4 2 5 2" xfId="38079"/>
    <cellStyle name="Normal 2 9 2 4 2 6" xfId="38080"/>
    <cellStyle name="Normal 2 9 2 4 2 7" xfId="38081"/>
    <cellStyle name="Normal 2 9 2 4 2 8" xfId="38082"/>
    <cellStyle name="Normal 2 9 2 4 2 9" xfId="38083"/>
    <cellStyle name="Normal 2 9 2 4 3" xfId="38084"/>
    <cellStyle name="Normal 2 9 2 4 3 2" xfId="38085"/>
    <cellStyle name="Normal 2 9 2 4 3 2 2" xfId="38086"/>
    <cellStyle name="Normal 2 9 2 4 3 2 2 2" xfId="38087"/>
    <cellStyle name="Normal 2 9 2 4 3 2 2 3" xfId="38088"/>
    <cellStyle name="Normal 2 9 2 4 3 2 3" xfId="38089"/>
    <cellStyle name="Normal 2 9 2 4 3 2 4" xfId="38090"/>
    <cellStyle name="Normal 2 9 2 4 3 2 5" xfId="38091"/>
    <cellStyle name="Normal 2 9 2 4 3 2 6" xfId="38092"/>
    <cellStyle name="Normal 2 9 2 4 3 3" xfId="38093"/>
    <cellStyle name="Normal 2 9 2 4 3 3 2" xfId="38094"/>
    <cellStyle name="Normal 2 9 2 4 3 3 2 2" xfId="38095"/>
    <cellStyle name="Normal 2 9 2 4 3 3 3" xfId="38096"/>
    <cellStyle name="Normal 2 9 2 4 3 3 4" xfId="38097"/>
    <cellStyle name="Normal 2 9 2 4 3 3 5" xfId="38098"/>
    <cellStyle name="Normal 2 9 2 4 3 4" xfId="38099"/>
    <cellStyle name="Normal 2 9 2 4 3 4 2" xfId="38100"/>
    <cellStyle name="Normal 2 9 2 4 3 4 3" xfId="38101"/>
    <cellStyle name="Normal 2 9 2 4 3 4 4" xfId="38102"/>
    <cellStyle name="Normal 2 9 2 4 3 5" xfId="38103"/>
    <cellStyle name="Normal 2 9 2 4 3 5 2" xfId="38104"/>
    <cellStyle name="Normal 2 9 2 4 3 6" xfId="38105"/>
    <cellStyle name="Normal 2 9 2 4 3 7" xfId="38106"/>
    <cellStyle name="Normal 2 9 2 4 3 8" xfId="38107"/>
    <cellStyle name="Normal 2 9 2 4 3 9" xfId="38108"/>
    <cellStyle name="Normal 2 9 2 4 4" xfId="38109"/>
    <cellStyle name="Normal 2 9 2 4 4 2" xfId="38110"/>
    <cellStyle name="Normal 2 9 2 4 4 2 2" xfId="38111"/>
    <cellStyle name="Normal 2 9 2 4 4 2 3" xfId="38112"/>
    <cellStyle name="Normal 2 9 2 4 4 3" xfId="38113"/>
    <cellStyle name="Normal 2 9 2 4 4 4" xfId="38114"/>
    <cellStyle name="Normal 2 9 2 4 4 5" xfId="38115"/>
    <cellStyle name="Normal 2 9 2 4 4 6" xfId="38116"/>
    <cellStyle name="Normal 2 9 2 4 5" xfId="38117"/>
    <cellStyle name="Normal 2 9 2 4 5 2" xfId="38118"/>
    <cellStyle name="Normal 2 9 2 4 5 2 2" xfId="38119"/>
    <cellStyle name="Normal 2 9 2 4 5 3" xfId="38120"/>
    <cellStyle name="Normal 2 9 2 4 5 4" xfId="38121"/>
    <cellStyle name="Normal 2 9 2 4 5 5" xfId="38122"/>
    <cellStyle name="Normal 2 9 2 4 6" xfId="38123"/>
    <cellStyle name="Normal 2 9 2 4 6 2" xfId="38124"/>
    <cellStyle name="Normal 2 9 2 4 6 3" xfId="38125"/>
    <cellStyle name="Normal 2 9 2 4 6 4" xfId="38126"/>
    <cellStyle name="Normal 2 9 2 4 7" xfId="38127"/>
    <cellStyle name="Normal 2 9 2 4 7 2" xfId="38128"/>
    <cellStyle name="Normal 2 9 2 4 8" xfId="38129"/>
    <cellStyle name="Normal 2 9 2 4 9" xfId="38130"/>
    <cellStyle name="Normal 2 9 2 5" xfId="38131"/>
    <cellStyle name="Normal 2 9 2 5 10" xfId="38132"/>
    <cellStyle name="Normal 2 9 2 5 11" xfId="38133"/>
    <cellStyle name="Normal 2 9 2 5 2" xfId="38134"/>
    <cellStyle name="Normal 2 9 2 5 2 2" xfId="38135"/>
    <cellStyle name="Normal 2 9 2 5 2 2 2" xfId="38136"/>
    <cellStyle name="Normal 2 9 2 5 2 2 2 2" xfId="38137"/>
    <cellStyle name="Normal 2 9 2 5 2 2 2 3" xfId="38138"/>
    <cellStyle name="Normal 2 9 2 5 2 2 3" xfId="38139"/>
    <cellStyle name="Normal 2 9 2 5 2 2 4" xfId="38140"/>
    <cellStyle name="Normal 2 9 2 5 2 2 5" xfId="38141"/>
    <cellStyle name="Normal 2 9 2 5 2 2 6" xfId="38142"/>
    <cellStyle name="Normal 2 9 2 5 2 3" xfId="38143"/>
    <cellStyle name="Normal 2 9 2 5 2 3 2" xfId="38144"/>
    <cellStyle name="Normal 2 9 2 5 2 3 2 2" xfId="38145"/>
    <cellStyle name="Normal 2 9 2 5 2 3 3" xfId="38146"/>
    <cellStyle name="Normal 2 9 2 5 2 3 4" xfId="38147"/>
    <cellStyle name="Normal 2 9 2 5 2 3 5" xfId="38148"/>
    <cellStyle name="Normal 2 9 2 5 2 4" xfId="38149"/>
    <cellStyle name="Normal 2 9 2 5 2 4 2" xfId="38150"/>
    <cellStyle name="Normal 2 9 2 5 2 4 3" xfId="38151"/>
    <cellStyle name="Normal 2 9 2 5 2 4 4" xfId="38152"/>
    <cellStyle name="Normal 2 9 2 5 2 5" xfId="38153"/>
    <cellStyle name="Normal 2 9 2 5 2 5 2" xfId="38154"/>
    <cellStyle name="Normal 2 9 2 5 2 6" xfId="38155"/>
    <cellStyle name="Normal 2 9 2 5 2 7" xfId="38156"/>
    <cellStyle name="Normal 2 9 2 5 2 8" xfId="38157"/>
    <cellStyle name="Normal 2 9 2 5 2 9" xfId="38158"/>
    <cellStyle name="Normal 2 9 2 5 3" xfId="38159"/>
    <cellStyle name="Normal 2 9 2 5 3 2" xfId="38160"/>
    <cellStyle name="Normal 2 9 2 5 3 2 2" xfId="38161"/>
    <cellStyle name="Normal 2 9 2 5 3 2 2 2" xfId="38162"/>
    <cellStyle name="Normal 2 9 2 5 3 2 2 3" xfId="38163"/>
    <cellStyle name="Normal 2 9 2 5 3 2 3" xfId="38164"/>
    <cellStyle name="Normal 2 9 2 5 3 2 4" xfId="38165"/>
    <cellStyle name="Normal 2 9 2 5 3 2 5" xfId="38166"/>
    <cellStyle name="Normal 2 9 2 5 3 2 6" xfId="38167"/>
    <cellStyle name="Normal 2 9 2 5 3 3" xfId="38168"/>
    <cellStyle name="Normal 2 9 2 5 3 3 2" xfId="38169"/>
    <cellStyle name="Normal 2 9 2 5 3 3 2 2" xfId="38170"/>
    <cellStyle name="Normal 2 9 2 5 3 3 3" xfId="38171"/>
    <cellStyle name="Normal 2 9 2 5 3 3 4" xfId="38172"/>
    <cellStyle name="Normal 2 9 2 5 3 3 5" xfId="38173"/>
    <cellStyle name="Normal 2 9 2 5 3 4" xfId="38174"/>
    <cellStyle name="Normal 2 9 2 5 3 4 2" xfId="38175"/>
    <cellStyle name="Normal 2 9 2 5 3 4 3" xfId="38176"/>
    <cellStyle name="Normal 2 9 2 5 3 4 4" xfId="38177"/>
    <cellStyle name="Normal 2 9 2 5 3 5" xfId="38178"/>
    <cellStyle name="Normal 2 9 2 5 3 5 2" xfId="38179"/>
    <cellStyle name="Normal 2 9 2 5 3 6" xfId="38180"/>
    <cellStyle name="Normal 2 9 2 5 3 7" xfId="38181"/>
    <cellStyle name="Normal 2 9 2 5 3 8" xfId="38182"/>
    <cellStyle name="Normal 2 9 2 5 3 9" xfId="38183"/>
    <cellStyle name="Normal 2 9 2 5 4" xfId="38184"/>
    <cellStyle name="Normal 2 9 2 5 4 2" xfId="38185"/>
    <cellStyle name="Normal 2 9 2 5 4 2 2" xfId="38186"/>
    <cellStyle name="Normal 2 9 2 5 4 2 3" xfId="38187"/>
    <cellStyle name="Normal 2 9 2 5 4 3" xfId="38188"/>
    <cellStyle name="Normal 2 9 2 5 4 4" xfId="38189"/>
    <cellStyle name="Normal 2 9 2 5 4 5" xfId="38190"/>
    <cellStyle name="Normal 2 9 2 5 4 6" xfId="38191"/>
    <cellStyle name="Normal 2 9 2 5 5" xfId="38192"/>
    <cellStyle name="Normal 2 9 2 5 5 2" xfId="38193"/>
    <cellStyle name="Normal 2 9 2 5 5 2 2" xfId="38194"/>
    <cellStyle name="Normal 2 9 2 5 5 3" xfId="38195"/>
    <cellStyle name="Normal 2 9 2 5 5 4" xfId="38196"/>
    <cellStyle name="Normal 2 9 2 5 5 5" xfId="38197"/>
    <cellStyle name="Normal 2 9 2 5 6" xfId="38198"/>
    <cellStyle name="Normal 2 9 2 5 6 2" xfId="38199"/>
    <cellStyle name="Normal 2 9 2 5 6 3" xfId="38200"/>
    <cellStyle name="Normal 2 9 2 5 6 4" xfId="38201"/>
    <cellStyle name="Normal 2 9 2 5 7" xfId="38202"/>
    <cellStyle name="Normal 2 9 2 5 7 2" xfId="38203"/>
    <cellStyle name="Normal 2 9 2 5 8" xfId="38204"/>
    <cellStyle name="Normal 2 9 2 5 9" xfId="38205"/>
    <cellStyle name="Normal 2 9 2 6" xfId="38206"/>
    <cellStyle name="Normal 2 9 2 6 10" xfId="38207"/>
    <cellStyle name="Normal 2 9 2 6 11" xfId="38208"/>
    <cellStyle name="Normal 2 9 2 6 2" xfId="38209"/>
    <cellStyle name="Normal 2 9 2 6 2 2" xfId="38210"/>
    <cellStyle name="Normal 2 9 2 6 2 2 2" xfId="38211"/>
    <cellStyle name="Normal 2 9 2 6 2 2 2 2" xfId="38212"/>
    <cellStyle name="Normal 2 9 2 6 2 2 2 3" xfId="38213"/>
    <cellStyle name="Normal 2 9 2 6 2 2 3" xfId="38214"/>
    <cellStyle name="Normal 2 9 2 6 2 2 4" xfId="38215"/>
    <cellStyle name="Normal 2 9 2 6 2 2 5" xfId="38216"/>
    <cellStyle name="Normal 2 9 2 6 2 2 6" xfId="38217"/>
    <cellStyle name="Normal 2 9 2 6 2 3" xfId="38218"/>
    <cellStyle name="Normal 2 9 2 6 2 3 2" xfId="38219"/>
    <cellStyle name="Normal 2 9 2 6 2 3 2 2" xfId="38220"/>
    <cellStyle name="Normal 2 9 2 6 2 3 3" xfId="38221"/>
    <cellStyle name="Normal 2 9 2 6 2 3 4" xfId="38222"/>
    <cellStyle name="Normal 2 9 2 6 2 3 5" xfId="38223"/>
    <cellStyle name="Normal 2 9 2 6 2 4" xfId="38224"/>
    <cellStyle name="Normal 2 9 2 6 2 4 2" xfId="38225"/>
    <cellStyle name="Normal 2 9 2 6 2 4 3" xfId="38226"/>
    <cellStyle name="Normal 2 9 2 6 2 4 4" xfId="38227"/>
    <cellStyle name="Normal 2 9 2 6 2 5" xfId="38228"/>
    <cellStyle name="Normal 2 9 2 6 2 5 2" xfId="38229"/>
    <cellStyle name="Normal 2 9 2 6 2 6" xfId="38230"/>
    <cellStyle name="Normal 2 9 2 6 2 7" xfId="38231"/>
    <cellStyle name="Normal 2 9 2 6 2 8" xfId="38232"/>
    <cellStyle name="Normal 2 9 2 6 2 9" xfId="38233"/>
    <cellStyle name="Normal 2 9 2 6 3" xfId="38234"/>
    <cellStyle name="Normal 2 9 2 6 3 2" xfId="38235"/>
    <cellStyle name="Normal 2 9 2 6 3 2 2" xfId="38236"/>
    <cellStyle name="Normal 2 9 2 6 3 2 2 2" xfId="38237"/>
    <cellStyle name="Normal 2 9 2 6 3 2 2 3" xfId="38238"/>
    <cellStyle name="Normal 2 9 2 6 3 2 3" xfId="38239"/>
    <cellStyle name="Normal 2 9 2 6 3 2 4" xfId="38240"/>
    <cellStyle name="Normal 2 9 2 6 3 2 5" xfId="38241"/>
    <cellStyle name="Normal 2 9 2 6 3 2 6" xfId="38242"/>
    <cellStyle name="Normal 2 9 2 6 3 3" xfId="38243"/>
    <cellStyle name="Normal 2 9 2 6 3 3 2" xfId="38244"/>
    <cellStyle name="Normal 2 9 2 6 3 3 2 2" xfId="38245"/>
    <cellStyle name="Normal 2 9 2 6 3 3 3" xfId="38246"/>
    <cellStyle name="Normal 2 9 2 6 3 3 4" xfId="38247"/>
    <cellStyle name="Normal 2 9 2 6 3 3 5" xfId="38248"/>
    <cellStyle name="Normal 2 9 2 6 3 4" xfId="38249"/>
    <cellStyle name="Normal 2 9 2 6 3 4 2" xfId="38250"/>
    <cellStyle name="Normal 2 9 2 6 3 4 3" xfId="38251"/>
    <cellStyle name="Normal 2 9 2 6 3 4 4" xfId="38252"/>
    <cellStyle name="Normal 2 9 2 6 3 5" xfId="38253"/>
    <cellStyle name="Normal 2 9 2 6 3 5 2" xfId="38254"/>
    <cellStyle name="Normal 2 9 2 6 3 6" xfId="38255"/>
    <cellStyle name="Normal 2 9 2 6 3 7" xfId="38256"/>
    <cellStyle name="Normal 2 9 2 6 3 8" xfId="38257"/>
    <cellStyle name="Normal 2 9 2 6 3 9" xfId="38258"/>
    <cellStyle name="Normal 2 9 2 6 4" xfId="38259"/>
    <cellStyle name="Normal 2 9 2 6 4 2" xfId="38260"/>
    <cellStyle name="Normal 2 9 2 6 4 2 2" xfId="38261"/>
    <cellStyle name="Normal 2 9 2 6 4 2 3" xfId="38262"/>
    <cellStyle name="Normal 2 9 2 6 4 3" xfId="38263"/>
    <cellStyle name="Normal 2 9 2 6 4 4" xfId="38264"/>
    <cellStyle name="Normal 2 9 2 6 4 5" xfId="38265"/>
    <cellStyle name="Normal 2 9 2 6 4 6" xfId="38266"/>
    <cellStyle name="Normal 2 9 2 6 5" xfId="38267"/>
    <cellStyle name="Normal 2 9 2 6 5 2" xfId="38268"/>
    <cellStyle name="Normal 2 9 2 6 5 2 2" xfId="38269"/>
    <cellStyle name="Normal 2 9 2 6 5 3" xfId="38270"/>
    <cellStyle name="Normal 2 9 2 6 5 4" xfId="38271"/>
    <cellStyle name="Normal 2 9 2 6 5 5" xfId="38272"/>
    <cellStyle name="Normal 2 9 2 6 6" xfId="38273"/>
    <cellStyle name="Normal 2 9 2 6 6 2" xfId="38274"/>
    <cellStyle name="Normal 2 9 2 6 6 3" xfId="38275"/>
    <cellStyle name="Normal 2 9 2 6 6 4" xfId="38276"/>
    <cellStyle name="Normal 2 9 2 6 7" xfId="38277"/>
    <cellStyle name="Normal 2 9 2 6 7 2" xfId="38278"/>
    <cellStyle name="Normal 2 9 2 6 8" xfId="38279"/>
    <cellStyle name="Normal 2 9 2 6 9" xfId="38280"/>
    <cellStyle name="Normal 2 9 2 7" xfId="38281"/>
    <cellStyle name="Normal 2 9 2 7 10" xfId="38282"/>
    <cellStyle name="Normal 2 9 2 7 11" xfId="38283"/>
    <cellStyle name="Normal 2 9 2 7 2" xfId="38284"/>
    <cellStyle name="Normal 2 9 2 7 2 2" xfId="38285"/>
    <cellStyle name="Normal 2 9 2 7 2 2 2" xfId="38286"/>
    <cellStyle name="Normal 2 9 2 7 2 2 2 2" xfId="38287"/>
    <cellStyle name="Normal 2 9 2 7 2 2 2 3" xfId="38288"/>
    <cellStyle name="Normal 2 9 2 7 2 2 3" xfId="38289"/>
    <cellStyle name="Normal 2 9 2 7 2 2 4" xfId="38290"/>
    <cellStyle name="Normal 2 9 2 7 2 2 5" xfId="38291"/>
    <cellStyle name="Normal 2 9 2 7 2 2 6" xfId="38292"/>
    <cellStyle name="Normal 2 9 2 7 2 3" xfId="38293"/>
    <cellStyle name="Normal 2 9 2 7 2 3 2" xfId="38294"/>
    <cellStyle name="Normal 2 9 2 7 2 3 2 2" xfId="38295"/>
    <cellStyle name="Normal 2 9 2 7 2 3 3" xfId="38296"/>
    <cellStyle name="Normal 2 9 2 7 2 3 4" xfId="38297"/>
    <cellStyle name="Normal 2 9 2 7 2 3 5" xfId="38298"/>
    <cellStyle name="Normal 2 9 2 7 2 4" xfId="38299"/>
    <cellStyle name="Normal 2 9 2 7 2 4 2" xfId="38300"/>
    <cellStyle name="Normal 2 9 2 7 2 4 3" xfId="38301"/>
    <cellStyle name="Normal 2 9 2 7 2 4 4" xfId="38302"/>
    <cellStyle name="Normal 2 9 2 7 2 5" xfId="38303"/>
    <cellStyle name="Normal 2 9 2 7 2 5 2" xfId="38304"/>
    <cellStyle name="Normal 2 9 2 7 2 6" xfId="38305"/>
    <cellStyle name="Normal 2 9 2 7 2 7" xfId="38306"/>
    <cellStyle name="Normal 2 9 2 7 2 8" xfId="38307"/>
    <cellStyle name="Normal 2 9 2 7 2 9" xfId="38308"/>
    <cellStyle name="Normal 2 9 2 7 3" xfId="38309"/>
    <cellStyle name="Normal 2 9 2 7 3 2" xfId="38310"/>
    <cellStyle name="Normal 2 9 2 7 3 2 2" xfId="38311"/>
    <cellStyle name="Normal 2 9 2 7 3 2 2 2" xfId="38312"/>
    <cellStyle name="Normal 2 9 2 7 3 2 2 3" xfId="38313"/>
    <cellStyle name="Normal 2 9 2 7 3 2 3" xfId="38314"/>
    <cellStyle name="Normal 2 9 2 7 3 2 4" xfId="38315"/>
    <cellStyle name="Normal 2 9 2 7 3 2 5" xfId="38316"/>
    <cellStyle name="Normal 2 9 2 7 3 2 6" xfId="38317"/>
    <cellStyle name="Normal 2 9 2 7 3 3" xfId="38318"/>
    <cellStyle name="Normal 2 9 2 7 3 3 2" xfId="38319"/>
    <cellStyle name="Normal 2 9 2 7 3 3 2 2" xfId="38320"/>
    <cellStyle name="Normal 2 9 2 7 3 3 3" xfId="38321"/>
    <cellStyle name="Normal 2 9 2 7 3 3 4" xfId="38322"/>
    <cellStyle name="Normal 2 9 2 7 3 3 5" xfId="38323"/>
    <cellStyle name="Normal 2 9 2 7 3 4" xfId="38324"/>
    <cellStyle name="Normal 2 9 2 7 3 4 2" xfId="38325"/>
    <cellStyle name="Normal 2 9 2 7 3 4 3" xfId="38326"/>
    <cellStyle name="Normal 2 9 2 7 3 4 4" xfId="38327"/>
    <cellStyle name="Normal 2 9 2 7 3 5" xfId="38328"/>
    <cellStyle name="Normal 2 9 2 7 3 5 2" xfId="38329"/>
    <cellStyle name="Normal 2 9 2 7 3 6" xfId="38330"/>
    <cellStyle name="Normal 2 9 2 7 3 7" xfId="38331"/>
    <cellStyle name="Normal 2 9 2 7 3 8" xfId="38332"/>
    <cellStyle name="Normal 2 9 2 7 3 9" xfId="38333"/>
    <cellStyle name="Normal 2 9 2 7 4" xfId="38334"/>
    <cellStyle name="Normal 2 9 2 7 4 2" xfId="38335"/>
    <cellStyle name="Normal 2 9 2 7 4 2 2" xfId="38336"/>
    <cellStyle name="Normal 2 9 2 7 4 2 3" xfId="38337"/>
    <cellStyle name="Normal 2 9 2 7 4 3" xfId="38338"/>
    <cellStyle name="Normal 2 9 2 7 4 4" xfId="38339"/>
    <cellStyle name="Normal 2 9 2 7 4 5" xfId="38340"/>
    <cellStyle name="Normal 2 9 2 7 4 6" xfId="38341"/>
    <cellStyle name="Normal 2 9 2 7 5" xfId="38342"/>
    <cellStyle name="Normal 2 9 2 7 5 2" xfId="38343"/>
    <cellStyle name="Normal 2 9 2 7 5 2 2" xfId="38344"/>
    <cellStyle name="Normal 2 9 2 7 5 3" xfId="38345"/>
    <cellStyle name="Normal 2 9 2 7 5 4" xfId="38346"/>
    <cellStyle name="Normal 2 9 2 7 5 5" xfId="38347"/>
    <cellStyle name="Normal 2 9 2 7 6" xfId="38348"/>
    <cellStyle name="Normal 2 9 2 7 6 2" xfId="38349"/>
    <cellStyle name="Normal 2 9 2 7 6 3" xfId="38350"/>
    <cellStyle name="Normal 2 9 2 7 6 4" xfId="38351"/>
    <cellStyle name="Normal 2 9 2 7 7" xfId="38352"/>
    <cellStyle name="Normal 2 9 2 7 7 2" xfId="38353"/>
    <cellStyle name="Normal 2 9 2 7 8" xfId="38354"/>
    <cellStyle name="Normal 2 9 2 7 9" xfId="38355"/>
    <cellStyle name="Normal 2 9 2 8" xfId="38356"/>
    <cellStyle name="Normal 2 9 2 8 10" xfId="38357"/>
    <cellStyle name="Normal 2 9 2 8 2" xfId="38358"/>
    <cellStyle name="Normal 2 9 2 8 2 2" xfId="38359"/>
    <cellStyle name="Normal 2 9 2 8 2 2 2" xfId="38360"/>
    <cellStyle name="Normal 2 9 2 8 2 2 3" xfId="38361"/>
    <cellStyle name="Normal 2 9 2 8 2 3" xfId="38362"/>
    <cellStyle name="Normal 2 9 2 8 2 4" xfId="38363"/>
    <cellStyle name="Normal 2 9 2 8 2 5" xfId="38364"/>
    <cellStyle name="Normal 2 9 2 8 2 6" xfId="38365"/>
    <cellStyle name="Normal 2 9 2 8 3" xfId="38366"/>
    <cellStyle name="Normal 2 9 2 8 3 2" xfId="38367"/>
    <cellStyle name="Normal 2 9 2 8 3 2 2" xfId="38368"/>
    <cellStyle name="Normal 2 9 2 8 3 2 3" xfId="38369"/>
    <cellStyle name="Normal 2 9 2 8 3 3" xfId="38370"/>
    <cellStyle name="Normal 2 9 2 8 3 4" xfId="38371"/>
    <cellStyle name="Normal 2 9 2 8 3 5" xfId="38372"/>
    <cellStyle name="Normal 2 9 2 8 3 6" xfId="38373"/>
    <cellStyle name="Normal 2 9 2 8 4" xfId="38374"/>
    <cellStyle name="Normal 2 9 2 8 4 2" xfId="38375"/>
    <cellStyle name="Normal 2 9 2 8 4 2 2" xfId="38376"/>
    <cellStyle name="Normal 2 9 2 8 4 3" xfId="38377"/>
    <cellStyle name="Normal 2 9 2 8 4 4" xfId="38378"/>
    <cellStyle name="Normal 2 9 2 8 4 5" xfId="38379"/>
    <cellStyle name="Normal 2 9 2 8 5" xfId="38380"/>
    <cellStyle name="Normal 2 9 2 8 5 2" xfId="38381"/>
    <cellStyle name="Normal 2 9 2 8 5 3" xfId="38382"/>
    <cellStyle name="Normal 2 9 2 8 5 4" xfId="38383"/>
    <cellStyle name="Normal 2 9 2 8 6" xfId="38384"/>
    <cellStyle name="Normal 2 9 2 8 6 2" xfId="38385"/>
    <cellStyle name="Normal 2 9 2 8 7" xfId="38386"/>
    <cellStyle name="Normal 2 9 2 8 8" xfId="38387"/>
    <cellStyle name="Normal 2 9 2 8 9" xfId="38388"/>
    <cellStyle name="Normal 2 9 2 9" xfId="38389"/>
    <cellStyle name="Normal 2 9 2 9 10" xfId="38390"/>
    <cellStyle name="Normal 2 9 2 9 2" xfId="38391"/>
    <cellStyle name="Normal 2 9 2 9 2 2" xfId="38392"/>
    <cellStyle name="Normal 2 9 2 9 2 2 2" xfId="38393"/>
    <cellStyle name="Normal 2 9 2 9 2 2 3" xfId="38394"/>
    <cellStyle name="Normal 2 9 2 9 2 3" xfId="38395"/>
    <cellStyle name="Normal 2 9 2 9 2 4" xfId="38396"/>
    <cellStyle name="Normal 2 9 2 9 2 5" xfId="38397"/>
    <cellStyle name="Normal 2 9 2 9 2 6" xfId="38398"/>
    <cellStyle name="Normal 2 9 2 9 3" xfId="38399"/>
    <cellStyle name="Normal 2 9 2 9 3 2" xfId="38400"/>
    <cellStyle name="Normal 2 9 2 9 3 2 2" xfId="38401"/>
    <cellStyle name="Normal 2 9 2 9 3 2 3" xfId="38402"/>
    <cellStyle name="Normal 2 9 2 9 3 3" xfId="38403"/>
    <cellStyle name="Normal 2 9 2 9 3 4" xfId="38404"/>
    <cellStyle name="Normal 2 9 2 9 3 5" xfId="38405"/>
    <cellStyle name="Normal 2 9 2 9 3 6" xfId="38406"/>
    <cellStyle name="Normal 2 9 2 9 4" xfId="38407"/>
    <cellStyle name="Normal 2 9 2 9 4 2" xfId="38408"/>
    <cellStyle name="Normal 2 9 2 9 4 2 2" xfId="38409"/>
    <cellStyle name="Normal 2 9 2 9 4 3" xfId="38410"/>
    <cellStyle name="Normal 2 9 2 9 4 4" xfId="38411"/>
    <cellStyle name="Normal 2 9 2 9 4 5" xfId="38412"/>
    <cellStyle name="Normal 2 9 2 9 5" xfId="38413"/>
    <cellStyle name="Normal 2 9 2 9 5 2" xfId="38414"/>
    <cellStyle name="Normal 2 9 2 9 5 3" xfId="38415"/>
    <cellStyle name="Normal 2 9 2 9 5 4" xfId="38416"/>
    <cellStyle name="Normal 2 9 2 9 6" xfId="38417"/>
    <cellStyle name="Normal 2 9 2 9 6 2" xfId="38418"/>
    <cellStyle name="Normal 2 9 2 9 7" xfId="38419"/>
    <cellStyle name="Normal 2 9 2 9 8" xfId="38420"/>
    <cellStyle name="Normal 2 9 2 9 9" xfId="38421"/>
    <cellStyle name="Normal 2 9 3" xfId="38422"/>
    <cellStyle name="Normal 2 9 3 2" xfId="38423"/>
    <cellStyle name="Normal 2 9 4" xfId="38424"/>
    <cellStyle name="Normal 2 9 5" xfId="38425"/>
    <cellStyle name="Normal 2 9 6" xfId="38426"/>
    <cellStyle name="Normal 2 9 7" xfId="38427"/>
    <cellStyle name="Normal 2 9 8" xfId="38428"/>
    <cellStyle name="Normal 20" xfId="38429"/>
    <cellStyle name="Normal 20 2" xfId="38430"/>
    <cellStyle name="Normal 20 2 2" xfId="38431"/>
    <cellStyle name="Normal 20 2 3" xfId="38432"/>
    <cellStyle name="Normal 20 3" xfId="38433"/>
    <cellStyle name="Normal 20 4" xfId="38434"/>
    <cellStyle name="Normal 21" xfId="38435"/>
    <cellStyle name="Normal 21 2" xfId="38436"/>
    <cellStyle name="Normal 21 3" xfId="38437"/>
    <cellStyle name="Normal 22" xfId="38438"/>
    <cellStyle name="Normal 22 2" xfId="38439"/>
    <cellStyle name="Normal 23" xfId="38440"/>
    <cellStyle name="Normal 24" xfId="38441"/>
    <cellStyle name="Normal 25" xfId="38442"/>
    <cellStyle name="Normal 26" xfId="38443"/>
    <cellStyle name="Normal 27" xfId="38444"/>
    <cellStyle name="Normal 28" xfId="38445"/>
    <cellStyle name="Normal 29" xfId="38446"/>
    <cellStyle name="Normal 3" xfId="38447"/>
    <cellStyle name="Normal 3 10" xfId="38448"/>
    <cellStyle name="Normal 3 10 2" xfId="38449"/>
    <cellStyle name="Normal 3 11" xfId="38450"/>
    <cellStyle name="Normal 3 11 2" xfId="38451"/>
    <cellStyle name="Normal 3 12" xfId="38452"/>
    <cellStyle name="Normal 3 13" xfId="38453"/>
    <cellStyle name="Normal 3 14" xfId="38454"/>
    <cellStyle name="Normal 3 15" xfId="38455"/>
    <cellStyle name="Normal 3 16" xfId="38456"/>
    <cellStyle name="Normal 3 17" xfId="38457"/>
    <cellStyle name="Normal 3 18" xfId="38458"/>
    <cellStyle name="Normal 3 19" xfId="38459"/>
    <cellStyle name="Normal 3 2" xfId="38460"/>
    <cellStyle name="Normal 3 2 2" xfId="38461"/>
    <cellStyle name="Normal 3 2 2 2" xfId="38462"/>
    <cellStyle name="Normal 3 2 2 2 2" xfId="38463"/>
    <cellStyle name="Normal 3 2 2 2 3" xfId="38464"/>
    <cellStyle name="Normal 3 2 2 3" xfId="38465"/>
    <cellStyle name="Normal 3 2 2 3 2" xfId="38466"/>
    <cellStyle name="Normal 3 2 2 4" xfId="38467"/>
    <cellStyle name="Normal 3 2 2 5" xfId="38468"/>
    <cellStyle name="Normal 3 2 2 6" xfId="38469"/>
    <cellStyle name="Normal 3 2 2 7" xfId="38470"/>
    <cellStyle name="Normal 3 2 3" xfId="38471"/>
    <cellStyle name="Normal 3 2 3 2" xfId="38472"/>
    <cellStyle name="Normal 3 2 3 3" xfId="38473"/>
    <cellStyle name="Normal 3 2 3 4" xfId="38474"/>
    <cellStyle name="Normal 3 2 3 5" xfId="38475"/>
    <cellStyle name="Normal 3 2 4" xfId="38476"/>
    <cellStyle name="Normal 3 2 4 2" xfId="38477"/>
    <cellStyle name="Normal 3 2 4 3" xfId="38478"/>
    <cellStyle name="Normal 3 2 4 4" xfId="38479"/>
    <cellStyle name="Normal 3 2 5" xfId="38480"/>
    <cellStyle name="Normal 3 2 5 2" xfId="38481"/>
    <cellStyle name="Normal 3 2 5 3" xfId="38482"/>
    <cellStyle name="Normal 3 2 5 4" xfId="38483"/>
    <cellStyle name="Normal 3 2 6" xfId="38484"/>
    <cellStyle name="Normal 3 2 7" xfId="38485"/>
    <cellStyle name="Normal 3 2 8" xfId="38486"/>
    <cellStyle name="Normal 3 20" xfId="38487"/>
    <cellStyle name="Normal 3 21" xfId="38488"/>
    <cellStyle name="Normal 3 22" xfId="38489"/>
    <cellStyle name="Normal 3 23" xfId="38490"/>
    <cellStyle name="Normal 3 24" xfId="38491"/>
    <cellStyle name="Normal 3 25" xfId="38492"/>
    <cellStyle name="Normal 3 26" xfId="38493"/>
    <cellStyle name="Normal 3 27" xfId="38494"/>
    <cellStyle name="Normal 3 28" xfId="38495"/>
    <cellStyle name="Normal 3 29" xfId="38496"/>
    <cellStyle name="Normal 3 3" xfId="38497"/>
    <cellStyle name="Normal 3 3 2" xfId="38498"/>
    <cellStyle name="Normal 3 3 3" xfId="38499"/>
    <cellStyle name="Normal 3 30" xfId="38500"/>
    <cellStyle name="Normal 3 31" xfId="38501"/>
    <cellStyle name="Normal 3 32" xfId="38502"/>
    <cellStyle name="Normal 3 33" xfId="38503"/>
    <cellStyle name="Normal 3 34" xfId="38504"/>
    <cellStyle name="Normal 3 35" xfId="38505"/>
    <cellStyle name="Normal 3 36" xfId="38506"/>
    <cellStyle name="Normal 3 37" xfId="38507"/>
    <cellStyle name="Normal 3 38" xfId="38508"/>
    <cellStyle name="Normal 3 39" xfId="38509"/>
    <cellStyle name="Normal 3 4" xfId="38510"/>
    <cellStyle name="Normal 3 4 10" xfId="38511"/>
    <cellStyle name="Normal 3 4 11" xfId="38512"/>
    <cellStyle name="Normal 3 4 12" xfId="38513"/>
    <cellStyle name="Normal 3 4 13" xfId="38514"/>
    <cellStyle name="Normal 3 4 14" xfId="38515"/>
    <cellStyle name="Normal 3 4 15" xfId="38516"/>
    <cellStyle name="Normal 3 4 16" xfId="38517"/>
    <cellStyle name="Normal 3 4 17" xfId="38518"/>
    <cellStyle name="Normal 3 4 18" xfId="38519"/>
    <cellStyle name="Normal 3 4 19" xfId="38520"/>
    <cellStyle name="Normal 3 4 2" xfId="38521"/>
    <cellStyle name="Normal 3 4 20" xfId="38522"/>
    <cellStyle name="Normal 3 4 21" xfId="38523"/>
    <cellStyle name="Normal 3 4 22" xfId="38524"/>
    <cellStyle name="Normal 3 4 23" xfId="38525"/>
    <cellStyle name="Normal 3 4 24" xfId="38526"/>
    <cellStyle name="Normal 3 4 25" xfId="38527"/>
    <cellStyle name="Normal 3 4 26" xfId="38528"/>
    <cellStyle name="Normal 3 4 27" xfId="38529"/>
    <cellStyle name="Normal 3 4 28" xfId="38530"/>
    <cellStyle name="Normal 3 4 29" xfId="38531"/>
    <cellStyle name="Normal 3 4 3" xfId="38532"/>
    <cellStyle name="Normal 3 4 30" xfId="38533"/>
    <cellStyle name="Normal 3 4 31" xfId="38534"/>
    <cellStyle name="Normal 3 4 32" xfId="38535"/>
    <cellStyle name="Normal 3 4 33" xfId="38536"/>
    <cellStyle name="Normal 3 4 34" xfId="38537"/>
    <cellStyle name="Normal 3 4 35" xfId="38538"/>
    <cellStyle name="Normal 3 4 4" xfId="38539"/>
    <cellStyle name="Normal 3 4 5" xfId="38540"/>
    <cellStyle name="Normal 3 4 6" xfId="38541"/>
    <cellStyle name="Normal 3 4 7" xfId="38542"/>
    <cellStyle name="Normal 3 4 8" xfId="38543"/>
    <cellStyle name="Normal 3 4 9" xfId="38544"/>
    <cellStyle name="Normal 3 40" xfId="38545"/>
    <cellStyle name="Normal 3 41" xfId="38546"/>
    <cellStyle name="Normal 3 42" xfId="38547"/>
    <cellStyle name="Normal 3 43" xfId="38548"/>
    <cellStyle name="Normal 3 44" xfId="38549"/>
    <cellStyle name="Normal 3 45" xfId="38550"/>
    <cellStyle name="Normal 3 46" xfId="38551"/>
    <cellStyle name="Normal 3 47" xfId="38552"/>
    <cellStyle name="Normal 3 5" xfId="38553"/>
    <cellStyle name="Normal 3 5 2" xfId="38554"/>
    <cellStyle name="Normal 3 5 3" xfId="38555"/>
    <cellStyle name="Normal 3 6" xfId="38556"/>
    <cellStyle name="Normal 3 6 2" xfId="38557"/>
    <cellStyle name="Normal 3 6 3" xfId="38558"/>
    <cellStyle name="Normal 3 7" xfId="38559"/>
    <cellStyle name="Normal 3 7 2" xfId="38560"/>
    <cellStyle name="Normal 3 8" xfId="38561"/>
    <cellStyle name="Normal 3 8 2" xfId="38562"/>
    <cellStyle name="Normal 3 9" xfId="38563"/>
    <cellStyle name="Normal 3 9 2" xfId="38564"/>
    <cellStyle name="Normal 30" xfId="38565"/>
    <cellStyle name="Normal 31" xfId="38566"/>
    <cellStyle name="Normal 32" xfId="38567"/>
    <cellStyle name="Normal 33" xfId="38568"/>
    <cellStyle name="Normal 34" xfId="38569"/>
    <cellStyle name="Normal 35" xfId="38570"/>
    <cellStyle name="Normal 36" xfId="38571"/>
    <cellStyle name="Normal 37" xfId="38572"/>
    <cellStyle name="Normal 38" xfId="38573"/>
    <cellStyle name="Normal 39" xfId="38574"/>
    <cellStyle name="Normal 4" xfId="38575"/>
    <cellStyle name="Normal 4 10" xfId="38576"/>
    <cellStyle name="Normal 4 10 2" xfId="38577"/>
    <cellStyle name="Normal 4 10 2 2" xfId="38578"/>
    <cellStyle name="Normal 4 10 3" xfId="38579"/>
    <cellStyle name="Normal 4 10 4" xfId="38580"/>
    <cellStyle name="Normal 4 11" xfId="38581"/>
    <cellStyle name="Normal 4 11 2" xfId="38582"/>
    <cellStyle name="Normal 4 11 3" xfId="38583"/>
    <cellStyle name="Normal 4 12" xfId="38584"/>
    <cellStyle name="Normal 4 13" xfId="38585"/>
    <cellStyle name="Normal 4 13 2" xfId="38586"/>
    <cellStyle name="Normal 4 14" xfId="38587"/>
    <cellStyle name="Normal 4 15" xfId="38588"/>
    <cellStyle name="Normal 4 16" xfId="38589"/>
    <cellStyle name="Normal 4 17" xfId="38590"/>
    <cellStyle name="Normal 4 18" xfId="38591"/>
    <cellStyle name="Normal 4 18 2" xfId="38592"/>
    <cellStyle name="Normal 4 19" xfId="38593"/>
    <cellStyle name="Normal 4 2" xfId="38594"/>
    <cellStyle name="Normal 4 2 10" xfId="38595"/>
    <cellStyle name="Normal 4 2 10 2" xfId="38596"/>
    <cellStyle name="Normal 4 2 11" xfId="38597"/>
    <cellStyle name="Normal 4 2 11 2" xfId="38598"/>
    <cellStyle name="Normal 4 2 12" xfId="38599"/>
    <cellStyle name="Normal 4 2 12 2" xfId="38600"/>
    <cellStyle name="Normal 4 2 13" xfId="38601"/>
    <cellStyle name="Normal 4 2 13 2" xfId="38602"/>
    <cellStyle name="Normal 4 2 14" xfId="38603"/>
    <cellStyle name="Normal 4 2 14 2" xfId="38604"/>
    <cellStyle name="Normal 4 2 15" xfId="38605"/>
    <cellStyle name="Normal 4 2 15 2" xfId="38606"/>
    <cellStyle name="Normal 4 2 16" xfId="38607"/>
    <cellStyle name="Normal 4 2 16 2" xfId="38608"/>
    <cellStyle name="Normal 4 2 17" xfId="38609"/>
    <cellStyle name="Normal 4 2 18" xfId="38610"/>
    <cellStyle name="Normal 4 2 19" xfId="38611"/>
    <cellStyle name="Normal 4 2 2" xfId="38612"/>
    <cellStyle name="Normal 4 2 2 2" xfId="38613"/>
    <cellStyle name="Normal 4 2 2 3" xfId="38614"/>
    <cellStyle name="Normal 4 2 2 4" xfId="38615"/>
    <cellStyle name="Normal 4 2 20" xfId="38616"/>
    <cellStyle name="Normal 4 2 21" xfId="38617"/>
    <cellStyle name="Normal 4 2 22" xfId="38618"/>
    <cellStyle name="Normal 4 2 23" xfId="38619"/>
    <cellStyle name="Normal 4 2 24" xfId="38620"/>
    <cellStyle name="Normal 4 2 25" xfId="38621"/>
    <cellStyle name="Normal 4 2 26" xfId="38622"/>
    <cellStyle name="Normal 4 2 27" xfId="38623"/>
    <cellStyle name="Normal 4 2 28" xfId="38624"/>
    <cellStyle name="Normal 4 2 29" xfId="38625"/>
    <cellStyle name="Normal 4 2 3" xfId="38626"/>
    <cellStyle name="Normal 4 2 3 2" xfId="38627"/>
    <cellStyle name="Normal 4 2 3 3" xfId="38628"/>
    <cellStyle name="Normal 4 2 30" xfId="38629"/>
    <cellStyle name="Normal 4 2 31" xfId="38630"/>
    <cellStyle name="Normal 4 2 32" xfId="38631"/>
    <cellStyle name="Normal 4 2 33" xfId="38632"/>
    <cellStyle name="Normal 4 2 34" xfId="38633"/>
    <cellStyle name="Normal 4 2 35" xfId="38634"/>
    <cellStyle name="Normal 4 2 36" xfId="38635"/>
    <cellStyle name="Normal 4 2 37" xfId="38636"/>
    <cellStyle name="Normal 4 2 38" xfId="38637"/>
    <cellStyle name="Normal 4 2 39" xfId="38638"/>
    <cellStyle name="Normal 4 2 4" xfId="38639"/>
    <cellStyle name="Normal 4 2 4 2" xfId="38640"/>
    <cellStyle name="Normal 4 2 40" xfId="38641"/>
    <cellStyle name="Normal 4 2 41" xfId="38642"/>
    <cellStyle name="Normal 4 2 42" xfId="38643"/>
    <cellStyle name="Normal 4 2 43" xfId="38644"/>
    <cellStyle name="Normal 4 2 44" xfId="38645"/>
    <cellStyle name="Normal 4 2 45" xfId="38646"/>
    <cellStyle name="Normal 4 2 46" xfId="38647"/>
    <cellStyle name="Normal 4 2 47" xfId="38648"/>
    <cellStyle name="Normal 4 2 48" xfId="38649"/>
    <cellStyle name="Normal 4 2 49" xfId="38650"/>
    <cellStyle name="Normal 4 2 5" xfId="38651"/>
    <cellStyle name="Normal 4 2 5 2" xfId="38652"/>
    <cellStyle name="Normal 4 2 50" xfId="38653"/>
    <cellStyle name="Normal 4 2 6" xfId="38654"/>
    <cellStyle name="Normal 4 2 6 2" xfId="38655"/>
    <cellStyle name="Normal 4 2 7" xfId="38656"/>
    <cellStyle name="Normal 4 2 7 2" xfId="38657"/>
    <cellStyle name="Normal 4 2 8" xfId="38658"/>
    <cellStyle name="Normal 4 2 8 2" xfId="38659"/>
    <cellStyle name="Normal 4 2 9" xfId="38660"/>
    <cellStyle name="Normal 4 2 9 2" xfId="38661"/>
    <cellStyle name="Normal 4 20" xfId="38662"/>
    <cellStyle name="Normal 4 21" xfId="38663"/>
    <cellStyle name="Normal 4 22" xfId="38664"/>
    <cellStyle name="Normal 4 22 2" xfId="38665"/>
    <cellStyle name="Normal 4 23" xfId="38666"/>
    <cellStyle name="Normal 4 24" xfId="38667"/>
    <cellStyle name="Normal 4 25" xfId="38668"/>
    <cellStyle name="Normal 4 3" xfId="38669"/>
    <cellStyle name="Normal 4 3 2" xfId="38670"/>
    <cellStyle name="Normal 4 3 3" xfId="38671"/>
    <cellStyle name="Normal 4 3 4" xfId="38672"/>
    <cellStyle name="Normal 4 3 5" xfId="38673"/>
    <cellStyle name="Normal 4 3 6" xfId="38674"/>
    <cellStyle name="Normal 4 3 7" xfId="38675"/>
    <cellStyle name="Normal 4 3 7 2" xfId="38676"/>
    <cellStyle name="Normal 4 3 8" xfId="38677"/>
    <cellStyle name="Normal 4 4" xfId="38678"/>
    <cellStyle name="Normal 4 4 10" xfId="38679"/>
    <cellStyle name="Normal 4 4 2" xfId="38680"/>
    <cellStyle name="Normal 4 4 2 2" xfId="38681"/>
    <cellStyle name="Normal 4 4 2 2 2" xfId="38682"/>
    <cellStyle name="Normal 4 4 2 2 2 2" xfId="38683"/>
    <cellStyle name="Normal 4 4 2 2 2 3" xfId="38684"/>
    <cellStyle name="Normal 4 4 2 2 3" xfId="38685"/>
    <cellStyle name="Normal 4 4 2 2 4" xfId="38686"/>
    <cellStyle name="Normal 4 4 2 2 5" xfId="38687"/>
    <cellStyle name="Normal 4 4 2 2 6" xfId="38688"/>
    <cellStyle name="Normal 4 4 2 3" xfId="38689"/>
    <cellStyle name="Normal 4 4 2 3 2" xfId="38690"/>
    <cellStyle name="Normal 4 4 2 3 2 2" xfId="38691"/>
    <cellStyle name="Normal 4 4 2 3 3" xfId="38692"/>
    <cellStyle name="Normal 4 4 2 3 4" xfId="38693"/>
    <cellStyle name="Normal 4 4 2 3 5" xfId="38694"/>
    <cellStyle name="Normal 4 4 2 4" xfId="38695"/>
    <cellStyle name="Normal 4 4 2 4 2" xfId="38696"/>
    <cellStyle name="Normal 4 4 2 4 3" xfId="38697"/>
    <cellStyle name="Normal 4 4 2 4 4" xfId="38698"/>
    <cellStyle name="Normal 4 4 2 5" xfId="38699"/>
    <cellStyle name="Normal 4 4 2 5 2" xfId="38700"/>
    <cellStyle name="Normal 4 4 2 6" xfId="38701"/>
    <cellStyle name="Normal 4 4 2 7" xfId="38702"/>
    <cellStyle name="Normal 4 4 2 8" xfId="38703"/>
    <cellStyle name="Normal 4 4 2 9" xfId="38704"/>
    <cellStyle name="Normal 4 4 3" xfId="38705"/>
    <cellStyle name="Normal 4 4 3 2" xfId="38706"/>
    <cellStyle name="Normal 4 4 3 2 2" xfId="38707"/>
    <cellStyle name="Normal 4 4 3 2 3" xfId="38708"/>
    <cellStyle name="Normal 4 4 3 3" xfId="38709"/>
    <cellStyle name="Normal 4 4 3 4" xfId="38710"/>
    <cellStyle name="Normal 4 4 3 5" xfId="38711"/>
    <cellStyle name="Normal 4 4 3 6" xfId="38712"/>
    <cellStyle name="Normal 4 4 4" xfId="38713"/>
    <cellStyle name="Normal 4 4 4 2" xfId="38714"/>
    <cellStyle name="Normal 4 4 4 2 2" xfId="38715"/>
    <cellStyle name="Normal 4 4 4 3" xfId="38716"/>
    <cellStyle name="Normal 4 4 4 4" xfId="38717"/>
    <cellStyle name="Normal 4 4 4 5" xfId="38718"/>
    <cellStyle name="Normal 4 4 5" xfId="38719"/>
    <cellStyle name="Normal 4 4 5 2" xfId="38720"/>
    <cellStyle name="Normal 4 4 5 3" xfId="38721"/>
    <cellStyle name="Normal 4 4 5 4" xfId="38722"/>
    <cellStyle name="Normal 4 4 6" xfId="38723"/>
    <cellStyle name="Normal 4 4 6 2" xfId="38724"/>
    <cellStyle name="Normal 4 4 6 3" xfId="38725"/>
    <cellStyle name="Normal 4 4 7" xfId="38726"/>
    <cellStyle name="Normal 4 4 8" xfId="38727"/>
    <cellStyle name="Normal 4 4 9" xfId="38728"/>
    <cellStyle name="Normal 4 5" xfId="38729"/>
    <cellStyle name="Normal 4 5 2" xfId="38730"/>
    <cellStyle name="Normal 4 5 2 2" xfId="38731"/>
    <cellStyle name="Normal 4 5 2 2 2" xfId="38732"/>
    <cellStyle name="Normal 4 5 2 2 3" xfId="38733"/>
    <cellStyle name="Normal 4 5 2 3" xfId="38734"/>
    <cellStyle name="Normal 4 5 2 4" xfId="38735"/>
    <cellStyle name="Normal 4 5 2 5" xfId="38736"/>
    <cellStyle name="Normal 4 5 2 6" xfId="38737"/>
    <cellStyle name="Normal 4 5 3" xfId="38738"/>
    <cellStyle name="Normal 4 5 3 2" xfId="38739"/>
    <cellStyle name="Normal 4 5 3 2 2" xfId="38740"/>
    <cellStyle name="Normal 4 5 3 3" xfId="38741"/>
    <cellStyle name="Normal 4 5 3 4" xfId="38742"/>
    <cellStyle name="Normal 4 5 3 5" xfId="38743"/>
    <cellStyle name="Normal 4 5 4" xfId="38744"/>
    <cellStyle name="Normal 4 5 4 2" xfId="38745"/>
    <cellStyle name="Normal 4 5 4 3" xfId="38746"/>
    <cellStyle name="Normal 4 5 4 4" xfId="38747"/>
    <cellStyle name="Normal 4 5 5" xfId="38748"/>
    <cellStyle name="Normal 4 5 5 2" xfId="38749"/>
    <cellStyle name="Normal 4 5 6" xfId="38750"/>
    <cellStyle name="Normal 4 5 7" xfId="38751"/>
    <cellStyle name="Normal 4 5 8" xfId="38752"/>
    <cellStyle name="Normal 4 5 9" xfId="38753"/>
    <cellStyle name="Normal 4 6" xfId="38754"/>
    <cellStyle name="Normal 4 6 2" xfId="38755"/>
    <cellStyle name="Normal 4 6 2 2" xfId="38756"/>
    <cellStyle name="Normal 4 6 2 3" xfId="38757"/>
    <cellStyle name="Normal 4 6 2 4" xfId="38758"/>
    <cellStyle name="Normal 4 6 3" xfId="38759"/>
    <cellStyle name="Normal 4 6 3 2" xfId="38760"/>
    <cellStyle name="Normal 4 6 4" xfId="38761"/>
    <cellStyle name="Normal 4 6 5" xfId="38762"/>
    <cellStyle name="Normal 4 6 6" xfId="38763"/>
    <cellStyle name="Normal 4 6 7" xfId="38764"/>
    <cellStyle name="Normal 4 7" xfId="38765"/>
    <cellStyle name="Normal 4 7 2" xfId="38766"/>
    <cellStyle name="Normal 4 7 2 2" xfId="38767"/>
    <cellStyle name="Normal 4 7 3" xfId="38768"/>
    <cellStyle name="Normal 4 7 4" xfId="38769"/>
    <cellStyle name="Normal 4 7 5" xfId="38770"/>
    <cellStyle name="Normal 4 7 6" xfId="38771"/>
    <cellStyle name="Normal 4 8" xfId="38772"/>
    <cellStyle name="Normal 4 8 2" xfId="38773"/>
    <cellStyle name="Normal 4 8 2 2" xfId="38774"/>
    <cellStyle name="Normal 4 8 2 3" xfId="38775"/>
    <cellStyle name="Normal 4 8 3" xfId="38776"/>
    <cellStyle name="Normal 4 8 4" xfId="38777"/>
    <cellStyle name="Normal 4 8 5" xfId="38778"/>
    <cellStyle name="Normal 4 9" xfId="38779"/>
    <cellStyle name="Normal 4 9 2" xfId="38780"/>
    <cellStyle name="Normal 4 9 2 2" xfId="38781"/>
    <cellStyle name="Normal 4 9 3" xfId="38782"/>
    <cellStyle name="Normal 4 9 4" xfId="38783"/>
    <cellStyle name="Normal 4 9 5" xfId="38784"/>
    <cellStyle name="Normal 40" xfId="38785"/>
    <cellStyle name="Normal 41" xfId="38786"/>
    <cellStyle name="Normal 42" xfId="38787"/>
    <cellStyle name="Normal 43" xfId="38788"/>
    <cellStyle name="Normal 44" xfId="38789"/>
    <cellStyle name="Normal 45" xfId="38790"/>
    <cellStyle name="Normal 46" xfId="38791"/>
    <cellStyle name="Normal 47" xfId="38792"/>
    <cellStyle name="Normal 48" xfId="38793"/>
    <cellStyle name="Normal 49" xfId="38794"/>
    <cellStyle name="Normal 5" xfId="38795"/>
    <cellStyle name="Normal 5 2" xfId="38796"/>
    <cellStyle name="Normal 5 2 2" xfId="38797"/>
    <cellStyle name="Normal 5 2 3" xfId="38798"/>
    <cellStyle name="Normal 5 2 4" xfId="38799"/>
    <cellStyle name="Normal 5 3" xfId="38800"/>
    <cellStyle name="Normal 5 3 2" xfId="38801"/>
    <cellStyle name="Normal 5 3 3" xfId="38802"/>
    <cellStyle name="Normal 5 4" xfId="38803"/>
    <cellStyle name="Normal 5 5" xfId="38804"/>
    <cellStyle name="Normal 5 6" xfId="38805"/>
    <cellStyle name="Normal 5 7" xfId="38806"/>
    <cellStyle name="Normal 5 8" xfId="38807"/>
    <cellStyle name="Normal 5 9" xfId="38808"/>
    <cellStyle name="Normal 50" xfId="38809"/>
    <cellStyle name="Normal 51" xfId="38810"/>
    <cellStyle name="Normal 52" xfId="38811"/>
    <cellStyle name="Normal 53" xfId="38812"/>
    <cellStyle name="Normal 54" xfId="38813"/>
    <cellStyle name="Normal 55" xfId="38814"/>
    <cellStyle name="Normal 56" xfId="38815"/>
    <cellStyle name="Normal 57" xfId="38816"/>
    <cellStyle name="Normal 58" xfId="38817"/>
    <cellStyle name="Normal 59" xfId="38818"/>
    <cellStyle name="Normal 6" xfId="38819"/>
    <cellStyle name="Normal 6 10" xfId="38820"/>
    <cellStyle name="Normal 6 10 10" xfId="38821"/>
    <cellStyle name="Normal 6 10 2" xfId="38822"/>
    <cellStyle name="Normal 6 10 2 2" xfId="38823"/>
    <cellStyle name="Normal 6 10 2 2 2" xfId="38824"/>
    <cellStyle name="Normal 6 10 2 2 3" xfId="38825"/>
    <cellStyle name="Normal 6 10 2 3" xfId="38826"/>
    <cellStyle name="Normal 6 10 2 4" xfId="38827"/>
    <cellStyle name="Normal 6 10 2 5" xfId="38828"/>
    <cellStyle name="Normal 6 10 2 6" xfId="38829"/>
    <cellStyle name="Normal 6 10 3" xfId="38830"/>
    <cellStyle name="Normal 6 10 3 2" xfId="38831"/>
    <cellStyle name="Normal 6 10 3 2 2" xfId="38832"/>
    <cellStyle name="Normal 6 10 3 2 3" xfId="38833"/>
    <cellStyle name="Normal 6 10 3 3" xfId="38834"/>
    <cellStyle name="Normal 6 10 3 4" xfId="38835"/>
    <cellStyle name="Normal 6 10 3 5" xfId="38836"/>
    <cellStyle name="Normal 6 10 3 6" xfId="38837"/>
    <cellStyle name="Normal 6 10 4" xfId="38838"/>
    <cellStyle name="Normal 6 10 4 2" xfId="38839"/>
    <cellStyle name="Normal 6 10 4 2 2" xfId="38840"/>
    <cellStyle name="Normal 6 10 4 3" xfId="38841"/>
    <cellStyle name="Normal 6 10 4 4" xfId="38842"/>
    <cellStyle name="Normal 6 10 4 5" xfId="38843"/>
    <cellStyle name="Normal 6 10 5" xfId="38844"/>
    <cellStyle name="Normal 6 10 5 2" xfId="38845"/>
    <cellStyle name="Normal 6 10 5 3" xfId="38846"/>
    <cellStyle name="Normal 6 10 5 4" xfId="38847"/>
    <cellStyle name="Normal 6 10 6" xfId="38848"/>
    <cellStyle name="Normal 6 10 6 2" xfId="38849"/>
    <cellStyle name="Normal 6 10 7" xfId="38850"/>
    <cellStyle name="Normal 6 10 8" xfId="38851"/>
    <cellStyle name="Normal 6 10 9" xfId="38852"/>
    <cellStyle name="Normal 6 11" xfId="38853"/>
    <cellStyle name="Normal 6 11 10" xfId="38854"/>
    <cellStyle name="Normal 6 11 2" xfId="38855"/>
    <cellStyle name="Normal 6 11 2 2" xfId="38856"/>
    <cellStyle name="Normal 6 11 2 2 2" xfId="38857"/>
    <cellStyle name="Normal 6 11 2 2 3" xfId="38858"/>
    <cellStyle name="Normal 6 11 2 3" xfId="38859"/>
    <cellStyle name="Normal 6 11 2 4" xfId="38860"/>
    <cellStyle name="Normal 6 11 2 5" xfId="38861"/>
    <cellStyle name="Normal 6 11 2 6" xfId="38862"/>
    <cellStyle name="Normal 6 11 3" xfId="38863"/>
    <cellStyle name="Normal 6 11 3 2" xfId="38864"/>
    <cellStyle name="Normal 6 11 3 2 2" xfId="38865"/>
    <cellStyle name="Normal 6 11 3 2 3" xfId="38866"/>
    <cellStyle name="Normal 6 11 3 3" xfId="38867"/>
    <cellStyle name="Normal 6 11 3 4" xfId="38868"/>
    <cellStyle name="Normal 6 11 3 5" xfId="38869"/>
    <cellStyle name="Normal 6 11 3 6" xfId="38870"/>
    <cellStyle name="Normal 6 11 4" xfId="38871"/>
    <cellStyle name="Normal 6 11 4 2" xfId="38872"/>
    <cellStyle name="Normal 6 11 4 2 2" xfId="38873"/>
    <cellStyle name="Normal 6 11 4 3" xfId="38874"/>
    <cellStyle name="Normal 6 11 4 4" xfId="38875"/>
    <cellStyle name="Normal 6 11 4 5" xfId="38876"/>
    <cellStyle name="Normal 6 11 5" xfId="38877"/>
    <cellStyle name="Normal 6 11 5 2" xfId="38878"/>
    <cellStyle name="Normal 6 11 5 3" xfId="38879"/>
    <cellStyle name="Normal 6 11 5 4" xfId="38880"/>
    <cellStyle name="Normal 6 11 6" xfId="38881"/>
    <cellStyle name="Normal 6 11 6 2" xfId="38882"/>
    <cellStyle name="Normal 6 11 7" xfId="38883"/>
    <cellStyle name="Normal 6 11 8" xfId="38884"/>
    <cellStyle name="Normal 6 11 9" xfId="38885"/>
    <cellStyle name="Normal 6 12" xfId="38886"/>
    <cellStyle name="Normal 6 12 10" xfId="38887"/>
    <cellStyle name="Normal 6 12 2" xfId="38888"/>
    <cellStyle name="Normal 6 12 2 2" xfId="38889"/>
    <cellStyle name="Normal 6 12 2 2 2" xfId="38890"/>
    <cellStyle name="Normal 6 12 2 2 3" xfId="38891"/>
    <cellStyle name="Normal 6 12 2 3" xfId="38892"/>
    <cellStyle name="Normal 6 12 2 4" xfId="38893"/>
    <cellStyle name="Normal 6 12 2 5" xfId="38894"/>
    <cellStyle name="Normal 6 12 2 6" xfId="38895"/>
    <cellStyle name="Normal 6 12 3" xfId="38896"/>
    <cellStyle name="Normal 6 12 3 2" xfId="38897"/>
    <cellStyle name="Normal 6 12 3 2 2" xfId="38898"/>
    <cellStyle name="Normal 6 12 3 2 3" xfId="38899"/>
    <cellStyle name="Normal 6 12 3 3" xfId="38900"/>
    <cellStyle name="Normal 6 12 3 4" xfId="38901"/>
    <cellStyle name="Normal 6 12 3 5" xfId="38902"/>
    <cellStyle name="Normal 6 12 3 6" xfId="38903"/>
    <cellStyle name="Normal 6 12 4" xfId="38904"/>
    <cellStyle name="Normal 6 12 4 2" xfId="38905"/>
    <cellStyle name="Normal 6 12 4 2 2" xfId="38906"/>
    <cellStyle name="Normal 6 12 4 3" xfId="38907"/>
    <cellStyle name="Normal 6 12 4 4" xfId="38908"/>
    <cellStyle name="Normal 6 12 4 5" xfId="38909"/>
    <cellStyle name="Normal 6 12 5" xfId="38910"/>
    <cellStyle name="Normal 6 12 5 2" xfId="38911"/>
    <cellStyle name="Normal 6 12 5 3" xfId="38912"/>
    <cellStyle name="Normal 6 12 5 4" xfId="38913"/>
    <cellStyle name="Normal 6 12 6" xfId="38914"/>
    <cellStyle name="Normal 6 12 6 2" xfId="38915"/>
    <cellStyle name="Normal 6 12 7" xfId="38916"/>
    <cellStyle name="Normal 6 12 8" xfId="38917"/>
    <cellStyle name="Normal 6 12 9" xfId="38918"/>
    <cellStyle name="Normal 6 13" xfId="38919"/>
    <cellStyle name="Normal 6 13 10" xfId="38920"/>
    <cellStyle name="Normal 6 13 2" xfId="38921"/>
    <cellStyle name="Normal 6 13 2 2" xfId="38922"/>
    <cellStyle name="Normal 6 13 2 2 2" xfId="38923"/>
    <cellStyle name="Normal 6 13 2 2 3" xfId="38924"/>
    <cellStyle name="Normal 6 13 2 3" xfId="38925"/>
    <cellStyle name="Normal 6 13 2 4" xfId="38926"/>
    <cellStyle name="Normal 6 13 2 5" xfId="38927"/>
    <cellStyle name="Normal 6 13 2 6" xfId="38928"/>
    <cellStyle name="Normal 6 13 3" xfId="38929"/>
    <cellStyle name="Normal 6 13 3 2" xfId="38930"/>
    <cellStyle name="Normal 6 13 3 2 2" xfId="38931"/>
    <cellStyle name="Normal 6 13 3 2 3" xfId="38932"/>
    <cellStyle name="Normal 6 13 3 3" xfId="38933"/>
    <cellStyle name="Normal 6 13 3 4" xfId="38934"/>
    <cellStyle name="Normal 6 13 3 5" xfId="38935"/>
    <cellStyle name="Normal 6 13 3 6" xfId="38936"/>
    <cellStyle name="Normal 6 13 4" xfId="38937"/>
    <cellStyle name="Normal 6 13 4 2" xfId="38938"/>
    <cellStyle name="Normal 6 13 4 2 2" xfId="38939"/>
    <cellStyle name="Normal 6 13 4 3" xfId="38940"/>
    <cellStyle name="Normal 6 13 4 4" xfId="38941"/>
    <cellStyle name="Normal 6 13 4 5" xfId="38942"/>
    <cellStyle name="Normal 6 13 5" xfId="38943"/>
    <cellStyle name="Normal 6 13 5 2" xfId="38944"/>
    <cellStyle name="Normal 6 13 5 3" xfId="38945"/>
    <cellStyle name="Normal 6 13 5 4" xfId="38946"/>
    <cellStyle name="Normal 6 13 6" xfId="38947"/>
    <cellStyle name="Normal 6 13 6 2" xfId="38948"/>
    <cellStyle name="Normal 6 13 7" xfId="38949"/>
    <cellStyle name="Normal 6 13 8" xfId="38950"/>
    <cellStyle name="Normal 6 13 9" xfId="38951"/>
    <cellStyle name="Normal 6 14" xfId="38952"/>
    <cellStyle name="Normal 6 14 2" xfId="38953"/>
    <cellStyle name="Normal 6 14 2 2" xfId="38954"/>
    <cellStyle name="Normal 6 14 2 2 2" xfId="38955"/>
    <cellStyle name="Normal 6 14 2 2 3" xfId="38956"/>
    <cellStyle name="Normal 6 14 2 3" xfId="38957"/>
    <cellStyle name="Normal 6 14 2 4" xfId="38958"/>
    <cellStyle name="Normal 6 14 2 5" xfId="38959"/>
    <cellStyle name="Normal 6 14 2 6" xfId="38960"/>
    <cellStyle name="Normal 6 14 3" xfId="38961"/>
    <cellStyle name="Normal 6 14 3 2" xfId="38962"/>
    <cellStyle name="Normal 6 14 3 2 2" xfId="38963"/>
    <cellStyle name="Normal 6 14 3 3" xfId="38964"/>
    <cellStyle name="Normal 6 14 3 4" xfId="38965"/>
    <cellStyle name="Normal 6 14 3 5" xfId="38966"/>
    <cellStyle name="Normal 6 14 4" xfId="38967"/>
    <cellStyle name="Normal 6 14 4 2" xfId="38968"/>
    <cellStyle name="Normal 6 14 4 3" xfId="38969"/>
    <cellStyle name="Normal 6 14 4 4" xfId="38970"/>
    <cellStyle name="Normal 6 14 5" xfId="38971"/>
    <cellStyle name="Normal 6 14 5 2" xfId="38972"/>
    <cellStyle name="Normal 6 14 6" xfId="38973"/>
    <cellStyle name="Normal 6 14 7" xfId="38974"/>
    <cellStyle name="Normal 6 14 8" xfId="38975"/>
    <cellStyle name="Normal 6 14 9" xfId="38976"/>
    <cellStyle name="Normal 6 15" xfId="38977"/>
    <cellStyle name="Normal 6 15 2" xfId="38978"/>
    <cellStyle name="Normal 6 15 2 2" xfId="38979"/>
    <cellStyle name="Normal 6 15 2 2 2" xfId="38980"/>
    <cellStyle name="Normal 6 15 2 2 3" xfId="38981"/>
    <cellStyle name="Normal 6 15 2 3" xfId="38982"/>
    <cellStyle name="Normal 6 15 2 4" xfId="38983"/>
    <cellStyle name="Normal 6 15 2 5" xfId="38984"/>
    <cellStyle name="Normal 6 15 2 6" xfId="38985"/>
    <cellStyle name="Normal 6 15 3" xfId="38986"/>
    <cellStyle name="Normal 6 15 3 2" xfId="38987"/>
    <cellStyle name="Normal 6 15 3 2 2" xfId="38988"/>
    <cellStyle name="Normal 6 15 3 3" xfId="38989"/>
    <cellStyle name="Normal 6 15 3 4" xfId="38990"/>
    <cellStyle name="Normal 6 15 3 5" xfId="38991"/>
    <cellStyle name="Normal 6 15 4" xfId="38992"/>
    <cellStyle name="Normal 6 15 4 2" xfId="38993"/>
    <cellStyle name="Normal 6 15 4 3" xfId="38994"/>
    <cellStyle name="Normal 6 15 4 4" xfId="38995"/>
    <cellStyle name="Normal 6 15 5" xfId="38996"/>
    <cellStyle name="Normal 6 15 5 2" xfId="38997"/>
    <cellStyle name="Normal 6 15 6" xfId="38998"/>
    <cellStyle name="Normal 6 15 7" xfId="38999"/>
    <cellStyle name="Normal 6 15 8" xfId="39000"/>
    <cellStyle name="Normal 6 15 9" xfId="39001"/>
    <cellStyle name="Normal 6 16" xfId="39002"/>
    <cellStyle name="Normal 6 16 2" xfId="39003"/>
    <cellStyle name="Normal 6 16 2 2" xfId="39004"/>
    <cellStyle name="Normal 6 16 2 3" xfId="39005"/>
    <cellStyle name="Normal 6 16 3" xfId="39006"/>
    <cellStyle name="Normal 6 16 4" xfId="39007"/>
    <cellStyle name="Normal 6 16 5" xfId="39008"/>
    <cellStyle name="Normal 6 16 6" xfId="39009"/>
    <cellStyle name="Normal 6 17" xfId="39010"/>
    <cellStyle name="Normal 6 17 2" xfId="39011"/>
    <cellStyle name="Normal 6 17 2 2" xfId="39012"/>
    <cellStyle name="Normal 6 17 3" xfId="39013"/>
    <cellStyle name="Normal 6 17 4" xfId="39014"/>
    <cellStyle name="Normal 6 17 5" xfId="39015"/>
    <cellStyle name="Normal 6 17 6" xfId="39016"/>
    <cellStyle name="Normal 6 18" xfId="39017"/>
    <cellStyle name="Normal 6 18 2" xfId="39018"/>
    <cellStyle name="Normal 6 18 2 2" xfId="39019"/>
    <cellStyle name="Normal 6 18 3" xfId="39020"/>
    <cellStyle name="Normal 6 18 4" xfId="39021"/>
    <cellStyle name="Normal 6 18 5" xfId="39022"/>
    <cellStyle name="Normal 6 18 6" xfId="39023"/>
    <cellStyle name="Normal 6 19" xfId="39024"/>
    <cellStyle name="Normal 6 19 2" xfId="39025"/>
    <cellStyle name="Normal 6 19 3" xfId="39026"/>
    <cellStyle name="Normal 6 19 4" xfId="39027"/>
    <cellStyle name="Normal 6 2" xfId="39028"/>
    <cellStyle name="Normal 6 2 2" xfId="39029"/>
    <cellStyle name="Normal 6 2 2 2" xfId="39030"/>
    <cellStyle name="Normal 6 2 2 3" xfId="39031"/>
    <cellStyle name="Normal 6 2 3" xfId="39032"/>
    <cellStyle name="Normal 6 2 3 2" xfId="39033"/>
    <cellStyle name="Normal 6 2 4" xfId="39034"/>
    <cellStyle name="Normal 6 2 5" xfId="39035"/>
    <cellStyle name="Normal 6 20" xfId="39036"/>
    <cellStyle name="Normal 6 20 2" xfId="39037"/>
    <cellStyle name="Normal 6 20 3" xfId="39038"/>
    <cellStyle name="Normal 6 21" xfId="39039"/>
    <cellStyle name="Normal 6 21 2" xfId="39040"/>
    <cellStyle name="Normal 6 22" xfId="39041"/>
    <cellStyle name="Normal 6 22 2" xfId="39042"/>
    <cellStyle name="Normal 6 23" xfId="39043"/>
    <cellStyle name="Normal 6 23 2" xfId="39044"/>
    <cellStyle name="Normal 6 24" xfId="39045"/>
    <cellStyle name="Normal 6 25" xfId="39046"/>
    <cellStyle name="Normal 6 26" xfId="39047"/>
    <cellStyle name="Normal 6 27" xfId="39048"/>
    <cellStyle name="Normal 6 28" xfId="39049"/>
    <cellStyle name="Normal 6 29" xfId="39050"/>
    <cellStyle name="Normal 6 3" xfId="39051"/>
    <cellStyle name="Normal 6 3 10" xfId="39052"/>
    <cellStyle name="Normal 6 3 11" xfId="39053"/>
    <cellStyle name="Normal 6 3 2" xfId="39054"/>
    <cellStyle name="Normal 6 3 2 2" xfId="39055"/>
    <cellStyle name="Normal 6 3 2 2 2" xfId="39056"/>
    <cellStyle name="Normal 6 3 2 2 2 2" xfId="39057"/>
    <cellStyle name="Normal 6 3 2 2 2 3" xfId="39058"/>
    <cellStyle name="Normal 6 3 2 2 3" xfId="39059"/>
    <cellStyle name="Normal 6 3 2 2 4" xfId="39060"/>
    <cellStyle name="Normal 6 3 2 2 5" xfId="39061"/>
    <cellStyle name="Normal 6 3 2 2 6" xfId="39062"/>
    <cellStyle name="Normal 6 3 2 3" xfId="39063"/>
    <cellStyle name="Normal 6 3 2 3 2" xfId="39064"/>
    <cellStyle name="Normal 6 3 2 3 2 2" xfId="39065"/>
    <cellStyle name="Normal 6 3 2 3 3" xfId="39066"/>
    <cellStyle name="Normal 6 3 2 3 4" xfId="39067"/>
    <cellStyle name="Normal 6 3 2 3 5" xfId="39068"/>
    <cellStyle name="Normal 6 3 2 4" xfId="39069"/>
    <cellStyle name="Normal 6 3 2 4 2" xfId="39070"/>
    <cellStyle name="Normal 6 3 2 4 3" xfId="39071"/>
    <cellStyle name="Normal 6 3 2 4 4" xfId="39072"/>
    <cellStyle name="Normal 6 3 2 5" xfId="39073"/>
    <cellStyle name="Normal 6 3 2 5 2" xfId="39074"/>
    <cellStyle name="Normal 6 3 2 6" xfId="39075"/>
    <cellStyle name="Normal 6 3 2 7" xfId="39076"/>
    <cellStyle name="Normal 6 3 2 8" xfId="39077"/>
    <cellStyle name="Normal 6 3 2 9" xfId="39078"/>
    <cellStyle name="Normal 6 3 3" xfId="39079"/>
    <cellStyle name="Normal 6 3 3 2" xfId="39080"/>
    <cellStyle name="Normal 6 3 3 2 2" xfId="39081"/>
    <cellStyle name="Normal 6 3 3 2 2 2" xfId="39082"/>
    <cellStyle name="Normal 6 3 3 2 2 3" xfId="39083"/>
    <cellStyle name="Normal 6 3 3 2 3" xfId="39084"/>
    <cellStyle name="Normal 6 3 3 2 4" xfId="39085"/>
    <cellStyle name="Normal 6 3 3 2 5" xfId="39086"/>
    <cellStyle name="Normal 6 3 3 2 6" xfId="39087"/>
    <cellStyle name="Normal 6 3 3 3" xfId="39088"/>
    <cellStyle name="Normal 6 3 3 3 2" xfId="39089"/>
    <cellStyle name="Normal 6 3 3 3 2 2" xfId="39090"/>
    <cellStyle name="Normal 6 3 3 3 3" xfId="39091"/>
    <cellStyle name="Normal 6 3 3 3 4" xfId="39092"/>
    <cellStyle name="Normal 6 3 3 3 5" xfId="39093"/>
    <cellStyle name="Normal 6 3 3 4" xfId="39094"/>
    <cellStyle name="Normal 6 3 3 4 2" xfId="39095"/>
    <cellStyle name="Normal 6 3 3 4 3" xfId="39096"/>
    <cellStyle name="Normal 6 3 3 4 4" xfId="39097"/>
    <cellStyle name="Normal 6 3 3 5" xfId="39098"/>
    <cellStyle name="Normal 6 3 3 5 2" xfId="39099"/>
    <cellStyle name="Normal 6 3 3 6" xfId="39100"/>
    <cellStyle name="Normal 6 3 3 7" xfId="39101"/>
    <cellStyle name="Normal 6 3 3 8" xfId="39102"/>
    <cellStyle name="Normal 6 3 3 9" xfId="39103"/>
    <cellStyle name="Normal 6 3 4" xfId="39104"/>
    <cellStyle name="Normal 6 3 4 2" xfId="39105"/>
    <cellStyle name="Normal 6 3 4 2 2" xfId="39106"/>
    <cellStyle name="Normal 6 3 4 2 3" xfId="39107"/>
    <cellStyle name="Normal 6 3 4 3" xfId="39108"/>
    <cellStyle name="Normal 6 3 4 4" xfId="39109"/>
    <cellStyle name="Normal 6 3 4 5" xfId="39110"/>
    <cellStyle name="Normal 6 3 4 6" xfId="39111"/>
    <cellStyle name="Normal 6 3 5" xfId="39112"/>
    <cellStyle name="Normal 6 3 5 2" xfId="39113"/>
    <cellStyle name="Normal 6 3 5 2 2" xfId="39114"/>
    <cellStyle name="Normal 6 3 5 3" xfId="39115"/>
    <cellStyle name="Normal 6 3 5 4" xfId="39116"/>
    <cellStyle name="Normal 6 3 5 5" xfId="39117"/>
    <cellStyle name="Normal 6 3 6" xfId="39118"/>
    <cellStyle name="Normal 6 3 6 2" xfId="39119"/>
    <cellStyle name="Normal 6 3 6 3" xfId="39120"/>
    <cellStyle name="Normal 6 3 6 4" xfId="39121"/>
    <cellStyle name="Normal 6 3 7" xfId="39122"/>
    <cellStyle name="Normal 6 3 7 2" xfId="39123"/>
    <cellStyle name="Normal 6 3 8" xfId="39124"/>
    <cellStyle name="Normal 6 3 9" xfId="39125"/>
    <cellStyle name="Normal 6 30" xfId="39126"/>
    <cellStyle name="Normal 6 31" xfId="39127"/>
    <cellStyle name="Normal 6 32" xfId="39128"/>
    <cellStyle name="Normal 6 33" xfId="39129"/>
    <cellStyle name="Normal 6 34" xfId="39130"/>
    <cellStyle name="Normal 6 35" xfId="39131"/>
    <cellStyle name="Normal 6 36" xfId="39132"/>
    <cellStyle name="Normal 6 37" xfId="39133"/>
    <cellStyle name="Normal 6 38" xfId="39134"/>
    <cellStyle name="Normal 6 39" xfId="39135"/>
    <cellStyle name="Normal 6 4" xfId="39136"/>
    <cellStyle name="Normal 6 4 10" xfId="39137"/>
    <cellStyle name="Normal 6 4 11" xfId="39138"/>
    <cellStyle name="Normal 6 4 2" xfId="39139"/>
    <cellStyle name="Normal 6 4 2 2" xfId="39140"/>
    <cellStyle name="Normal 6 4 2 2 2" xfId="39141"/>
    <cellStyle name="Normal 6 4 2 2 2 2" xfId="39142"/>
    <cellStyle name="Normal 6 4 2 2 2 3" xfId="39143"/>
    <cellStyle name="Normal 6 4 2 2 3" xfId="39144"/>
    <cellStyle name="Normal 6 4 2 2 4" xfId="39145"/>
    <cellStyle name="Normal 6 4 2 2 5" xfId="39146"/>
    <cellStyle name="Normal 6 4 2 2 6" xfId="39147"/>
    <cellStyle name="Normal 6 4 2 3" xfId="39148"/>
    <cellStyle name="Normal 6 4 2 3 2" xfId="39149"/>
    <cellStyle name="Normal 6 4 2 3 2 2" xfId="39150"/>
    <cellStyle name="Normal 6 4 2 3 3" xfId="39151"/>
    <cellStyle name="Normal 6 4 2 3 4" xfId="39152"/>
    <cellStyle name="Normal 6 4 2 3 5" xfId="39153"/>
    <cellStyle name="Normal 6 4 2 4" xfId="39154"/>
    <cellStyle name="Normal 6 4 2 4 2" xfId="39155"/>
    <cellStyle name="Normal 6 4 2 4 3" xfId="39156"/>
    <cellStyle name="Normal 6 4 2 4 4" xfId="39157"/>
    <cellStyle name="Normal 6 4 2 5" xfId="39158"/>
    <cellStyle name="Normal 6 4 2 5 2" xfId="39159"/>
    <cellStyle name="Normal 6 4 2 6" xfId="39160"/>
    <cellStyle name="Normal 6 4 2 7" xfId="39161"/>
    <cellStyle name="Normal 6 4 2 8" xfId="39162"/>
    <cellStyle name="Normal 6 4 2 9" xfId="39163"/>
    <cellStyle name="Normal 6 4 3" xfId="39164"/>
    <cellStyle name="Normal 6 4 3 2" xfId="39165"/>
    <cellStyle name="Normal 6 4 3 2 2" xfId="39166"/>
    <cellStyle name="Normal 6 4 3 2 2 2" xfId="39167"/>
    <cellStyle name="Normal 6 4 3 2 2 3" xfId="39168"/>
    <cellStyle name="Normal 6 4 3 2 3" xfId="39169"/>
    <cellStyle name="Normal 6 4 3 2 4" xfId="39170"/>
    <cellStyle name="Normal 6 4 3 2 5" xfId="39171"/>
    <cellStyle name="Normal 6 4 3 2 6" xfId="39172"/>
    <cellStyle name="Normal 6 4 3 3" xfId="39173"/>
    <cellStyle name="Normal 6 4 3 3 2" xfId="39174"/>
    <cellStyle name="Normal 6 4 3 3 2 2" xfId="39175"/>
    <cellStyle name="Normal 6 4 3 3 3" xfId="39176"/>
    <cellStyle name="Normal 6 4 3 3 4" xfId="39177"/>
    <cellStyle name="Normal 6 4 3 3 5" xfId="39178"/>
    <cellStyle name="Normal 6 4 3 4" xfId="39179"/>
    <cellStyle name="Normal 6 4 3 4 2" xfId="39180"/>
    <cellStyle name="Normal 6 4 3 4 3" xfId="39181"/>
    <cellStyle name="Normal 6 4 3 4 4" xfId="39182"/>
    <cellStyle name="Normal 6 4 3 5" xfId="39183"/>
    <cellStyle name="Normal 6 4 3 5 2" xfId="39184"/>
    <cellStyle name="Normal 6 4 3 6" xfId="39185"/>
    <cellStyle name="Normal 6 4 3 7" xfId="39186"/>
    <cellStyle name="Normal 6 4 3 8" xfId="39187"/>
    <cellStyle name="Normal 6 4 3 9" xfId="39188"/>
    <cellStyle name="Normal 6 4 4" xfId="39189"/>
    <cellStyle name="Normal 6 4 4 2" xfId="39190"/>
    <cellStyle name="Normal 6 4 4 2 2" xfId="39191"/>
    <cellStyle name="Normal 6 4 4 2 3" xfId="39192"/>
    <cellStyle name="Normal 6 4 4 3" xfId="39193"/>
    <cellStyle name="Normal 6 4 4 4" xfId="39194"/>
    <cellStyle name="Normal 6 4 4 5" xfId="39195"/>
    <cellStyle name="Normal 6 4 4 6" xfId="39196"/>
    <cellStyle name="Normal 6 4 5" xfId="39197"/>
    <cellStyle name="Normal 6 4 5 2" xfId="39198"/>
    <cellStyle name="Normal 6 4 5 2 2" xfId="39199"/>
    <cellStyle name="Normal 6 4 5 3" xfId="39200"/>
    <cellStyle name="Normal 6 4 5 4" xfId="39201"/>
    <cellStyle name="Normal 6 4 5 5" xfId="39202"/>
    <cellStyle name="Normal 6 4 6" xfId="39203"/>
    <cellStyle name="Normal 6 4 6 2" xfId="39204"/>
    <cellStyle name="Normal 6 4 6 3" xfId="39205"/>
    <cellStyle name="Normal 6 4 6 4" xfId="39206"/>
    <cellStyle name="Normal 6 4 7" xfId="39207"/>
    <cellStyle name="Normal 6 4 7 2" xfId="39208"/>
    <cellStyle name="Normal 6 4 8" xfId="39209"/>
    <cellStyle name="Normal 6 4 9" xfId="39210"/>
    <cellStyle name="Normal 6 40" xfId="39211"/>
    <cellStyle name="Normal 6 41" xfId="39212"/>
    <cellStyle name="Normal 6 5" xfId="39213"/>
    <cellStyle name="Normal 6 5 10" xfId="39214"/>
    <cellStyle name="Normal 6 5 11" xfId="39215"/>
    <cellStyle name="Normal 6 5 2" xfId="39216"/>
    <cellStyle name="Normal 6 5 2 2" xfId="39217"/>
    <cellStyle name="Normal 6 5 2 2 2" xfId="39218"/>
    <cellStyle name="Normal 6 5 2 2 2 2" xfId="39219"/>
    <cellStyle name="Normal 6 5 2 2 2 3" xfId="39220"/>
    <cellStyle name="Normal 6 5 2 2 3" xfId="39221"/>
    <cellStyle name="Normal 6 5 2 2 4" xfId="39222"/>
    <cellStyle name="Normal 6 5 2 2 5" xfId="39223"/>
    <cellStyle name="Normal 6 5 2 2 6" xfId="39224"/>
    <cellStyle name="Normal 6 5 2 3" xfId="39225"/>
    <cellStyle name="Normal 6 5 2 3 2" xfId="39226"/>
    <cellStyle name="Normal 6 5 2 3 2 2" xfId="39227"/>
    <cellStyle name="Normal 6 5 2 3 3" xfId="39228"/>
    <cellStyle name="Normal 6 5 2 3 4" xfId="39229"/>
    <cellStyle name="Normal 6 5 2 3 5" xfId="39230"/>
    <cellStyle name="Normal 6 5 2 4" xfId="39231"/>
    <cellStyle name="Normal 6 5 2 4 2" xfId="39232"/>
    <cellStyle name="Normal 6 5 2 4 3" xfId="39233"/>
    <cellStyle name="Normal 6 5 2 4 4" xfId="39234"/>
    <cellStyle name="Normal 6 5 2 5" xfId="39235"/>
    <cellStyle name="Normal 6 5 2 5 2" xfId="39236"/>
    <cellStyle name="Normal 6 5 2 6" xfId="39237"/>
    <cellStyle name="Normal 6 5 2 7" xfId="39238"/>
    <cellStyle name="Normal 6 5 2 8" xfId="39239"/>
    <cellStyle name="Normal 6 5 2 9" xfId="39240"/>
    <cellStyle name="Normal 6 5 3" xfId="39241"/>
    <cellStyle name="Normal 6 5 3 2" xfId="39242"/>
    <cellStyle name="Normal 6 5 3 2 2" xfId="39243"/>
    <cellStyle name="Normal 6 5 3 2 2 2" xfId="39244"/>
    <cellStyle name="Normal 6 5 3 2 2 3" xfId="39245"/>
    <cellStyle name="Normal 6 5 3 2 3" xfId="39246"/>
    <cellStyle name="Normal 6 5 3 2 4" xfId="39247"/>
    <cellStyle name="Normal 6 5 3 2 5" xfId="39248"/>
    <cellStyle name="Normal 6 5 3 2 6" xfId="39249"/>
    <cellStyle name="Normal 6 5 3 3" xfId="39250"/>
    <cellStyle name="Normal 6 5 3 3 2" xfId="39251"/>
    <cellStyle name="Normal 6 5 3 3 2 2" xfId="39252"/>
    <cellStyle name="Normal 6 5 3 3 3" xfId="39253"/>
    <cellStyle name="Normal 6 5 3 3 4" xfId="39254"/>
    <cellStyle name="Normal 6 5 3 3 5" xfId="39255"/>
    <cellStyle name="Normal 6 5 3 4" xfId="39256"/>
    <cellStyle name="Normal 6 5 3 4 2" xfId="39257"/>
    <cellStyle name="Normal 6 5 3 4 3" xfId="39258"/>
    <cellStyle name="Normal 6 5 3 4 4" xfId="39259"/>
    <cellStyle name="Normal 6 5 3 5" xfId="39260"/>
    <cellStyle name="Normal 6 5 3 5 2" xfId="39261"/>
    <cellStyle name="Normal 6 5 3 6" xfId="39262"/>
    <cellStyle name="Normal 6 5 3 7" xfId="39263"/>
    <cellStyle name="Normal 6 5 3 8" xfId="39264"/>
    <cellStyle name="Normal 6 5 3 9" xfId="39265"/>
    <cellStyle name="Normal 6 5 4" xfId="39266"/>
    <cellStyle name="Normal 6 5 4 2" xfId="39267"/>
    <cellStyle name="Normal 6 5 4 2 2" xfId="39268"/>
    <cellStyle name="Normal 6 5 4 2 3" xfId="39269"/>
    <cellStyle name="Normal 6 5 4 3" xfId="39270"/>
    <cellStyle name="Normal 6 5 4 4" xfId="39271"/>
    <cellStyle name="Normal 6 5 4 5" xfId="39272"/>
    <cellStyle name="Normal 6 5 4 6" xfId="39273"/>
    <cellStyle name="Normal 6 5 5" xfId="39274"/>
    <cellStyle name="Normal 6 5 5 2" xfId="39275"/>
    <cellStyle name="Normal 6 5 5 2 2" xfId="39276"/>
    <cellStyle name="Normal 6 5 5 3" xfId="39277"/>
    <cellStyle name="Normal 6 5 5 4" xfId="39278"/>
    <cellStyle name="Normal 6 5 5 5" xfId="39279"/>
    <cellStyle name="Normal 6 5 6" xfId="39280"/>
    <cellStyle name="Normal 6 5 6 2" xfId="39281"/>
    <cellStyle name="Normal 6 5 6 3" xfId="39282"/>
    <cellStyle name="Normal 6 5 6 4" xfId="39283"/>
    <cellStyle name="Normal 6 5 7" xfId="39284"/>
    <cellStyle name="Normal 6 5 7 2" xfId="39285"/>
    <cellStyle name="Normal 6 5 8" xfId="39286"/>
    <cellStyle name="Normal 6 5 9" xfId="39287"/>
    <cellStyle name="Normal 6 6" xfId="39288"/>
    <cellStyle name="Normal 6 6 10" xfId="39289"/>
    <cellStyle name="Normal 6 6 11" xfId="39290"/>
    <cellStyle name="Normal 6 6 2" xfId="39291"/>
    <cellStyle name="Normal 6 6 2 2" xfId="39292"/>
    <cellStyle name="Normal 6 6 2 2 2" xfId="39293"/>
    <cellStyle name="Normal 6 6 2 2 2 2" xfId="39294"/>
    <cellStyle name="Normal 6 6 2 2 2 3" xfId="39295"/>
    <cellStyle name="Normal 6 6 2 2 3" xfId="39296"/>
    <cellStyle name="Normal 6 6 2 2 4" xfId="39297"/>
    <cellStyle name="Normal 6 6 2 2 5" xfId="39298"/>
    <cellStyle name="Normal 6 6 2 2 6" xfId="39299"/>
    <cellStyle name="Normal 6 6 2 3" xfId="39300"/>
    <cellStyle name="Normal 6 6 2 3 2" xfId="39301"/>
    <cellStyle name="Normal 6 6 2 3 2 2" xfId="39302"/>
    <cellStyle name="Normal 6 6 2 3 3" xfId="39303"/>
    <cellStyle name="Normal 6 6 2 3 4" xfId="39304"/>
    <cellStyle name="Normal 6 6 2 3 5" xfId="39305"/>
    <cellStyle name="Normal 6 6 2 4" xfId="39306"/>
    <cellStyle name="Normal 6 6 2 4 2" xfId="39307"/>
    <cellStyle name="Normal 6 6 2 4 3" xfId="39308"/>
    <cellStyle name="Normal 6 6 2 4 4" xfId="39309"/>
    <cellStyle name="Normal 6 6 2 5" xfId="39310"/>
    <cellStyle name="Normal 6 6 2 5 2" xfId="39311"/>
    <cellStyle name="Normal 6 6 2 6" xfId="39312"/>
    <cellStyle name="Normal 6 6 2 7" xfId="39313"/>
    <cellStyle name="Normal 6 6 2 8" xfId="39314"/>
    <cellStyle name="Normal 6 6 2 9" xfId="39315"/>
    <cellStyle name="Normal 6 6 3" xfId="39316"/>
    <cellStyle name="Normal 6 6 3 2" xfId="39317"/>
    <cellStyle name="Normal 6 6 3 2 2" xfId="39318"/>
    <cellStyle name="Normal 6 6 3 2 2 2" xfId="39319"/>
    <cellStyle name="Normal 6 6 3 2 2 3" xfId="39320"/>
    <cellStyle name="Normal 6 6 3 2 3" xfId="39321"/>
    <cellStyle name="Normal 6 6 3 2 4" xfId="39322"/>
    <cellStyle name="Normal 6 6 3 2 5" xfId="39323"/>
    <cellStyle name="Normal 6 6 3 2 6" xfId="39324"/>
    <cellStyle name="Normal 6 6 3 3" xfId="39325"/>
    <cellStyle name="Normal 6 6 3 3 2" xfId="39326"/>
    <cellStyle name="Normal 6 6 3 3 2 2" xfId="39327"/>
    <cellStyle name="Normal 6 6 3 3 3" xfId="39328"/>
    <cellStyle name="Normal 6 6 3 3 4" xfId="39329"/>
    <cellStyle name="Normal 6 6 3 3 5" xfId="39330"/>
    <cellStyle name="Normal 6 6 3 4" xfId="39331"/>
    <cellStyle name="Normal 6 6 3 4 2" xfId="39332"/>
    <cellStyle name="Normal 6 6 3 4 3" xfId="39333"/>
    <cellStyle name="Normal 6 6 3 4 4" xfId="39334"/>
    <cellStyle name="Normal 6 6 3 5" xfId="39335"/>
    <cellStyle name="Normal 6 6 3 5 2" xfId="39336"/>
    <cellStyle name="Normal 6 6 3 6" xfId="39337"/>
    <cellStyle name="Normal 6 6 3 7" xfId="39338"/>
    <cellStyle name="Normal 6 6 3 8" xfId="39339"/>
    <cellStyle name="Normal 6 6 3 9" xfId="39340"/>
    <cellStyle name="Normal 6 6 4" xfId="39341"/>
    <cellStyle name="Normal 6 6 4 2" xfId="39342"/>
    <cellStyle name="Normal 6 6 4 2 2" xfId="39343"/>
    <cellStyle name="Normal 6 6 4 2 3" xfId="39344"/>
    <cellStyle name="Normal 6 6 4 3" xfId="39345"/>
    <cellStyle name="Normal 6 6 4 4" xfId="39346"/>
    <cellStyle name="Normal 6 6 4 5" xfId="39347"/>
    <cellStyle name="Normal 6 6 4 6" xfId="39348"/>
    <cellStyle name="Normal 6 6 5" xfId="39349"/>
    <cellStyle name="Normal 6 6 5 2" xfId="39350"/>
    <cellStyle name="Normal 6 6 5 2 2" xfId="39351"/>
    <cellStyle name="Normal 6 6 5 3" xfId="39352"/>
    <cellStyle name="Normal 6 6 5 4" xfId="39353"/>
    <cellStyle name="Normal 6 6 5 5" xfId="39354"/>
    <cellStyle name="Normal 6 6 6" xfId="39355"/>
    <cellStyle name="Normal 6 6 6 2" xfId="39356"/>
    <cellStyle name="Normal 6 6 6 3" xfId="39357"/>
    <cellStyle name="Normal 6 6 6 4" xfId="39358"/>
    <cellStyle name="Normal 6 6 7" xfId="39359"/>
    <cellStyle name="Normal 6 6 7 2" xfId="39360"/>
    <cellStyle name="Normal 6 6 8" xfId="39361"/>
    <cellStyle name="Normal 6 6 9" xfId="39362"/>
    <cellStyle name="Normal 6 7" xfId="39363"/>
    <cellStyle name="Normal 6 7 10" xfId="39364"/>
    <cellStyle name="Normal 6 7 11" xfId="39365"/>
    <cellStyle name="Normal 6 7 2" xfId="39366"/>
    <cellStyle name="Normal 6 7 2 2" xfId="39367"/>
    <cellStyle name="Normal 6 7 2 2 2" xfId="39368"/>
    <cellStyle name="Normal 6 7 2 2 2 2" xfId="39369"/>
    <cellStyle name="Normal 6 7 2 2 2 3" xfId="39370"/>
    <cellStyle name="Normal 6 7 2 2 3" xfId="39371"/>
    <cellStyle name="Normal 6 7 2 2 4" xfId="39372"/>
    <cellStyle name="Normal 6 7 2 2 5" xfId="39373"/>
    <cellStyle name="Normal 6 7 2 2 6" xfId="39374"/>
    <cellStyle name="Normal 6 7 2 3" xfId="39375"/>
    <cellStyle name="Normal 6 7 2 3 2" xfId="39376"/>
    <cellStyle name="Normal 6 7 2 3 2 2" xfId="39377"/>
    <cellStyle name="Normal 6 7 2 3 3" xfId="39378"/>
    <cellStyle name="Normal 6 7 2 3 4" xfId="39379"/>
    <cellStyle name="Normal 6 7 2 3 5" xfId="39380"/>
    <cellStyle name="Normal 6 7 2 4" xfId="39381"/>
    <cellStyle name="Normal 6 7 2 4 2" xfId="39382"/>
    <cellStyle name="Normal 6 7 2 4 3" xfId="39383"/>
    <cellStyle name="Normal 6 7 2 4 4" xfId="39384"/>
    <cellStyle name="Normal 6 7 2 5" xfId="39385"/>
    <cellStyle name="Normal 6 7 2 5 2" xfId="39386"/>
    <cellStyle name="Normal 6 7 2 6" xfId="39387"/>
    <cellStyle name="Normal 6 7 2 7" xfId="39388"/>
    <cellStyle name="Normal 6 7 2 8" xfId="39389"/>
    <cellStyle name="Normal 6 7 2 9" xfId="39390"/>
    <cellStyle name="Normal 6 7 3" xfId="39391"/>
    <cellStyle name="Normal 6 7 3 2" xfId="39392"/>
    <cellStyle name="Normal 6 7 3 2 2" xfId="39393"/>
    <cellStyle name="Normal 6 7 3 2 2 2" xfId="39394"/>
    <cellStyle name="Normal 6 7 3 2 2 3" xfId="39395"/>
    <cellStyle name="Normal 6 7 3 2 3" xfId="39396"/>
    <cellStyle name="Normal 6 7 3 2 4" xfId="39397"/>
    <cellStyle name="Normal 6 7 3 2 5" xfId="39398"/>
    <cellStyle name="Normal 6 7 3 2 6" xfId="39399"/>
    <cellStyle name="Normal 6 7 3 3" xfId="39400"/>
    <cellStyle name="Normal 6 7 3 3 2" xfId="39401"/>
    <cellStyle name="Normal 6 7 3 3 2 2" xfId="39402"/>
    <cellStyle name="Normal 6 7 3 3 3" xfId="39403"/>
    <cellStyle name="Normal 6 7 3 3 4" xfId="39404"/>
    <cellStyle name="Normal 6 7 3 3 5" xfId="39405"/>
    <cellStyle name="Normal 6 7 3 4" xfId="39406"/>
    <cellStyle name="Normal 6 7 3 4 2" xfId="39407"/>
    <cellStyle name="Normal 6 7 3 4 3" xfId="39408"/>
    <cellStyle name="Normal 6 7 3 4 4" xfId="39409"/>
    <cellStyle name="Normal 6 7 3 5" xfId="39410"/>
    <cellStyle name="Normal 6 7 3 5 2" xfId="39411"/>
    <cellStyle name="Normal 6 7 3 6" xfId="39412"/>
    <cellStyle name="Normal 6 7 3 7" xfId="39413"/>
    <cellStyle name="Normal 6 7 3 8" xfId="39414"/>
    <cellStyle name="Normal 6 7 3 9" xfId="39415"/>
    <cellStyle name="Normal 6 7 4" xfId="39416"/>
    <cellStyle name="Normal 6 7 4 2" xfId="39417"/>
    <cellStyle name="Normal 6 7 4 2 2" xfId="39418"/>
    <cellStyle name="Normal 6 7 4 2 3" xfId="39419"/>
    <cellStyle name="Normal 6 7 4 3" xfId="39420"/>
    <cellStyle name="Normal 6 7 4 4" xfId="39421"/>
    <cellStyle name="Normal 6 7 4 5" xfId="39422"/>
    <cellStyle name="Normal 6 7 4 6" xfId="39423"/>
    <cellStyle name="Normal 6 7 5" xfId="39424"/>
    <cellStyle name="Normal 6 7 5 2" xfId="39425"/>
    <cellStyle name="Normal 6 7 5 2 2" xfId="39426"/>
    <cellStyle name="Normal 6 7 5 3" xfId="39427"/>
    <cellStyle name="Normal 6 7 5 4" xfId="39428"/>
    <cellStyle name="Normal 6 7 5 5" xfId="39429"/>
    <cellStyle name="Normal 6 7 6" xfId="39430"/>
    <cellStyle name="Normal 6 7 6 2" xfId="39431"/>
    <cellStyle name="Normal 6 7 6 3" xfId="39432"/>
    <cellStyle name="Normal 6 7 6 4" xfId="39433"/>
    <cellStyle name="Normal 6 7 7" xfId="39434"/>
    <cellStyle name="Normal 6 7 7 2" xfId="39435"/>
    <cellStyle name="Normal 6 7 8" xfId="39436"/>
    <cellStyle name="Normal 6 7 9" xfId="39437"/>
    <cellStyle name="Normal 6 8" xfId="39438"/>
    <cellStyle name="Normal 6 8 10" xfId="39439"/>
    <cellStyle name="Normal 6 8 11" xfId="39440"/>
    <cellStyle name="Normal 6 8 2" xfId="39441"/>
    <cellStyle name="Normal 6 8 2 2" xfId="39442"/>
    <cellStyle name="Normal 6 8 2 2 2" xfId="39443"/>
    <cellStyle name="Normal 6 8 2 2 2 2" xfId="39444"/>
    <cellStyle name="Normal 6 8 2 2 2 3" xfId="39445"/>
    <cellStyle name="Normal 6 8 2 2 3" xfId="39446"/>
    <cellStyle name="Normal 6 8 2 2 4" xfId="39447"/>
    <cellStyle name="Normal 6 8 2 2 5" xfId="39448"/>
    <cellStyle name="Normal 6 8 2 2 6" xfId="39449"/>
    <cellStyle name="Normal 6 8 2 3" xfId="39450"/>
    <cellStyle name="Normal 6 8 2 3 2" xfId="39451"/>
    <cellStyle name="Normal 6 8 2 3 2 2" xfId="39452"/>
    <cellStyle name="Normal 6 8 2 3 3" xfId="39453"/>
    <cellStyle name="Normal 6 8 2 3 4" xfId="39454"/>
    <cellStyle name="Normal 6 8 2 3 5" xfId="39455"/>
    <cellStyle name="Normal 6 8 2 4" xfId="39456"/>
    <cellStyle name="Normal 6 8 2 4 2" xfId="39457"/>
    <cellStyle name="Normal 6 8 2 4 3" xfId="39458"/>
    <cellStyle name="Normal 6 8 2 4 4" xfId="39459"/>
    <cellStyle name="Normal 6 8 2 5" xfId="39460"/>
    <cellStyle name="Normal 6 8 2 5 2" xfId="39461"/>
    <cellStyle name="Normal 6 8 2 6" xfId="39462"/>
    <cellStyle name="Normal 6 8 2 7" xfId="39463"/>
    <cellStyle name="Normal 6 8 2 8" xfId="39464"/>
    <cellStyle name="Normal 6 8 2 9" xfId="39465"/>
    <cellStyle name="Normal 6 8 3" xfId="39466"/>
    <cellStyle name="Normal 6 8 3 2" xfId="39467"/>
    <cellStyle name="Normal 6 8 3 2 2" xfId="39468"/>
    <cellStyle name="Normal 6 8 3 2 2 2" xfId="39469"/>
    <cellStyle name="Normal 6 8 3 2 2 3" xfId="39470"/>
    <cellStyle name="Normal 6 8 3 2 3" xfId="39471"/>
    <cellStyle name="Normal 6 8 3 2 4" xfId="39472"/>
    <cellStyle name="Normal 6 8 3 2 5" xfId="39473"/>
    <cellStyle name="Normal 6 8 3 2 6" xfId="39474"/>
    <cellStyle name="Normal 6 8 3 3" xfId="39475"/>
    <cellStyle name="Normal 6 8 3 3 2" xfId="39476"/>
    <cellStyle name="Normal 6 8 3 3 2 2" xfId="39477"/>
    <cellStyle name="Normal 6 8 3 3 3" xfId="39478"/>
    <cellStyle name="Normal 6 8 3 3 4" xfId="39479"/>
    <cellStyle name="Normal 6 8 3 3 5" xfId="39480"/>
    <cellStyle name="Normal 6 8 3 4" xfId="39481"/>
    <cellStyle name="Normal 6 8 3 4 2" xfId="39482"/>
    <cellStyle name="Normal 6 8 3 4 3" xfId="39483"/>
    <cellStyle name="Normal 6 8 3 4 4" xfId="39484"/>
    <cellStyle name="Normal 6 8 3 5" xfId="39485"/>
    <cellStyle name="Normal 6 8 3 5 2" xfId="39486"/>
    <cellStyle name="Normal 6 8 3 6" xfId="39487"/>
    <cellStyle name="Normal 6 8 3 7" xfId="39488"/>
    <cellStyle name="Normal 6 8 3 8" xfId="39489"/>
    <cellStyle name="Normal 6 8 3 9" xfId="39490"/>
    <cellStyle name="Normal 6 8 4" xfId="39491"/>
    <cellStyle name="Normal 6 8 4 2" xfId="39492"/>
    <cellStyle name="Normal 6 8 4 2 2" xfId="39493"/>
    <cellStyle name="Normal 6 8 4 2 3" xfId="39494"/>
    <cellStyle name="Normal 6 8 4 3" xfId="39495"/>
    <cellStyle name="Normal 6 8 4 4" xfId="39496"/>
    <cellStyle name="Normal 6 8 4 5" xfId="39497"/>
    <cellStyle name="Normal 6 8 4 6" xfId="39498"/>
    <cellStyle name="Normal 6 8 5" xfId="39499"/>
    <cellStyle name="Normal 6 8 5 2" xfId="39500"/>
    <cellStyle name="Normal 6 8 5 2 2" xfId="39501"/>
    <cellStyle name="Normal 6 8 5 3" xfId="39502"/>
    <cellStyle name="Normal 6 8 5 4" xfId="39503"/>
    <cellStyle name="Normal 6 8 5 5" xfId="39504"/>
    <cellStyle name="Normal 6 8 6" xfId="39505"/>
    <cellStyle name="Normal 6 8 6 2" xfId="39506"/>
    <cellStyle name="Normal 6 8 6 3" xfId="39507"/>
    <cellStyle name="Normal 6 8 6 4" xfId="39508"/>
    <cellStyle name="Normal 6 8 7" xfId="39509"/>
    <cellStyle name="Normal 6 8 7 2" xfId="39510"/>
    <cellStyle name="Normal 6 8 8" xfId="39511"/>
    <cellStyle name="Normal 6 8 9" xfId="39512"/>
    <cellStyle name="Normal 6 9" xfId="39513"/>
    <cellStyle name="Normal 6 9 10" xfId="39514"/>
    <cellStyle name="Normal 6 9 2" xfId="39515"/>
    <cellStyle name="Normal 6 9 2 2" xfId="39516"/>
    <cellStyle name="Normal 6 9 2 2 2" xfId="39517"/>
    <cellStyle name="Normal 6 9 2 2 3" xfId="39518"/>
    <cellStyle name="Normal 6 9 2 3" xfId="39519"/>
    <cellStyle name="Normal 6 9 2 4" xfId="39520"/>
    <cellStyle name="Normal 6 9 2 5" xfId="39521"/>
    <cellStyle name="Normal 6 9 2 6" xfId="39522"/>
    <cellStyle name="Normal 6 9 3" xfId="39523"/>
    <cellStyle name="Normal 6 9 3 2" xfId="39524"/>
    <cellStyle name="Normal 6 9 3 2 2" xfId="39525"/>
    <cellStyle name="Normal 6 9 3 2 3" xfId="39526"/>
    <cellStyle name="Normal 6 9 3 3" xfId="39527"/>
    <cellStyle name="Normal 6 9 3 4" xfId="39528"/>
    <cellStyle name="Normal 6 9 3 5" xfId="39529"/>
    <cellStyle name="Normal 6 9 3 6" xfId="39530"/>
    <cellStyle name="Normal 6 9 4" xfId="39531"/>
    <cellStyle name="Normal 6 9 4 2" xfId="39532"/>
    <cellStyle name="Normal 6 9 4 2 2" xfId="39533"/>
    <cellStyle name="Normal 6 9 4 3" xfId="39534"/>
    <cellStyle name="Normal 6 9 4 4" xfId="39535"/>
    <cellStyle name="Normal 6 9 4 5" xfId="39536"/>
    <cellStyle name="Normal 6 9 5" xfId="39537"/>
    <cellStyle name="Normal 6 9 5 2" xfId="39538"/>
    <cellStyle name="Normal 6 9 5 3" xfId="39539"/>
    <cellStyle name="Normal 6 9 5 4" xfId="39540"/>
    <cellStyle name="Normal 6 9 6" xfId="39541"/>
    <cellStyle name="Normal 6 9 6 2" xfId="39542"/>
    <cellStyle name="Normal 6 9 7" xfId="39543"/>
    <cellStyle name="Normal 6 9 8" xfId="39544"/>
    <cellStyle name="Normal 6 9 9" xfId="39545"/>
    <cellStyle name="Normal 60" xfId="39546"/>
    <cellStyle name="Normal 61" xfId="39547"/>
    <cellStyle name="Normal 62" xfId="39548"/>
    <cellStyle name="Normal 63" xfId="39549"/>
    <cellStyle name="Normal 64" xfId="39550"/>
    <cellStyle name="Normal 65" xfId="39551"/>
    <cellStyle name="Normal 66" xfId="39552"/>
    <cellStyle name="Normal 67" xfId="39553"/>
    <cellStyle name="Normal 68" xfId="39554"/>
    <cellStyle name="Normal 69" xfId="39555"/>
    <cellStyle name="Normal 7" xfId="39556"/>
    <cellStyle name="Normal 7 2" xfId="39557"/>
    <cellStyle name="Normal 7 2 2" xfId="39558"/>
    <cellStyle name="Normal 7 3" xfId="39559"/>
    <cellStyle name="Normal 7 3 2" xfId="39560"/>
    <cellStyle name="Normal 7 4" xfId="39561"/>
    <cellStyle name="Normal 70" xfId="39562"/>
    <cellStyle name="Normal 71" xfId="39563"/>
    <cellStyle name="Normal 72" xfId="42325"/>
    <cellStyle name="Normal 73" xfId="42326"/>
    <cellStyle name="Normal 8" xfId="39564"/>
    <cellStyle name="Normal 8 2" xfId="39565"/>
    <cellStyle name="Normal 8 2 2" xfId="39566"/>
    <cellStyle name="Normal 8 2 3" xfId="39567"/>
    <cellStyle name="Normal 8 3" xfId="39568"/>
    <cellStyle name="Normal 8 3 2" xfId="39569"/>
    <cellStyle name="Normal 8 4" xfId="39570"/>
    <cellStyle name="Normal 8 5" xfId="39571"/>
    <cellStyle name="Normal 8 6" xfId="39572"/>
    <cellStyle name="Normal 9" xfId="39573"/>
    <cellStyle name="Normal 9 10" xfId="39574"/>
    <cellStyle name="Normal 9 11" xfId="39575"/>
    <cellStyle name="Normal 9 12" xfId="39576"/>
    <cellStyle name="Normal 9 13" xfId="39577"/>
    <cellStyle name="Normal 9 14" xfId="39578"/>
    <cellStyle name="Normal 9 15" xfId="39579"/>
    <cellStyle name="Normal 9 16" xfId="39580"/>
    <cellStyle name="Normal 9 17" xfId="39581"/>
    <cellStyle name="Normal 9 18" xfId="39582"/>
    <cellStyle name="Normal 9 19" xfId="39583"/>
    <cellStyle name="Normal 9 2" xfId="39584"/>
    <cellStyle name="Normal 9 20" xfId="39585"/>
    <cellStyle name="Normal 9 21" xfId="39586"/>
    <cellStyle name="Normal 9 22" xfId="39587"/>
    <cellStyle name="Normal 9 23" xfId="39588"/>
    <cellStyle name="Normal 9 24" xfId="39589"/>
    <cellStyle name="Normal 9 25" xfId="39590"/>
    <cellStyle name="Normal 9 26" xfId="39591"/>
    <cellStyle name="Normal 9 27" xfId="39592"/>
    <cellStyle name="Normal 9 28" xfId="39593"/>
    <cellStyle name="Normal 9 29" xfId="39594"/>
    <cellStyle name="Normal 9 3" xfId="39595"/>
    <cellStyle name="Normal 9 3 2" xfId="39596"/>
    <cellStyle name="Normal 9 30" xfId="39597"/>
    <cellStyle name="Normal 9 31" xfId="39598"/>
    <cellStyle name="Normal 9 32" xfId="39599"/>
    <cellStyle name="Normal 9 33" xfId="39600"/>
    <cellStyle name="Normal 9 34" xfId="39601"/>
    <cellStyle name="Normal 9 35" xfId="39602"/>
    <cellStyle name="Normal 9 36" xfId="39603"/>
    <cellStyle name="Normal 9 37" xfId="39604"/>
    <cellStyle name="Normal 9 38" xfId="39605"/>
    <cellStyle name="Normal 9 39" xfId="39606"/>
    <cellStyle name="Normal 9 4" xfId="39607"/>
    <cellStyle name="Normal 9 40" xfId="39608"/>
    <cellStyle name="Normal 9 5" xfId="39609"/>
    <cellStyle name="Normal 9 6" xfId="39610"/>
    <cellStyle name="Normal 9 7" xfId="39611"/>
    <cellStyle name="Normal 9 8" xfId="39612"/>
    <cellStyle name="Normal 9 9" xfId="39613"/>
    <cellStyle name="Normal 99" xfId="39614"/>
    <cellStyle name="Normal_FY94COST.XLS" xfId="42319"/>
    <cellStyle name="Normal_PRS21RX" xfId="42320"/>
    <cellStyle name="Normal_PRS21X" xfId="42321"/>
    <cellStyle name="Note 10" xfId="39615"/>
    <cellStyle name="Note 11" xfId="39616"/>
    <cellStyle name="Note 11 10" xfId="39617"/>
    <cellStyle name="Note 11 2" xfId="39618"/>
    <cellStyle name="Note 11 2 2" xfId="39619"/>
    <cellStyle name="Note 11 2 2 2" xfId="39620"/>
    <cellStyle name="Note 11 2 2 2 2" xfId="39621"/>
    <cellStyle name="Note 11 2 2 2 3" xfId="39622"/>
    <cellStyle name="Note 11 2 2 3" xfId="39623"/>
    <cellStyle name="Note 11 2 2 4" xfId="39624"/>
    <cellStyle name="Note 11 2 2 5" xfId="39625"/>
    <cellStyle name="Note 11 2 2 6" xfId="39626"/>
    <cellStyle name="Note 11 2 3" xfId="39627"/>
    <cellStyle name="Note 11 2 3 2" xfId="39628"/>
    <cellStyle name="Note 11 2 3 2 2" xfId="39629"/>
    <cellStyle name="Note 11 2 3 3" xfId="39630"/>
    <cellStyle name="Note 11 2 3 4" xfId="39631"/>
    <cellStyle name="Note 11 2 3 5" xfId="39632"/>
    <cellStyle name="Note 11 2 4" xfId="39633"/>
    <cellStyle name="Note 11 2 4 2" xfId="39634"/>
    <cellStyle name="Note 11 2 4 3" xfId="39635"/>
    <cellStyle name="Note 11 2 4 4" xfId="39636"/>
    <cellStyle name="Note 11 2 5" xfId="39637"/>
    <cellStyle name="Note 11 2 5 2" xfId="39638"/>
    <cellStyle name="Note 11 2 6" xfId="39639"/>
    <cellStyle name="Note 11 2 7" xfId="39640"/>
    <cellStyle name="Note 11 2 8" xfId="39641"/>
    <cellStyle name="Note 11 2 9" xfId="39642"/>
    <cellStyle name="Note 11 3" xfId="39643"/>
    <cellStyle name="Note 11 3 2" xfId="39644"/>
    <cellStyle name="Note 11 3 2 2" xfId="39645"/>
    <cellStyle name="Note 11 3 2 3" xfId="39646"/>
    <cellStyle name="Note 11 3 3" xfId="39647"/>
    <cellStyle name="Note 11 3 4" xfId="39648"/>
    <cellStyle name="Note 11 3 5" xfId="39649"/>
    <cellStyle name="Note 11 3 6" xfId="39650"/>
    <cellStyle name="Note 11 4" xfId="39651"/>
    <cellStyle name="Note 11 4 2" xfId="39652"/>
    <cellStyle name="Note 11 4 2 2" xfId="39653"/>
    <cellStyle name="Note 11 4 3" xfId="39654"/>
    <cellStyle name="Note 11 4 4" xfId="39655"/>
    <cellStyle name="Note 11 4 5" xfId="39656"/>
    <cellStyle name="Note 11 5" xfId="39657"/>
    <cellStyle name="Note 11 5 2" xfId="39658"/>
    <cellStyle name="Note 11 5 2 2" xfId="39659"/>
    <cellStyle name="Note 11 5 3" xfId="39660"/>
    <cellStyle name="Note 11 5 4" xfId="39661"/>
    <cellStyle name="Note 11 5 5" xfId="39662"/>
    <cellStyle name="Note 11 6" xfId="39663"/>
    <cellStyle name="Note 11 6 2" xfId="39664"/>
    <cellStyle name="Note 11 7" xfId="39665"/>
    <cellStyle name="Note 11 8" xfId="39666"/>
    <cellStyle name="Note 11 9" xfId="39667"/>
    <cellStyle name="Note 12" xfId="39668"/>
    <cellStyle name="Note 12 10" xfId="39669"/>
    <cellStyle name="Note 12 2" xfId="39670"/>
    <cellStyle name="Note 12 2 2" xfId="39671"/>
    <cellStyle name="Note 12 2 2 2" xfId="39672"/>
    <cellStyle name="Note 12 2 2 2 2" xfId="39673"/>
    <cellStyle name="Note 12 2 2 2 3" xfId="39674"/>
    <cellStyle name="Note 12 2 2 3" xfId="39675"/>
    <cellStyle name="Note 12 2 2 4" xfId="39676"/>
    <cellStyle name="Note 12 2 2 5" xfId="39677"/>
    <cellStyle name="Note 12 2 2 6" xfId="39678"/>
    <cellStyle name="Note 12 2 3" xfId="39679"/>
    <cellStyle name="Note 12 2 3 2" xfId="39680"/>
    <cellStyle name="Note 12 2 3 2 2" xfId="39681"/>
    <cellStyle name="Note 12 2 3 3" xfId="39682"/>
    <cellStyle name="Note 12 2 3 4" xfId="39683"/>
    <cellStyle name="Note 12 2 3 5" xfId="39684"/>
    <cellStyle name="Note 12 2 4" xfId="39685"/>
    <cellStyle name="Note 12 2 4 2" xfId="39686"/>
    <cellStyle name="Note 12 2 4 3" xfId="39687"/>
    <cellStyle name="Note 12 2 4 4" xfId="39688"/>
    <cellStyle name="Note 12 2 5" xfId="39689"/>
    <cellStyle name="Note 12 2 5 2" xfId="39690"/>
    <cellStyle name="Note 12 2 6" xfId="39691"/>
    <cellStyle name="Note 12 2 7" xfId="39692"/>
    <cellStyle name="Note 12 2 8" xfId="39693"/>
    <cellStyle name="Note 12 2 9" xfId="39694"/>
    <cellStyle name="Note 12 3" xfId="39695"/>
    <cellStyle name="Note 12 3 2" xfId="39696"/>
    <cellStyle name="Note 12 3 2 2" xfId="39697"/>
    <cellStyle name="Note 12 3 2 3" xfId="39698"/>
    <cellStyle name="Note 12 3 3" xfId="39699"/>
    <cellStyle name="Note 12 3 4" xfId="39700"/>
    <cellStyle name="Note 12 3 5" xfId="39701"/>
    <cellStyle name="Note 12 3 6" xfId="39702"/>
    <cellStyle name="Note 12 4" xfId="39703"/>
    <cellStyle name="Note 12 4 2" xfId="39704"/>
    <cellStyle name="Note 12 4 2 2" xfId="39705"/>
    <cellStyle name="Note 12 4 3" xfId="39706"/>
    <cellStyle name="Note 12 4 4" xfId="39707"/>
    <cellStyle name="Note 12 4 5" xfId="39708"/>
    <cellStyle name="Note 12 5" xfId="39709"/>
    <cellStyle name="Note 12 5 2" xfId="39710"/>
    <cellStyle name="Note 12 5 2 2" xfId="39711"/>
    <cellStyle name="Note 12 5 3" xfId="39712"/>
    <cellStyle name="Note 12 5 4" xfId="39713"/>
    <cellStyle name="Note 12 5 5" xfId="39714"/>
    <cellStyle name="Note 12 6" xfId="39715"/>
    <cellStyle name="Note 12 6 2" xfId="39716"/>
    <cellStyle name="Note 12 7" xfId="39717"/>
    <cellStyle name="Note 12 8" xfId="39718"/>
    <cellStyle name="Note 12 9" xfId="39719"/>
    <cellStyle name="Note 13" xfId="39720"/>
    <cellStyle name="Note 13 10" xfId="39721"/>
    <cellStyle name="Note 13 2" xfId="39722"/>
    <cellStyle name="Note 13 2 2" xfId="39723"/>
    <cellStyle name="Note 13 2 2 2" xfId="39724"/>
    <cellStyle name="Note 13 2 2 2 2" xfId="39725"/>
    <cellStyle name="Note 13 2 2 2 3" xfId="39726"/>
    <cellStyle name="Note 13 2 2 3" xfId="39727"/>
    <cellStyle name="Note 13 2 2 4" xfId="39728"/>
    <cellStyle name="Note 13 2 2 5" xfId="39729"/>
    <cellStyle name="Note 13 2 2 6" xfId="39730"/>
    <cellStyle name="Note 13 2 3" xfId="39731"/>
    <cellStyle name="Note 13 2 3 2" xfId="39732"/>
    <cellStyle name="Note 13 2 3 2 2" xfId="39733"/>
    <cellStyle name="Note 13 2 3 3" xfId="39734"/>
    <cellStyle name="Note 13 2 3 4" xfId="39735"/>
    <cellStyle name="Note 13 2 3 5" xfId="39736"/>
    <cellStyle name="Note 13 2 4" xfId="39737"/>
    <cellStyle name="Note 13 2 4 2" xfId="39738"/>
    <cellStyle name="Note 13 2 4 3" xfId="39739"/>
    <cellStyle name="Note 13 2 4 4" xfId="39740"/>
    <cellStyle name="Note 13 2 5" xfId="39741"/>
    <cellStyle name="Note 13 2 5 2" xfId="39742"/>
    <cellStyle name="Note 13 2 6" xfId="39743"/>
    <cellStyle name="Note 13 2 7" xfId="39744"/>
    <cellStyle name="Note 13 2 8" xfId="39745"/>
    <cellStyle name="Note 13 2 9" xfId="39746"/>
    <cellStyle name="Note 13 3" xfId="39747"/>
    <cellStyle name="Note 13 3 2" xfId="39748"/>
    <cellStyle name="Note 13 3 2 2" xfId="39749"/>
    <cellStyle name="Note 13 3 2 3" xfId="39750"/>
    <cellStyle name="Note 13 3 3" xfId="39751"/>
    <cellStyle name="Note 13 3 4" xfId="39752"/>
    <cellStyle name="Note 13 3 5" xfId="39753"/>
    <cellStyle name="Note 13 3 6" xfId="39754"/>
    <cellStyle name="Note 13 4" xfId="39755"/>
    <cellStyle name="Note 13 4 2" xfId="39756"/>
    <cellStyle name="Note 13 4 2 2" xfId="39757"/>
    <cellStyle name="Note 13 4 3" xfId="39758"/>
    <cellStyle name="Note 13 4 4" xfId="39759"/>
    <cellStyle name="Note 13 4 5" xfId="39760"/>
    <cellStyle name="Note 13 5" xfId="39761"/>
    <cellStyle name="Note 13 5 2" xfId="39762"/>
    <cellStyle name="Note 13 5 2 2" xfId="39763"/>
    <cellStyle name="Note 13 5 3" xfId="39764"/>
    <cellStyle name="Note 13 5 4" xfId="39765"/>
    <cellStyle name="Note 13 5 5" xfId="39766"/>
    <cellStyle name="Note 13 6" xfId="39767"/>
    <cellStyle name="Note 13 6 2" xfId="39768"/>
    <cellStyle name="Note 13 7" xfId="39769"/>
    <cellStyle name="Note 13 8" xfId="39770"/>
    <cellStyle name="Note 13 9" xfId="39771"/>
    <cellStyle name="Note 14" xfId="39772"/>
    <cellStyle name="Note 14 10" xfId="39773"/>
    <cellStyle name="Note 14 2" xfId="39774"/>
    <cellStyle name="Note 14 2 2" xfId="39775"/>
    <cellStyle name="Note 14 2 2 2" xfId="39776"/>
    <cellStyle name="Note 14 2 2 2 2" xfId="39777"/>
    <cellStyle name="Note 14 2 2 2 3" xfId="39778"/>
    <cellStyle name="Note 14 2 2 3" xfId="39779"/>
    <cellStyle name="Note 14 2 2 4" xfId="39780"/>
    <cellStyle name="Note 14 2 2 5" xfId="39781"/>
    <cellStyle name="Note 14 2 2 6" xfId="39782"/>
    <cellStyle name="Note 14 2 3" xfId="39783"/>
    <cellStyle name="Note 14 2 3 2" xfId="39784"/>
    <cellStyle name="Note 14 2 3 2 2" xfId="39785"/>
    <cellStyle name="Note 14 2 3 3" xfId="39786"/>
    <cellStyle name="Note 14 2 3 4" xfId="39787"/>
    <cellStyle name="Note 14 2 3 5" xfId="39788"/>
    <cellStyle name="Note 14 2 4" xfId="39789"/>
    <cellStyle name="Note 14 2 4 2" xfId="39790"/>
    <cellStyle name="Note 14 2 4 3" xfId="39791"/>
    <cellStyle name="Note 14 2 4 4" xfId="39792"/>
    <cellStyle name="Note 14 2 5" xfId="39793"/>
    <cellStyle name="Note 14 2 5 2" xfId="39794"/>
    <cellStyle name="Note 14 2 6" xfId="39795"/>
    <cellStyle name="Note 14 2 7" xfId="39796"/>
    <cellStyle name="Note 14 2 8" xfId="39797"/>
    <cellStyle name="Note 14 2 9" xfId="39798"/>
    <cellStyle name="Note 14 3" xfId="39799"/>
    <cellStyle name="Note 14 3 2" xfId="39800"/>
    <cellStyle name="Note 14 3 2 2" xfId="39801"/>
    <cellStyle name="Note 14 3 2 3" xfId="39802"/>
    <cellStyle name="Note 14 3 3" xfId="39803"/>
    <cellStyle name="Note 14 3 4" xfId="39804"/>
    <cellStyle name="Note 14 3 5" xfId="39805"/>
    <cellStyle name="Note 14 3 6" xfId="39806"/>
    <cellStyle name="Note 14 4" xfId="39807"/>
    <cellStyle name="Note 14 4 2" xfId="39808"/>
    <cellStyle name="Note 14 4 2 2" xfId="39809"/>
    <cellStyle name="Note 14 4 3" xfId="39810"/>
    <cellStyle name="Note 14 4 4" xfId="39811"/>
    <cellStyle name="Note 14 4 5" xfId="39812"/>
    <cellStyle name="Note 14 5" xfId="39813"/>
    <cellStyle name="Note 14 5 2" xfId="39814"/>
    <cellStyle name="Note 14 5 2 2" xfId="39815"/>
    <cellStyle name="Note 14 5 3" xfId="39816"/>
    <cellStyle name="Note 14 5 4" xfId="39817"/>
    <cellStyle name="Note 14 5 5" xfId="39818"/>
    <cellStyle name="Note 14 6" xfId="39819"/>
    <cellStyle name="Note 14 6 2" xfId="39820"/>
    <cellStyle name="Note 14 7" xfId="39821"/>
    <cellStyle name="Note 14 8" xfId="39822"/>
    <cellStyle name="Note 14 9" xfId="39823"/>
    <cellStyle name="Note 15" xfId="39824"/>
    <cellStyle name="Note 15 10" xfId="39825"/>
    <cellStyle name="Note 15 2" xfId="39826"/>
    <cellStyle name="Note 15 2 2" xfId="39827"/>
    <cellStyle name="Note 15 2 2 2" xfId="39828"/>
    <cellStyle name="Note 15 2 2 2 2" xfId="39829"/>
    <cellStyle name="Note 15 2 2 2 3" xfId="39830"/>
    <cellStyle name="Note 15 2 2 3" xfId="39831"/>
    <cellStyle name="Note 15 2 2 4" xfId="39832"/>
    <cellStyle name="Note 15 2 2 5" xfId="39833"/>
    <cellStyle name="Note 15 2 2 6" xfId="39834"/>
    <cellStyle name="Note 15 2 3" xfId="39835"/>
    <cellStyle name="Note 15 2 3 2" xfId="39836"/>
    <cellStyle name="Note 15 2 3 2 2" xfId="39837"/>
    <cellStyle name="Note 15 2 3 3" xfId="39838"/>
    <cellStyle name="Note 15 2 3 4" xfId="39839"/>
    <cellStyle name="Note 15 2 3 5" xfId="39840"/>
    <cellStyle name="Note 15 2 4" xfId="39841"/>
    <cellStyle name="Note 15 2 4 2" xfId="39842"/>
    <cellStyle name="Note 15 2 4 3" xfId="39843"/>
    <cellStyle name="Note 15 2 4 4" xfId="39844"/>
    <cellStyle name="Note 15 2 5" xfId="39845"/>
    <cellStyle name="Note 15 2 5 2" xfId="39846"/>
    <cellStyle name="Note 15 2 6" xfId="39847"/>
    <cellStyle name="Note 15 2 7" xfId="39848"/>
    <cellStyle name="Note 15 2 8" xfId="39849"/>
    <cellStyle name="Note 15 2 9" xfId="39850"/>
    <cellStyle name="Note 15 3" xfId="39851"/>
    <cellStyle name="Note 15 3 2" xfId="39852"/>
    <cellStyle name="Note 15 3 2 2" xfId="39853"/>
    <cellStyle name="Note 15 3 2 3" xfId="39854"/>
    <cellStyle name="Note 15 3 3" xfId="39855"/>
    <cellStyle name="Note 15 3 4" xfId="39856"/>
    <cellStyle name="Note 15 3 5" xfId="39857"/>
    <cellStyle name="Note 15 3 6" xfId="39858"/>
    <cellStyle name="Note 15 4" xfId="39859"/>
    <cellStyle name="Note 15 4 2" xfId="39860"/>
    <cellStyle name="Note 15 4 2 2" xfId="39861"/>
    <cellStyle name="Note 15 4 3" xfId="39862"/>
    <cellStyle name="Note 15 4 4" xfId="39863"/>
    <cellStyle name="Note 15 4 5" xfId="39864"/>
    <cellStyle name="Note 15 5" xfId="39865"/>
    <cellStyle name="Note 15 5 2" xfId="39866"/>
    <cellStyle name="Note 15 5 2 2" xfId="39867"/>
    <cellStyle name="Note 15 5 3" xfId="39868"/>
    <cellStyle name="Note 15 5 4" xfId="39869"/>
    <cellStyle name="Note 15 5 5" xfId="39870"/>
    <cellStyle name="Note 15 6" xfId="39871"/>
    <cellStyle name="Note 15 6 2" xfId="39872"/>
    <cellStyle name="Note 15 7" xfId="39873"/>
    <cellStyle name="Note 15 8" xfId="39874"/>
    <cellStyle name="Note 15 9" xfId="39875"/>
    <cellStyle name="Note 16" xfId="39876"/>
    <cellStyle name="Note 16 10" xfId="39877"/>
    <cellStyle name="Note 16 2" xfId="39878"/>
    <cellStyle name="Note 16 2 2" xfId="39879"/>
    <cellStyle name="Note 16 2 2 2" xfId="39880"/>
    <cellStyle name="Note 16 2 2 2 2" xfId="39881"/>
    <cellStyle name="Note 16 2 2 2 3" xfId="39882"/>
    <cellStyle name="Note 16 2 2 3" xfId="39883"/>
    <cellStyle name="Note 16 2 2 4" xfId="39884"/>
    <cellStyle name="Note 16 2 2 5" xfId="39885"/>
    <cellStyle name="Note 16 2 2 6" xfId="39886"/>
    <cellStyle name="Note 16 2 3" xfId="39887"/>
    <cellStyle name="Note 16 2 3 2" xfId="39888"/>
    <cellStyle name="Note 16 2 3 2 2" xfId="39889"/>
    <cellStyle name="Note 16 2 3 3" xfId="39890"/>
    <cellStyle name="Note 16 2 3 4" xfId="39891"/>
    <cellStyle name="Note 16 2 3 5" xfId="39892"/>
    <cellStyle name="Note 16 2 4" xfId="39893"/>
    <cellStyle name="Note 16 2 4 2" xfId="39894"/>
    <cellStyle name="Note 16 2 4 3" xfId="39895"/>
    <cellStyle name="Note 16 2 4 4" xfId="39896"/>
    <cellStyle name="Note 16 2 5" xfId="39897"/>
    <cellStyle name="Note 16 2 5 2" xfId="39898"/>
    <cellStyle name="Note 16 2 6" xfId="39899"/>
    <cellStyle name="Note 16 2 7" xfId="39900"/>
    <cellStyle name="Note 16 2 8" xfId="39901"/>
    <cellStyle name="Note 16 2 9" xfId="39902"/>
    <cellStyle name="Note 16 3" xfId="39903"/>
    <cellStyle name="Note 16 3 2" xfId="39904"/>
    <cellStyle name="Note 16 3 2 2" xfId="39905"/>
    <cellStyle name="Note 16 3 2 3" xfId="39906"/>
    <cellStyle name="Note 16 3 3" xfId="39907"/>
    <cellStyle name="Note 16 3 4" xfId="39908"/>
    <cellStyle name="Note 16 3 5" xfId="39909"/>
    <cellStyle name="Note 16 3 6" xfId="39910"/>
    <cellStyle name="Note 16 4" xfId="39911"/>
    <cellStyle name="Note 16 4 2" xfId="39912"/>
    <cellStyle name="Note 16 4 2 2" xfId="39913"/>
    <cellStyle name="Note 16 4 3" xfId="39914"/>
    <cellStyle name="Note 16 4 4" xfId="39915"/>
    <cellStyle name="Note 16 4 5" xfId="39916"/>
    <cellStyle name="Note 16 5" xfId="39917"/>
    <cellStyle name="Note 16 5 2" xfId="39918"/>
    <cellStyle name="Note 16 5 2 2" xfId="39919"/>
    <cellStyle name="Note 16 5 3" xfId="39920"/>
    <cellStyle name="Note 16 5 4" xfId="39921"/>
    <cellStyle name="Note 16 5 5" xfId="39922"/>
    <cellStyle name="Note 16 6" xfId="39923"/>
    <cellStyle name="Note 16 6 2" xfId="39924"/>
    <cellStyle name="Note 16 7" xfId="39925"/>
    <cellStyle name="Note 16 8" xfId="39926"/>
    <cellStyle name="Note 16 9" xfId="39927"/>
    <cellStyle name="Note 17" xfId="39928"/>
    <cellStyle name="Note 17 10" xfId="39929"/>
    <cellStyle name="Note 17 2" xfId="39930"/>
    <cellStyle name="Note 17 2 2" xfId="39931"/>
    <cellStyle name="Note 17 2 2 2" xfId="39932"/>
    <cellStyle name="Note 17 2 2 2 2" xfId="39933"/>
    <cellStyle name="Note 17 2 2 2 3" xfId="39934"/>
    <cellStyle name="Note 17 2 2 3" xfId="39935"/>
    <cellStyle name="Note 17 2 2 4" xfId="39936"/>
    <cellStyle name="Note 17 2 2 5" xfId="39937"/>
    <cellStyle name="Note 17 2 2 6" xfId="39938"/>
    <cellStyle name="Note 17 2 3" xfId="39939"/>
    <cellStyle name="Note 17 2 3 2" xfId="39940"/>
    <cellStyle name="Note 17 2 3 2 2" xfId="39941"/>
    <cellStyle name="Note 17 2 3 3" xfId="39942"/>
    <cellStyle name="Note 17 2 3 4" xfId="39943"/>
    <cellStyle name="Note 17 2 3 5" xfId="39944"/>
    <cellStyle name="Note 17 2 4" xfId="39945"/>
    <cellStyle name="Note 17 2 4 2" xfId="39946"/>
    <cellStyle name="Note 17 2 4 3" xfId="39947"/>
    <cellStyle name="Note 17 2 4 4" xfId="39948"/>
    <cellStyle name="Note 17 2 5" xfId="39949"/>
    <cellStyle name="Note 17 2 5 2" xfId="39950"/>
    <cellStyle name="Note 17 2 6" xfId="39951"/>
    <cellStyle name="Note 17 2 7" xfId="39952"/>
    <cellStyle name="Note 17 2 8" xfId="39953"/>
    <cellStyle name="Note 17 2 9" xfId="39954"/>
    <cellStyle name="Note 17 3" xfId="39955"/>
    <cellStyle name="Note 17 3 2" xfId="39956"/>
    <cellStyle name="Note 17 3 2 2" xfId="39957"/>
    <cellStyle name="Note 17 3 2 3" xfId="39958"/>
    <cellStyle name="Note 17 3 3" xfId="39959"/>
    <cellStyle name="Note 17 3 4" xfId="39960"/>
    <cellStyle name="Note 17 3 5" xfId="39961"/>
    <cellStyle name="Note 17 3 6" xfId="39962"/>
    <cellStyle name="Note 17 4" xfId="39963"/>
    <cellStyle name="Note 17 4 2" xfId="39964"/>
    <cellStyle name="Note 17 4 2 2" xfId="39965"/>
    <cellStyle name="Note 17 4 3" xfId="39966"/>
    <cellStyle name="Note 17 4 4" xfId="39967"/>
    <cellStyle name="Note 17 4 5" xfId="39968"/>
    <cellStyle name="Note 17 5" xfId="39969"/>
    <cellStyle name="Note 17 5 2" xfId="39970"/>
    <cellStyle name="Note 17 5 2 2" xfId="39971"/>
    <cellStyle name="Note 17 5 3" xfId="39972"/>
    <cellStyle name="Note 17 5 4" xfId="39973"/>
    <cellStyle name="Note 17 5 5" xfId="39974"/>
    <cellStyle name="Note 17 6" xfId="39975"/>
    <cellStyle name="Note 17 6 2" xfId="39976"/>
    <cellStyle name="Note 17 7" xfId="39977"/>
    <cellStyle name="Note 17 8" xfId="39978"/>
    <cellStyle name="Note 17 9" xfId="39979"/>
    <cellStyle name="Note 18" xfId="39980"/>
    <cellStyle name="Note 18 10" xfId="39981"/>
    <cellStyle name="Note 18 2" xfId="39982"/>
    <cellStyle name="Note 18 2 2" xfId="39983"/>
    <cellStyle name="Note 18 2 2 2" xfId="39984"/>
    <cellStyle name="Note 18 2 2 2 2" xfId="39985"/>
    <cellStyle name="Note 18 2 2 2 3" xfId="39986"/>
    <cellStyle name="Note 18 2 2 3" xfId="39987"/>
    <cellStyle name="Note 18 2 2 4" xfId="39988"/>
    <cellStyle name="Note 18 2 2 5" xfId="39989"/>
    <cellStyle name="Note 18 2 2 6" xfId="39990"/>
    <cellStyle name="Note 18 2 3" xfId="39991"/>
    <cellStyle name="Note 18 2 3 2" xfId="39992"/>
    <cellStyle name="Note 18 2 3 2 2" xfId="39993"/>
    <cellStyle name="Note 18 2 3 3" xfId="39994"/>
    <cellStyle name="Note 18 2 3 4" xfId="39995"/>
    <cellStyle name="Note 18 2 3 5" xfId="39996"/>
    <cellStyle name="Note 18 2 4" xfId="39997"/>
    <cellStyle name="Note 18 2 4 2" xfId="39998"/>
    <cellStyle name="Note 18 2 4 3" xfId="39999"/>
    <cellStyle name="Note 18 2 4 4" xfId="40000"/>
    <cellStyle name="Note 18 2 5" xfId="40001"/>
    <cellStyle name="Note 18 2 5 2" xfId="40002"/>
    <cellStyle name="Note 18 2 6" xfId="40003"/>
    <cellStyle name="Note 18 2 7" xfId="40004"/>
    <cellStyle name="Note 18 2 8" xfId="40005"/>
    <cellStyle name="Note 18 2 9" xfId="40006"/>
    <cellStyle name="Note 18 3" xfId="40007"/>
    <cellStyle name="Note 18 3 2" xfId="40008"/>
    <cellStyle name="Note 18 3 2 2" xfId="40009"/>
    <cellStyle name="Note 18 3 2 3" xfId="40010"/>
    <cellStyle name="Note 18 3 3" xfId="40011"/>
    <cellStyle name="Note 18 3 4" xfId="40012"/>
    <cellStyle name="Note 18 3 5" xfId="40013"/>
    <cellStyle name="Note 18 3 6" xfId="40014"/>
    <cellStyle name="Note 18 4" xfId="40015"/>
    <cellStyle name="Note 18 4 2" xfId="40016"/>
    <cellStyle name="Note 18 4 2 2" xfId="40017"/>
    <cellStyle name="Note 18 4 3" xfId="40018"/>
    <cellStyle name="Note 18 4 4" xfId="40019"/>
    <cellStyle name="Note 18 4 5" xfId="40020"/>
    <cellStyle name="Note 18 5" xfId="40021"/>
    <cellStyle name="Note 18 5 2" xfId="40022"/>
    <cellStyle name="Note 18 5 2 2" xfId="40023"/>
    <cellStyle name="Note 18 5 3" xfId="40024"/>
    <cellStyle name="Note 18 5 4" xfId="40025"/>
    <cellStyle name="Note 18 5 5" xfId="40026"/>
    <cellStyle name="Note 18 6" xfId="40027"/>
    <cellStyle name="Note 18 6 2" xfId="40028"/>
    <cellStyle name="Note 18 7" xfId="40029"/>
    <cellStyle name="Note 18 8" xfId="40030"/>
    <cellStyle name="Note 18 9" xfId="40031"/>
    <cellStyle name="Note 19" xfId="40032"/>
    <cellStyle name="Note 19 10" xfId="40033"/>
    <cellStyle name="Note 19 2" xfId="40034"/>
    <cellStyle name="Note 19 2 2" xfId="40035"/>
    <cellStyle name="Note 19 2 2 2" xfId="40036"/>
    <cellStyle name="Note 19 2 2 2 2" xfId="40037"/>
    <cellStyle name="Note 19 2 2 2 3" xfId="40038"/>
    <cellStyle name="Note 19 2 2 3" xfId="40039"/>
    <cellStyle name="Note 19 2 2 4" xfId="40040"/>
    <cellStyle name="Note 19 2 2 5" xfId="40041"/>
    <cellStyle name="Note 19 2 2 6" xfId="40042"/>
    <cellStyle name="Note 19 2 3" xfId="40043"/>
    <cellStyle name="Note 19 2 3 2" xfId="40044"/>
    <cellStyle name="Note 19 2 3 2 2" xfId="40045"/>
    <cellStyle name="Note 19 2 3 3" xfId="40046"/>
    <cellStyle name="Note 19 2 3 4" xfId="40047"/>
    <cellStyle name="Note 19 2 3 5" xfId="40048"/>
    <cellStyle name="Note 19 2 4" xfId="40049"/>
    <cellStyle name="Note 19 2 4 2" xfId="40050"/>
    <cellStyle name="Note 19 2 4 3" xfId="40051"/>
    <cellStyle name="Note 19 2 4 4" xfId="40052"/>
    <cellStyle name="Note 19 2 5" xfId="40053"/>
    <cellStyle name="Note 19 2 5 2" xfId="40054"/>
    <cellStyle name="Note 19 2 6" xfId="40055"/>
    <cellStyle name="Note 19 2 7" xfId="40056"/>
    <cellStyle name="Note 19 2 8" xfId="40057"/>
    <cellStyle name="Note 19 2 9" xfId="40058"/>
    <cellStyle name="Note 19 3" xfId="40059"/>
    <cellStyle name="Note 19 3 2" xfId="40060"/>
    <cellStyle name="Note 19 3 2 2" xfId="40061"/>
    <cellStyle name="Note 19 3 2 3" xfId="40062"/>
    <cellStyle name="Note 19 3 3" xfId="40063"/>
    <cellStyle name="Note 19 3 4" xfId="40064"/>
    <cellStyle name="Note 19 3 5" xfId="40065"/>
    <cellStyle name="Note 19 3 6" xfId="40066"/>
    <cellStyle name="Note 19 4" xfId="40067"/>
    <cellStyle name="Note 19 4 2" xfId="40068"/>
    <cellStyle name="Note 19 4 2 2" xfId="40069"/>
    <cellStyle name="Note 19 4 3" xfId="40070"/>
    <cellStyle name="Note 19 4 4" xfId="40071"/>
    <cellStyle name="Note 19 4 5" xfId="40072"/>
    <cellStyle name="Note 19 5" xfId="40073"/>
    <cellStyle name="Note 19 5 2" xfId="40074"/>
    <cellStyle name="Note 19 5 2 2" xfId="40075"/>
    <cellStyle name="Note 19 5 3" xfId="40076"/>
    <cellStyle name="Note 19 5 4" xfId="40077"/>
    <cellStyle name="Note 19 5 5" xfId="40078"/>
    <cellStyle name="Note 19 6" xfId="40079"/>
    <cellStyle name="Note 19 6 2" xfId="40080"/>
    <cellStyle name="Note 19 7" xfId="40081"/>
    <cellStyle name="Note 19 8" xfId="40082"/>
    <cellStyle name="Note 19 9" xfId="40083"/>
    <cellStyle name="Note 2" xfId="40084"/>
    <cellStyle name="Note 2 10" xfId="40085"/>
    <cellStyle name="Note 2 10 2" xfId="40086"/>
    <cellStyle name="Note 2 10 2 2" xfId="40087"/>
    <cellStyle name="Note 2 10 2 2 2" xfId="40088"/>
    <cellStyle name="Note 2 10 2 2 3" xfId="40089"/>
    <cellStyle name="Note 2 10 2 3" xfId="40090"/>
    <cellStyle name="Note 2 10 2 4" xfId="40091"/>
    <cellStyle name="Note 2 10 2 5" xfId="40092"/>
    <cellStyle name="Note 2 10 2 6" xfId="40093"/>
    <cellStyle name="Note 2 10 3" xfId="40094"/>
    <cellStyle name="Note 2 10 3 2" xfId="40095"/>
    <cellStyle name="Note 2 10 3 2 2" xfId="40096"/>
    <cellStyle name="Note 2 10 3 3" xfId="40097"/>
    <cellStyle name="Note 2 10 3 4" xfId="40098"/>
    <cellStyle name="Note 2 10 3 5" xfId="40099"/>
    <cellStyle name="Note 2 10 4" xfId="40100"/>
    <cellStyle name="Note 2 10 4 2" xfId="40101"/>
    <cellStyle name="Note 2 10 4 3" xfId="40102"/>
    <cellStyle name="Note 2 10 4 4" xfId="40103"/>
    <cellStyle name="Note 2 10 5" xfId="40104"/>
    <cellStyle name="Note 2 10 5 2" xfId="40105"/>
    <cellStyle name="Note 2 10 6" xfId="40106"/>
    <cellStyle name="Note 2 10 7" xfId="40107"/>
    <cellStyle name="Note 2 10 8" xfId="40108"/>
    <cellStyle name="Note 2 10 9" xfId="40109"/>
    <cellStyle name="Note 2 11" xfId="40110"/>
    <cellStyle name="Note 2 11 2" xfId="40111"/>
    <cellStyle name="Note 2 11 2 2" xfId="40112"/>
    <cellStyle name="Note 2 11 2 2 2" xfId="40113"/>
    <cellStyle name="Note 2 11 2 3" xfId="40114"/>
    <cellStyle name="Note 2 11 2 4" xfId="40115"/>
    <cellStyle name="Note 2 11 2 5" xfId="40116"/>
    <cellStyle name="Note 2 11 3" xfId="40117"/>
    <cellStyle name="Note 2 11 3 2" xfId="40118"/>
    <cellStyle name="Note 2 11 3 3" xfId="40119"/>
    <cellStyle name="Note 2 11 3 4" xfId="40120"/>
    <cellStyle name="Note 2 11 4" xfId="40121"/>
    <cellStyle name="Note 2 11 4 2" xfId="40122"/>
    <cellStyle name="Note 2 11 5" xfId="40123"/>
    <cellStyle name="Note 2 11 6" xfId="40124"/>
    <cellStyle name="Note 2 11 7" xfId="40125"/>
    <cellStyle name="Note 2 11 8" xfId="40126"/>
    <cellStyle name="Note 2 12" xfId="40127"/>
    <cellStyle name="Note 2 12 2" xfId="40128"/>
    <cellStyle name="Note 2 12 2 2" xfId="40129"/>
    <cellStyle name="Note 2 12 2 3" xfId="40130"/>
    <cellStyle name="Note 2 12 3" xfId="40131"/>
    <cellStyle name="Note 2 12 4" xfId="40132"/>
    <cellStyle name="Note 2 12 5" xfId="40133"/>
    <cellStyle name="Note 2 12 6" xfId="40134"/>
    <cellStyle name="Note 2 13" xfId="40135"/>
    <cellStyle name="Note 2 13 2" xfId="40136"/>
    <cellStyle name="Note 2 13 2 2" xfId="40137"/>
    <cellStyle name="Note 2 13 3" xfId="40138"/>
    <cellStyle name="Note 2 13 4" xfId="40139"/>
    <cellStyle name="Note 2 13 5" xfId="40140"/>
    <cellStyle name="Note 2 14" xfId="40141"/>
    <cellStyle name="Note 2 14 2" xfId="40142"/>
    <cellStyle name="Note 2 14 2 2" xfId="40143"/>
    <cellStyle name="Note 2 14 3" xfId="40144"/>
    <cellStyle name="Note 2 14 4" xfId="40145"/>
    <cellStyle name="Note 2 14 5" xfId="40146"/>
    <cellStyle name="Note 2 15" xfId="40147"/>
    <cellStyle name="Note 2 15 2" xfId="40148"/>
    <cellStyle name="Note 2 16" xfId="40149"/>
    <cellStyle name="Note 2 17" xfId="40150"/>
    <cellStyle name="Note 2 18" xfId="40151"/>
    <cellStyle name="Note 2 19" xfId="40152"/>
    <cellStyle name="Note 2 2" xfId="40153"/>
    <cellStyle name="Note 2 2 10" xfId="40154"/>
    <cellStyle name="Note 2 2 2" xfId="40155"/>
    <cellStyle name="Note 2 2 2 2" xfId="40156"/>
    <cellStyle name="Note 2 2 2 2 2" xfId="40157"/>
    <cellStyle name="Note 2 2 2 2 2 2" xfId="40158"/>
    <cellStyle name="Note 2 2 2 2 2 3" xfId="40159"/>
    <cellStyle name="Note 2 2 2 2 3" xfId="40160"/>
    <cellStyle name="Note 2 2 2 2 4" xfId="40161"/>
    <cellStyle name="Note 2 2 2 2 5" xfId="40162"/>
    <cellStyle name="Note 2 2 2 2 6" xfId="40163"/>
    <cellStyle name="Note 2 2 2 3" xfId="40164"/>
    <cellStyle name="Note 2 2 2 3 2" xfId="40165"/>
    <cellStyle name="Note 2 2 2 3 2 2" xfId="40166"/>
    <cellStyle name="Note 2 2 2 3 3" xfId="40167"/>
    <cellStyle name="Note 2 2 2 3 4" xfId="40168"/>
    <cellStyle name="Note 2 2 2 3 5" xfId="40169"/>
    <cellStyle name="Note 2 2 2 4" xfId="40170"/>
    <cellStyle name="Note 2 2 2 4 2" xfId="40171"/>
    <cellStyle name="Note 2 2 2 4 3" xfId="40172"/>
    <cellStyle name="Note 2 2 2 4 4" xfId="40173"/>
    <cellStyle name="Note 2 2 2 5" xfId="40174"/>
    <cellStyle name="Note 2 2 2 5 2" xfId="40175"/>
    <cellStyle name="Note 2 2 2 6" xfId="40176"/>
    <cellStyle name="Note 2 2 2 7" xfId="40177"/>
    <cellStyle name="Note 2 2 2 8" xfId="40178"/>
    <cellStyle name="Note 2 2 2 9" xfId="40179"/>
    <cellStyle name="Note 2 2 3" xfId="40180"/>
    <cellStyle name="Note 2 2 3 2" xfId="40181"/>
    <cellStyle name="Note 2 2 3 2 2" xfId="40182"/>
    <cellStyle name="Note 2 2 3 2 3" xfId="40183"/>
    <cellStyle name="Note 2 2 3 3" xfId="40184"/>
    <cellStyle name="Note 2 2 3 4" xfId="40185"/>
    <cellStyle name="Note 2 2 3 5" xfId="40186"/>
    <cellStyle name="Note 2 2 3 6" xfId="40187"/>
    <cellStyle name="Note 2 2 4" xfId="40188"/>
    <cellStyle name="Note 2 2 4 2" xfId="40189"/>
    <cellStyle name="Note 2 2 4 2 2" xfId="40190"/>
    <cellStyle name="Note 2 2 4 3" xfId="40191"/>
    <cellStyle name="Note 2 2 4 4" xfId="40192"/>
    <cellStyle name="Note 2 2 4 5" xfId="40193"/>
    <cellStyle name="Note 2 2 5" xfId="40194"/>
    <cellStyle name="Note 2 2 5 2" xfId="40195"/>
    <cellStyle name="Note 2 2 5 2 2" xfId="40196"/>
    <cellStyle name="Note 2 2 5 3" xfId="40197"/>
    <cellStyle name="Note 2 2 5 4" xfId="40198"/>
    <cellStyle name="Note 2 2 5 5" xfId="40199"/>
    <cellStyle name="Note 2 2 6" xfId="40200"/>
    <cellStyle name="Note 2 2 6 2" xfId="40201"/>
    <cellStyle name="Note 2 2 7" xfId="40202"/>
    <cellStyle name="Note 2 2 8" xfId="40203"/>
    <cellStyle name="Note 2 2 9" xfId="40204"/>
    <cellStyle name="Note 2 3" xfId="40205"/>
    <cellStyle name="Note 2 3 10" xfId="40206"/>
    <cellStyle name="Note 2 3 2" xfId="40207"/>
    <cellStyle name="Note 2 3 2 2" xfId="40208"/>
    <cellStyle name="Note 2 3 2 2 2" xfId="40209"/>
    <cellStyle name="Note 2 3 2 2 2 2" xfId="40210"/>
    <cellStyle name="Note 2 3 2 2 2 3" xfId="40211"/>
    <cellStyle name="Note 2 3 2 2 3" xfId="40212"/>
    <cellStyle name="Note 2 3 2 2 4" xfId="40213"/>
    <cellStyle name="Note 2 3 2 2 5" xfId="40214"/>
    <cellStyle name="Note 2 3 2 2 6" xfId="40215"/>
    <cellStyle name="Note 2 3 2 3" xfId="40216"/>
    <cellStyle name="Note 2 3 2 3 2" xfId="40217"/>
    <cellStyle name="Note 2 3 2 3 2 2" xfId="40218"/>
    <cellStyle name="Note 2 3 2 3 3" xfId="40219"/>
    <cellStyle name="Note 2 3 2 3 4" xfId="40220"/>
    <cellStyle name="Note 2 3 2 3 5" xfId="40221"/>
    <cellStyle name="Note 2 3 2 4" xfId="40222"/>
    <cellStyle name="Note 2 3 2 4 2" xfId="40223"/>
    <cellStyle name="Note 2 3 2 4 3" xfId="40224"/>
    <cellStyle name="Note 2 3 2 4 4" xfId="40225"/>
    <cellStyle name="Note 2 3 2 5" xfId="40226"/>
    <cellStyle name="Note 2 3 2 5 2" xfId="40227"/>
    <cellStyle name="Note 2 3 2 6" xfId="40228"/>
    <cellStyle name="Note 2 3 2 7" xfId="40229"/>
    <cellStyle name="Note 2 3 2 8" xfId="40230"/>
    <cellStyle name="Note 2 3 2 9" xfId="40231"/>
    <cellStyle name="Note 2 3 3" xfId="40232"/>
    <cellStyle name="Note 2 3 3 2" xfId="40233"/>
    <cellStyle name="Note 2 3 3 2 2" xfId="40234"/>
    <cellStyle name="Note 2 3 3 2 3" xfId="40235"/>
    <cellStyle name="Note 2 3 3 3" xfId="40236"/>
    <cellStyle name="Note 2 3 3 4" xfId="40237"/>
    <cellStyle name="Note 2 3 3 5" xfId="40238"/>
    <cellStyle name="Note 2 3 3 6" xfId="40239"/>
    <cellStyle name="Note 2 3 4" xfId="40240"/>
    <cellStyle name="Note 2 3 4 2" xfId="40241"/>
    <cellStyle name="Note 2 3 4 2 2" xfId="40242"/>
    <cellStyle name="Note 2 3 4 3" xfId="40243"/>
    <cellStyle name="Note 2 3 4 4" xfId="40244"/>
    <cellStyle name="Note 2 3 4 5" xfId="40245"/>
    <cellStyle name="Note 2 3 5" xfId="40246"/>
    <cellStyle name="Note 2 3 5 2" xfId="40247"/>
    <cellStyle name="Note 2 3 5 2 2" xfId="40248"/>
    <cellStyle name="Note 2 3 5 3" xfId="40249"/>
    <cellStyle name="Note 2 3 5 4" xfId="40250"/>
    <cellStyle name="Note 2 3 5 5" xfId="40251"/>
    <cellStyle name="Note 2 3 6" xfId="40252"/>
    <cellStyle name="Note 2 3 6 2" xfId="40253"/>
    <cellStyle name="Note 2 3 7" xfId="40254"/>
    <cellStyle name="Note 2 3 8" xfId="40255"/>
    <cellStyle name="Note 2 3 9" xfId="40256"/>
    <cellStyle name="Note 2 4" xfId="40257"/>
    <cellStyle name="Note 2 4 10" xfId="40258"/>
    <cellStyle name="Note 2 4 2" xfId="40259"/>
    <cellStyle name="Note 2 4 2 2" xfId="40260"/>
    <cellStyle name="Note 2 4 2 2 2" xfId="40261"/>
    <cellStyle name="Note 2 4 2 2 2 2" xfId="40262"/>
    <cellStyle name="Note 2 4 2 2 2 3" xfId="40263"/>
    <cellStyle name="Note 2 4 2 2 3" xfId="40264"/>
    <cellStyle name="Note 2 4 2 2 4" xfId="40265"/>
    <cellStyle name="Note 2 4 2 2 5" xfId="40266"/>
    <cellStyle name="Note 2 4 2 2 6" xfId="40267"/>
    <cellStyle name="Note 2 4 2 3" xfId="40268"/>
    <cellStyle name="Note 2 4 2 3 2" xfId="40269"/>
    <cellStyle name="Note 2 4 2 3 2 2" xfId="40270"/>
    <cellStyle name="Note 2 4 2 3 3" xfId="40271"/>
    <cellStyle name="Note 2 4 2 3 4" xfId="40272"/>
    <cellStyle name="Note 2 4 2 3 5" xfId="40273"/>
    <cellStyle name="Note 2 4 2 4" xfId="40274"/>
    <cellStyle name="Note 2 4 2 4 2" xfId="40275"/>
    <cellStyle name="Note 2 4 2 4 3" xfId="40276"/>
    <cellStyle name="Note 2 4 2 4 4" xfId="40277"/>
    <cellStyle name="Note 2 4 2 5" xfId="40278"/>
    <cellStyle name="Note 2 4 2 5 2" xfId="40279"/>
    <cellStyle name="Note 2 4 2 6" xfId="40280"/>
    <cellStyle name="Note 2 4 2 7" xfId="40281"/>
    <cellStyle name="Note 2 4 2 8" xfId="40282"/>
    <cellStyle name="Note 2 4 2 9" xfId="40283"/>
    <cellStyle name="Note 2 4 3" xfId="40284"/>
    <cellStyle name="Note 2 4 3 2" xfId="40285"/>
    <cellStyle name="Note 2 4 3 2 2" xfId="40286"/>
    <cellStyle name="Note 2 4 3 2 3" xfId="40287"/>
    <cellStyle name="Note 2 4 3 3" xfId="40288"/>
    <cellStyle name="Note 2 4 3 4" xfId="40289"/>
    <cellStyle name="Note 2 4 3 5" xfId="40290"/>
    <cellStyle name="Note 2 4 3 6" xfId="40291"/>
    <cellStyle name="Note 2 4 4" xfId="40292"/>
    <cellStyle name="Note 2 4 4 2" xfId="40293"/>
    <cellStyle name="Note 2 4 4 2 2" xfId="40294"/>
    <cellStyle name="Note 2 4 4 3" xfId="40295"/>
    <cellStyle name="Note 2 4 4 4" xfId="40296"/>
    <cellStyle name="Note 2 4 4 5" xfId="40297"/>
    <cellStyle name="Note 2 4 5" xfId="40298"/>
    <cellStyle name="Note 2 4 5 2" xfId="40299"/>
    <cellStyle name="Note 2 4 5 2 2" xfId="40300"/>
    <cellStyle name="Note 2 4 5 3" xfId="40301"/>
    <cellStyle name="Note 2 4 5 4" xfId="40302"/>
    <cellStyle name="Note 2 4 5 5" xfId="40303"/>
    <cellStyle name="Note 2 4 6" xfId="40304"/>
    <cellStyle name="Note 2 4 6 2" xfId="40305"/>
    <cellStyle name="Note 2 4 7" xfId="40306"/>
    <cellStyle name="Note 2 4 8" xfId="40307"/>
    <cellStyle name="Note 2 4 9" xfId="40308"/>
    <cellStyle name="Note 2 5" xfId="40309"/>
    <cellStyle name="Note 2 5 10" xfId="40310"/>
    <cellStyle name="Note 2 5 2" xfId="40311"/>
    <cellStyle name="Note 2 5 2 2" xfId="40312"/>
    <cellStyle name="Note 2 5 2 2 2" xfId="40313"/>
    <cellStyle name="Note 2 5 2 2 2 2" xfId="40314"/>
    <cellStyle name="Note 2 5 2 2 2 3" xfId="40315"/>
    <cellStyle name="Note 2 5 2 2 3" xfId="40316"/>
    <cellStyle name="Note 2 5 2 2 4" xfId="40317"/>
    <cellStyle name="Note 2 5 2 2 5" xfId="40318"/>
    <cellStyle name="Note 2 5 2 2 6" xfId="40319"/>
    <cellStyle name="Note 2 5 2 3" xfId="40320"/>
    <cellStyle name="Note 2 5 2 3 2" xfId="40321"/>
    <cellStyle name="Note 2 5 2 3 2 2" xfId="40322"/>
    <cellStyle name="Note 2 5 2 3 3" xfId="40323"/>
    <cellStyle name="Note 2 5 2 3 4" xfId="40324"/>
    <cellStyle name="Note 2 5 2 3 5" xfId="40325"/>
    <cellStyle name="Note 2 5 2 4" xfId="40326"/>
    <cellStyle name="Note 2 5 2 4 2" xfId="40327"/>
    <cellStyle name="Note 2 5 2 4 3" xfId="40328"/>
    <cellStyle name="Note 2 5 2 4 4" xfId="40329"/>
    <cellStyle name="Note 2 5 2 5" xfId="40330"/>
    <cellStyle name="Note 2 5 2 5 2" xfId="40331"/>
    <cellStyle name="Note 2 5 2 6" xfId="40332"/>
    <cellStyle name="Note 2 5 2 7" xfId="40333"/>
    <cellStyle name="Note 2 5 2 8" xfId="40334"/>
    <cellStyle name="Note 2 5 2 9" xfId="40335"/>
    <cellStyle name="Note 2 5 3" xfId="40336"/>
    <cellStyle name="Note 2 5 3 2" xfId="40337"/>
    <cellStyle name="Note 2 5 3 2 2" xfId="40338"/>
    <cellStyle name="Note 2 5 3 2 3" xfId="40339"/>
    <cellStyle name="Note 2 5 3 3" xfId="40340"/>
    <cellStyle name="Note 2 5 3 4" xfId="40341"/>
    <cellStyle name="Note 2 5 3 5" xfId="40342"/>
    <cellStyle name="Note 2 5 3 6" xfId="40343"/>
    <cellStyle name="Note 2 5 4" xfId="40344"/>
    <cellStyle name="Note 2 5 4 2" xfId="40345"/>
    <cellStyle name="Note 2 5 4 2 2" xfId="40346"/>
    <cellStyle name="Note 2 5 4 3" xfId="40347"/>
    <cellStyle name="Note 2 5 4 4" xfId="40348"/>
    <cellStyle name="Note 2 5 4 5" xfId="40349"/>
    <cellStyle name="Note 2 5 5" xfId="40350"/>
    <cellStyle name="Note 2 5 5 2" xfId="40351"/>
    <cellStyle name="Note 2 5 5 2 2" xfId="40352"/>
    <cellStyle name="Note 2 5 5 3" xfId="40353"/>
    <cellStyle name="Note 2 5 5 4" xfId="40354"/>
    <cellStyle name="Note 2 5 5 5" xfId="40355"/>
    <cellStyle name="Note 2 5 6" xfId="40356"/>
    <cellStyle name="Note 2 5 6 2" xfId="40357"/>
    <cellStyle name="Note 2 5 7" xfId="40358"/>
    <cellStyle name="Note 2 5 8" xfId="40359"/>
    <cellStyle name="Note 2 5 9" xfId="40360"/>
    <cellStyle name="Note 2 6" xfId="40361"/>
    <cellStyle name="Note 2 6 10" xfId="40362"/>
    <cellStyle name="Note 2 6 2" xfId="40363"/>
    <cellStyle name="Note 2 6 2 2" xfId="40364"/>
    <cellStyle name="Note 2 6 2 2 2" xfId="40365"/>
    <cellStyle name="Note 2 6 2 2 2 2" xfId="40366"/>
    <cellStyle name="Note 2 6 2 2 2 3" xfId="40367"/>
    <cellStyle name="Note 2 6 2 2 3" xfId="40368"/>
    <cellStyle name="Note 2 6 2 2 4" xfId="40369"/>
    <cellStyle name="Note 2 6 2 2 5" xfId="40370"/>
    <cellStyle name="Note 2 6 2 2 6" xfId="40371"/>
    <cellStyle name="Note 2 6 2 3" xfId="40372"/>
    <cellStyle name="Note 2 6 2 3 2" xfId="40373"/>
    <cellStyle name="Note 2 6 2 3 2 2" xfId="40374"/>
    <cellStyle name="Note 2 6 2 3 3" xfId="40375"/>
    <cellStyle name="Note 2 6 2 3 4" xfId="40376"/>
    <cellStyle name="Note 2 6 2 3 5" xfId="40377"/>
    <cellStyle name="Note 2 6 2 4" xfId="40378"/>
    <cellStyle name="Note 2 6 2 4 2" xfId="40379"/>
    <cellStyle name="Note 2 6 2 4 3" xfId="40380"/>
    <cellStyle name="Note 2 6 2 4 4" xfId="40381"/>
    <cellStyle name="Note 2 6 2 5" xfId="40382"/>
    <cellStyle name="Note 2 6 2 5 2" xfId="40383"/>
    <cellStyle name="Note 2 6 2 6" xfId="40384"/>
    <cellStyle name="Note 2 6 2 7" xfId="40385"/>
    <cellStyle name="Note 2 6 2 8" xfId="40386"/>
    <cellStyle name="Note 2 6 2 9" xfId="40387"/>
    <cellStyle name="Note 2 6 3" xfId="40388"/>
    <cellStyle name="Note 2 6 3 2" xfId="40389"/>
    <cellStyle name="Note 2 6 3 2 2" xfId="40390"/>
    <cellStyle name="Note 2 6 3 2 3" xfId="40391"/>
    <cellStyle name="Note 2 6 3 3" xfId="40392"/>
    <cellStyle name="Note 2 6 3 4" xfId="40393"/>
    <cellStyle name="Note 2 6 3 5" xfId="40394"/>
    <cellStyle name="Note 2 6 3 6" xfId="40395"/>
    <cellStyle name="Note 2 6 4" xfId="40396"/>
    <cellStyle name="Note 2 6 4 2" xfId="40397"/>
    <cellStyle name="Note 2 6 4 2 2" xfId="40398"/>
    <cellStyle name="Note 2 6 4 3" xfId="40399"/>
    <cellStyle name="Note 2 6 4 4" xfId="40400"/>
    <cellStyle name="Note 2 6 4 5" xfId="40401"/>
    <cellStyle name="Note 2 6 5" xfId="40402"/>
    <cellStyle name="Note 2 6 5 2" xfId="40403"/>
    <cellStyle name="Note 2 6 5 2 2" xfId="40404"/>
    <cellStyle name="Note 2 6 5 3" xfId="40405"/>
    <cellStyle name="Note 2 6 5 4" xfId="40406"/>
    <cellStyle name="Note 2 6 5 5" xfId="40407"/>
    <cellStyle name="Note 2 6 6" xfId="40408"/>
    <cellStyle name="Note 2 6 6 2" xfId="40409"/>
    <cellStyle name="Note 2 6 7" xfId="40410"/>
    <cellStyle name="Note 2 6 8" xfId="40411"/>
    <cellStyle name="Note 2 6 9" xfId="40412"/>
    <cellStyle name="Note 2 7" xfId="40413"/>
    <cellStyle name="Note 2 7 10" xfId="40414"/>
    <cellStyle name="Note 2 7 2" xfId="40415"/>
    <cellStyle name="Note 2 7 2 2" xfId="40416"/>
    <cellStyle name="Note 2 7 2 2 2" xfId="40417"/>
    <cellStyle name="Note 2 7 2 2 2 2" xfId="40418"/>
    <cellStyle name="Note 2 7 2 2 2 3" xfId="40419"/>
    <cellStyle name="Note 2 7 2 2 3" xfId="40420"/>
    <cellStyle name="Note 2 7 2 2 4" xfId="40421"/>
    <cellStyle name="Note 2 7 2 2 5" xfId="40422"/>
    <cellStyle name="Note 2 7 2 2 6" xfId="40423"/>
    <cellStyle name="Note 2 7 2 3" xfId="40424"/>
    <cellStyle name="Note 2 7 2 3 2" xfId="40425"/>
    <cellStyle name="Note 2 7 2 3 2 2" xfId="40426"/>
    <cellStyle name="Note 2 7 2 3 3" xfId="40427"/>
    <cellStyle name="Note 2 7 2 3 4" xfId="40428"/>
    <cellStyle name="Note 2 7 2 3 5" xfId="40429"/>
    <cellStyle name="Note 2 7 2 4" xfId="40430"/>
    <cellStyle name="Note 2 7 2 4 2" xfId="40431"/>
    <cellStyle name="Note 2 7 2 4 3" xfId="40432"/>
    <cellStyle name="Note 2 7 2 4 4" xfId="40433"/>
    <cellStyle name="Note 2 7 2 5" xfId="40434"/>
    <cellStyle name="Note 2 7 2 5 2" xfId="40435"/>
    <cellStyle name="Note 2 7 2 6" xfId="40436"/>
    <cellStyle name="Note 2 7 2 7" xfId="40437"/>
    <cellStyle name="Note 2 7 2 8" xfId="40438"/>
    <cellStyle name="Note 2 7 2 9" xfId="40439"/>
    <cellStyle name="Note 2 7 3" xfId="40440"/>
    <cellStyle name="Note 2 7 3 2" xfId="40441"/>
    <cellStyle name="Note 2 7 3 2 2" xfId="40442"/>
    <cellStyle name="Note 2 7 3 2 3" xfId="40443"/>
    <cellStyle name="Note 2 7 3 3" xfId="40444"/>
    <cellStyle name="Note 2 7 3 4" xfId="40445"/>
    <cellStyle name="Note 2 7 3 5" xfId="40446"/>
    <cellStyle name="Note 2 7 3 6" xfId="40447"/>
    <cellStyle name="Note 2 7 4" xfId="40448"/>
    <cellStyle name="Note 2 7 4 2" xfId="40449"/>
    <cellStyle name="Note 2 7 4 2 2" xfId="40450"/>
    <cellStyle name="Note 2 7 4 3" xfId="40451"/>
    <cellStyle name="Note 2 7 4 4" xfId="40452"/>
    <cellStyle name="Note 2 7 4 5" xfId="40453"/>
    <cellStyle name="Note 2 7 5" xfId="40454"/>
    <cellStyle name="Note 2 7 5 2" xfId="40455"/>
    <cellStyle name="Note 2 7 5 2 2" xfId="40456"/>
    <cellStyle name="Note 2 7 5 3" xfId="40457"/>
    <cellStyle name="Note 2 7 5 4" xfId="40458"/>
    <cellStyle name="Note 2 7 5 5" xfId="40459"/>
    <cellStyle name="Note 2 7 6" xfId="40460"/>
    <cellStyle name="Note 2 7 6 2" xfId="40461"/>
    <cellStyle name="Note 2 7 7" xfId="40462"/>
    <cellStyle name="Note 2 7 8" xfId="40463"/>
    <cellStyle name="Note 2 7 9" xfId="40464"/>
    <cellStyle name="Note 2 8" xfId="40465"/>
    <cellStyle name="Note 2 8 10" xfId="40466"/>
    <cellStyle name="Note 2 8 2" xfId="40467"/>
    <cellStyle name="Note 2 8 2 2" xfId="40468"/>
    <cellStyle name="Note 2 8 2 2 2" xfId="40469"/>
    <cellStyle name="Note 2 8 2 2 2 2" xfId="40470"/>
    <cellStyle name="Note 2 8 2 2 2 3" xfId="40471"/>
    <cellStyle name="Note 2 8 2 2 3" xfId="40472"/>
    <cellStyle name="Note 2 8 2 2 4" xfId="40473"/>
    <cellStyle name="Note 2 8 2 2 5" xfId="40474"/>
    <cellStyle name="Note 2 8 2 2 6" xfId="40475"/>
    <cellStyle name="Note 2 8 2 3" xfId="40476"/>
    <cellStyle name="Note 2 8 2 3 2" xfId="40477"/>
    <cellStyle name="Note 2 8 2 3 2 2" xfId="40478"/>
    <cellStyle name="Note 2 8 2 3 3" xfId="40479"/>
    <cellStyle name="Note 2 8 2 3 4" xfId="40480"/>
    <cellStyle name="Note 2 8 2 3 5" xfId="40481"/>
    <cellStyle name="Note 2 8 2 4" xfId="40482"/>
    <cellStyle name="Note 2 8 2 4 2" xfId="40483"/>
    <cellStyle name="Note 2 8 2 4 3" xfId="40484"/>
    <cellStyle name="Note 2 8 2 4 4" xfId="40485"/>
    <cellStyle name="Note 2 8 2 5" xfId="40486"/>
    <cellStyle name="Note 2 8 2 5 2" xfId="40487"/>
    <cellStyle name="Note 2 8 2 6" xfId="40488"/>
    <cellStyle name="Note 2 8 2 7" xfId="40489"/>
    <cellStyle name="Note 2 8 2 8" xfId="40490"/>
    <cellStyle name="Note 2 8 2 9" xfId="40491"/>
    <cellStyle name="Note 2 8 3" xfId="40492"/>
    <cellStyle name="Note 2 8 3 2" xfId="40493"/>
    <cellStyle name="Note 2 8 3 2 2" xfId="40494"/>
    <cellStyle name="Note 2 8 3 2 3" xfId="40495"/>
    <cellStyle name="Note 2 8 3 3" xfId="40496"/>
    <cellStyle name="Note 2 8 3 4" xfId="40497"/>
    <cellStyle name="Note 2 8 3 5" xfId="40498"/>
    <cellStyle name="Note 2 8 3 6" xfId="40499"/>
    <cellStyle name="Note 2 8 4" xfId="40500"/>
    <cellStyle name="Note 2 8 4 2" xfId="40501"/>
    <cellStyle name="Note 2 8 4 2 2" xfId="40502"/>
    <cellStyle name="Note 2 8 4 3" xfId="40503"/>
    <cellStyle name="Note 2 8 4 4" xfId="40504"/>
    <cellStyle name="Note 2 8 4 5" xfId="40505"/>
    <cellStyle name="Note 2 8 5" xfId="40506"/>
    <cellStyle name="Note 2 8 5 2" xfId="40507"/>
    <cellStyle name="Note 2 8 5 2 2" xfId="40508"/>
    <cellStyle name="Note 2 8 5 3" xfId="40509"/>
    <cellStyle name="Note 2 8 5 4" xfId="40510"/>
    <cellStyle name="Note 2 8 5 5" xfId="40511"/>
    <cellStyle name="Note 2 8 6" xfId="40512"/>
    <cellStyle name="Note 2 8 6 2" xfId="40513"/>
    <cellStyle name="Note 2 8 7" xfId="40514"/>
    <cellStyle name="Note 2 8 8" xfId="40515"/>
    <cellStyle name="Note 2 8 9" xfId="40516"/>
    <cellStyle name="Note 2 9" xfId="40517"/>
    <cellStyle name="Note 2 9 10" xfId="40518"/>
    <cellStyle name="Note 2 9 2" xfId="40519"/>
    <cellStyle name="Note 2 9 2 2" xfId="40520"/>
    <cellStyle name="Note 2 9 2 2 2" xfId="40521"/>
    <cellStyle name="Note 2 9 2 2 2 2" xfId="40522"/>
    <cellStyle name="Note 2 9 2 2 2 3" xfId="40523"/>
    <cellStyle name="Note 2 9 2 2 3" xfId="40524"/>
    <cellStyle name="Note 2 9 2 2 4" xfId="40525"/>
    <cellStyle name="Note 2 9 2 2 5" xfId="40526"/>
    <cellStyle name="Note 2 9 2 2 6" xfId="40527"/>
    <cellStyle name="Note 2 9 2 3" xfId="40528"/>
    <cellStyle name="Note 2 9 2 3 2" xfId="40529"/>
    <cellStyle name="Note 2 9 2 3 2 2" xfId="40530"/>
    <cellStyle name="Note 2 9 2 3 3" xfId="40531"/>
    <cellStyle name="Note 2 9 2 3 4" xfId="40532"/>
    <cellStyle name="Note 2 9 2 3 5" xfId="40533"/>
    <cellStyle name="Note 2 9 2 4" xfId="40534"/>
    <cellStyle name="Note 2 9 2 4 2" xfId="40535"/>
    <cellStyle name="Note 2 9 2 4 3" xfId="40536"/>
    <cellStyle name="Note 2 9 2 4 4" xfId="40537"/>
    <cellStyle name="Note 2 9 2 5" xfId="40538"/>
    <cellStyle name="Note 2 9 2 5 2" xfId="40539"/>
    <cellStyle name="Note 2 9 2 6" xfId="40540"/>
    <cellStyle name="Note 2 9 2 7" xfId="40541"/>
    <cellStyle name="Note 2 9 2 8" xfId="40542"/>
    <cellStyle name="Note 2 9 2 9" xfId="40543"/>
    <cellStyle name="Note 2 9 3" xfId="40544"/>
    <cellStyle name="Note 2 9 3 2" xfId="40545"/>
    <cellStyle name="Note 2 9 3 2 2" xfId="40546"/>
    <cellStyle name="Note 2 9 3 2 3" xfId="40547"/>
    <cellStyle name="Note 2 9 3 3" xfId="40548"/>
    <cellStyle name="Note 2 9 3 4" xfId="40549"/>
    <cellStyle name="Note 2 9 3 5" xfId="40550"/>
    <cellStyle name="Note 2 9 3 6" xfId="40551"/>
    <cellStyle name="Note 2 9 4" xfId="40552"/>
    <cellStyle name="Note 2 9 4 2" xfId="40553"/>
    <cellStyle name="Note 2 9 4 2 2" xfId="40554"/>
    <cellStyle name="Note 2 9 4 3" xfId="40555"/>
    <cellStyle name="Note 2 9 4 4" xfId="40556"/>
    <cellStyle name="Note 2 9 4 5" xfId="40557"/>
    <cellStyle name="Note 2 9 5" xfId="40558"/>
    <cellStyle name="Note 2 9 5 2" xfId="40559"/>
    <cellStyle name="Note 2 9 5 3" xfId="40560"/>
    <cellStyle name="Note 2 9 5 4" xfId="40561"/>
    <cellStyle name="Note 2 9 6" xfId="40562"/>
    <cellStyle name="Note 2 9 6 2" xfId="40563"/>
    <cellStyle name="Note 2 9 7" xfId="40564"/>
    <cellStyle name="Note 2 9 8" xfId="40565"/>
    <cellStyle name="Note 2 9 9" xfId="40566"/>
    <cellStyle name="Note 20" xfId="40567"/>
    <cellStyle name="Note 20 10" xfId="40568"/>
    <cellStyle name="Note 20 2" xfId="40569"/>
    <cellStyle name="Note 20 2 2" xfId="40570"/>
    <cellStyle name="Note 20 2 2 2" xfId="40571"/>
    <cellStyle name="Note 20 2 2 2 2" xfId="40572"/>
    <cellStyle name="Note 20 2 2 2 3" xfId="40573"/>
    <cellStyle name="Note 20 2 2 3" xfId="40574"/>
    <cellStyle name="Note 20 2 2 4" xfId="40575"/>
    <cellStyle name="Note 20 2 2 5" xfId="40576"/>
    <cellStyle name="Note 20 2 2 6" xfId="40577"/>
    <cellStyle name="Note 20 2 3" xfId="40578"/>
    <cellStyle name="Note 20 2 3 2" xfId="40579"/>
    <cellStyle name="Note 20 2 3 2 2" xfId="40580"/>
    <cellStyle name="Note 20 2 3 3" xfId="40581"/>
    <cellStyle name="Note 20 2 3 4" xfId="40582"/>
    <cellStyle name="Note 20 2 3 5" xfId="40583"/>
    <cellStyle name="Note 20 2 4" xfId="40584"/>
    <cellStyle name="Note 20 2 4 2" xfId="40585"/>
    <cellStyle name="Note 20 2 4 3" xfId="40586"/>
    <cellStyle name="Note 20 2 4 4" xfId="40587"/>
    <cellStyle name="Note 20 2 5" xfId="40588"/>
    <cellStyle name="Note 20 2 5 2" xfId="40589"/>
    <cellStyle name="Note 20 2 6" xfId="40590"/>
    <cellStyle name="Note 20 2 7" xfId="40591"/>
    <cellStyle name="Note 20 2 8" xfId="40592"/>
    <cellStyle name="Note 20 2 9" xfId="40593"/>
    <cellStyle name="Note 20 3" xfId="40594"/>
    <cellStyle name="Note 20 3 2" xfId="40595"/>
    <cellStyle name="Note 20 3 2 2" xfId="40596"/>
    <cellStyle name="Note 20 3 2 3" xfId="40597"/>
    <cellStyle name="Note 20 3 3" xfId="40598"/>
    <cellStyle name="Note 20 3 4" xfId="40599"/>
    <cellStyle name="Note 20 3 5" xfId="40600"/>
    <cellStyle name="Note 20 3 6" xfId="40601"/>
    <cellStyle name="Note 20 4" xfId="40602"/>
    <cellStyle name="Note 20 4 2" xfId="40603"/>
    <cellStyle name="Note 20 4 2 2" xfId="40604"/>
    <cellStyle name="Note 20 4 3" xfId="40605"/>
    <cellStyle name="Note 20 4 4" xfId="40606"/>
    <cellStyle name="Note 20 4 5" xfId="40607"/>
    <cellStyle name="Note 20 5" xfId="40608"/>
    <cellStyle name="Note 20 5 2" xfId="40609"/>
    <cellStyle name="Note 20 5 2 2" xfId="40610"/>
    <cellStyle name="Note 20 5 3" xfId="40611"/>
    <cellStyle name="Note 20 5 4" xfId="40612"/>
    <cellStyle name="Note 20 5 5" xfId="40613"/>
    <cellStyle name="Note 20 6" xfId="40614"/>
    <cellStyle name="Note 20 6 2" xfId="40615"/>
    <cellStyle name="Note 20 7" xfId="40616"/>
    <cellStyle name="Note 20 8" xfId="40617"/>
    <cellStyle name="Note 20 9" xfId="40618"/>
    <cellStyle name="Note 21" xfId="40619"/>
    <cellStyle name="Note 22" xfId="40620"/>
    <cellStyle name="Note 23" xfId="40621"/>
    <cellStyle name="Note 24" xfId="40622"/>
    <cellStyle name="Note 24 10" xfId="40623"/>
    <cellStyle name="Note 24 2" xfId="40624"/>
    <cellStyle name="Note 24 2 2" xfId="40625"/>
    <cellStyle name="Note 24 2 2 2" xfId="40626"/>
    <cellStyle name="Note 24 2 2 2 2" xfId="40627"/>
    <cellStyle name="Note 24 2 2 2 3" xfId="40628"/>
    <cellStyle name="Note 24 2 2 3" xfId="40629"/>
    <cellStyle name="Note 24 2 2 4" xfId="40630"/>
    <cellStyle name="Note 24 2 2 5" xfId="40631"/>
    <cellStyle name="Note 24 2 2 6" xfId="40632"/>
    <cellStyle name="Note 24 2 3" xfId="40633"/>
    <cellStyle name="Note 24 2 3 2" xfId="40634"/>
    <cellStyle name="Note 24 2 3 2 2" xfId="40635"/>
    <cellStyle name="Note 24 2 3 3" xfId="40636"/>
    <cellStyle name="Note 24 2 3 4" xfId="40637"/>
    <cellStyle name="Note 24 2 3 5" xfId="40638"/>
    <cellStyle name="Note 24 2 4" xfId="40639"/>
    <cellStyle name="Note 24 2 4 2" xfId="40640"/>
    <cellStyle name="Note 24 2 4 3" xfId="40641"/>
    <cellStyle name="Note 24 2 4 4" xfId="40642"/>
    <cellStyle name="Note 24 2 5" xfId="40643"/>
    <cellStyle name="Note 24 2 5 2" xfId="40644"/>
    <cellStyle name="Note 24 2 6" xfId="40645"/>
    <cellStyle name="Note 24 2 7" xfId="40646"/>
    <cellStyle name="Note 24 2 8" xfId="40647"/>
    <cellStyle name="Note 24 2 9" xfId="40648"/>
    <cellStyle name="Note 24 3" xfId="40649"/>
    <cellStyle name="Note 24 3 2" xfId="40650"/>
    <cellStyle name="Note 24 3 2 2" xfId="40651"/>
    <cellStyle name="Note 24 3 2 3" xfId="40652"/>
    <cellStyle name="Note 24 3 3" xfId="40653"/>
    <cellStyle name="Note 24 3 4" xfId="40654"/>
    <cellStyle name="Note 24 3 5" xfId="40655"/>
    <cellStyle name="Note 24 3 6" xfId="40656"/>
    <cellStyle name="Note 24 4" xfId="40657"/>
    <cellStyle name="Note 24 4 2" xfId="40658"/>
    <cellStyle name="Note 24 4 2 2" xfId="40659"/>
    <cellStyle name="Note 24 4 3" xfId="40660"/>
    <cellStyle name="Note 24 4 4" xfId="40661"/>
    <cellStyle name="Note 24 4 5" xfId="40662"/>
    <cellStyle name="Note 24 5" xfId="40663"/>
    <cellStyle name="Note 24 5 2" xfId="40664"/>
    <cellStyle name="Note 24 5 3" xfId="40665"/>
    <cellStyle name="Note 24 5 4" xfId="40666"/>
    <cellStyle name="Note 24 6" xfId="40667"/>
    <cellStyle name="Note 24 6 2" xfId="40668"/>
    <cellStyle name="Note 24 7" xfId="40669"/>
    <cellStyle name="Note 24 8" xfId="40670"/>
    <cellStyle name="Note 24 9" xfId="40671"/>
    <cellStyle name="Note 25" xfId="40672"/>
    <cellStyle name="Note 25 2" xfId="40673"/>
    <cellStyle name="Note 25 2 2" xfId="40674"/>
    <cellStyle name="Note 25 2 2 2" xfId="40675"/>
    <cellStyle name="Note 25 2 2 3" xfId="40676"/>
    <cellStyle name="Note 25 2 3" xfId="40677"/>
    <cellStyle name="Note 25 2 4" xfId="40678"/>
    <cellStyle name="Note 25 2 5" xfId="40679"/>
    <cellStyle name="Note 25 2 6" xfId="40680"/>
    <cellStyle name="Note 25 3" xfId="40681"/>
    <cellStyle name="Note 25 3 2" xfId="40682"/>
    <cellStyle name="Note 25 3 2 2" xfId="40683"/>
    <cellStyle name="Note 25 3 3" xfId="40684"/>
    <cellStyle name="Note 25 3 4" xfId="40685"/>
    <cellStyle name="Note 25 3 5" xfId="40686"/>
    <cellStyle name="Note 25 4" xfId="40687"/>
    <cellStyle name="Note 25 4 2" xfId="40688"/>
    <cellStyle name="Note 25 4 3" xfId="40689"/>
    <cellStyle name="Note 25 4 4" xfId="40690"/>
    <cellStyle name="Note 25 5" xfId="40691"/>
    <cellStyle name="Note 25 5 2" xfId="40692"/>
    <cellStyle name="Note 25 6" xfId="40693"/>
    <cellStyle name="Note 25 7" xfId="40694"/>
    <cellStyle name="Note 25 8" xfId="40695"/>
    <cellStyle name="Note 25 9" xfId="40696"/>
    <cellStyle name="Note 26" xfId="40697"/>
    <cellStyle name="Note 26 2" xfId="40698"/>
    <cellStyle name="Note 26 2 2" xfId="40699"/>
    <cellStyle name="Note 26 2 2 2" xfId="40700"/>
    <cellStyle name="Note 26 2 3" xfId="40701"/>
    <cellStyle name="Note 26 2 4" xfId="40702"/>
    <cellStyle name="Note 26 2 5" xfId="40703"/>
    <cellStyle name="Note 26 3" xfId="40704"/>
    <cellStyle name="Note 26 3 2" xfId="40705"/>
    <cellStyle name="Note 26 3 3" xfId="40706"/>
    <cellStyle name="Note 26 3 4" xfId="40707"/>
    <cellStyle name="Note 26 4" xfId="40708"/>
    <cellStyle name="Note 26 4 2" xfId="40709"/>
    <cellStyle name="Note 26 5" xfId="40710"/>
    <cellStyle name="Note 26 6" xfId="40711"/>
    <cellStyle name="Note 26 7" xfId="40712"/>
    <cellStyle name="Note 26 8" xfId="40713"/>
    <cellStyle name="Note 27" xfId="40714"/>
    <cellStyle name="Note 27 2" xfId="40715"/>
    <cellStyle name="Note 27 2 2" xfId="40716"/>
    <cellStyle name="Note 27 2 2 2" xfId="40717"/>
    <cellStyle name="Note 27 2 3" xfId="40718"/>
    <cellStyle name="Note 27 2 4" xfId="40719"/>
    <cellStyle name="Note 27 2 5" xfId="40720"/>
    <cellStyle name="Note 27 3" xfId="40721"/>
    <cellStyle name="Note 27 3 2" xfId="40722"/>
    <cellStyle name="Note 27 3 3" xfId="40723"/>
    <cellStyle name="Note 27 3 4" xfId="40724"/>
    <cellStyle name="Note 27 4" xfId="40725"/>
    <cellStyle name="Note 27 4 2" xfId="40726"/>
    <cellStyle name="Note 27 5" xfId="40727"/>
    <cellStyle name="Note 27 6" xfId="40728"/>
    <cellStyle name="Note 27 7" xfId="40729"/>
    <cellStyle name="Note 27 8" xfId="40730"/>
    <cellStyle name="Note 28" xfId="40731"/>
    <cellStyle name="Note 28 2" xfId="40732"/>
    <cellStyle name="Note 28 2 2" xfId="40733"/>
    <cellStyle name="Note 28 2 3" xfId="40734"/>
    <cellStyle name="Note 28 2 4" xfId="40735"/>
    <cellStyle name="Note 28 3" xfId="40736"/>
    <cellStyle name="Note 28 3 2" xfId="40737"/>
    <cellStyle name="Note 28 4" xfId="40738"/>
    <cellStyle name="Note 28 5" xfId="40739"/>
    <cellStyle name="Note 28 6" xfId="40740"/>
    <cellStyle name="Note 29" xfId="40741"/>
    <cellStyle name="Note 29 2" xfId="40742"/>
    <cellStyle name="Note 29 2 2" xfId="40743"/>
    <cellStyle name="Note 29 2 3" xfId="40744"/>
    <cellStyle name="Note 29 2 4" xfId="40745"/>
    <cellStyle name="Note 29 3" xfId="40746"/>
    <cellStyle name="Note 29 3 2" xfId="40747"/>
    <cellStyle name="Note 29 4" xfId="40748"/>
    <cellStyle name="Note 29 5" xfId="40749"/>
    <cellStyle name="Note 29 6" xfId="40750"/>
    <cellStyle name="Note 3" xfId="40751"/>
    <cellStyle name="Note 3 10" xfId="40752"/>
    <cellStyle name="Note 3 10 2" xfId="40753"/>
    <cellStyle name="Note 3 10 2 2" xfId="40754"/>
    <cellStyle name="Note 3 10 2 2 2" xfId="40755"/>
    <cellStyle name="Note 3 10 2 2 3" xfId="40756"/>
    <cellStyle name="Note 3 10 2 3" xfId="40757"/>
    <cellStyle name="Note 3 10 2 4" xfId="40758"/>
    <cellStyle name="Note 3 10 2 5" xfId="40759"/>
    <cellStyle name="Note 3 10 2 6" xfId="40760"/>
    <cellStyle name="Note 3 10 3" xfId="40761"/>
    <cellStyle name="Note 3 10 3 2" xfId="40762"/>
    <cellStyle name="Note 3 10 3 2 2" xfId="40763"/>
    <cellStyle name="Note 3 10 3 3" xfId="40764"/>
    <cellStyle name="Note 3 10 3 4" xfId="40765"/>
    <cellStyle name="Note 3 10 3 5" xfId="40766"/>
    <cellStyle name="Note 3 10 4" xfId="40767"/>
    <cellStyle name="Note 3 10 4 2" xfId="40768"/>
    <cellStyle name="Note 3 10 4 3" xfId="40769"/>
    <cellStyle name="Note 3 10 4 4" xfId="40770"/>
    <cellStyle name="Note 3 10 5" xfId="40771"/>
    <cellStyle name="Note 3 10 5 2" xfId="40772"/>
    <cellStyle name="Note 3 10 6" xfId="40773"/>
    <cellStyle name="Note 3 10 7" xfId="40774"/>
    <cellStyle name="Note 3 10 8" xfId="40775"/>
    <cellStyle name="Note 3 10 9" xfId="40776"/>
    <cellStyle name="Note 3 11" xfId="40777"/>
    <cellStyle name="Note 3 11 2" xfId="40778"/>
    <cellStyle name="Note 3 11 2 2" xfId="40779"/>
    <cellStyle name="Note 3 11 2 3" xfId="40780"/>
    <cellStyle name="Note 3 11 3" xfId="40781"/>
    <cellStyle name="Note 3 11 4" xfId="40782"/>
    <cellStyle name="Note 3 11 5" xfId="40783"/>
    <cellStyle name="Note 3 11 6" xfId="40784"/>
    <cellStyle name="Note 3 12" xfId="40785"/>
    <cellStyle name="Note 3 12 2" xfId="40786"/>
    <cellStyle name="Note 3 12 2 2" xfId="40787"/>
    <cellStyle name="Note 3 12 3" xfId="40788"/>
    <cellStyle name="Note 3 12 4" xfId="40789"/>
    <cellStyle name="Note 3 12 5" xfId="40790"/>
    <cellStyle name="Note 3 13" xfId="40791"/>
    <cellStyle name="Note 3 13 2" xfId="40792"/>
    <cellStyle name="Note 3 13 2 2" xfId="40793"/>
    <cellStyle name="Note 3 13 3" xfId="40794"/>
    <cellStyle name="Note 3 13 4" xfId="40795"/>
    <cellStyle name="Note 3 13 5" xfId="40796"/>
    <cellStyle name="Note 3 14" xfId="40797"/>
    <cellStyle name="Note 3 14 2" xfId="40798"/>
    <cellStyle name="Note 3 15" xfId="40799"/>
    <cellStyle name="Note 3 16" xfId="40800"/>
    <cellStyle name="Note 3 17" xfId="40801"/>
    <cellStyle name="Note 3 18" xfId="40802"/>
    <cellStyle name="Note 3 2" xfId="40803"/>
    <cellStyle name="Note 3 2 10" xfId="40804"/>
    <cellStyle name="Note 3 2 2" xfId="40805"/>
    <cellStyle name="Note 3 2 2 2" xfId="40806"/>
    <cellStyle name="Note 3 2 2 2 2" xfId="40807"/>
    <cellStyle name="Note 3 2 2 2 2 2" xfId="40808"/>
    <cellStyle name="Note 3 2 2 2 2 3" xfId="40809"/>
    <cellStyle name="Note 3 2 2 2 3" xfId="40810"/>
    <cellStyle name="Note 3 2 2 2 4" xfId="40811"/>
    <cellStyle name="Note 3 2 2 2 5" xfId="40812"/>
    <cellStyle name="Note 3 2 2 2 6" xfId="40813"/>
    <cellStyle name="Note 3 2 2 3" xfId="40814"/>
    <cellStyle name="Note 3 2 2 3 2" xfId="40815"/>
    <cellStyle name="Note 3 2 2 3 2 2" xfId="40816"/>
    <cellStyle name="Note 3 2 2 3 3" xfId="40817"/>
    <cellStyle name="Note 3 2 2 3 4" xfId="40818"/>
    <cellStyle name="Note 3 2 2 3 5" xfId="40819"/>
    <cellStyle name="Note 3 2 2 4" xfId="40820"/>
    <cellStyle name="Note 3 2 2 4 2" xfId="40821"/>
    <cellStyle name="Note 3 2 2 4 3" xfId="40822"/>
    <cellStyle name="Note 3 2 2 4 4" xfId="40823"/>
    <cellStyle name="Note 3 2 2 5" xfId="40824"/>
    <cellStyle name="Note 3 2 2 5 2" xfId="40825"/>
    <cellStyle name="Note 3 2 2 6" xfId="40826"/>
    <cellStyle name="Note 3 2 2 7" xfId="40827"/>
    <cellStyle name="Note 3 2 2 8" xfId="40828"/>
    <cellStyle name="Note 3 2 2 9" xfId="40829"/>
    <cellStyle name="Note 3 2 3" xfId="40830"/>
    <cellStyle name="Note 3 2 3 2" xfId="40831"/>
    <cellStyle name="Note 3 2 3 2 2" xfId="40832"/>
    <cellStyle name="Note 3 2 3 2 3" xfId="40833"/>
    <cellStyle name="Note 3 2 3 3" xfId="40834"/>
    <cellStyle name="Note 3 2 3 4" xfId="40835"/>
    <cellStyle name="Note 3 2 3 5" xfId="40836"/>
    <cellStyle name="Note 3 2 3 6" xfId="40837"/>
    <cellStyle name="Note 3 2 4" xfId="40838"/>
    <cellStyle name="Note 3 2 4 2" xfId="40839"/>
    <cellStyle name="Note 3 2 4 2 2" xfId="40840"/>
    <cellStyle name="Note 3 2 4 3" xfId="40841"/>
    <cellStyle name="Note 3 2 4 4" xfId="40842"/>
    <cellStyle name="Note 3 2 4 5" xfId="40843"/>
    <cellStyle name="Note 3 2 5" xfId="40844"/>
    <cellStyle name="Note 3 2 5 2" xfId="40845"/>
    <cellStyle name="Note 3 2 5 2 2" xfId="40846"/>
    <cellStyle name="Note 3 2 5 3" xfId="40847"/>
    <cellStyle name="Note 3 2 5 4" xfId="40848"/>
    <cellStyle name="Note 3 2 5 5" xfId="40849"/>
    <cellStyle name="Note 3 2 6" xfId="40850"/>
    <cellStyle name="Note 3 2 6 2" xfId="40851"/>
    <cellStyle name="Note 3 2 7" xfId="40852"/>
    <cellStyle name="Note 3 2 8" xfId="40853"/>
    <cellStyle name="Note 3 2 9" xfId="40854"/>
    <cellStyle name="Note 3 3" xfId="40855"/>
    <cellStyle name="Note 3 3 10" xfId="40856"/>
    <cellStyle name="Note 3 3 2" xfId="40857"/>
    <cellStyle name="Note 3 3 2 2" xfId="40858"/>
    <cellStyle name="Note 3 3 2 2 2" xfId="40859"/>
    <cellStyle name="Note 3 3 2 2 2 2" xfId="40860"/>
    <cellStyle name="Note 3 3 2 2 2 3" xfId="40861"/>
    <cellStyle name="Note 3 3 2 2 3" xfId="40862"/>
    <cellStyle name="Note 3 3 2 2 4" xfId="40863"/>
    <cellStyle name="Note 3 3 2 2 5" xfId="40864"/>
    <cellStyle name="Note 3 3 2 2 6" xfId="40865"/>
    <cellStyle name="Note 3 3 2 3" xfId="40866"/>
    <cellStyle name="Note 3 3 2 3 2" xfId="40867"/>
    <cellStyle name="Note 3 3 2 3 2 2" xfId="40868"/>
    <cellStyle name="Note 3 3 2 3 3" xfId="40869"/>
    <cellStyle name="Note 3 3 2 3 4" xfId="40870"/>
    <cellStyle name="Note 3 3 2 3 5" xfId="40871"/>
    <cellStyle name="Note 3 3 2 4" xfId="40872"/>
    <cellStyle name="Note 3 3 2 4 2" xfId="40873"/>
    <cellStyle name="Note 3 3 2 4 3" xfId="40874"/>
    <cellStyle name="Note 3 3 2 4 4" xfId="40875"/>
    <cellStyle name="Note 3 3 2 5" xfId="40876"/>
    <cellStyle name="Note 3 3 2 5 2" xfId="40877"/>
    <cellStyle name="Note 3 3 2 6" xfId="40878"/>
    <cellStyle name="Note 3 3 2 7" xfId="40879"/>
    <cellStyle name="Note 3 3 2 8" xfId="40880"/>
    <cellStyle name="Note 3 3 2 9" xfId="40881"/>
    <cellStyle name="Note 3 3 3" xfId="40882"/>
    <cellStyle name="Note 3 3 3 2" xfId="40883"/>
    <cellStyle name="Note 3 3 3 2 2" xfId="40884"/>
    <cellStyle name="Note 3 3 3 2 3" xfId="40885"/>
    <cellStyle name="Note 3 3 3 3" xfId="40886"/>
    <cellStyle name="Note 3 3 3 4" xfId="40887"/>
    <cellStyle name="Note 3 3 3 5" xfId="40888"/>
    <cellStyle name="Note 3 3 3 6" xfId="40889"/>
    <cellStyle name="Note 3 3 4" xfId="40890"/>
    <cellStyle name="Note 3 3 4 2" xfId="40891"/>
    <cellStyle name="Note 3 3 4 2 2" xfId="40892"/>
    <cellStyle name="Note 3 3 4 3" xfId="40893"/>
    <cellStyle name="Note 3 3 4 4" xfId="40894"/>
    <cellStyle name="Note 3 3 4 5" xfId="40895"/>
    <cellStyle name="Note 3 3 5" xfId="40896"/>
    <cellStyle name="Note 3 3 5 2" xfId="40897"/>
    <cellStyle name="Note 3 3 5 2 2" xfId="40898"/>
    <cellStyle name="Note 3 3 5 3" xfId="40899"/>
    <cellStyle name="Note 3 3 5 4" xfId="40900"/>
    <cellStyle name="Note 3 3 5 5" xfId="40901"/>
    <cellStyle name="Note 3 3 6" xfId="40902"/>
    <cellStyle name="Note 3 3 6 2" xfId="40903"/>
    <cellStyle name="Note 3 3 7" xfId="40904"/>
    <cellStyle name="Note 3 3 8" xfId="40905"/>
    <cellStyle name="Note 3 3 9" xfId="40906"/>
    <cellStyle name="Note 3 4" xfId="40907"/>
    <cellStyle name="Note 3 4 10" xfId="40908"/>
    <cellStyle name="Note 3 4 2" xfId="40909"/>
    <cellStyle name="Note 3 4 2 2" xfId="40910"/>
    <cellStyle name="Note 3 4 2 2 2" xfId="40911"/>
    <cellStyle name="Note 3 4 2 2 2 2" xfId="40912"/>
    <cellStyle name="Note 3 4 2 2 2 3" xfId="40913"/>
    <cellStyle name="Note 3 4 2 2 3" xfId="40914"/>
    <cellStyle name="Note 3 4 2 2 4" xfId="40915"/>
    <cellStyle name="Note 3 4 2 2 5" xfId="40916"/>
    <cellStyle name="Note 3 4 2 2 6" xfId="40917"/>
    <cellStyle name="Note 3 4 2 3" xfId="40918"/>
    <cellStyle name="Note 3 4 2 3 2" xfId="40919"/>
    <cellStyle name="Note 3 4 2 3 2 2" xfId="40920"/>
    <cellStyle name="Note 3 4 2 3 3" xfId="40921"/>
    <cellStyle name="Note 3 4 2 3 4" xfId="40922"/>
    <cellStyle name="Note 3 4 2 3 5" xfId="40923"/>
    <cellStyle name="Note 3 4 2 4" xfId="40924"/>
    <cellStyle name="Note 3 4 2 4 2" xfId="40925"/>
    <cellStyle name="Note 3 4 2 4 3" xfId="40926"/>
    <cellStyle name="Note 3 4 2 4 4" xfId="40927"/>
    <cellStyle name="Note 3 4 2 5" xfId="40928"/>
    <cellStyle name="Note 3 4 2 5 2" xfId="40929"/>
    <cellStyle name="Note 3 4 2 6" xfId="40930"/>
    <cellStyle name="Note 3 4 2 7" xfId="40931"/>
    <cellStyle name="Note 3 4 2 8" xfId="40932"/>
    <cellStyle name="Note 3 4 2 9" xfId="40933"/>
    <cellStyle name="Note 3 4 3" xfId="40934"/>
    <cellStyle name="Note 3 4 3 2" xfId="40935"/>
    <cellStyle name="Note 3 4 3 2 2" xfId="40936"/>
    <cellStyle name="Note 3 4 3 2 3" xfId="40937"/>
    <cellStyle name="Note 3 4 3 3" xfId="40938"/>
    <cellStyle name="Note 3 4 3 4" xfId="40939"/>
    <cellStyle name="Note 3 4 3 5" xfId="40940"/>
    <cellStyle name="Note 3 4 3 6" xfId="40941"/>
    <cellStyle name="Note 3 4 4" xfId="40942"/>
    <cellStyle name="Note 3 4 4 2" xfId="40943"/>
    <cellStyle name="Note 3 4 4 2 2" xfId="40944"/>
    <cellStyle name="Note 3 4 4 3" xfId="40945"/>
    <cellStyle name="Note 3 4 4 4" xfId="40946"/>
    <cellStyle name="Note 3 4 4 5" xfId="40947"/>
    <cellStyle name="Note 3 4 5" xfId="40948"/>
    <cellStyle name="Note 3 4 5 2" xfId="40949"/>
    <cellStyle name="Note 3 4 5 2 2" xfId="40950"/>
    <cellStyle name="Note 3 4 5 3" xfId="40951"/>
    <cellStyle name="Note 3 4 5 4" xfId="40952"/>
    <cellStyle name="Note 3 4 5 5" xfId="40953"/>
    <cellStyle name="Note 3 4 6" xfId="40954"/>
    <cellStyle name="Note 3 4 6 2" xfId="40955"/>
    <cellStyle name="Note 3 4 7" xfId="40956"/>
    <cellStyle name="Note 3 4 8" xfId="40957"/>
    <cellStyle name="Note 3 4 9" xfId="40958"/>
    <cellStyle name="Note 3 5" xfId="40959"/>
    <cellStyle name="Note 3 5 10" xfId="40960"/>
    <cellStyle name="Note 3 5 2" xfId="40961"/>
    <cellStyle name="Note 3 5 2 2" xfId="40962"/>
    <cellStyle name="Note 3 5 2 2 2" xfId="40963"/>
    <cellStyle name="Note 3 5 2 2 2 2" xfId="40964"/>
    <cellStyle name="Note 3 5 2 2 2 3" xfId="40965"/>
    <cellStyle name="Note 3 5 2 2 3" xfId="40966"/>
    <cellStyle name="Note 3 5 2 2 4" xfId="40967"/>
    <cellStyle name="Note 3 5 2 2 5" xfId="40968"/>
    <cellStyle name="Note 3 5 2 2 6" xfId="40969"/>
    <cellStyle name="Note 3 5 2 3" xfId="40970"/>
    <cellStyle name="Note 3 5 2 3 2" xfId="40971"/>
    <cellStyle name="Note 3 5 2 3 2 2" xfId="40972"/>
    <cellStyle name="Note 3 5 2 3 3" xfId="40973"/>
    <cellStyle name="Note 3 5 2 3 4" xfId="40974"/>
    <cellStyle name="Note 3 5 2 3 5" xfId="40975"/>
    <cellStyle name="Note 3 5 2 4" xfId="40976"/>
    <cellStyle name="Note 3 5 2 4 2" xfId="40977"/>
    <cellStyle name="Note 3 5 2 4 3" xfId="40978"/>
    <cellStyle name="Note 3 5 2 4 4" xfId="40979"/>
    <cellStyle name="Note 3 5 2 5" xfId="40980"/>
    <cellStyle name="Note 3 5 2 5 2" xfId="40981"/>
    <cellStyle name="Note 3 5 2 6" xfId="40982"/>
    <cellStyle name="Note 3 5 2 7" xfId="40983"/>
    <cellStyle name="Note 3 5 2 8" xfId="40984"/>
    <cellStyle name="Note 3 5 2 9" xfId="40985"/>
    <cellStyle name="Note 3 5 3" xfId="40986"/>
    <cellStyle name="Note 3 5 3 2" xfId="40987"/>
    <cellStyle name="Note 3 5 3 2 2" xfId="40988"/>
    <cellStyle name="Note 3 5 3 2 3" xfId="40989"/>
    <cellStyle name="Note 3 5 3 3" xfId="40990"/>
    <cellStyle name="Note 3 5 3 4" xfId="40991"/>
    <cellStyle name="Note 3 5 3 5" xfId="40992"/>
    <cellStyle name="Note 3 5 3 6" xfId="40993"/>
    <cellStyle name="Note 3 5 4" xfId="40994"/>
    <cellStyle name="Note 3 5 4 2" xfId="40995"/>
    <cellStyle name="Note 3 5 4 2 2" xfId="40996"/>
    <cellStyle name="Note 3 5 4 3" xfId="40997"/>
    <cellStyle name="Note 3 5 4 4" xfId="40998"/>
    <cellStyle name="Note 3 5 4 5" xfId="40999"/>
    <cellStyle name="Note 3 5 5" xfId="41000"/>
    <cellStyle name="Note 3 5 5 2" xfId="41001"/>
    <cellStyle name="Note 3 5 5 2 2" xfId="41002"/>
    <cellStyle name="Note 3 5 5 3" xfId="41003"/>
    <cellStyle name="Note 3 5 5 4" xfId="41004"/>
    <cellStyle name="Note 3 5 5 5" xfId="41005"/>
    <cellStyle name="Note 3 5 6" xfId="41006"/>
    <cellStyle name="Note 3 5 6 2" xfId="41007"/>
    <cellStyle name="Note 3 5 7" xfId="41008"/>
    <cellStyle name="Note 3 5 8" xfId="41009"/>
    <cellStyle name="Note 3 5 9" xfId="41010"/>
    <cellStyle name="Note 3 6" xfId="41011"/>
    <cellStyle name="Note 3 6 10" xfId="41012"/>
    <cellStyle name="Note 3 6 2" xfId="41013"/>
    <cellStyle name="Note 3 6 2 2" xfId="41014"/>
    <cellStyle name="Note 3 6 2 2 2" xfId="41015"/>
    <cellStyle name="Note 3 6 2 2 2 2" xfId="41016"/>
    <cellStyle name="Note 3 6 2 2 2 3" xfId="41017"/>
    <cellStyle name="Note 3 6 2 2 3" xfId="41018"/>
    <cellStyle name="Note 3 6 2 2 4" xfId="41019"/>
    <cellStyle name="Note 3 6 2 2 5" xfId="41020"/>
    <cellStyle name="Note 3 6 2 2 6" xfId="41021"/>
    <cellStyle name="Note 3 6 2 3" xfId="41022"/>
    <cellStyle name="Note 3 6 2 3 2" xfId="41023"/>
    <cellStyle name="Note 3 6 2 3 2 2" xfId="41024"/>
    <cellStyle name="Note 3 6 2 3 3" xfId="41025"/>
    <cellStyle name="Note 3 6 2 3 4" xfId="41026"/>
    <cellStyle name="Note 3 6 2 3 5" xfId="41027"/>
    <cellStyle name="Note 3 6 2 4" xfId="41028"/>
    <cellStyle name="Note 3 6 2 4 2" xfId="41029"/>
    <cellStyle name="Note 3 6 2 4 3" xfId="41030"/>
    <cellStyle name="Note 3 6 2 4 4" xfId="41031"/>
    <cellStyle name="Note 3 6 2 5" xfId="41032"/>
    <cellStyle name="Note 3 6 2 5 2" xfId="41033"/>
    <cellStyle name="Note 3 6 2 6" xfId="41034"/>
    <cellStyle name="Note 3 6 2 7" xfId="41035"/>
    <cellStyle name="Note 3 6 2 8" xfId="41036"/>
    <cellStyle name="Note 3 6 2 9" xfId="41037"/>
    <cellStyle name="Note 3 6 3" xfId="41038"/>
    <cellStyle name="Note 3 6 3 2" xfId="41039"/>
    <cellStyle name="Note 3 6 3 2 2" xfId="41040"/>
    <cellStyle name="Note 3 6 3 2 3" xfId="41041"/>
    <cellStyle name="Note 3 6 3 3" xfId="41042"/>
    <cellStyle name="Note 3 6 3 4" xfId="41043"/>
    <cellStyle name="Note 3 6 3 5" xfId="41044"/>
    <cellStyle name="Note 3 6 3 6" xfId="41045"/>
    <cellStyle name="Note 3 6 4" xfId="41046"/>
    <cellStyle name="Note 3 6 4 2" xfId="41047"/>
    <cellStyle name="Note 3 6 4 2 2" xfId="41048"/>
    <cellStyle name="Note 3 6 4 3" xfId="41049"/>
    <cellStyle name="Note 3 6 4 4" xfId="41050"/>
    <cellStyle name="Note 3 6 4 5" xfId="41051"/>
    <cellStyle name="Note 3 6 5" xfId="41052"/>
    <cellStyle name="Note 3 6 5 2" xfId="41053"/>
    <cellStyle name="Note 3 6 5 2 2" xfId="41054"/>
    <cellStyle name="Note 3 6 5 3" xfId="41055"/>
    <cellStyle name="Note 3 6 5 4" xfId="41056"/>
    <cellStyle name="Note 3 6 5 5" xfId="41057"/>
    <cellStyle name="Note 3 6 6" xfId="41058"/>
    <cellStyle name="Note 3 6 6 2" xfId="41059"/>
    <cellStyle name="Note 3 6 7" xfId="41060"/>
    <cellStyle name="Note 3 6 8" xfId="41061"/>
    <cellStyle name="Note 3 6 9" xfId="41062"/>
    <cellStyle name="Note 3 7" xfId="41063"/>
    <cellStyle name="Note 3 7 10" xfId="41064"/>
    <cellStyle name="Note 3 7 2" xfId="41065"/>
    <cellStyle name="Note 3 7 2 2" xfId="41066"/>
    <cellStyle name="Note 3 7 2 2 2" xfId="41067"/>
    <cellStyle name="Note 3 7 2 2 2 2" xfId="41068"/>
    <cellStyle name="Note 3 7 2 2 2 3" xfId="41069"/>
    <cellStyle name="Note 3 7 2 2 3" xfId="41070"/>
    <cellStyle name="Note 3 7 2 2 4" xfId="41071"/>
    <cellStyle name="Note 3 7 2 2 5" xfId="41072"/>
    <cellStyle name="Note 3 7 2 2 6" xfId="41073"/>
    <cellStyle name="Note 3 7 2 3" xfId="41074"/>
    <cellStyle name="Note 3 7 2 3 2" xfId="41075"/>
    <cellStyle name="Note 3 7 2 3 2 2" xfId="41076"/>
    <cellStyle name="Note 3 7 2 3 3" xfId="41077"/>
    <cellStyle name="Note 3 7 2 3 4" xfId="41078"/>
    <cellStyle name="Note 3 7 2 3 5" xfId="41079"/>
    <cellStyle name="Note 3 7 2 4" xfId="41080"/>
    <cellStyle name="Note 3 7 2 4 2" xfId="41081"/>
    <cellStyle name="Note 3 7 2 4 3" xfId="41082"/>
    <cellStyle name="Note 3 7 2 4 4" xfId="41083"/>
    <cellStyle name="Note 3 7 2 5" xfId="41084"/>
    <cellStyle name="Note 3 7 2 5 2" xfId="41085"/>
    <cellStyle name="Note 3 7 2 6" xfId="41086"/>
    <cellStyle name="Note 3 7 2 7" xfId="41087"/>
    <cellStyle name="Note 3 7 2 8" xfId="41088"/>
    <cellStyle name="Note 3 7 2 9" xfId="41089"/>
    <cellStyle name="Note 3 7 3" xfId="41090"/>
    <cellStyle name="Note 3 7 3 2" xfId="41091"/>
    <cellStyle name="Note 3 7 3 2 2" xfId="41092"/>
    <cellStyle name="Note 3 7 3 2 3" xfId="41093"/>
    <cellStyle name="Note 3 7 3 3" xfId="41094"/>
    <cellStyle name="Note 3 7 3 4" xfId="41095"/>
    <cellStyle name="Note 3 7 3 5" xfId="41096"/>
    <cellStyle name="Note 3 7 3 6" xfId="41097"/>
    <cellStyle name="Note 3 7 4" xfId="41098"/>
    <cellStyle name="Note 3 7 4 2" xfId="41099"/>
    <cellStyle name="Note 3 7 4 2 2" xfId="41100"/>
    <cellStyle name="Note 3 7 4 3" xfId="41101"/>
    <cellStyle name="Note 3 7 4 4" xfId="41102"/>
    <cellStyle name="Note 3 7 4 5" xfId="41103"/>
    <cellStyle name="Note 3 7 5" xfId="41104"/>
    <cellStyle name="Note 3 7 5 2" xfId="41105"/>
    <cellStyle name="Note 3 7 5 2 2" xfId="41106"/>
    <cellStyle name="Note 3 7 5 3" xfId="41107"/>
    <cellStyle name="Note 3 7 5 4" xfId="41108"/>
    <cellStyle name="Note 3 7 5 5" xfId="41109"/>
    <cellStyle name="Note 3 7 6" xfId="41110"/>
    <cellStyle name="Note 3 7 6 2" xfId="41111"/>
    <cellStyle name="Note 3 7 7" xfId="41112"/>
    <cellStyle name="Note 3 7 8" xfId="41113"/>
    <cellStyle name="Note 3 7 9" xfId="41114"/>
    <cellStyle name="Note 3 8" xfId="41115"/>
    <cellStyle name="Note 3 8 10" xfId="41116"/>
    <cellStyle name="Note 3 8 2" xfId="41117"/>
    <cellStyle name="Note 3 8 2 2" xfId="41118"/>
    <cellStyle name="Note 3 8 2 2 2" xfId="41119"/>
    <cellStyle name="Note 3 8 2 2 2 2" xfId="41120"/>
    <cellStyle name="Note 3 8 2 2 2 3" xfId="41121"/>
    <cellStyle name="Note 3 8 2 2 3" xfId="41122"/>
    <cellStyle name="Note 3 8 2 2 4" xfId="41123"/>
    <cellStyle name="Note 3 8 2 2 5" xfId="41124"/>
    <cellStyle name="Note 3 8 2 2 6" xfId="41125"/>
    <cellStyle name="Note 3 8 2 3" xfId="41126"/>
    <cellStyle name="Note 3 8 2 3 2" xfId="41127"/>
    <cellStyle name="Note 3 8 2 3 2 2" xfId="41128"/>
    <cellStyle name="Note 3 8 2 3 3" xfId="41129"/>
    <cellStyle name="Note 3 8 2 3 4" xfId="41130"/>
    <cellStyle name="Note 3 8 2 3 5" xfId="41131"/>
    <cellStyle name="Note 3 8 2 4" xfId="41132"/>
    <cellStyle name="Note 3 8 2 4 2" xfId="41133"/>
    <cellStyle name="Note 3 8 2 4 3" xfId="41134"/>
    <cellStyle name="Note 3 8 2 4 4" xfId="41135"/>
    <cellStyle name="Note 3 8 2 5" xfId="41136"/>
    <cellStyle name="Note 3 8 2 5 2" xfId="41137"/>
    <cellStyle name="Note 3 8 2 6" xfId="41138"/>
    <cellStyle name="Note 3 8 2 7" xfId="41139"/>
    <cellStyle name="Note 3 8 2 8" xfId="41140"/>
    <cellStyle name="Note 3 8 2 9" xfId="41141"/>
    <cellStyle name="Note 3 8 3" xfId="41142"/>
    <cellStyle name="Note 3 8 3 2" xfId="41143"/>
    <cellStyle name="Note 3 8 3 2 2" xfId="41144"/>
    <cellStyle name="Note 3 8 3 2 3" xfId="41145"/>
    <cellStyle name="Note 3 8 3 3" xfId="41146"/>
    <cellStyle name="Note 3 8 3 4" xfId="41147"/>
    <cellStyle name="Note 3 8 3 5" xfId="41148"/>
    <cellStyle name="Note 3 8 3 6" xfId="41149"/>
    <cellStyle name="Note 3 8 4" xfId="41150"/>
    <cellStyle name="Note 3 8 4 2" xfId="41151"/>
    <cellStyle name="Note 3 8 4 2 2" xfId="41152"/>
    <cellStyle name="Note 3 8 4 3" xfId="41153"/>
    <cellStyle name="Note 3 8 4 4" xfId="41154"/>
    <cellStyle name="Note 3 8 4 5" xfId="41155"/>
    <cellStyle name="Note 3 8 5" xfId="41156"/>
    <cellStyle name="Note 3 8 5 2" xfId="41157"/>
    <cellStyle name="Note 3 8 5 2 2" xfId="41158"/>
    <cellStyle name="Note 3 8 5 3" xfId="41159"/>
    <cellStyle name="Note 3 8 5 4" xfId="41160"/>
    <cellStyle name="Note 3 8 5 5" xfId="41161"/>
    <cellStyle name="Note 3 8 6" xfId="41162"/>
    <cellStyle name="Note 3 8 6 2" xfId="41163"/>
    <cellStyle name="Note 3 8 7" xfId="41164"/>
    <cellStyle name="Note 3 8 8" xfId="41165"/>
    <cellStyle name="Note 3 8 9" xfId="41166"/>
    <cellStyle name="Note 3 9" xfId="41167"/>
    <cellStyle name="Note 3 9 10" xfId="41168"/>
    <cellStyle name="Note 3 9 2" xfId="41169"/>
    <cellStyle name="Note 3 9 2 2" xfId="41170"/>
    <cellStyle name="Note 3 9 2 2 2" xfId="41171"/>
    <cellStyle name="Note 3 9 2 2 2 2" xfId="41172"/>
    <cellStyle name="Note 3 9 2 2 2 3" xfId="41173"/>
    <cellStyle name="Note 3 9 2 2 3" xfId="41174"/>
    <cellStyle name="Note 3 9 2 2 4" xfId="41175"/>
    <cellStyle name="Note 3 9 2 2 5" xfId="41176"/>
    <cellStyle name="Note 3 9 2 2 6" xfId="41177"/>
    <cellStyle name="Note 3 9 2 3" xfId="41178"/>
    <cellStyle name="Note 3 9 2 3 2" xfId="41179"/>
    <cellStyle name="Note 3 9 2 3 2 2" xfId="41180"/>
    <cellStyle name="Note 3 9 2 3 3" xfId="41181"/>
    <cellStyle name="Note 3 9 2 3 4" xfId="41182"/>
    <cellStyle name="Note 3 9 2 3 5" xfId="41183"/>
    <cellStyle name="Note 3 9 2 4" xfId="41184"/>
    <cellStyle name="Note 3 9 2 4 2" xfId="41185"/>
    <cellStyle name="Note 3 9 2 4 3" xfId="41186"/>
    <cellStyle name="Note 3 9 2 4 4" xfId="41187"/>
    <cellStyle name="Note 3 9 2 5" xfId="41188"/>
    <cellStyle name="Note 3 9 2 5 2" xfId="41189"/>
    <cellStyle name="Note 3 9 2 6" xfId="41190"/>
    <cellStyle name="Note 3 9 2 7" xfId="41191"/>
    <cellStyle name="Note 3 9 2 8" xfId="41192"/>
    <cellStyle name="Note 3 9 2 9" xfId="41193"/>
    <cellStyle name="Note 3 9 3" xfId="41194"/>
    <cellStyle name="Note 3 9 3 2" xfId="41195"/>
    <cellStyle name="Note 3 9 3 2 2" xfId="41196"/>
    <cellStyle name="Note 3 9 3 2 3" xfId="41197"/>
    <cellStyle name="Note 3 9 3 3" xfId="41198"/>
    <cellStyle name="Note 3 9 3 4" xfId="41199"/>
    <cellStyle name="Note 3 9 3 5" xfId="41200"/>
    <cellStyle name="Note 3 9 3 6" xfId="41201"/>
    <cellStyle name="Note 3 9 4" xfId="41202"/>
    <cellStyle name="Note 3 9 4 2" xfId="41203"/>
    <cellStyle name="Note 3 9 4 2 2" xfId="41204"/>
    <cellStyle name="Note 3 9 4 3" xfId="41205"/>
    <cellStyle name="Note 3 9 4 4" xfId="41206"/>
    <cellStyle name="Note 3 9 4 5" xfId="41207"/>
    <cellStyle name="Note 3 9 5" xfId="41208"/>
    <cellStyle name="Note 3 9 5 2" xfId="41209"/>
    <cellStyle name="Note 3 9 5 3" xfId="41210"/>
    <cellStyle name="Note 3 9 5 4" xfId="41211"/>
    <cellStyle name="Note 3 9 6" xfId="41212"/>
    <cellStyle name="Note 3 9 6 2" xfId="41213"/>
    <cellStyle name="Note 3 9 7" xfId="41214"/>
    <cellStyle name="Note 3 9 8" xfId="41215"/>
    <cellStyle name="Note 3 9 9" xfId="41216"/>
    <cellStyle name="Note 4" xfId="41217"/>
    <cellStyle name="Note 4 10" xfId="41218"/>
    <cellStyle name="Note 4 10 2" xfId="41219"/>
    <cellStyle name="Note 4 10 2 2" xfId="41220"/>
    <cellStyle name="Note 4 10 2 2 2" xfId="41221"/>
    <cellStyle name="Note 4 10 2 2 3" xfId="41222"/>
    <cellStyle name="Note 4 10 2 3" xfId="41223"/>
    <cellStyle name="Note 4 10 2 4" xfId="41224"/>
    <cellStyle name="Note 4 10 2 5" xfId="41225"/>
    <cellStyle name="Note 4 10 2 6" xfId="41226"/>
    <cellStyle name="Note 4 10 3" xfId="41227"/>
    <cellStyle name="Note 4 10 3 2" xfId="41228"/>
    <cellStyle name="Note 4 10 3 2 2" xfId="41229"/>
    <cellStyle name="Note 4 10 3 3" xfId="41230"/>
    <cellStyle name="Note 4 10 3 4" xfId="41231"/>
    <cellStyle name="Note 4 10 3 5" xfId="41232"/>
    <cellStyle name="Note 4 10 4" xfId="41233"/>
    <cellStyle name="Note 4 10 4 2" xfId="41234"/>
    <cellStyle name="Note 4 10 4 3" xfId="41235"/>
    <cellStyle name="Note 4 10 4 4" xfId="41236"/>
    <cellStyle name="Note 4 10 5" xfId="41237"/>
    <cellStyle name="Note 4 10 5 2" xfId="41238"/>
    <cellStyle name="Note 4 10 6" xfId="41239"/>
    <cellStyle name="Note 4 10 7" xfId="41240"/>
    <cellStyle name="Note 4 10 8" xfId="41241"/>
    <cellStyle name="Note 4 10 9" xfId="41242"/>
    <cellStyle name="Note 4 11" xfId="41243"/>
    <cellStyle name="Note 4 11 2" xfId="41244"/>
    <cellStyle name="Note 4 11 2 2" xfId="41245"/>
    <cellStyle name="Note 4 11 2 3" xfId="41246"/>
    <cellStyle name="Note 4 11 3" xfId="41247"/>
    <cellStyle name="Note 4 11 4" xfId="41248"/>
    <cellStyle name="Note 4 11 5" xfId="41249"/>
    <cellStyle name="Note 4 11 6" xfId="41250"/>
    <cellStyle name="Note 4 12" xfId="41251"/>
    <cellStyle name="Note 4 12 2" xfId="41252"/>
    <cellStyle name="Note 4 12 2 2" xfId="41253"/>
    <cellStyle name="Note 4 12 3" xfId="41254"/>
    <cellStyle name="Note 4 12 4" xfId="41255"/>
    <cellStyle name="Note 4 12 5" xfId="41256"/>
    <cellStyle name="Note 4 13" xfId="41257"/>
    <cellStyle name="Note 4 13 2" xfId="41258"/>
    <cellStyle name="Note 4 13 2 2" xfId="41259"/>
    <cellStyle name="Note 4 13 3" xfId="41260"/>
    <cellStyle name="Note 4 13 4" xfId="41261"/>
    <cellStyle name="Note 4 13 5" xfId="41262"/>
    <cellStyle name="Note 4 14" xfId="41263"/>
    <cellStyle name="Note 4 14 2" xfId="41264"/>
    <cellStyle name="Note 4 15" xfId="41265"/>
    <cellStyle name="Note 4 16" xfId="41266"/>
    <cellStyle name="Note 4 17" xfId="41267"/>
    <cellStyle name="Note 4 18" xfId="41268"/>
    <cellStyle name="Note 4 2" xfId="41269"/>
    <cellStyle name="Note 4 2 10" xfId="41270"/>
    <cellStyle name="Note 4 2 2" xfId="41271"/>
    <cellStyle name="Note 4 2 2 2" xfId="41272"/>
    <cellStyle name="Note 4 2 2 2 2" xfId="41273"/>
    <cellStyle name="Note 4 2 2 2 2 2" xfId="41274"/>
    <cellStyle name="Note 4 2 2 2 2 3" xfId="41275"/>
    <cellStyle name="Note 4 2 2 2 3" xfId="41276"/>
    <cellStyle name="Note 4 2 2 2 4" xfId="41277"/>
    <cellStyle name="Note 4 2 2 2 5" xfId="41278"/>
    <cellStyle name="Note 4 2 2 2 6" xfId="41279"/>
    <cellStyle name="Note 4 2 2 3" xfId="41280"/>
    <cellStyle name="Note 4 2 2 3 2" xfId="41281"/>
    <cellStyle name="Note 4 2 2 3 2 2" xfId="41282"/>
    <cellStyle name="Note 4 2 2 3 3" xfId="41283"/>
    <cellStyle name="Note 4 2 2 3 4" xfId="41284"/>
    <cellStyle name="Note 4 2 2 3 5" xfId="41285"/>
    <cellStyle name="Note 4 2 2 4" xfId="41286"/>
    <cellStyle name="Note 4 2 2 4 2" xfId="41287"/>
    <cellStyle name="Note 4 2 2 4 3" xfId="41288"/>
    <cellStyle name="Note 4 2 2 4 4" xfId="41289"/>
    <cellStyle name="Note 4 2 2 5" xfId="41290"/>
    <cellStyle name="Note 4 2 2 5 2" xfId="41291"/>
    <cellStyle name="Note 4 2 2 6" xfId="41292"/>
    <cellStyle name="Note 4 2 2 7" xfId="41293"/>
    <cellStyle name="Note 4 2 2 8" xfId="41294"/>
    <cellStyle name="Note 4 2 2 9" xfId="41295"/>
    <cellStyle name="Note 4 2 3" xfId="41296"/>
    <cellStyle name="Note 4 2 3 2" xfId="41297"/>
    <cellStyle name="Note 4 2 3 2 2" xfId="41298"/>
    <cellStyle name="Note 4 2 3 2 3" xfId="41299"/>
    <cellStyle name="Note 4 2 3 3" xfId="41300"/>
    <cellStyle name="Note 4 2 3 4" xfId="41301"/>
    <cellStyle name="Note 4 2 3 5" xfId="41302"/>
    <cellStyle name="Note 4 2 3 6" xfId="41303"/>
    <cellStyle name="Note 4 2 4" xfId="41304"/>
    <cellStyle name="Note 4 2 4 2" xfId="41305"/>
    <cellStyle name="Note 4 2 4 2 2" xfId="41306"/>
    <cellStyle name="Note 4 2 4 3" xfId="41307"/>
    <cellStyle name="Note 4 2 4 4" xfId="41308"/>
    <cellStyle name="Note 4 2 4 5" xfId="41309"/>
    <cellStyle name="Note 4 2 5" xfId="41310"/>
    <cellStyle name="Note 4 2 5 2" xfId="41311"/>
    <cellStyle name="Note 4 2 5 2 2" xfId="41312"/>
    <cellStyle name="Note 4 2 5 3" xfId="41313"/>
    <cellStyle name="Note 4 2 5 4" xfId="41314"/>
    <cellStyle name="Note 4 2 5 5" xfId="41315"/>
    <cellStyle name="Note 4 2 6" xfId="41316"/>
    <cellStyle name="Note 4 2 6 2" xfId="41317"/>
    <cellStyle name="Note 4 2 7" xfId="41318"/>
    <cellStyle name="Note 4 2 8" xfId="41319"/>
    <cellStyle name="Note 4 2 9" xfId="41320"/>
    <cellStyle name="Note 4 3" xfId="41321"/>
    <cellStyle name="Note 4 3 10" xfId="41322"/>
    <cellStyle name="Note 4 3 2" xfId="41323"/>
    <cellStyle name="Note 4 3 2 2" xfId="41324"/>
    <cellStyle name="Note 4 3 2 2 2" xfId="41325"/>
    <cellStyle name="Note 4 3 2 2 2 2" xfId="41326"/>
    <cellStyle name="Note 4 3 2 2 2 3" xfId="41327"/>
    <cellStyle name="Note 4 3 2 2 3" xfId="41328"/>
    <cellStyle name="Note 4 3 2 2 4" xfId="41329"/>
    <cellStyle name="Note 4 3 2 2 5" xfId="41330"/>
    <cellStyle name="Note 4 3 2 2 6" xfId="41331"/>
    <cellStyle name="Note 4 3 2 3" xfId="41332"/>
    <cellStyle name="Note 4 3 2 3 2" xfId="41333"/>
    <cellStyle name="Note 4 3 2 3 2 2" xfId="41334"/>
    <cellStyle name="Note 4 3 2 3 3" xfId="41335"/>
    <cellStyle name="Note 4 3 2 3 4" xfId="41336"/>
    <cellStyle name="Note 4 3 2 3 5" xfId="41337"/>
    <cellStyle name="Note 4 3 2 4" xfId="41338"/>
    <cellStyle name="Note 4 3 2 4 2" xfId="41339"/>
    <cellStyle name="Note 4 3 2 4 3" xfId="41340"/>
    <cellStyle name="Note 4 3 2 4 4" xfId="41341"/>
    <cellStyle name="Note 4 3 2 5" xfId="41342"/>
    <cellStyle name="Note 4 3 2 5 2" xfId="41343"/>
    <cellStyle name="Note 4 3 2 6" xfId="41344"/>
    <cellStyle name="Note 4 3 2 7" xfId="41345"/>
    <cellStyle name="Note 4 3 2 8" xfId="41346"/>
    <cellStyle name="Note 4 3 2 9" xfId="41347"/>
    <cellStyle name="Note 4 3 3" xfId="41348"/>
    <cellStyle name="Note 4 3 3 2" xfId="41349"/>
    <cellStyle name="Note 4 3 3 2 2" xfId="41350"/>
    <cellStyle name="Note 4 3 3 2 3" xfId="41351"/>
    <cellStyle name="Note 4 3 3 3" xfId="41352"/>
    <cellStyle name="Note 4 3 3 4" xfId="41353"/>
    <cellStyle name="Note 4 3 3 5" xfId="41354"/>
    <cellStyle name="Note 4 3 3 6" xfId="41355"/>
    <cellStyle name="Note 4 3 4" xfId="41356"/>
    <cellStyle name="Note 4 3 4 2" xfId="41357"/>
    <cellStyle name="Note 4 3 4 2 2" xfId="41358"/>
    <cellStyle name="Note 4 3 4 3" xfId="41359"/>
    <cellStyle name="Note 4 3 4 4" xfId="41360"/>
    <cellStyle name="Note 4 3 4 5" xfId="41361"/>
    <cellStyle name="Note 4 3 5" xfId="41362"/>
    <cellStyle name="Note 4 3 5 2" xfId="41363"/>
    <cellStyle name="Note 4 3 5 2 2" xfId="41364"/>
    <cellStyle name="Note 4 3 5 3" xfId="41365"/>
    <cellStyle name="Note 4 3 5 4" xfId="41366"/>
    <cellStyle name="Note 4 3 5 5" xfId="41367"/>
    <cellStyle name="Note 4 3 6" xfId="41368"/>
    <cellStyle name="Note 4 3 6 2" xfId="41369"/>
    <cellStyle name="Note 4 3 7" xfId="41370"/>
    <cellStyle name="Note 4 3 8" xfId="41371"/>
    <cellStyle name="Note 4 3 9" xfId="41372"/>
    <cellStyle name="Note 4 4" xfId="41373"/>
    <cellStyle name="Note 4 4 10" xfId="41374"/>
    <cellStyle name="Note 4 4 2" xfId="41375"/>
    <cellStyle name="Note 4 4 2 2" xfId="41376"/>
    <cellStyle name="Note 4 4 2 2 2" xfId="41377"/>
    <cellStyle name="Note 4 4 2 2 2 2" xfId="41378"/>
    <cellStyle name="Note 4 4 2 2 2 3" xfId="41379"/>
    <cellStyle name="Note 4 4 2 2 3" xfId="41380"/>
    <cellStyle name="Note 4 4 2 2 4" xfId="41381"/>
    <cellStyle name="Note 4 4 2 2 5" xfId="41382"/>
    <cellStyle name="Note 4 4 2 2 6" xfId="41383"/>
    <cellStyle name="Note 4 4 2 3" xfId="41384"/>
    <cellStyle name="Note 4 4 2 3 2" xfId="41385"/>
    <cellStyle name="Note 4 4 2 3 2 2" xfId="41386"/>
    <cellStyle name="Note 4 4 2 3 3" xfId="41387"/>
    <cellStyle name="Note 4 4 2 3 4" xfId="41388"/>
    <cellStyle name="Note 4 4 2 3 5" xfId="41389"/>
    <cellStyle name="Note 4 4 2 4" xfId="41390"/>
    <cellStyle name="Note 4 4 2 4 2" xfId="41391"/>
    <cellStyle name="Note 4 4 2 4 3" xfId="41392"/>
    <cellStyle name="Note 4 4 2 4 4" xfId="41393"/>
    <cellStyle name="Note 4 4 2 5" xfId="41394"/>
    <cellStyle name="Note 4 4 2 5 2" xfId="41395"/>
    <cellStyle name="Note 4 4 2 6" xfId="41396"/>
    <cellStyle name="Note 4 4 2 7" xfId="41397"/>
    <cellStyle name="Note 4 4 2 8" xfId="41398"/>
    <cellStyle name="Note 4 4 2 9" xfId="41399"/>
    <cellStyle name="Note 4 4 3" xfId="41400"/>
    <cellStyle name="Note 4 4 3 2" xfId="41401"/>
    <cellStyle name="Note 4 4 3 2 2" xfId="41402"/>
    <cellStyle name="Note 4 4 3 2 3" xfId="41403"/>
    <cellStyle name="Note 4 4 3 3" xfId="41404"/>
    <cellStyle name="Note 4 4 3 4" xfId="41405"/>
    <cellStyle name="Note 4 4 3 5" xfId="41406"/>
    <cellStyle name="Note 4 4 3 6" xfId="41407"/>
    <cellStyle name="Note 4 4 4" xfId="41408"/>
    <cellStyle name="Note 4 4 4 2" xfId="41409"/>
    <cellStyle name="Note 4 4 4 2 2" xfId="41410"/>
    <cellStyle name="Note 4 4 4 3" xfId="41411"/>
    <cellStyle name="Note 4 4 4 4" xfId="41412"/>
    <cellStyle name="Note 4 4 4 5" xfId="41413"/>
    <cellStyle name="Note 4 4 5" xfId="41414"/>
    <cellStyle name="Note 4 4 5 2" xfId="41415"/>
    <cellStyle name="Note 4 4 5 2 2" xfId="41416"/>
    <cellStyle name="Note 4 4 5 3" xfId="41417"/>
    <cellStyle name="Note 4 4 5 4" xfId="41418"/>
    <cellStyle name="Note 4 4 5 5" xfId="41419"/>
    <cellStyle name="Note 4 4 6" xfId="41420"/>
    <cellStyle name="Note 4 4 6 2" xfId="41421"/>
    <cellStyle name="Note 4 4 7" xfId="41422"/>
    <cellStyle name="Note 4 4 8" xfId="41423"/>
    <cellStyle name="Note 4 4 9" xfId="41424"/>
    <cellStyle name="Note 4 5" xfId="41425"/>
    <cellStyle name="Note 4 5 10" xfId="41426"/>
    <cellStyle name="Note 4 5 2" xfId="41427"/>
    <cellStyle name="Note 4 5 2 2" xfId="41428"/>
    <cellStyle name="Note 4 5 2 2 2" xfId="41429"/>
    <cellStyle name="Note 4 5 2 2 2 2" xfId="41430"/>
    <cellStyle name="Note 4 5 2 2 2 3" xfId="41431"/>
    <cellStyle name="Note 4 5 2 2 3" xfId="41432"/>
    <cellStyle name="Note 4 5 2 2 4" xfId="41433"/>
    <cellStyle name="Note 4 5 2 2 5" xfId="41434"/>
    <cellStyle name="Note 4 5 2 2 6" xfId="41435"/>
    <cellStyle name="Note 4 5 2 3" xfId="41436"/>
    <cellStyle name="Note 4 5 2 3 2" xfId="41437"/>
    <cellStyle name="Note 4 5 2 3 2 2" xfId="41438"/>
    <cellStyle name="Note 4 5 2 3 3" xfId="41439"/>
    <cellStyle name="Note 4 5 2 3 4" xfId="41440"/>
    <cellStyle name="Note 4 5 2 3 5" xfId="41441"/>
    <cellStyle name="Note 4 5 2 4" xfId="41442"/>
    <cellStyle name="Note 4 5 2 4 2" xfId="41443"/>
    <cellStyle name="Note 4 5 2 4 3" xfId="41444"/>
    <cellStyle name="Note 4 5 2 4 4" xfId="41445"/>
    <cellStyle name="Note 4 5 2 5" xfId="41446"/>
    <cellStyle name="Note 4 5 2 5 2" xfId="41447"/>
    <cellStyle name="Note 4 5 2 6" xfId="41448"/>
    <cellStyle name="Note 4 5 2 7" xfId="41449"/>
    <cellStyle name="Note 4 5 2 8" xfId="41450"/>
    <cellStyle name="Note 4 5 2 9" xfId="41451"/>
    <cellStyle name="Note 4 5 3" xfId="41452"/>
    <cellStyle name="Note 4 5 3 2" xfId="41453"/>
    <cellStyle name="Note 4 5 3 2 2" xfId="41454"/>
    <cellStyle name="Note 4 5 3 2 3" xfId="41455"/>
    <cellStyle name="Note 4 5 3 3" xfId="41456"/>
    <cellStyle name="Note 4 5 3 4" xfId="41457"/>
    <cellStyle name="Note 4 5 3 5" xfId="41458"/>
    <cellStyle name="Note 4 5 3 6" xfId="41459"/>
    <cellStyle name="Note 4 5 4" xfId="41460"/>
    <cellStyle name="Note 4 5 4 2" xfId="41461"/>
    <cellStyle name="Note 4 5 4 2 2" xfId="41462"/>
    <cellStyle name="Note 4 5 4 3" xfId="41463"/>
    <cellStyle name="Note 4 5 4 4" xfId="41464"/>
    <cellStyle name="Note 4 5 4 5" xfId="41465"/>
    <cellStyle name="Note 4 5 5" xfId="41466"/>
    <cellStyle name="Note 4 5 5 2" xfId="41467"/>
    <cellStyle name="Note 4 5 5 2 2" xfId="41468"/>
    <cellStyle name="Note 4 5 5 3" xfId="41469"/>
    <cellStyle name="Note 4 5 5 4" xfId="41470"/>
    <cellStyle name="Note 4 5 5 5" xfId="41471"/>
    <cellStyle name="Note 4 5 6" xfId="41472"/>
    <cellStyle name="Note 4 5 6 2" xfId="41473"/>
    <cellStyle name="Note 4 5 7" xfId="41474"/>
    <cellStyle name="Note 4 5 8" xfId="41475"/>
    <cellStyle name="Note 4 5 9" xfId="41476"/>
    <cellStyle name="Note 4 6" xfId="41477"/>
    <cellStyle name="Note 4 6 10" xfId="41478"/>
    <cellStyle name="Note 4 6 2" xfId="41479"/>
    <cellStyle name="Note 4 6 2 2" xfId="41480"/>
    <cellStyle name="Note 4 6 2 2 2" xfId="41481"/>
    <cellStyle name="Note 4 6 2 2 2 2" xfId="41482"/>
    <cellStyle name="Note 4 6 2 2 2 3" xfId="41483"/>
    <cellStyle name="Note 4 6 2 2 3" xfId="41484"/>
    <cellStyle name="Note 4 6 2 2 4" xfId="41485"/>
    <cellStyle name="Note 4 6 2 2 5" xfId="41486"/>
    <cellStyle name="Note 4 6 2 2 6" xfId="41487"/>
    <cellStyle name="Note 4 6 2 3" xfId="41488"/>
    <cellStyle name="Note 4 6 2 3 2" xfId="41489"/>
    <cellStyle name="Note 4 6 2 3 2 2" xfId="41490"/>
    <cellStyle name="Note 4 6 2 3 3" xfId="41491"/>
    <cellStyle name="Note 4 6 2 3 4" xfId="41492"/>
    <cellStyle name="Note 4 6 2 3 5" xfId="41493"/>
    <cellStyle name="Note 4 6 2 4" xfId="41494"/>
    <cellStyle name="Note 4 6 2 4 2" xfId="41495"/>
    <cellStyle name="Note 4 6 2 4 3" xfId="41496"/>
    <cellStyle name="Note 4 6 2 4 4" xfId="41497"/>
    <cellStyle name="Note 4 6 2 5" xfId="41498"/>
    <cellStyle name="Note 4 6 2 5 2" xfId="41499"/>
    <cellStyle name="Note 4 6 2 6" xfId="41500"/>
    <cellStyle name="Note 4 6 2 7" xfId="41501"/>
    <cellStyle name="Note 4 6 2 8" xfId="41502"/>
    <cellStyle name="Note 4 6 2 9" xfId="41503"/>
    <cellStyle name="Note 4 6 3" xfId="41504"/>
    <cellStyle name="Note 4 6 3 2" xfId="41505"/>
    <cellStyle name="Note 4 6 3 2 2" xfId="41506"/>
    <cellStyle name="Note 4 6 3 2 3" xfId="41507"/>
    <cellStyle name="Note 4 6 3 3" xfId="41508"/>
    <cellStyle name="Note 4 6 3 4" xfId="41509"/>
    <cellStyle name="Note 4 6 3 5" xfId="41510"/>
    <cellStyle name="Note 4 6 3 6" xfId="41511"/>
    <cellStyle name="Note 4 6 4" xfId="41512"/>
    <cellStyle name="Note 4 6 4 2" xfId="41513"/>
    <cellStyle name="Note 4 6 4 2 2" xfId="41514"/>
    <cellStyle name="Note 4 6 4 3" xfId="41515"/>
    <cellStyle name="Note 4 6 4 4" xfId="41516"/>
    <cellStyle name="Note 4 6 4 5" xfId="41517"/>
    <cellStyle name="Note 4 6 5" xfId="41518"/>
    <cellStyle name="Note 4 6 5 2" xfId="41519"/>
    <cellStyle name="Note 4 6 5 2 2" xfId="41520"/>
    <cellStyle name="Note 4 6 5 3" xfId="41521"/>
    <cellStyle name="Note 4 6 5 4" xfId="41522"/>
    <cellStyle name="Note 4 6 5 5" xfId="41523"/>
    <cellStyle name="Note 4 6 6" xfId="41524"/>
    <cellStyle name="Note 4 6 6 2" xfId="41525"/>
    <cellStyle name="Note 4 6 7" xfId="41526"/>
    <cellStyle name="Note 4 6 8" xfId="41527"/>
    <cellStyle name="Note 4 6 9" xfId="41528"/>
    <cellStyle name="Note 4 7" xfId="41529"/>
    <cellStyle name="Note 4 7 10" xfId="41530"/>
    <cellStyle name="Note 4 7 2" xfId="41531"/>
    <cellStyle name="Note 4 7 2 2" xfId="41532"/>
    <cellStyle name="Note 4 7 2 2 2" xfId="41533"/>
    <cellStyle name="Note 4 7 2 2 2 2" xfId="41534"/>
    <cellStyle name="Note 4 7 2 2 2 3" xfId="41535"/>
    <cellStyle name="Note 4 7 2 2 3" xfId="41536"/>
    <cellStyle name="Note 4 7 2 2 4" xfId="41537"/>
    <cellStyle name="Note 4 7 2 2 5" xfId="41538"/>
    <cellStyle name="Note 4 7 2 2 6" xfId="41539"/>
    <cellStyle name="Note 4 7 2 3" xfId="41540"/>
    <cellStyle name="Note 4 7 2 3 2" xfId="41541"/>
    <cellStyle name="Note 4 7 2 3 2 2" xfId="41542"/>
    <cellStyle name="Note 4 7 2 3 3" xfId="41543"/>
    <cellStyle name="Note 4 7 2 3 4" xfId="41544"/>
    <cellStyle name="Note 4 7 2 3 5" xfId="41545"/>
    <cellStyle name="Note 4 7 2 4" xfId="41546"/>
    <cellStyle name="Note 4 7 2 4 2" xfId="41547"/>
    <cellStyle name="Note 4 7 2 4 3" xfId="41548"/>
    <cellStyle name="Note 4 7 2 4 4" xfId="41549"/>
    <cellStyle name="Note 4 7 2 5" xfId="41550"/>
    <cellStyle name="Note 4 7 2 5 2" xfId="41551"/>
    <cellStyle name="Note 4 7 2 6" xfId="41552"/>
    <cellStyle name="Note 4 7 2 7" xfId="41553"/>
    <cellStyle name="Note 4 7 2 8" xfId="41554"/>
    <cellStyle name="Note 4 7 2 9" xfId="41555"/>
    <cellStyle name="Note 4 7 3" xfId="41556"/>
    <cellStyle name="Note 4 7 3 2" xfId="41557"/>
    <cellStyle name="Note 4 7 3 2 2" xfId="41558"/>
    <cellStyle name="Note 4 7 3 2 3" xfId="41559"/>
    <cellStyle name="Note 4 7 3 3" xfId="41560"/>
    <cellStyle name="Note 4 7 3 4" xfId="41561"/>
    <cellStyle name="Note 4 7 3 5" xfId="41562"/>
    <cellStyle name="Note 4 7 3 6" xfId="41563"/>
    <cellStyle name="Note 4 7 4" xfId="41564"/>
    <cellStyle name="Note 4 7 4 2" xfId="41565"/>
    <cellStyle name="Note 4 7 4 2 2" xfId="41566"/>
    <cellStyle name="Note 4 7 4 3" xfId="41567"/>
    <cellStyle name="Note 4 7 4 4" xfId="41568"/>
    <cellStyle name="Note 4 7 4 5" xfId="41569"/>
    <cellStyle name="Note 4 7 5" xfId="41570"/>
    <cellStyle name="Note 4 7 5 2" xfId="41571"/>
    <cellStyle name="Note 4 7 5 2 2" xfId="41572"/>
    <cellStyle name="Note 4 7 5 3" xfId="41573"/>
    <cellStyle name="Note 4 7 5 4" xfId="41574"/>
    <cellStyle name="Note 4 7 5 5" xfId="41575"/>
    <cellStyle name="Note 4 7 6" xfId="41576"/>
    <cellStyle name="Note 4 7 6 2" xfId="41577"/>
    <cellStyle name="Note 4 7 7" xfId="41578"/>
    <cellStyle name="Note 4 7 8" xfId="41579"/>
    <cellStyle name="Note 4 7 9" xfId="41580"/>
    <cellStyle name="Note 4 8" xfId="41581"/>
    <cellStyle name="Note 4 8 10" xfId="41582"/>
    <cellStyle name="Note 4 8 2" xfId="41583"/>
    <cellStyle name="Note 4 8 2 2" xfId="41584"/>
    <cellStyle name="Note 4 8 2 2 2" xfId="41585"/>
    <cellStyle name="Note 4 8 2 2 2 2" xfId="41586"/>
    <cellStyle name="Note 4 8 2 2 2 3" xfId="41587"/>
    <cellStyle name="Note 4 8 2 2 3" xfId="41588"/>
    <cellStyle name="Note 4 8 2 2 4" xfId="41589"/>
    <cellStyle name="Note 4 8 2 2 5" xfId="41590"/>
    <cellStyle name="Note 4 8 2 2 6" xfId="41591"/>
    <cellStyle name="Note 4 8 2 3" xfId="41592"/>
    <cellStyle name="Note 4 8 2 3 2" xfId="41593"/>
    <cellStyle name="Note 4 8 2 3 2 2" xfId="41594"/>
    <cellStyle name="Note 4 8 2 3 3" xfId="41595"/>
    <cellStyle name="Note 4 8 2 3 4" xfId="41596"/>
    <cellStyle name="Note 4 8 2 3 5" xfId="41597"/>
    <cellStyle name="Note 4 8 2 4" xfId="41598"/>
    <cellStyle name="Note 4 8 2 4 2" xfId="41599"/>
    <cellStyle name="Note 4 8 2 4 3" xfId="41600"/>
    <cellStyle name="Note 4 8 2 4 4" xfId="41601"/>
    <cellStyle name="Note 4 8 2 5" xfId="41602"/>
    <cellStyle name="Note 4 8 2 5 2" xfId="41603"/>
    <cellStyle name="Note 4 8 2 6" xfId="41604"/>
    <cellStyle name="Note 4 8 2 7" xfId="41605"/>
    <cellStyle name="Note 4 8 2 8" xfId="41606"/>
    <cellStyle name="Note 4 8 2 9" xfId="41607"/>
    <cellStyle name="Note 4 8 3" xfId="41608"/>
    <cellStyle name="Note 4 8 3 2" xfId="41609"/>
    <cellStyle name="Note 4 8 3 2 2" xfId="41610"/>
    <cellStyle name="Note 4 8 3 2 3" xfId="41611"/>
    <cellStyle name="Note 4 8 3 3" xfId="41612"/>
    <cellStyle name="Note 4 8 3 4" xfId="41613"/>
    <cellStyle name="Note 4 8 3 5" xfId="41614"/>
    <cellStyle name="Note 4 8 3 6" xfId="41615"/>
    <cellStyle name="Note 4 8 4" xfId="41616"/>
    <cellStyle name="Note 4 8 4 2" xfId="41617"/>
    <cellStyle name="Note 4 8 4 2 2" xfId="41618"/>
    <cellStyle name="Note 4 8 4 3" xfId="41619"/>
    <cellStyle name="Note 4 8 4 4" xfId="41620"/>
    <cellStyle name="Note 4 8 4 5" xfId="41621"/>
    <cellStyle name="Note 4 8 5" xfId="41622"/>
    <cellStyle name="Note 4 8 5 2" xfId="41623"/>
    <cellStyle name="Note 4 8 5 2 2" xfId="41624"/>
    <cellStyle name="Note 4 8 5 3" xfId="41625"/>
    <cellStyle name="Note 4 8 5 4" xfId="41626"/>
    <cellStyle name="Note 4 8 5 5" xfId="41627"/>
    <cellStyle name="Note 4 8 6" xfId="41628"/>
    <cellStyle name="Note 4 8 6 2" xfId="41629"/>
    <cellStyle name="Note 4 8 7" xfId="41630"/>
    <cellStyle name="Note 4 8 8" xfId="41631"/>
    <cellStyle name="Note 4 8 9" xfId="41632"/>
    <cellStyle name="Note 4 9" xfId="41633"/>
    <cellStyle name="Note 4 9 10" xfId="41634"/>
    <cellStyle name="Note 4 9 2" xfId="41635"/>
    <cellStyle name="Note 4 9 2 2" xfId="41636"/>
    <cellStyle name="Note 4 9 2 2 2" xfId="41637"/>
    <cellStyle name="Note 4 9 2 2 2 2" xfId="41638"/>
    <cellStyle name="Note 4 9 2 2 2 3" xfId="41639"/>
    <cellStyle name="Note 4 9 2 2 3" xfId="41640"/>
    <cellStyle name="Note 4 9 2 2 4" xfId="41641"/>
    <cellStyle name="Note 4 9 2 2 5" xfId="41642"/>
    <cellStyle name="Note 4 9 2 2 6" xfId="41643"/>
    <cellStyle name="Note 4 9 2 3" xfId="41644"/>
    <cellStyle name="Note 4 9 2 3 2" xfId="41645"/>
    <cellStyle name="Note 4 9 2 3 2 2" xfId="41646"/>
    <cellStyle name="Note 4 9 2 3 3" xfId="41647"/>
    <cellStyle name="Note 4 9 2 3 4" xfId="41648"/>
    <cellStyle name="Note 4 9 2 3 5" xfId="41649"/>
    <cellStyle name="Note 4 9 2 4" xfId="41650"/>
    <cellStyle name="Note 4 9 2 4 2" xfId="41651"/>
    <cellStyle name="Note 4 9 2 4 3" xfId="41652"/>
    <cellStyle name="Note 4 9 2 4 4" xfId="41653"/>
    <cellStyle name="Note 4 9 2 5" xfId="41654"/>
    <cellStyle name="Note 4 9 2 5 2" xfId="41655"/>
    <cellStyle name="Note 4 9 2 6" xfId="41656"/>
    <cellStyle name="Note 4 9 2 7" xfId="41657"/>
    <cellStyle name="Note 4 9 2 8" xfId="41658"/>
    <cellStyle name="Note 4 9 2 9" xfId="41659"/>
    <cellStyle name="Note 4 9 3" xfId="41660"/>
    <cellStyle name="Note 4 9 3 2" xfId="41661"/>
    <cellStyle name="Note 4 9 3 2 2" xfId="41662"/>
    <cellStyle name="Note 4 9 3 2 3" xfId="41663"/>
    <cellStyle name="Note 4 9 3 3" xfId="41664"/>
    <cellStyle name="Note 4 9 3 4" xfId="41665"/>
    <cellStyle name="Note 4 9 3 5" xfId="41666"/>
    <cellStyle name="Note 4 9 3 6" xfId="41667"/>
    <cellStyle name="Note 4 9 4" xfId="41668"/>
    <cellStyle name="Note 4 9 4 2" xfId="41669"/>
    <cellStyle name="Note 4 9 4 2 2" xfId="41670"/>
    <cellStyle name="Note 4 9 4 3" xfId="41671"/>
    <cellStyle name="Note 4 9 4 4" xfId="41672"/>
    <cellStyle name="Note 4 9 4 5" xfId="41673"/>
    <cellStyle name="Note 4 9 5" xfId="41674"/>
    <cellStyle name="Note 4 9 5 2" xfId="41675"/>
    <cellStyle name="Note 4 9 5 3" xfId="41676"/>
    <cellStyle name="Note 4 9 5 4" xfId="41677"/>
    <cellStyle name="Note 4 9 6" xfId="41678"/>
    <cellStyle name="Note 4 9 6 2" xfId="41679"/>
    <cellStyle name="Note 4 9 7" xfId="41680"/>
    <cellStyle name="Note 4 9 8" xfId="41681"/>
    <cellStyle name="Note 4 9 9" xfId="41682"/>
    <cellStyle name="Note 5" xfId="41683"/>
    <cellStyle name="Note 5 10" xfId="41684"/>
    <cellStyle name="Note 5 11" xfId="41685"/>
    <cellStyle name="Note 5 2" xfId="41686"/>
    <cellStyle name="Note 5 2 10" xfId="41687"/>
    <cellStyle name="Note 5 2 2" xfId="41688"/>
    <cellStyle name="Note 5 2 2 2" xfId="41689"/>
    <cellStyle name="Note 5 2 2 2 2" xfId="41690"/>
    <cellStyle name="Note 5 2 2 2 2 2" xfId="41691"/>
    <cellStyle name="Note 5 2 2 2 2 3" xfId="41692"/>
    <cellStyle name="Note 5 2 2 2 3" xfId="41693"/>
    <cellStyle name="Note 5 2 2 2 4" xfId="41694"/>
    <cellStyle name="Note 5 2 2 2 5" xfId="41695"/>
    <cellStyle name="Note 5 2 2 2 6" xfId="41696"/>
    <cellStyle name="Note 5 2 2 3" xfId="41697"/>
    <cellStyle name="Note 5 2 2 3 2" xfId="41698"/>
    <cellStyle name="Note 5 2 2 3 2 2" xfId="41699"/>
    <cellStyle name="Note 5 2 2 3 3" xfId="41700"/>
    <cellStyle name="Note 5 2 2 3 4" xfId="41701"/>
    <cellStyle name="Note 5 2 2 3 5" xfId="41702"/>
    <cellStyle name="Note 5 2 2 4" xfId="41703"/>
    <cellStyle name="Note 5 2 2 4 2" xfId="41704"/>
    <cellStyle name="Note 5 2 2 4 3" xfId="41705"/>
    <cellStyle name="Note 5 2 2 4 4" xfId="41706"/>
    <cellStyle name="Note 5 2 2 5" xfId="41707"/>
    <cellStyle name="Note 5 2 2 5 2" xfId="41708"/>
    <cellStyle name="Note 5 2 2 6" xfId="41709"/>
    <cellStyle name="Note 5 2 2 7" xfId="41710"/>
    <cellStyle name="Note 5 2 2 8" xfId="41711"/>
    <cellStyle name="Note 5 2 2 9" xfId="41712"/>
    <cellStyle name="Note 5 2 3" xfId="41713"/>
    <cellStyle name="Note 5 2 3 2" xfId="41714"/>
    <cellStyle name="Note 5 2 3 2 2" xfId="41715"/>
    <cellStyle name="Note 5 2 3 2 3" xfId="41716"/>
    <cellStyle name="Note 5 2 3 3" xfId="41717"/>
    <cellStyle name="Note 5 2 3 4" xfId="41718"/>
    <cellStyle name="Note 5 2 3 5" xfId="41719"/>
    <cellStyle name="Note 5 2 3 6" xfId="41720"/>
    <cellStyle name="Note 5 2 4" xfId="41721"/>
    <cellStyle name="Note 5 2 4 2" xfId="41722"/>
    <cellStyle name="Note 5 2 4 2 2" xfId="41723"/>
    <cellStyle name="Note 5 2 4 3" xfId="41724"/>
    <cellStyle name="Note 5 2 4 4" xfId="41725"/>
    <cellStyle name="Note 5 2 4 5" xfId="41726"/>
    <cellStyle name="Note 5 2 5" xfId="41727"/>
    <cellStyle name="Note 5 2 5 2" xfId="41728"/>
    <cellStyle name="Note 5 2 5 3" xfId="41729"/>
    <cellStyle name="Note 5 2 5 4" xfId="41730"/>
    <cellStyle name="Note 5 2 6" xfId="41731"/>
    <cellStyle name="Note 5 2 6 2" xfId="41732"/>
    <cellStyle name="Note 5 2 7" xfId="41733"/>
    <cellStyle name="Note 5 2 8" xfId="41734"/>
    <cellStyle name="Note 5 2 9" xfId="41735"/>
    <cellStyle name="Note 5 3" xfId="41736"/>
    <cellStyle name="Note 5 3 2" xfId="41737"/>
    <cellStyle name="Note 5 3 2 2" xfId="41738"/>
    <cellStyle name="Note 5 3 2 2 2" xfId="41739"/>
    <cellStyle name="Note 5 3 2 2 3" xfId="41740"/>
    <cellStyle name="Note 5 3 2 3" xfId="41741"/>
    <cellStyle name="Note 5 3 2 4" xfId="41742"/>
    <cellStyle name="Note 5 3 2 5" xfId="41743"/>
    <cellStyle name="Note 5 3 2 6" xfId="41744"/>
    <cellStyle name="Note 5 3 3" xfId="41745"/>
    <cellStyle name="Note 5 3 3 2" xfId="41746"/>
    <cellStyle name="Note 5 3 3 2 2" xfId="41747"/>
    <cellStyle name="Note 5 3 3 3" xfId="41748"/>
    <cellStyle name="Note 5 3 3 4" xfId="41749"/>
    <cellStyle name="Note 5 3 3 5" xfId="41750"/>
    <cellStyle name="Note 5 3 4" xfId="41751"/>
    <cellStyle name="Note 5 3 4 2" xfId="41752"/>
    <cellStyle name="Note 5 3 4 3" xfId="41753"/>
    <cellStyle name="Note 5 3 4 4" xfId="41754"/>
    <cellStyle name="Note 5 3 5" xfId="41755"/>
    <cellStyle name="Note 5 3 5 2" xfId="41756"/>
    <cellStyle name="Note 5 3 6" xfId="41757"/>
    <cellStyle name="Note 5 3 7" xfId="41758"/>
    <cellStyle name="Note 5 3 8" xfId="41759"/>
    <cellStyle name="Note 5 3 9" xfId="41760"/>
    <cellStyle name="Note 5 4" xfId="41761"/>
    <cellStyle name="Note 5 4 2" xfId="41762"/>
    <cellStyle name="Note 5 4 2 2" xfId="41763"/>
    <cellStyle name="Note 5 4 2 3" xfId="41764"/>
    <cellStyle name="Note 5 4 3" xfId="41765"/>
    <cellStyle name="Note 5 4 4" xfId="41766"/>
    <cellStyle name="Note 5 4 5" xfId="41767"/>
    <cellStyle name="Note 5 4 6" xfId="41768"/>
    <cellStyle name="Note 5 5" xfId="41769"/>
    <cellStyle name="Note 5 5 2" xfId="41770"/>
    <cellStyle name="Note 5 5 2 2" xfId="41771"/>
    <cellStyle name="Note 5 5 3" xfId="41772"/>
    <cellStyle name="Note 5 5 4" xfId="41773"/>
    <cellStyle name="Note 5 5 5" xfId="41774"/>
    <cellStyle name="Note 5 6" xfId="41775"/>
    <cellStyle name="Note 5 6 2" xfId="41776"/>
    <cellStyle name="Note 5 6 2 2" xfId="41777"/>
    <cellStyle name="Note 5 6 3" xfId="41778"/>
    <cellStyle name="Note 5 6 4" xfId="41779"/>
    <cellStyle name="Note 5 6 5" xfId="41780"/>
    <cellStyle name="Note 5 7" xfId="41781"/>
    <cellStyle name="Note 5 7 2" xfId="41782"/>
    <cellStyle name="Note 5 8" xfId="41783"/>
    <cellStyle name="Note 5 9" xfId="41784"/>
    <cellStyle name="Note 6" xfId="41785"/>
    <cellStyle name="Note 6 10" xfId="41786"/>
    <cellStyle name="Note 6 11" xfId="41787"/>
    <cellStyle name="Note 6 2" xfId="41788"/>
    <cellStyle name="Note 6 2 10" xfId="41789"/>
    <cellStyle name="Note 6 2 2" xfId="41790"/>
    <cellStyle name="Note 6 2 2 2" xfId="41791"/>
    <cellStyle name="Note 6 2 2 2 2" xfId="41792"/>
    <cellStyle name="Note 6 2 2 2 2 2" xfId="41793"/>
    <cellStyle name="Note 6 2 2 2 2 3" xfId="41794"/>
    <cellStyle name="Note 6 2 2 2 3" xfId="41795"/>
    <cellStyle name="Note 6 2 2 2 4" xfId="41796"/>
    <cellStyle name="Note 6 2 2 2 5" xfId="41797"/>
    <cellStyle name="Note 6 2 2 2 6" xfId="41798"/>
    <cellStyle name="Note 6 2 2 3" xfId="41799"/>
    <cellStyle name="Note 6 2 2 3 2" xfId="41800"/>
    <cellStyle name="Note 6 2 2 3 2 2" xfId="41801"/>
    <cellStyle name="Note 6 2 2 3 3" xfId="41802"/>
    <cellStyle name="Note 6 2 2 3 4" xfId="41803"/>
    <cellStyle name="Note 6 2 2 3 5" xfId="41804"/>
    <cellStyle name="Note 6 2 2 4" xfId="41805"/>
    <cellStyle name="Note 6 2 2 4 2" xfId="41806"/>
    <cellStyle name="Note 6 2 2 4 3" xfId="41807"/>
    <cellStyle name="Note 6 2 2 4 4" xfId="41808"/>
    <cellStyle name="Note 6 2 2 5" xfId="41809"/>
    <cellStyle name="Note 6 2 2 5 2" xfId="41810"/>
    <cellStyle name="Note 6 2 2 6" xfId="41811"/>
    <cellStyle name="Note 6 2 2 7" xfId="41812"/>
    <cellStyle name="Note 6 2 2 8" xfId="41813"/>
    <cellStyle name="Note 6 2 2 9" xfId="41814"/>
    <cellStyle name="Note 6 2 3" xfId="41815"/>
    <cellStyle name="Note 6 2 3 2" xfId="41816"/>
    <cellStyle name="Note 6 2 3 2 2" xfId="41817"/>
    <cellStyle name="Note 6 2 3 2 3" xfId="41818"/>
    <cellStyle name="Note 6 2 3 3" xfId="41819"/>
    <cellStyle name="Note 6 2 3 4" xfId="41820"/>
    <cellStyle name="Note 6 2 3 5" xfId="41821"/>
    <cellStyle name="Note 6 2 3 6" xfId="41822"/>
    <cellStyle name="Note 6 2 4" xfId="41823"/>
    <cellStyle name="Note 6 2 4 2" xfId="41824"/>
    <cellStyle name="Note 6 2 4 2 2" xfId="41825"/>
    <cellStyle name="Note 6 2 4 3" xfId="41826"/>
    <cellStyle name="Note 6 2 4 4" xfId="41827"/>
    <cellStyle name="Note 6 2 4 5" xfId="41828"/>
    <cellStyle name="Note 6 2 5" xfId="41829"/>
    <cellStyle name="Note 6 2 5 2" xfId="41830"/>
    <cellStyle name="Note 6 2 5 3" xfId="41831"/>
    <cellStyle name="Note 6 2 5 4" xfId="41832"/>
    <cellStyle name="Note 6 2 6" xfId="41833"/>
    <cellStyle name="Note 6 2 6 2" xfId="41834"/>
    <cellStyle name="Note 6 2 7" xfId="41835"/>
    <cellStyle name="Note 6 2 8" xfId="41836"/>
    <cellStyle name="Note 6 2 9" xfId="41837"/>
    <cellStyle name="Note 6 3" xfId="41838"/>
    <cellStyle name="Note 6 3 2" xfId="41839"/>
    <cellStyle name="Note 6 3 2 2" xfId="41840"/>
    <cellStyle name="Note 6 3 2 2 2" xfId="41841"/>
    <cellStyle name="Note 6 3 2 2 3" xfId="41842"/>
    <cellStyle name="Note 6 3 2 3" xfId="41843"/>
    <cellStyle name="Note 6 3 2 4" xfId="41844"/>
    <cellStyle name="Note 6 3 2 5" xfId="41845"/>
    <cellStyle name="Note 6 3 2 6" xfId="41846"/>
    <cellStyle name="Note 6 3 3" xfId="41847"/>
    <cellStyle name="Note 6 3 3 2" xfId="41848"/>
    <cellStyle name="Note 6 3 3 2 2" xfId="41849"/>
    <cellStyle name="Note 6 3 3 3" xfId="41850"/>
    <cellStyle name="Note 6 3 3 4" xfId="41851"/>
    <cellStyle name="Note 6 3 3 5" xfId="41852"/>
    <cellStyle name="Note 6 3 4" xfId="41853"/>
    <cellStyle name="Note 6 3 4 2" xfId="41854"/>
    <cellStyle name="Note 6 3 4 3" xfId="41855"/>
    <cellStyle name="Note 6 3 4 4" xfId="41856"/>
    <cellStyle name="Note 6 3 5" xfId="41857"/>
    <cellStyle name="Note 6 3 5 2" xfId="41858"/>
    <cellStyle name="Note 6 3 6" xfId="41859"/>
    <cellStyle name="Note 6 3 7" xfId="41860"/>
    <cellStyle name="Note 6 3 8" xfId="41861"/>
    <cellStyle name="Note 6 3 9" xfId="41862"/>
    <cellStyle name="Note 6 4" xfId="41863"/>
    <cellStyle name="Note 6 4 2" xfId="41864"/>
    <cellStyle name="Note 6 4 2 2" xfId="41865"/>
    <cellStyle name="Note 6 4 2 3" xfId="41866"/>
    <cellStyle name="Note 6 4 3" xfId="41867"/>
    <cellStyle name="Note 6 4 4" xfId="41868"/>
    <cellStyle name="Note 6 4 5" xfId="41869"/>
    <cellStyle name="Note 6 4 6" xfId="41870"/>
    <cellStyle name="Note 6 5" xfId="41871"/>
    <cellStyle name="Note 6 5 2" xfId="41872"/>
    <cellStyle name="Note 6 5 2 2" xfId="41873"/>
    <cellStyle name="Note 6 5 3" xfId="41874"/>
    <cellStyle name="Note 6 5 4" xfId="41875"/>
    <cellStyle name="Note 6 5 5" xfId="41876"/>
    <cellStyle name="Note 6 6" xfId="41877"/>
    <cellStyle name="Note 6 6 2" xfId="41878"/>
    <cellStyle name="Note 6 6 2 2" xfId="41879"/>
    <cellStyle name="Note 6 6 3" xfId="41880"/>
    <cellStyle name="Note 6 6 4" xfId="41881"/>
    <cellStyle name="Note 6 6 5" xfId="41882"/>
    <cellStyle name="Note 6 7" xfId="41883"/>
    <cellStyle name="Note 6 7 2" xfId="41884"/>
    <cellStyle name="Note 6 8" xfId="41885"/>
    <cellStyle name="Note 6 9" xfId="41886"/>
    <cellStyle name="Note 7" xfId="41887"/>
    <cellStyle name="Note 7 10" xfId="41888"/>
    <cellStyle name="Note 7 11" xfId="41889"/>
    <cellStyle name="Note 7 2" xfId="41890"/>
    <cellStyle name="Note 7 3" xfId="41891"/>
    <cellStyle name="Note 7 3 2" xfId="41892"/>
    <cellStyle name="Note 7 3 2 2" xfId="41893"/>
    <cellStyle name="Note 7 3 2 2 2" xfId="41894"/>
    <cellStyle name="Note 7 3 2 2 3" xfId="41895"/>
    <cellStyle name="Note 7 3 2 3" xfId="41896"/>
    <cellStyle name="Note 7 3 2 4" xfId="41897"/>
    <cellStyle name="Note 7 3 2 5" xfId="41898"/>
    <cellStyle name="Note 7 3 2 6" xfId="41899"/>
    <cellStyle name="Note 7 3 3" xfId="41900"/>
    <cellStyle name="Note 7 3 3 2" xfId="41901"/>
    <cellStyle name="Note 7 3 3 2 2" xfId="41902"/>
    <cellStyle name="Note 7 3 3 3" xfId="41903"/>
    <cellStyle name="Note 7 3 3 4" xfId="41904"/>
    <cellStyle name="Note 7 3 3 5" xfId="41905"/>
    <cellStyle name="Note 7 3 4" xfId="41906"/>
    <cellStyle name="Note 7 3 4 2" xfId="41907"/>
    <cellStyle name="Note 7 3 4 3" xfId="41908"/>
    <cellStyle name="Note 7 3 4 4" xfId="41909"/>
    <cellStyle name="Note 7 3 5" xfId="41910"/>
    <cellStyle name="Note 7 3 5 2" xfId="41911"/>
    <cellStyle name="Note 7 3 6" xfId="41912"/>
    <cellStyle name="Note 7 3 7" xfId="41913"/>
    <cellStyle name="Note 7 3 8" xfId="41914"/>
    <cellStyle name="Note 7 3 9" xfId="41915"/>
    <cellStyle name="Note 7 4" xfId="41916"/>
    <cellStyle name="Note 7 4 2" xfId="41917"/>
    <cellStyle name="Note 7 4 2 2" xfId="41918"/>
    <cellStyle name="Note 7 4 2 3" xfId="41919"/>
    <cellStyle name="Note 7 4 3" xfId="41920"/>
    <cellStyle name="Note 7 4 4" xfId="41921"/>
    <cellStyle name="Note 7 4 5" xfId="41922"/>
    <cellStyle name="Note 7 4 6" xfId="41923"/>
    <cellStyle name="Note 7 5" xfId="41924"/>
    <cellStyle name="Note 7 5 2" xfId="41925"/>
    <cellStyle name="Note 7 5 2 2" xfId="41926"/>
    <cellStyle name="Note 7 5 3" xfId="41927"/>
    <cellStyle name="Note 7 5 4" xfId="41928"/>
    <cellStyle name="Note 7 5 5" xfId="41929"/>
    <cellStyle name="Note 7 6" xfId="41930"/>
    <cellStyle name="Note 7 6 2" xfId="41931"/>
    <cellStyle name="Note 7 6 3" xfId="41932"/>
    <cellStyle name="Note 7 6 4" xfId="41933"/>
    <cellStyle name="Note 7 7" xfId="41934"/>
    <cellStyle name="Note 7 7 2" xfId="41935"/>
    <cellStyle name="Note 7 8" xfId="41936"/>
    <cellStyle name="Note 7 9" xfId="41937"/>
    <cellStyle name="Note 8" xfId="41938"/>
    <cellStyle name="Note 9" xfId="41939"/>
    <cellStyle name="Percent" xfId="3" builtinId="5"/>
    <cellStyle name="Percent [2]" xfId="41940"/>
    <cellStyle name="Percent 10" xfId="41941"/>
    <cellStyle name="Percent 11" xfId="41942"/>
    <cellStyle name="Percent 11 2" xfId="41943"/>
    <cellStyle name="Percent 12" xfId="41944"/>
    <cellStyle name="Percent 13" xfId="41945"/>
    <cellStyle name="Percent 14" xfId="41946"/>
    <cellStyle name="Percent 15" xfId="41947"/>
    <cellStyle name="Percent 16" xfId="41948"/>
    <cellStyle name="Percent 17" xfId="41949"/>
    <cellStyle name="Percent 18" xfId="41950"/>
    <cellStyle name="Percent 19" xfId="41951"/>
    <cellStyle name="Percent 2" xfId="41952"/>
    <cellStyle name="Percent 2 10" xfId="41953"/>
    <cellStyle name="Percent 2 10 2" xfId="41954"/>
    <cellStyle name="Percent 2 10 3" xfId="41955"/>
    <cellStyle name="Percent 2 10 4" xfId="41956"/>
    <cellStyle name="Percent 2 10 5" xfId="41957"/>
    <cellStyle name="Percent 2 10 6" xfId="41958"/>
    <cellStyle name="Percent 2 11" xfId="41959"/>
    <cellStyle name="Percent 2 11 2" xfId="41960"/>
    <cellStyle name="Percent 2 11 3" xfId="41961"/>
    <cellStyle name="Percent 2 11 4" xfId="41962"/>
    <cellStyle name="Percent 2 11 5" xfId="41963"/>
    <cellStyle name="Percent 2 11 6" xfId="41964"/>
    <cellStyle name="Percent 2 12" xfId="41965"/>
    <cellStyle name="Percent 2 12 2" xfId="41966"/>
    <cellStyle name="Percent 2 12 3" xfId="41967"/>
    <cellStyle name="Percent 2 12 4" xfId="41968"/>
    <cellStyle name="Percent 2 12 5" xfId="41969"/>
    <cellStyle name="Percent 2 12 6" xfId="41970"/>
    <cellStyle name="Percent 2 13" xfId="41971"/>
    <cellStyle name="Percent 2 13 2" xfId="41972"/>
    <cellStyle name="Percent 2 13 3" xfId="41973"/>
    <cellStyle name="Percent 2 13 4" xfId="41974"/>
    <cellStyle name="Percent 2 13 5" xfId="41975"/>
    <cellStyle name="Percent 2 13 6" xfId="41976"/>
    <cellStyle name="Percent 2 14" xfId="41977"/>
    <cellStyle name="Percent 2 14 2" xfId="41978"/>
    <cellStyle name="Percent 2 14 3" xfId="41979"/>
    <cellStyle name="Percent 2 14 4" xfId="41980"/>
    <cellStyle name="Percent 2 14 5" xfId="41981"/>
    <cellStyle name="Percent 2 14 6" xfId="41982"/>
    <cellStyle name="Percent 2 15" xfId="41983"/>
    <cellStyle name="Percent 2 15 2" xfId="41984"/>
    <cellStyle name="Percent 2 15 3" xfId="41985"/>
    <cellStyle name="Percent 2 15 4" xfId="41986"/>
    <cellStyle name="Percent 2 15 5" xfId="41987"/>
    <cellStyle name="Percent 2 15 6" xfId="41988"/>
    <cellStyle name="Percent 2 16" xfId="41989"/>
    <cellStyle name="Percent 2 16 2" xfId="41990"/>
    <cellStyle name="Percent 2 16 3" xfId="41991"/>
    <cellStyle name="Percent 2 16 4" xfId="41992"/>
    <cellStyle name="Percent 2 16 5" xfId="41993"/>
    <cellStyle name="Percent 2 16 6" xfId="41994"/>
    <cellStyle name="Percent 2 17" xfId="41995"/>
    <cellStyle name="Percent 2 17 2" xfId="41996"/>
    <cellStyle name="Percent 2 17 3" xfId="41997"/>
    <cellStyle name="Percent 2 17 4" xfId="41998"/>
    <cellStyle name="Percent 2 17 5" xfId="41999"/>
    <cellStyle name="Percent 2 17 6" xfId="42000"/>
    <cellStyle name="Percent 2 18" xfId="42001"/>
    <cellStyle name="Percent 2 18 2" xfId="42002"/>
    <cellStyle name="Percent 2 18 3" xfId="42003"/>
    <cellStyle name="Percent 2 18 4" xfId="42004"/>
    <cellStyle name="Percent 2 18 5" xfId="42005"/>
    <cellStyle name="Percent 2 18 6" xfId="42006"/>
    <cellStyle name="Percent 2 19" xfId="42007"/>
    <cellStyle name="Percent 2 19 2" xfId="42008"/>
    <cellStyle name="Percent 2 19 3" xfId="42009"/>
    <cellStyle name="Percent 2 19 4" xfId="42010"/>
    <cellStyle name="Percent 2 19 5" xfId="42011"/>
    <cellStyle name="Percent 2 19 6" xfId="42012"/>
    <cellStyle name="Percent 2 2" xfId="42013"/>
    <cellStyle name="Percent 2 2 10" xfId="42014"/>
    <cellStyle name="Percent 2 2 11" xfId="42015"/>
    <cellStyle name="Percent 2 2 12" xfId="42016"/>
    <cellStyle name="Percent 2 2 13" xfId="42017"/>
    <cellStyle name="Percent 2 2 14" xfId="42018"/>
    <cellStyle name="Percent 2 2 15" xfId="42019"/>
    <cellStyle name="Percent 2 2 16" xfId="42020"/>
    <cellStyle name="Percent 2 2 17" xfId="42021"/>
    <cellStyle name="Percent 2 2 18" xfId="42022"/>
    <cellStyle name="Percent 2 2 19" xfId="42023"/>
    <cellStyle name="Percent 2 2 2" xfId="42024"/>
    <cellStyle name="Percent 2 2 20" xfId="42025"/>
    <cellStyle name="Percent 2 2 21" xfId="42026"/>
    <cellStyle name="Percent 2 2 22" xfId="42027"/>
    <cellStyle name="Percent 2 2 23" xfId="42028"/>
    <cellStyle name="Percent 2 2 24" xfId="42029"/>
    <cellStyle name="Percent 2 2 25" xfId="42030"/>
    <cellStyle name="Percent 2 2 26" xfId="42031"/>
    <cellStyle name="Percent 2 2 27" xfId="42032"/>
    <cellStyle name="Percent 2 2 28" xfId="42033"/>
    <cellStyle name="Percent 2 2 29" xfId="42034"/>
    <cellStyle name="Percent 2 2 3" xfId="42035"/>
    <cellStyle name="Percent 2 2 3 2" xfId="42036"/>
    <cellStyle name="Percent 2 2 30" xfId="42037"/>
    <cellStyle name="Percent 2 2 31" xfId="42038"/>
    <cellStyle name="Percent 2 2 32" xfId="42039"/>
    <cellStyle name="Percent 2 2 33" xfId="42040"/>
    <cellStyle name="Percent 2 2 34" xfId="42041"/>
    <cellStyle name="Percent 2 2 35" xfId="42042"/>
    <cellStyle name="Percent 2 2 36" xfId="42043"/>
    <cellStyle name="Percent 2 2 4" xfId="42044"/>
    <cellStyle name="Percent 2 2 4 2" xfId="42045"/>
    <cellStyle name="Percent 2 2 5" xfId="42046"/>
    <cellStyle name="Percent 2 2 5 2" xfId="42047"/>
    <cellStyle name="Percent 2 2 6" xfId="42048"/>
    <cellStyle name="Percent 2 2 6 2" xfId="42049"/>
    <cellStyle name="Percent 2 2 7" xfId="42050"/>
    <cellStyle name="Percent 2 2 7 2" xfId="42051"/>
    <cellStyle name="Percent 2 2 8" xfId="42052"/>
    <cellStyle name="Percent 2 2 8 2" xfId="42053"/>
    <cellStyle name="Percent 2 2 9" xfId="42054"/>
    <cellStyle name="Percent 2 20" xfId="42055"/>
    <cellStyle name="Percent 2 21" xfId="42056"/>
    <cellStyle name="Percent 2 22" xfId="42057"/>
    <cellStyle name="Percent 2 23" xfId="42058"/>
    <cellStyle name="Percent 2 24" xfId="42059"/>
    <cellStyle name="Percent 2 25" xfId="42060"/>
    <cellStyle name="Percent 2 3" xfId="42061"/>
    <cellStyle name="Percent 2 3 2" xfId="42062"/>
    <cellStyle name="Percent 2 3 3" xfId="42063"/>
    <cellStyle name="Percent 2 3 4" xfId="42064"/>
    <cellStyle name="Percent 2 3 5" xfId="42065"/>
    <cellStyle name="Percent 2 3 6" xfId="42066"/>
    <cellStyle name="Percent 2 4" xfId="42067"/>
    <cellStyle name="Percent 2 4 2" xfId="42068"/>
    <cellStyle name="Percent 2 4 3" xfId="42069"/>
    <cellStyle name="Percent 2 4 4" xfId="42070"/>
    <cellStyle name="Percent 2 4 5" xfId="42071"/>
    <cellStyle name="Percent 2 4 6" xfId="42072"/>
    <cellStyle name="Percent 2 4 7" xfId="42073"/>
    <cellStyle name="Percent 2 5" xfId="42074"/>
    <cellStyle name="Percent 2 5 2" xfId="42075"/>
    <cellStyle name="Percent 2 5 3" xfId="42076"/>
    <cellStyle name="Percent 2 5 4" xfId="42077"/>
    <cellStyle name="Percent 2 5 5" xfId="42078"/>
    <cellStyle name="Percent 2 5 6" xfId="42079"/>
    <cellStyle name="Percent 2 5 7" xfId="42080"/>
    <cellStyle name="Percent 2 6" xfId="42081"/>
    <cellStyle name="Percent 2 6 2" xfId="42082"/>
    <cellStyle name="Percent 2 6 3" xfId="42083"/>
    <cellStyle name="Percent 2 6 4" xfId="42084"/>
    <cellStyle name="Percent 2 6 5" xfId="42085"/>
    <cellStyle name="Percent 2 6 6" xfId="42086"/>
    <cellStyle name="Percent 2 6 7" xfId="42087"/>
    <cellStyle name="Percent 2 7" xfId="42088"/>
    <cellStyle name="Percent 2 7 2" xfId="42089"/>
    <cellStyle name="Percent 2 7 3" xfId="42090"/>
    <cellStyle name="Percent 2 7 4" xfId="42091"/>
    <cellStyle name="Percent 2 7 5" xfId="42092"/>
    <cellStyle name="Percent 2 7 6" xfId="42093"/>
    <cellStyle name="Percent 2 7 7" xfId="42094"/>
    <cellStyle name="Percent 2 8" xfId="42095"/>
    <cellStyle name="Percent 2 8 2" xfId="42096"/>
    <cellStyle name="Percent 2 8 3" xfId="42097"/>
    <cellStyle name="Percent 2 8 4" xfId="42098"/>
    <cellStyle name="Percent 2 8 5" xfId="42099"/>
    <cellStyle name="Percent 2 8 6" xfId="42100"/>
    <cellStyle name="Percent 2 8 7" xfId="42101"/>
    <cellStyle name="Percent 2 9" xfId="42102"/>
    <cellStyle name="Percent 2 9 2" xfId="42103"/>
    <cellStyle name="Percent 2 9 3" xfId="42104"/>
    <cellStyle name="Percent 2 9 4" xfId="42105"/>
    <cellStyle name="Percent 2 9 5" xfId="42106"/>
    <cellStyle name="Percent 2 9 6" xfId="42107"/>
    <cellStyle name="Percent 20" xfId="42108"/>
    <cellStyle name="Percent 21" xfId="42109"/>
    <cellStyle name="Percent 22" xfId="42110"/>
    <cellStyle name="Percent 23" xfId="42111"/>
    <cellStyle name="Percent 24" xfId="42112"/>
    <cellStyle name="Percent 25" xfId="42113"/>
    <cellStyle name="Percent 26" xfId="42114"/>
    <cellStyle name="Percent 27" xfId="42115"/>
    <cellStyle name="Percent 28" xfId="42116"/>
    <cellStyle name="Percent 29" xfId="42117"/>
    <cellStyle name="Percent 3" xfId="42118"/>
    <cellStyle name="Percent 3 2" xfId="42119"/>
    <cellStyle name="Percent 3 2 2" xfId="42120"/>
    <cellStyle name="Percent 3 3" xfId="42121"/>
    <cellStyle name="Percent 30" xfId="42122"/>
    <cellStyle name="Percent 31" xfId="42123"/>
    <cellStyle name="Percent 32" xfId="42124"/>
    <cellStyle name="Percent 33" xfId="42125"/>
    <cellStyle name="Percent 34" xfId="42126"/>
    <cellStyle name="Percent 35" xfId="42127"/>
    <cellStyle name="Percent 36" xfId="42128"/>
    <cellStyle name="Percent 37" xfId="42129"/>
    <cellStyle name="Percent 38" xfId="42130"/>
    <cellStyle name="Percent 39" xfId="42131"/>
    <cellStyle name="Percent 4" xfId="42132"/>
    <cellStyle name="Percent 4 10" xfId="42133"/>
    <cellStyle name="Percent 4 2" xfId="42134"/>
    <cellStyle name="Percent 4 2 2" xfId="42135"/>
    <cellStyle name="Percent 4 2 2 2" xfId="42136"/>
    <cellStyle name="Percent 4 2 2 2 2" xfId="42137"/>
    <cellStyle name="Percent 4 2 2 2 3" xfId="42138"/>
    <cellStyle name="Percent 4 2 2 3" xfId="42139"/>
    <cellStyle name="Percent 4 2 2 4" xfId="42140"/>
    <cellStyle name="Percent 4 2 2 5" xfId="42141"/>
    <cellStyle name="Percent 4 2 2 6" xfId="42142"/>
    <cellStyle name="Percent 4 2 3" xfId="42143"/>
    <cellStyle name="Percent 4 2 3 2" xfId="42144"/>
    <cellStyle name="Percent 4 2 3 2 2" xfId="42145"/>
    <cellStyle name="Percent 4 2 3 3" xfId="42146"/>
    <cellStyle name="Percent 4 2 3 4" xfId="42147"/>
    <cellStyle name="Percent 4 2 3 5" xfId="42148"/>
    <cellStyle name="Percent 4 2 4" xfId="42149"/>
    <cellStyle name="Percent 4 2 4 2" xfId="42150"/>
    <cellStyle name="Percent 4 2 4 3" xfId="42151"/>
    <cellStyle name="Percent 4 2 4 4" xfId="42152"/>
    <cellStyle name="Percent 4 2 5" xfId="42153"/>
    <cellStyle name="Percent 4 2 5 2" xfId="42154"/>
    <cellStyle name="Percent 4 2 6" xfId="42155"/>
    <cellStyle name="Percent 4 2 7" xfId="42156"/>
    <cellStyle name="Percent 4 2 8" xfId="42157"/>
    <cellStyle name="Percent 4 2 9" xfId="42158"/>
    <cellStyle name="Percent 4 3" xfId="42159"/>
    <cellStyle name="Percent 4 3 2" xfId="42160"/>
    <cellStyle name="Percent 4 3 2 2" xfId="42161"/>
    <cellStyle name="Percent 4 3 2 3" xfId="42162"/>
    <cellStyle name="Percent 4 3 3" xfId="42163"/>
    <cellStyle name="Percent 4 3 4" xfId="42164"/>
    <cellStyle name="Percent 4 3 5" xfId="42165"/>
    <cellStyle name="Percent 4 3 6" xfId="42166"/>
    <cellStyle name="Percent 4 4" xfId="42167"/>
    <cellStyle name="Percent 4 4 2" xfId="42168"/>
    <cellStyle name="Percent 4 4 2 2" xfId="42169"/>
    <cellStyle name="Percent 4 4 3" xfId="42170"/>
    <cellStyle name="Percent 4 4 4" xfId="42171"/>
    <cellStyle name="Percent 4 4 5" xfId="42172"/>
    <cellStyle name="Percent 4 4 6" xfId="42173"/>
    <cellStyle name="Percent 4 5" xfId="42174"/>
    <cellStyle name="Percent 4 5 2" xfId="42175"/>
    <cellStyle name="Percent 4 5 3" xfId="42176"/>
    <cellStyle name="Percent 4 5 4" xfId="42177"/>
    <cellStyle name="Percent 4 5 5" xfId="42178"/>
    <cellStyle name="Percent 4 6" xfId="42179"/>
    <cellStyle name="Percent 4 6 2" xfId="42180"/>
    <cellStyle name="Percent 4 7" xfId="42181"/>
    <cellStyle name="Percent 4 7 2" xfId="42182"/>
    <cellStyle name="Percent 4 8" xfId="42183"/>
    <cellStyle name="Percent 4 9" xfId="42184"/>
    <cellStyle name="Percent 40" xfId="42185"/>
    <cellStyle name="Percent 41" xfId="42186"/>
    <cellStyle name="Percent 42" xfId="42187"/>
    <cellStyle name="Percent 43" xfId="42188"/>
    <cellStyle name="Percent 44" xfId="42189"/>
    <cellStyle name="Percent 45" xfId="42190"/>
    <cellStyle name="Percent 46" xfId="42191"/>
    <cellStyle name="Percent 47" xfId="42192"/>
    <cellStyle name="Percent 48" xfId="42193"/>
    <cellStyle name="Percent 49" xfId="42194"/>
    <cellStyle name="Percent 5" xfId="42195"/>
    <cellStyle name="Percent 5 2" xfId="42196"/>
    <cellStyle name="Percent 5 2 2" xfId="42197"/>
    <cellStyle name="Percent 5 2 2 2" xfId="42198"/>
    <cellStyle name="Percent 5 2 2 3" xfId="42199"/>
    <cellStyle name="Percent 5 2 3" xfId="42200"/>
    <cellStyle name="Percent 5 2 4" xfId="42201"/>
    <cellStyle name="Percent 5 2 5" xfId="42202"/>
    <cellStyle name="Percent 5 2 6" xfId="42203"/>
    <cellStyle name="Percent 5 3" xfId="42204"/>
    <cellStyle name="Percent 5 3 2" xfId="42205"/>
    <cellStyle name="Percent 5 3 2 2" xfId="42206"/>
    <cellStyle name="Percent 5 3 3" xfId="42207"/>
    <cellStyle name="Percent 5 3 4" xfId="42208"/>
    <cellStyle name="Percent 5 3 5" xfId="42209"/>
    <cellStyle name="Percent 5 4" xfId="42210"/>
    <cellStyle name="Percent 5 4 2" xfId="42211"/>
    <cellStyle name="Percent 5 4 3" xfId="42212"/>
    <cellStyle name="Percent 5 4 4" xfId="42213"/>
    <cellStyle name="Percent 5 5" xfId="42214"/>
    <cellStyle name="Percent 5 5 2" xfId="42215"/>
    <cellStyle name="Percent 5 6" xfId="42216"/>
    <cellStyle name="Percent 5 7" xfId="42217"/>
    <cellStyle name="Percent 5 8" xfId="42218"/>
    <cellStyle name="Percent 5 9" xfId="42219"/>
    <cellStyle name="Percent 50" xfId="42220"/>
    <cellStyle name="Percent 51" xfId="42221"/>
    <cellStyle name="Percent 52" xfId="42327"/>
    <cellStyle name="Percent 53" xfId="42328"/>
    <cellStyle name="Percent 6" xfId="42222"/>
    <cellStyle name="Percent 6 2" xfId="42223"/>
    <cellStyle name="Percent 6 2 2" xfId="42224"/>
    <cellStyle name="Percent 6 2 2 2" xfId="42225"/>
    <cellStyle name="Percent 6 2 3" xfId="42226"/>
    <cellStyle name="Percent 6 2 4" xfId="42227"/>
    <cellStyle name="Percent 6 2 5" xfId="42228"/>
    <cellStyle name="Percent 6 3" xfId="42229"/>
    <cellStyle name="Percent 6 3 2" xfId="42230"/>
    <cellStyle name="Percent 6 3 3" xfId="42231"/>
    <cellStyle name="Percent 6 3 4" xfId="42232"/>
    <cellStyle name="Percent 6 4" xfId="42233"/>
    <cellStyle name="Percent 6 4 2" xfId="42234"/>
    <cellStyle name="Percent 6 5" xfId="42235"/>
    <cellStyle name="Percent 6 6" xfId="42236"/>
    <cellStyle name="Percent 6 7" xfId="42237"/>
    <cellStyle name="Percent 6 8" xfId="42238"/>
    <cellStyle name="Percent 7" xfId="42239"/>
    <cellStyle name="Percent 7 2" xfId="42240"/>
    <cellStyle name="Percent 7 2 2" xfId="42241"/>
    <cellStyle name="Percent 7 2 2 2" xfId="42242"/>
    <cellStyle name="Percent 7 2 3" xfId="42243"/>
    <cellStyle name="Percent 7 2 4" xfId="42244"/>
    <cellStyle name="Percent 7 2 5" xfId="42245"/>
    <cellStyle name="Percent 7 3" xfId="42246"/>
    <cellStyle name="Percent 7 3 2" xfId="42247"/>
    <cellStyle name="Percent 7 3 3" xfId="42248"/>
    <cellStyle name="Percent 7 3 4" xfId="42249"/>
    <cellStyle name="Percent 7 4" xfId="42250"/>
    <cellStyle name="Percent 7 4 2" xfId="42251"/>
    <cellStyle name="Percent 7 5" xfId="42252"/>
    <cellStyle name="Percent 7 6" xfId="42253"/>
    <cellStyle name="Percent 7 7" xfId="42254"/>
    <cellStyle name="Percent 7 8" xfId="42255"/>
    <cellStyle name="Percent 8" xfId="42256"/>
    <cellStyle name="Percent 8 2" xfId="42257"/>
    <cellStyle name="Percent 8 2 2" xfId="42258"/>
    <cellStyle name="Percent 8 2 3" xfId="42259"/>
    <cellStyle name="Percent 8 2 4" xfId="42260"/>
    <cellStyle name="Percent 8 3" xfId="42261"/>
    <cellStyle name="Percent 8 3 2" xfId="42262"/>
    <cellStyle name="Percent 8 4" xfId="42263"/>
    <cellStyle name="Percent 8 5" xfId="42264"/>
    <cellStyle name="Percent 8 6" xfId="42265"/>
    <cellStyle name="Percent 8 7" xfId="42266"/>
    <cellStyle name="Percent 9" xfId="42267"/>
    <cellStyle name="Percent 9 2" xfId="42268"/>
    <cellStyle name="Percent 9 2 2" xfId="42269"/>
    <cellStyle name="Percent 9 2 3" xfId="42270"/>
    <cellStyle name="Percent 9 2 4" xfId="42271"/>
    <cellStyle name="Percent 9 3" xfId="42272"/>
    <cellStyle name="Percent 9 3 2" xfId="42273"/>
    <cellStyle name="Percent 9 4" xfId="42274"/>
    <cellStyle name="Percent 9 5" xfId="42275"/>
    <cellStyle name="Percent 9 6" xfId="42276"/>
    <cellStyle name="PSChar" xfId="42277"/>
    <cellStyle name="PSDate" xfId="42278"/>
    <cellStyle name="PSDec" xfId="42279"/>
    <cellStyle name="PSdesc" xfId="42280"/>
    <cellStyle name="PSHeading" xfId="42281"/>
    <cellStyle name="PSInt" xfId="42282"/>
    <cellStyle name="PSSpacer" xfId="42283"/>
    <cellStyle name="PStest" xfId="42284"/>
    <cellStyle name="R00A" xfId="42285"/>
    <cellStyle name="R00B" xfId="42286"/>
    <cellStyle name="R00L" xfId="42287"/>
    <cellStyle name="R01A" xfId="42288"/>
    <cellStyle name="R01B" xfId="42289"/>
    <cellStyle name="R01H" xfId="42290"/>
    <cellStyle name="R01L" xfId="42291"/>
    <cellStyle name="R02A" xfId="42292"/>
    <cellStyle name="R02B" xfId="42293"/>
    <cellStyle name="R02H" xfId="42294"/>
    <cellStyle name="R02L" xfId="42295"/>
    <cellStyle name="R03A" xfId="42296"/>
    <cellStyle name="R03B" xfId="42297"/>
    <cellStyle name="R03H" xfId="42298"/>
    <cellStyle name="R03L" xfId="42299"/>
    <cellStyle name="R04A" xfId="42300"/>
    <cellStyle name="R04B" xfId="42301"/>
    <cellStyle name="R04H" xfId="42302"/>
    <cellStyle name="R04L" xfId="42303"/>
    <cellStyle name="R05A" xfId="42304"/>
    <cellStyle name="R05B" xfId="42305"/>
    <cellStyle name="R05H" xfId="42306"/>
    <cellStyle name="R05L" xfId="42307"/>
    <cellStyle name="R06A" xfId="42308"/>
    <cellStyle name="R06B" xfId="42309"/>
    <cellStyle name="R06H" xfId="42310"/>
    <cellStyle name="R06L" xfId="42311"/>
    <cellStyle name="R07A" xfId="42312"/>
    <cellStyle name="R07B" xfId="42313"/>
    <cellStyle name="R07H" xfId="42314"/>
    <cellStyle name="R07L" xfId="42315"/>
    <cellStyle name="Staff_Days" xfId="42316"/>
    <cellStyle name="STYL1 - Style1" xfId="42317"/>
    <cellStyle name="Total 2" xfId="42318"/>
  </cellStyles>
  <dxfs count="49">
    <dxf>
      <font>
        <strike val="0"/>
        <outline val="0"/>
        <shadow val="0"/>
        <u val="none"/>
        <vertAlign val="baseline"/>
        <sz val="10"/>
        <color auto="1"/>
        <name val="Calibri"/>
        <scheme val="none"/>
      </font>
    </dxf>
    <dxf>
      <font>
        <strike val="0"/>
        <outline val="0"/>
        <shadow val="0"/>
        <u val="none"/>
        <vertAlign val="baseline"/>
        <sz val="10"/>
        <color auto="1"/>
        <name val="Calibri"/>
        <scheme val="none"/>
      </font>
      <fill>
        <patternFill patternType="none">
          <fgColor rgb="FF000000"/>
          <bgColor rgb="FFFFFFFF"/>
        </patternFill>
      </fill>
    </dxf>
    <dxf>
      <font>
        <strike val="0"/>
        <outline val="0"/>
        <shadow val="0"/>
        <u val="none"/>
        <vertAlign val="baseline"/>
        <sz val="10"/>
        <color auto="1"/>
        <name val="Calibri"/>
        <scheme val="none"/>
      </font>
      <alignment horizontal="left" vertical="top" textRotation="0" wrapText="0" indent="0" justifyLastLine="0" shrinkToFit="0" readingOrder="0"/>
    </dxf>
    <dxf>
      <font>
        <strike val="0"/>
        <outline val="0"/>
        <shadow val="0"/>
        <u val="none"/>
        <vertAlign val="baseline"/>
        <sz val="10"/>
        <color auto="1"/>
        <name val="Calibri"/>
        <scheme val="none"/>
      </font>
      <alignment horizontal="left" vertical="top" textRotation="0" wrapText="0" indent="0" justifyLastLine="0" shrinkToFit="0" readingOrder="0"/>
    </dxf>
    <dxf>
      <font>
        <strike val="0"/>
        <outline val="0"/>
        <shadow val="0"/>
        <u val="none"/>
        <vertAlign val="baseline"/>
        <sz val="10"/>
        <color auto="1"/>
        <name val="Calibri"/>
        <scheme val="none"/>
      </font>
    </dxf>
    <dxf>
      <font>
        <b/>
        <i val="0"/>
        <strike val="0"/>
        <condense val="0"/>
        <extend val="0"/>
        <outline val="0"/>
        <shadow val="0"/>
        <u val="none"/>
        <vertAlign val="baseline"/>
        <sz val="10"/>
        <color auto="1"/>
        <name val="Calibri"/>
        <scheme val="none"/>
      </font>
      <alignment horizontal="center" vertical="bottom" textRotation="0" indent="0" justifyLastLine="0" shrinkToFit="0" readingOrder="1"/>
    </dxf>
    <dxf>
      <font>
        <b val="0"/>
        <i val="0"/>
        <strike val="0"/>
        <condense val="0"/>
        <extend val="0"/>
        <outline val="0"/>
        <shadow val="0"/>
        <u val="none"/>
        <vertAlign val="baseline"/>
        <sz val="11"/>
        <color theme="1"/>
        <name val="Calibri"/>
        <scheme val="none"/>
      </font>
      <fill>
        <patternFill patternType="none">
          <fgColor indexed="64"/>
          <bgColor indexed="65"/>
        </patternFill>
      </fill>
      <border diagonalUp="0" diagonalDown="0" outline="0">
        <left/>
        <right style="medium">
          <color indexed="64"/>
        </right>
        <top/>
        <bottom/>
      </border>
    </dxf>
    <dxf>
      <alignment horizontal="general" textRotation="0" wrapText="1" indent="0" justifyLastLine="0" shrinkToFit="0" readingOrder="0"/>
      <border diagonalUp="0" diagonalDown="0">
        <left/>
        <right style="medium">
          <color rgb="FF000000"/>
        </right>
        <top style="thin">
          <color auto="1"/>
        </top>
        <bottom style="thin">
          <color auto="1"/>
        </bottom>
        <vertical/>
        <horizontal style="thin">
          <color auto="1"/>
        </horizontal>
      </border>
    </dxf>
    <dxf>
      <font>
        <b val="0"/>
        <i val="0"/>
        <strike val="0"/>
        <condense val="0"/>
        <extend val="0"/>
        <outline val="0"/>
        <shadow val="0"/>
        <u val="none"/>
        <vertAlign val="baseline"/>
        <sz val="11"/>
        <color rgb="FF000000"/>
        <name val="Calibri"/>
        <scheme val="none"/>
      </font>
      <numFmt numFmtId="167" formatCode="_(&quot;$&quot;* #,##0_);_(&quot;$&quot;* \(#,##0\);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rgb="FF000000"/>
        <name val="Calibri"/>
        <scheme val="none"/>
      </font>
      <numFmt numFmtId="167" formatCode="_(&quot;$&quot;* #,##0_);_(&quot;$&quot;* \(#,##0\);_(&quot;$&quot;* &quot;-&quot;??_);_(@_)"/>
      <fill>
        <patternFill patternType="none">
          <fgColor rgb="FF000000"/>
          <bgColor rgb="FFFFFFFF"/>
        </patternFill>
      </fill>
      <alignment vertical="top" textRotation="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top" textRotation="0" wrapText="0" indent="0" justifyLastLine="0" shrinkToFit="0" readingOrder="0"/>
      <border diagonalUp="0" diagonalDown="0" outline="0">
        <left/>
        <right/>
        <top/>
        <bottom/>
      </border>
    </dxf>
    <dxf>
      <fill>
        <patternFill patternType="none">
          <fgColor rgb="FF000000"/>
          <bgColor rgb="FFFFFFFF"/>
        </patternFill>
      </fill>
      <alignment horizontal="center" vertical="top"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Calibri"/>
        <scheme val="none"/>
      </font>
      <fill>
        <patternFill patternType="none">
          <fgColor indexed="64"/>
          <bgColor indexed="65"/>
        </patternFill>
      </fill>
      <border diagonalUp="0" diagonalDown="0" outline="0">
        <left/>
        <right/>
        <top/>
        <bottom/>
      </border>
    </dxf>
    <dxf>
      <fill>
        <patternFill patternType="none">
          <fgColor rgb="FF000000"/>
          <bgColor rgb="FFFFFFFF"/>
        </patternFill>
      </fill>
      <alignment vertical="top" textRotation="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alignment horizontal="left" vertical="top"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ill>
        <patternFill patternType="none">
          <fgColor rgb="FF000000"/>
          <bgColor rgb="FFFFFFFF"/>
        </patternFill>
      </fill>
      <alignment horizontal="left" vertical="top"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Calibri"/>
        <scheme val="none"/>
      </font>
      <fill>
        <patternFill patternType="none">
          <fgColor indexed="64"/>
          <bgColor indexed="65"/>
        </patternFill>
      </fill>
      <border diagonalUp="0" diagonalDown="0" outline="0">
        <left/>
        <right/>
        <top/>
        <bottom/>
      </border>
    </dxf>
    <dxf>
      <alignment vertical="top" textRotation="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Calibri"/>
        <scheme val="none"/>
      </font>
      <fill>
        <patternFill patternType="none">
          <fgColor indexed="64"/>
          <bgColor indexed="65"/>
        </patternFill>
      </fill>
      <border diagonalUp="0" diagonalDown="0" outline="0">
        <left/>
        <right/>
        <top/>
        <bottom/>
      </border>
    </dxf>
    <dxf>
      <alignment vertical="top" textRotation="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rgb="FF000000"/>
        <name val="Calibri"/>
        <scheme val="none"/>
      </font>
      <numFmt numFmtId="167" formatCode="_(&quot;$&quot;* #,##0_);_(&quot;$&quot;* \(#,##0\);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rgb="FF000000"/>
        <name val="Calibri"/>
        <scheme val="none"/>
      </font>
      <numFmt numFmtId="167" formatCode="_(&quot;$&quot;* #,##0_);_(&quot;$&quot;* \(#,##0\);_(&quot;$&quot;* &quot;-&quot;??_);_(@_)"/>
      <fill>
        <patternFill patternType="none">
          <fgColor rgb="FF000000"/>
          <bgColor rgb="FFFFFFFF"/>
        </patternFill>
      </fill>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top" textRotation="0" wrapText="0" indent="0" justifyLastLine="0" shrinkToFit="0" readingOrder="0"/>
      <border diagonalUp="0" diagonalDown="0" outline="0">
        <left/>
        <right/>
        <top/>
        <bottom/>
      </border>
    </dxf>
    <dxf>
      <alignment horizontal="center" vertical="top"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Calibri"/>
        <scheme val="none"/>
      </font>
      <fill>
        <patternFill patternType="none">
          <fgColor indexed="64"/>
          <bgColor indexed="65"/>
        </patternFill>
      </fill>
      <border diagonalUp="0" diagonalDown="0" outline="0">
        <left/>
        <right/>
        <top/>
        <bottom/>
      </border>
    </dxf>
    <dxf>
      <fill>
        <patternFill patternType="none">
          <fgColor rgb="FF000000"/>
          <bgColor rgb="FFFFFFFF"/>
        </patternFill>
      </fill>
      <alignment horizontal="general" vertical="top" textRotation="0" wrapText="1"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alignment horizontal="left" vertical="top" textRotation="0" wrapText="1"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left" vertical="top" textRotation="0" wrapText="0" indent="0" justifyLastLine="0" shrinkToFit="0" readingOrder="0"/>
      <border diagonalUp="0" diagonalDown="0" outline="0">
        <left style="medium">
          <color indexed="64"/>
        </left>
        <right/>
        <top/>
        <bottom/>
      </border>
    </dxf>
    <dxf>
      <fill>
        <patternFill patternType="none">
          <fgColor rgb="FF000000"/>
          <bgColor rgb="FFFFFFFF"/>
        </patternFill>
      </fill>
      <alignment horizontal="center" vertical="top" textRotation="0" wrapText="0" indent="0" justifyLastLine="0" shrinkToFit="0" readingOrder="1"/>
      <border diagonalUp="0" diagonalDown="0">
        <left style="medium">
          <color rgb="FF00000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alignment horizontal="left" vertical="top" textRotation="0" wrapText="0" indent="0" justifyLastLine="0" shrinkToFit="0" readingOrder="0"/>
    </dxf>
    <dxf>
      <font>
        <b/>
        <i val="0"/>
        <strike val="0"/>
        <condense val="0"/>
        <extend val="0"/>
        <outline val="0"/>
        <shadow val="0"/>
        <u val="none"/>
        <vertAlign val="baseline"/>
        <sz val="11"/>
        <color rgb="FF000000"/>
        <name val="Calibri"/>
        <scheme val="none"/>
      </font>
      <alignment horizontal="center" vertical="center" textRotation="0" wrapText="1" indent="0" justifyLastLine="0" shrinkToFit="0" readingOrder="1"/>
    </dxf>
    <dxf>
      <fill>
        <patternFill patternType="solid">
          <fgColor rgb="FFD9D9D9"/>
          <bgColor rgb="FFD9D9D9"/>
        </patternFill>
      </fill>
    </dxf>
    <dxf>
      <fill>
        <patternFill patternType="solid">
          <fgColor rgb="FFD9D9D9"/>
          <bgColor rgb="FFD9D9D9"/>
        </patternFill>
      </fill>
    </dxf>
    <dxf>
      <font>
        <b/>
        <color rgb="FF000000"/>
      </font>
    </dxf>
    <dxf>
      <font>
        <b/>
        <color rgb="FF000000"/>
      </font>
    </dxf>
    <dxf>
      <font>
        <b/>
        <color rgb="FF000000"/>
      </font>
      <border>
        <top style="thin">
          <color rgb="FF000000"/>
        </top>
      </border>
    </dxf>
    <dxf>
      <font>
        <b/>
        <color rgb="FF000000"/>
      </font>
      <border>
        <bottom style="thin">
          <color rgb="FF000000"/>
        </bottom>
      </border>
    </dxf>
    <dxf>
      <font>
        <color rgb="FF000000"/>
      </font>
      <border>
        <top style="thin">
          <color rgb="FF000000"/>
        </top>
        <bottom style="thin">
          <color rgb="FF000000"/>
        </bottom>
      </border>
    </dxf>
    <dxf>
      <fill>
        <patternFill patternType="solid">
          <fgColor rgb="FFD9D9D9"/>
          <bgColor rgb="FFD9D9D9"/>
        </patternFill>
      </fill>
    </dxf>
    <dxf>
      <fill>
        <patternFill patternType="solid">
          <fgColor rgb="FFD9D9D9"/>
          <bgColor rgb="FFD9D9D9"/>
        </patternFill>
      </fill>
    </dxf>
    <dxf>
      <font>
        <b/>
        <color rgb="FF000000"/>
      </font>
    </dxf>
    <dxf>
      <font>
        <b/>
        <color rgb="FF000000"/>
      </font>
    </dxf>
    <dxf>
      <font>
        <b/>
        <color rgb="FF000000"/>
      </font>
      <border>
        <top style="thin">
          <color rgb="FF000000"/>
        </top>
      </border>
    </dxf>
    <dxf>
      <font>
        <b/>
        <color rgb="FF000000"/>
      </font>
      <border>
        <bottom style="thin">
          <color rgb="FF000000"/>
        </bottom>
      </border>
    </dxf>
    <dxf>
      <font>
        <color rgb="FF000000"/>
      </font>
      <border>
        <top style="thin">
          <color rgb="FF000000"/>
        </top>
        <bottom style="thin">
          <color rgb="FF000000"/>
        </bottom>
      </border>
    </dxf>
  </dxfs>
  <tableStyles count="2" defaultTableStyle="TableStyleMedium2" defaultPivotStyle="PivotStyleLight16">
    <tableStyle name="TableStyleLight1 2" pivot="0" count="7">
      <tableStyleElement type="wholeTable" dxfId="48"/>
      <tableStyleElement type="headerRow" dxfId="47"/>
      <tableStyleElement type="totalRow" dxfId="46"/>
      <tableStyleElement type="firstColumn" dxfId="45"/>
      <tableStyleElement type="lastColumn" dxfId="44"/>
      <tableStyleElement type="firstRowStripe" dxfId="43"/>
      <tableStyleElement type="firstColumnStripe" dxfId="42"/>
    </tableStyle>
    <tableStyle name="TableStyleLight1 3" pivot="0" count="7">
      <tableStyleElement type="wholeTable" dxfId="41"/>
      <tableStyleElement type="headerRow" dxfId="40"/>
      <tableStyleElement type="totalRow" dxfId="39"/>
      <tableStyleElement type="firstColumn" dxfId="38"/>
      <tableStyleElement type="lastColumn" dxfId="37"/>
      <tableStyleElement type="firstRowStripe" dxfId="36"/>
      <tableStyleElement type="firstColumnStripe" dxfId="35"/>
    </tableStyle>
  </tableStyles>
  <colors>
    <mruColors>
      <color rgb="FFF2F3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1379878</xdr:colOff>
      <xdr:row>1</xdr:row>
      <xdr:rowOff>274204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769787" cy="85436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Rates\Transmission\Rate17\Draft%20Data\2017%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s"/>
      <sheetName val="Input Sheet"/>
      <sheetName val="WAUGP-ATRR 2017 est"/>
      <sheetName val="WAUGP-ATRR 2016 est"/>
      <sheetName val="WAUGP-AS1 2016 est"/>
      <sheetName val="2017 EST COST DATA"/>
      <sheetName val="2016 EST COST DATA"/>
      <sheetName val="2017 est ANNUAL COSTS"/>
      <sheetName val="2016 est ANNUAL COSTS"/>
      <sheetName val="WAUW-AS3 2016 est"/>
      <sheetName val="WAUW-AS5&amp;6 2016 est"/>
      <sheetName val="WAUGP-ATRR 2014 trueup"/>
      <sheetName val="2014 COST DATA"/>
      <sheetName val="2014 ANNUAL COSTS"/>
    </sheetNames>
    <sheetDataSet>
      <sheetData sheetId="0"/>
      <sheetData sheetId="1">
        <row r="10">
          <cell r="B10">
            <v>36446</v>
          </cell>
          <cell r="C10">
            <v>36446</v>
          </cell>
          <cell r="H10">
            <v>19518</v>
          </cell>
        </row>
        <row r="11">
          <cell r="B11">
            <v>1477725</v>
          </cell>
          <cell r="C11">
            <v>1477725</v>
          </cell>
          <cell r="H11">
            <v>14045822</v>
          </cell>
        </row>
        <row r="12">
          <cell r="B12">
            <v>631106</v>
          </cell>
          <cell r="C12">
            <v>631106</v>
          </cell>
          <cell r="H12">
            <v>705389</v>
          </cell>
        </row>
        <row r="13">
          <cell r="B13">
            <v>12218939.656750757</v>
          </cell>
          <cell r="H13">
            <v>78665</v>
          </cell>
        </row>
        <row r="14">
          <cell r="B14">
            <v>54722</v>
          </cell>
          <cell r="C14">
            <v>54722</v>
          </cell>
          <cell r="H14">
            <v>54722</v>
          </cell>
        </row>
        <row r="16">
          <cell r="B16">
            <v>1320408389</v>
          </cell>
          <cell r="C16">
            <v>1271619754.5999999</v>
          </cell>
          <cell r="E16">
            <v>1259335245.5699999</v>
          </cell>
          <cell r="H16">
            <v>1208578728.3</v>
          </cell>
        </row>
        <row r="17">
          <cell r="B17">
            <v>1261843814</v>
          </cell>
          <cell r="C17">
            <v>1216615343</v>
          </cell>
          <cell r="H17">
            <v>1155400813</v>
          </cell>
        </row>
        <row r="19">
          <cell r="B19">
            <v>17420758</v>
          </cell>
          <cell r="C19">
            <v>15837128</v>
          </cell>
          <cell r="H19">
            <v>19462856</v>
          </cell>
        </row>
        <row r="21">
          <cell r="C21">
            <v>12032491</v>
          </cell>
          <cell r="H21">
            <v>0</v>
          </cell>
        </row>
        <row r="22">
          <cell r="C22">
            <v>9.462334126591903E-3</v>
          </cell>
        </row>
        <row r="23">
          <cell r="B23">
            <v>731311606.12</v>
          </cell>
          <cell r="C23">
            <v>731311606.12</v>
          </cell>
          <cell r="E23">
            <v>769708740.99000001</v>
          </cell>
          <cell r="H23">
            <v>731311606.12</v>
          </cell>
        </row>
        <row r="24">
          <cell r="B24">
            <v>6787727</v>
          </cell>
          <cell r="C24">
            <v>6787727</v>
          </cell>
          <cell r="H24">
            <v>6787727</v>
          </cell>
        </row>
        <row r="26">
          <cell r="B26">
            <v>1076325959</v>
          </cell>
          <cell r="C26">
            <v>1076325959</v>
          </cell>
          <cell r="H26">
            <v>1051321559</v>
          </cell>
        </row>
        <row r="27">
          <cell r="B27">
            <v>77728064</v>
          </cell>
          <cell r="C27">
            <v>77728064</v>
          </cell>
          <cell r="H27">
            <v>75922344</v>
          </cell>
        </row>
        <row r="29">
          <cell r="B29">
            <v>998597895</v>
          </cell>
          <cell r="C29">
            <v>998597895</v>
          </cell>
          <cell r="H29">
            <v>975399215</v>
          </cell>
        </row>
        <row r="31">
          <cell r="C31">
            <v>491725677.06</v>
          </cell>
          <cell r="H31">
            <v>486857106</v>
          </cell>
        </row>
        <row r="34">
          <cell r="B34">
            <v>620615508.12180007</v>
          </cell>
          <cell r="C34">
            <v>596018441.56920004</v>
          </cell>
          <cell r="H34">
            <v>584331805.46000004</v>
          </cell>
        </row>
        <row r="35">
          <cell r="B35">
            <v>593089112.6714586</v>
          </cell>
          <cell r="C35">
            <v>570237429.94000018</v>
          </cell>
          <cell r="H35">
            <v>558620987.84404182</v>
          </cell>
        </row>
        <row r="36">
          <cell r="B36">
            <v>8188067.1677835826</v>
          </cell>
          <cell r="C36">
            <v>7422989.7069042772</v>
          </cell>
          <cell r="H36">
            <v>9410033.0574947745</v>
          </cell>
        </row>
        <row r="37">
          <cell r="C37">
            <v>348904431.75</v>
          </cell>
          <cell r="H37">
            <v>332289935</v>
          </cell>
        </row>
        <row r="38">
          <cell r="B38">
            <v>3238384.3111338862</v>
          </cell>
          <cell r="C38">
            <v>3238384.3111338862</v>
          </cell>
          <cell r="H38">
            <v>3084175.534413225</v>
          </cell>
        </row>
        <row r="39">
          <cell r="C39">
            <v>576882670.61000001</v>
          </cell>
          <cell r="H39">
            <v>571170961</v>
          </cell>
        </row>
        <row r="40">
          <cell r="B40">
            <v>41660217.11798647</v>
          </cell>
          <cell r="C40">
            <v>41660217.11798647</v>
          </cell>
          <cell r="H40">
            <v>41247739.868571058</v>
          </cell>
        </row>
        <row r="41">
          <cell r="B41">
            <v>535222453.49201357</v>
          </cell>
          <cell r="C41">
            <v>535222453.49201357</v>
          </cell>
          <cell r="H41">
            <v>529923221.13142896</v>
          </cell>
        </row>
        <row r="42">
          <cell r="C42">
            <v>284079389.22000003</v>
          </cell>
          <cell r="H42">
            <v>281266722</v>
          </cell>
        </row>
        <row r="45">
          <cell r="E45">
            <v>13806658.880000001</v>
          </cell>
          <cell r="H45">
            <v>16325050.879999999</v>
          </cell>
        </row>
        <row r="46">
          <cell r="E46">
            <v>43855008.659999996</v>
          </cell>
          <cell r="H46">
            <v>28647597.799999997</v>
          </cell>
        </row>
        <row r="47">
          <cell r="E47">
            <v>407652.33000000007</v>
          </cell>
          <cell r="H47">
            <v>-3678423.6999999997</v>
          </cell>
        </row>
        <row r="48">
          <cell r="E48">
            <v>-7312802.5499999998</v>
          </cell>
          <cell r="H48">
            <v>-6812692.6100000003</v>
          </cell>
        </row>
        <row r="62">
          <cell r="E62">
            <v>162400988.81</v>
          </cell>
          <cell r="H62">
            <v>225876455.60000002</v>
          </cell>
        </row>
        <row r="63">
          <cell r="B63">
            <v>74400847</v>
          </cell>
          <cell r="C63">
            <v>74400847</v>
          </cell>
        </row>
        <row r="64">
          <cell r="E64">
            <v>79813714.99000001</v>
          </cell>
          <cell r="H64">
            <v>148036053.61999997</v>
          </cell>
        </row>
        <row r="65">
          <cell r="B65">
            <v>21354718</v>
          </cell>
          <cell r="C65">
            <v>21354718</v>
          </cell>
          <cell r="E65">
            <v>18484518.189999998</v>
          </cell>
          <cell r="H65">
            <v>17827991.390000001</v>
          </cell>
        </row>
        <row r="66">
          <cell r="E66">
            <v>108958.7</v>
          </cell>
          <cell r="H66">
            <v>62878.86</v>
          </cell>
        </row>
        <row r="67">
          <cell r="B67">
            <v>3055493.0595000004</v>
          </cell>
          <cell r="C67">
            <v>3055493.0595000004</v>
          </cell>
          <cell r="H67">
            <v>2909993.39</v>
          </cell>
        </row>
        <row r="68">
          <cell r="B68">
            <v>1617763.4760000003</v>
          </cell>
          <cell r="C68">
            <v>1617763.4760000003</v>
          </cell>
          <cell r="H68">
            <v>1540727.12</v>
          </cell>
        </row>
        <row r="69">
          <cell r="B69">
            <v>745224.9</v>
          </cell>
          <cell r="C69">
            <v>745224.9</v>
          </cell>
          <cell r="E69">
            <v>853246</v>
          </cell>
          <cell r="H69">
            <v>709738</v>
          </cell>
        </row>
        <row r="70">
          <cell r="B70">
            <v>112918.05</v>
          </cell>
          <cell r="C70">
            <v>112918.05</v>
          </cell>
          <cell r="E70">
            <v>127283</v>
          </cell>
          <cell r="H70">
            <v>107541</v>
          </cell>
        </row>
        <row r="71">
          <cell r="C71">
            <v>11144767.15</v>
          </cell>
          <cell r="H71">
            <v>0</v>
          </cell>
        </row>
        <row r="72">
          <cell r="E72">
            <v>81712242.549999997</v>
          </cell>
          <cell r="H72">
            <v>81373593.269999996</v>
          </cell>
        </row>
        <row r="73">
          <cell r="B73">
            <v>41561328.826499991</v>
          </cell>
          <cell r="C73">
            <v>41561328.826499991</v>
          </cell>
          <cell r="H73">
            <v>39582217.929999992</v>
          </cell>
        </row>
        <row r="74">
          <cell r="E74">
            <v>30937673.59</v>
          </cell>
          <cell r="H74">
            <v>33030357.559999999</v>
          </cell>
        </row>
        <row r="75">
          <cell r="B75">
            <v>9568082.7690000013</v>
          </cell>
          <cell r="C75">
            <v>9568082.7690000013</v>
          </cell>
          <cell r="E75">
            <v>10413957.180000002</v>
          </cell>
          <cell r="H75">
            <v>9112459.7800000012</v>
          </cell>
        </row>
        <row r="76">
          <cell r="H76">
            <v>985351.34</v>
          </cell>
        </row>
        <row r="77">
          <cell r="H77">
            <v>779447.25</v>
          </cell>
        </row>
        <row r="78">
          <cell r="B78">
            <v>302979.60000000003</v>
          </cell>
          <cell r="C78">
            <v>302979.60000000003</v>
          </cell>
          <cell r="E78">
            <v>370056</v>
          </cell>
          <cell r="H78">
            <v>288552</v>
          </cell>
        </row>
        <row r="79">
          <cell r="B79">
            <v>66034.5</v>
          </cell>
          <cell r="C79">
            <v>66034.5</v>
          </cell>
          <cell r="E79">
            <v>81763</v>
          </cell>
          <cell r="H79">
            <v>62890</v>
          </cell>
        </row>
        <row r="80">
          <cell r="B80">
            <v>60797463.300000004</v>
          </cell>
          <cell r="C80">
            <v>60797463.300000004</v>
          </cell>
          <cell r="H80">
            <v>57902346</v>
          </cell>
        </row>
        <row r="81">
          <cell r="B81">
            <v>37470002.314500004</v>
          </cell>
          <cell r="C81">
            <v>37470002.314500004</v>
          </cell>
          <cell r="H81">
            <v>35685716.490000002</v>
          </cell>
        </row>
        <row r="84">
          <cell r="B84">
            <v>31616079.600000001</v>
          </cell>
          <cell r="C84">
            <v>29969158.338</v>
          </cell>
          <cell r="H84">
            <v>28542055.559999999</v>
          </cell>
        </row>
        <row r="85">
          <cell r="B85">
            <v>19144594.9485</v>
          </cell>
          <cell r="C85">
            <v>17512941.673500001</v>
          </cell>
          <cell r="H85">
            <v>16678992.07</v>
          </cell>
        </row>
        <row r="86">
          <cell r="B86">
            <v>14613452.700000001</v>
          </cell>
          <cell r="C86">
            <v>12464665.5</v>
          </cell>
          <cell r="H86">
            <v>11871110</v>
          </cell>
        </row>
        <row r="87">
          <cell r="C87">
            <v>3681278.7795000002</v>
          </cell>
          <cell r="H87">
            <v>3505979.79</v>
          </cell>
        </row>
        <row r="90">
          <cell r="C90">
            <v>849651714.45000005</v>
          </cell>
          <cell r="H90">
            <v>809192109</v>
          </cell>
        </row>
        <row r="91">
          <cell r="C91">
            <v>42367706.850000001</v>
          </cell>
          <cell r="H91">
            <v>40350197</v>
          </cell>
        </row>
        <row r="92">
          <cell r="C92">
            <v>472276837.20000005</v>
          </cell>
          <cell r="H92">
            <v>449787464</v>
          </cell>
        </row>
        <row r="93">
          <cell r="C93">
            <v>29185244.550000001</v>
          </cell>
          <cell r="H93">
            <v>27795471</v>
          </cell>
        </row>
        <row r="94">
          <cell r="C94">
            <v>591723840.75</v>
          </cell>
          <cell r="H94">
            <v>563546515</v>
          </cell>
        </row>
        <row r="95">
          <cell r="C95">
            <v>19448443.350000001</v>
          </cell>
          <cell r="H95">
            <v>18522327</v>
          </cell>
        </row>
        <row r="96">
          <cell r="C96">
            <v>166749706.20000002</v>
          </cell>
          <cell r="H96">
            <v>158809244</v>
          </cell>
        </row>
        <row r="97">
          <cell r="C97">
            <v>7655154.1500000004</v>
          </cell>
          <cell r="H97">
            <v>7290623</v>
          </cell>
        </row>
        <row r="100">
          <cell r="H100">
            <v>3058776.9099999997</v>
          </cell>
        </row>
        <row r="101">
          <cell r="H101">
            <v>1887481.04</v>
          </cell>
        </row>
        <row r="102">
          <cell r="H102">
            <v>17776.91</v>
          </cell>
        </row>
        <row r="103">
          <cell r="H103">
            <v>7204.07</v>
          </cell>
        </row>
        <row r="104">
          <cell r="H104">
            <v>1296291.46</v>
          </cell>
        </row>
        <row r="105">
          <cell r="H105">
            <v>1741479.84</v>
          </cell>
        </row>
        <row r="106">
          <cell r="H106">
            <v>4026.6899999999996</v>
          </cell>
        </row>
        <row r="107">
          <cell r="H107">
            <v>339.84000000000015</v>
          </cell>
        </row>
        <row r="108">
          <cell r="H108">
            <v>0</v>
          </cell>
        </row>
        <row r="109">
          <cell r="H109">
            <v>0</v>
          </cell>
        </row>
        <row r="110">
          <cell r="H110">
            <v>6070755.8500000006</v>
          </cell>
        </row>
        <row r="111">
          <cell r="H111">
            <v>3743858.78</v>
          </cell>
        </row>
        <row r="112">
          <cell r="H112">
            <v>1888471.94</v>
          </cell>
        </row>
        <row r="113">
          <cell r="H113">
            <v>2254280.9300000002</v>
          </cell>
        </row>
        <row r="114">
          <cell r="H114">
            <v>12562.09</v>
          </cell>
        </row>
        <row r="115">
          <cell r="H115">
            <v>873.97</v>
          </cell>
        </row>
        <row r="116">
          <cell r="H116">
            <v>793255.11</v>
          </cell>
        </row>
        <row r="117">
          <cell r="H117">
            <v>2786.83</v>
          </cell>
        </row>
        <row r="118">
          <cell r="H118">
            <v>2646.63</v>
          </cell>
        </row>
        <row r="119">
          <cell r="H119">
            <v>-71.8</v>
          </cell>
        </row>
        <row r="120">
          <cell r="H120">
            <v>0</v>
          </cell>
        </row>
        <row r="121">
          <cell r="H121">
            <v>0</v>
          </cell>
        </row>
        <row r="122">
          <cell r="H122">
            <v>3447340.26</v>
          </cell>
        </row>
        <row r="123">
          <cell r="H123">
            <v>710313.82</v>
          </cell>
        </row>
        <row r="125">
          <cell r="B125">
            <v>21354718</v>
          </cell>
          <cell r="C125">
            <v>21354718</v>
          </cell>
          <cell r="H125">
            <v>19887525.210000001</v>
          </cell>
        </row>
        <row r="142">
          <cell r="C142">
            <v>0</v>
          </cell>
        </row>
        <row r="143">
          <cell r="H143">
            <v>112080</v>
          </cell>
        </row>
        <row r="144">
          <cell r="H144">
            <v>134000</v>
          </cell>
        </row>
        <row r="145">
          <cell r="H145">
            <v>97500</v>
          </cell>
        </row>
        <row r="146">
          <cell r="H146">
            <v>3674000</v>
          </cell>
        </row>
        <row r="147">
          <cell r="H147">
            <v>3229000</v>
          </cell>
        </row>
        <row r="148">
          <cell r="C148">
            <v>2500000</v>
          </cell>
        </row>
        <row r="149">
          <cell r="C149">
            <v>8861</v>
          </cell>
        </row>
        <row r="150">
          <cell r="H150">
            <v>2099496</v>
          </cell>
        </row>
      </sheetData>
      <sheetData sheetId="2"/>
      <sheetData sheetId="3"/>
      <sheetData sheetId="4">
        <row r="17">
          <cell r="C17">
            <v>12218939.656750757</v>
          </cell>
        </row>
      </sheetData>
      <sheetData sheetId="5">
        <row r="119">
          <cell r="C119">
            <v>58577528.485499986</v>
          </cell>
          <cell r="E119">
            <v>32362260.157499991</v>
          </cell>
        </row>
      </sheetData>
      <sheetData sheetId="6">
        <row r="16">
          <cell r="K16">
            <v>685995102.63087952</v>
          </cell>
        </row>
        <row r="17">
          <cell r="G17">
            <v>463375441.50798643</v>
          </cell>
          <cell r="K17">
            <v>679435867.64108205</v>
          </cell>
        </row>
        <row r="37">
          <cell r="K37">
            <v>29735527.93681566</v>
          </cell>
        </row>
        <row r="38">
          <cell r="G38">
            <v>11564515.959220791</v>
          </cell>
          <cell r="K38">
            <v>15619039.488131335</v>
          </cell>
        </row>
        <row r="60">
          <cell r="K60">
            <v>4.8911637679073729E-2</v>
          </cell>
        </row>
        <row r="62">
          <cell r="K62">
            <v>3.7303610295157982E-2</v>
          </cell>
        </row>
        <row r="94">
          <cell r="K94">
            <v>20519818.214465227</v>
          </cell>
        </row>
        <row r="95">
          <cell r="G95">
            <v>0</v>
          </cell>
          <cell r="K95">
            <v>265957.96514366608</v>
          </cell>
        </row>
        <row r="119">
          <cell r="C119">
            <v>58577528.485499986</v>
          </cell>
          <cell r="E119">
            <v>32362260.157499991</v>
          </cell>
        </row>
        <row r="120">
          <cell r="K120">
            <v>60734663.138737746</v>
          </cell>
        </row>
        <row r="121">
          <cell r="G121">
            <v>56406907.559050858</v>
          </cell>
          <cell r="K121">
            <v>94606451.714335114</v>
          </cell>
        </row>
      </sheetData>
      <sheetData sheetId="7"/>
      <sheetData sheetId="8">
        <row r="34">
          <cell r="E34">
            <v>0.18399119325611241</v>
          </cell>
        </row>
        <row r="35">
          <cell r="E35">
            <v>463375441.50798643</v>
          </cell>
        </row>
      </sheetData>
      <sheetData sheetId="9"/>
      <sheetData sheetId="10"/>
      <sheetData sheetId="11"/>
      <sheetData sheetId="12">
        <row r="6">
          <cell r="K6">
            <v>1238110884</v>
          </cell>
        </row>
        <row r="16">
          <cell r="K16">
            <v>635157980.75297391</v>
          </cell>
        </row>
        <row r="17">
          <cell r="G17">
            <v>445475993.86857104</v>
          </cell>
          <cell r="K17">
            <v>661119200.81107628</v>
          </cell>
        </row>
        <row r="37">
          <cell r="K37">
            <v>28298287.133610964</v>
          </cell>
        </row>
        <row r="38">
          <cell r="G38">
            <v>11013824.719995731</v>
          </cell>
          <cell r="K38">
            <v>14979443.509343062</v>
          </cell>
        </row>
        <row r="60">
          <cell r="K60">
            <v>4.8887911523275901E-2</v>
          </cell>
        </row>
        <row r="62">
          <cell r="K62">
            <v>3.7375530514170807E-2</v>
          </cell>
        </row>
        <row r="94">
          <cell r="K94">
            <v>17128131.134526104</v>
          </cell>
        </row>
        <row r="95">
          <cell r="G95">
            <v>0</v>
          </cell>
          <cell r="K95">
            <v>287100.55958115432</v>
          </cell>
        </row>
        <row r="120">
          <cell r="C120">
            <v>60766810.730000049</v>
          </cell>
          <cell r="E120">
            <v>39582217.929999992</v>
          </cell>
        </row>
        <row r="121">
          <cell r="K121">
            <v>62641915.55472248</v>
          </cell>
        </row>
        <row r="122">
          <cell r="G122">
            <v>53720864.326970764</v>
          </cell>
          <cell r="K122">
            <v>90385164.718146026</v>
          </cell>
        </row>
      </sheetData>
      <sheetData sheetId="13"/>
    </sheetDataSet>
  </externalBook>
</externalLink>
</file>

<file path=xl/tables/table1.xml><?xml version="1.0" encoding="utf-8"?>
<table xmlns="http://schemas.openxmlformats.org/spreadsheetml/2006/main" id="2" name="Table1424243" displayName="Table1424243" ref="A5:N792" totalsRowCount="1" headerRowDxfId="34">
  <tableColumns count="14">
    <tableColumn id="1" name="FID" dataDxfId="33" totalsRowDxfId="32"/>
    <tableColumn id="14" name="Line No." dataDxfId="31" totalsRowDxfId="30"/>
    <tableColumn id="2" name="Facility" dataDxfId="29" totalsRowDxfId="28"/>
    <tableColumn id="3" name="Specific Plant Included" dataDxfId="27" totalsRowDxfId="26"/>
    <tableColumn id="4" name="East or West" dataDxfId="25" totalsRowDxfId="24"/>
    <tableColumn id="5" name="Costs" dataDxfId="23" totalsRowDxfId="22" dataCellStyle="Currency"/>
    <tableColumn id="6" name="1" dataDxfId="21" totalsRowDxfId="20"/>
    <tableColumn id="7" name="1(b)" dataDxfId="19" totalsRowDxfId="18"/>
    <tableColumn id="8" name="2" dataDxfId="17" totalsRowDxfId="16"/>
    <tableColumn id="9" name="3" dataDxfId="15" totalsRowDxfId="14"/>
    <tableColumn id="10" name="4" dataDxfId="13" totalsRowDxfId="12"/>
    <tableColumn id="11" name="5" dataDxfId="11" totalsRowDxfId="10"/>
    <tableColumn id="12" name="6" dataDxfId="9" totalsRowDxfId="8" dataCellStyle="Currency"/>
    <tableColumn id="13" name="Further Description" dataDxfId="7" totalsRowDxfId="6"/>
  </tableColumns>
  <tableStyleInfo name="TableStyleLight1 2" showFirstColumn="0" showLastColumn="0" showRowStripes="1" showColumnStripes="0"/>
</table>
</file>

<file path=xl/tables/table2.xml><?xml version="1.0" encoding="utf-8"?>
<table xmlns="http://schemas.openxmlformats.org/spreadsheetml/2006/main" id="4" name="Table13535" displayName="Table13535" ref="B4:E182" totalsRowShown="0" headerRowDxfId="5" dataDxfId="4">
  <tableColumns count="4">
    <tableColumn id="1" name="Column1" dataDxfId="3"/>
    <tableColumn id="2" name="Facility" dataDxfId="2"/>
    <tableColumn id="3" name="Specific Plant NOT Included" dataDxfId="1"/>
    <tableColumn id="13" name="Further Description" dataDxfId="0"/>
  </tableColumns>
  <tableStyleInfo name="TableStyleLight1 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32"/>
  <sheetViews>
    <sheetView tabSelected="1" view="pageBreakPreview" zoomScale="110" zoomScaleNormal="100" zoomScaleSheetLayoutView="110" workbookViewId="0">
      <selection activeCell="A6" sqref="A6:B6"/>
    </sheetView>
  </sheetViews>
  <sheetFormatPr defaultRowHeight="14.5"/>
  <cols>
    <col min="1" max="1" width="35.81640625" bestFit="1" customWidth="1"/>
    <col min="2" max="2" width="87.7265625" customWidth="1"/>
  </cols>
  <sheetData>
    <row r="1" spans="1:3" ht="45.75" customHeight="1">
      <c r="A1" s="489"/>
      <c r="B1" s="489"/>
    </row>
    <row r="2" spans="1:3" ht="40.5" customHeight="1">
      <c r="A2" s="489"/>
      <c r="B2" s="489"/>
    </row>
    <row r="3" spans="1:3" ht="46">
      <c r="A3" s="830" t="s">
        <v>2582</v>
      </c>
      <c r="B3" s="830"/>
    </row>
    <row r="4" spans="1:3" ht="36">
      <c r="A4" s="831" t="s">
        <v>2583</v>
      </c>
      <c r="B4" s="831"/>
    </row>
    <row r="5" spans="1:3" ht="46">
      <c r="A5" s="830" t="s">
        <v>2283</v>
      </c>
      <c r="B5" s="830"/>
    </row>
    <row r="6" spans="1:3" ht="46">
      <c r="A6" s="830" t="s">
        <v>2284</v>
      </c>
      <c r="B6" s="830"/>
    </row>
    <row r="7" spans="1:3" ht="22" customHeight="1">
      <c r="A7" s="487"/>
      <c r="B7" s="487"/>
    </row>
    <row r="8" spans="1:3" ht="46">
      <c r="A8" s="830" t="s">
        <v>2615</v>
      </c>
      <c r="B8" s="830"/>
    </row>
    <row r="9" spans="1:3" ht="46">
      <c r="A9" s="487"/>
      <c r="B9" s="487"/>
    </row>
    <row r="10" spans="1:3" ht="46">
      <c r="A10" s="830" t="s">
        <v>2592</v>
      </c>
      <c r="B10" s="830"/>
    </row>
    <row r="11" spans="1:3" ht="84.65" customHeight="1">
      <c r="A11" s="829" t="s">
        <v>2584</v>
      </c>
      <c r="B11" s="829"/>
    </row>
    <row r="12" spans="1:3">
      <c r="A12" s="829" t="s">
        <v>2585</v>
      </c>
      <c r="B12" s="829"/>
    </row>
    <row r="13" spans="1:3">
      <c r="A13" s="829" t="s">
        <v>2285</v>
      </c>
      <c r="B13" s="829"/>
      <c r="C13" s="488"/>
    </row>
    <row r="14" spans="1:3">
      <c r="A14" s="819"/>
      <c r="B14" s="819"/>
      <c r="C14" s="488"/>
    </row>
    <row r="15" spans="1:3">
      <c r="A15" s="823" t="s">
        <v>2627</v>
      </c>
      <c r="B15" s="823" t="s">
        <v>2628</v>
      </c>
      <c r="C15" s="488"/>
    </row>
    <row r="16" spans="1:3">
      <c r="A16" s="489" t="s">
        <v>2598</v>
      </c>
      <c r="B16" s="763" t="s">
        <v>2625</v>
      </c>
    </row>
    <row r="17" spans="1:2">
      <c r="A17" s="489" t="s">
        <v>2599</v>
      </c>
      <c r="B17" s="763" t="s">
        <v>2626</v>
      </c>
    </row>
    <row r="18" spans="1:2">
      <c r="A18" s="489" t="s">
        <v>2600</v>
      </c>
      <c r="B18" s="763" t="s">
        <v>2629</v>
      </c>
    </row>
    <row r="19" spans="1:2">
      <c r="A19" s="489" t="s">
        <v>2601</v>
      </c>
      <c r="B19" s="763" t="s">
        <v>2630</v>
      </c>
    </row>
    <row r="20" spans="1:2">
      <c r="A20" s="489" t="s">
        <v>2602</v>
      </c>
      <c r="B20" s="763" t="s">
        <v>2631</v>
      </c>
    </row>
    <row r="21" spans="1:2">
      <c r="A21" s="489" t="s">
        <v>2603</v>
      </c>
      <c r="B21" s="763" t="s">
        <v>2632</v>
      </c>
    </row>
    <row r="22" spans="1:2">
      <c r="A22" s="489" t="s">
        <v>2604</v>
      </c>
      <c r="B22" s="763" t="s">
        <v>2633</v>
      </c>
    </row>
    <row r="23" spans="1:2">
      <c r="A23" s="489" t="s">
        <v>2624</v>
      </c>
      <c r="B23" s="763" t="s">
        <v>2634</v>
      </c>
    </row>
    <row r="24" spans="1:2">
      <c r="A24" s="489" t="s">
        <v>2605</v>
      </c>
      <c r="B24" s="763" t="s">
        <v>2635</v>
      </c>
    </row>
    <row r="25" spans="1:2">
      <c r="A25" s="489" t="s">
        <v>2618</v>
      </c>
      <c r="B25" s="763" t="s">
        <v>2636</v>
      </c>
    </row>
    <row r="26" spans="1:2">
      <c r="A26" s="489" t="s">
        <v>2606</v>
      </c>
      <c r="B26" s="763" t="s">
        <v>2637</v>
      </c>
    </row>
    <row r="27" spans="1:2">
      <c r="A27" s="489" t="s">
        <v>2607</v>
      </c>
      <c r="B27" s="763" t="s">
        <v>2638</v>
      </c>
    </row>
    <row r="28" spans="1:2">
      <c r="A28" s="489" t="s">
        <v>2608</v>
      </c>
      <c r="B28" s="763" t="s">
        <v>2639</v>
      </c>
    </row>
    <row r="29" spans="1:2">
      <c r="A29" s="489" t="s">
        <v>2609</v>
      </c>
      <c r="B29" s="763" t="s">
        <v>2640</v>
      </c>
    </row>
    <row r="30" spans="1:2">
      <c r="A30" s="489" t="s">
        <v>2610</v>
      </c>
      <c r="B30" s="763" t="s">
        <v>2641</v>
      </c>
    </row>
    <row r="31" spans="1:2">
      <c r="A31" s="489" t="s">
        <v>2611</v>
      </c>
      <c r="B31" s="763" t="s">
        <v>2642</v>
      </c>
    </row>
    <row r="32" spans="1:2">
      <c r="A32" s="489"/>
      <c r="B32" s="489"/>
    </row>
  </sheetData>
  <mergeCells count="9">
    <mergeCell ref="A13:B13"/>
    <mergeCell ref="A3:B3"/>
    <mergeCell ref="A5:B5"/>
    <mergeCell ref="A6:B6"/>
    <mergeCell ref="A8:B8"/>
    <mergeCell ref="A10:B10"/>
    <mergeCell ref="A11:B11"/>
    <mergeCell ref="A4:B4"/>
    <mergeCell ref="A12:B12"/>
  </mergeCells>
  <hyperlinks>
    <hyperlink ref="B16" location="'Summary-ATRR'!A1" display="Worksheet &quot;Summary-ATRR&quot; -- Calculation of ATRRs"/>
    <hyperlink ref="B17" location="'WS1-RateBase'!A1" display="Worksheet 1 -- Calculation of Rate Base"/>
    <hyperlink ref="B18" location="'WS2-AllocFactor'!A1" display="Worksheet 2 -- Allocation Factors"/>
    <hyperlink ref="B19" location="'WS3-RevCredits'!A1" display="Worksheet 3 -- Revenue Credit Detail"/>
    <hyperlink ref="B20" location="'WS4-CostData'!A1" display="Worksheet 4 -- Cost Support Data"/>
    <hyperlink ref="B21" location="'WS5-BPUz'!A1" display="Worksheet 5 -- SPP Base Plan Upgrades (BPU) - Zonal"/>
    <hyperlink ref="B22" location="'WS6-BPUr'!A1" display="Worksheet 6 -- SPP Base Plan Upgrades (BPU) - Regional "/>
    <hyperlink ref="B23" location="'WS7-BPUFac'!A1" display="Worksheet 7 -- SPP Base Plan Upgrades (BPU) - Facilities"/>
    <hyperlink ref="B24" location="'WS8-TranFac'!A1" display="Worksheet 8 -- Transmission Facilities"/>
    <hyperlink ref="B25" location="'WS9-AI-Incl'!A1" display="Worksheet 9 -- WAPA-UGP Facilities Included per SPP Tariff Attachment AI"/>
    <hyperlink ref="B26" location="'WS10-AI-Excl'!A1" display="Worksheet 10 -- WAPA-UGP Facilities Excluded per SPP Tariff Attachment AI"/>
    <hyperlink ref="B27" location="'WS11-FacChanges'!A1" display="Worksheet 11 -- Facility Changes Detail"/>
    <hyperlink ref="B28" location="'WS12-SSCD'!A1" display="Worksheet 12 -- Scheduling, System Control and Dispatch Service (SSCD) ARR"/>
    <hyperlink ref="B29" location="'WS13-SSCDFac'!A1" display="Worksheet 13 -- Scheduling, System Control and Dispatch Service (SSCD) Facilities"/>
    <hyperlink ref="B30" location="'WS14-Reg'!A1" display="Worksheet 14 -- Regulation and Frequency Response ARR"/>
    <hyperlink ref="B31" location="'Cover Sheets'!A1" display="Worksheet 15 -- Reserves ARR"/>
  </hyperlinks>
  <printOptions horizontalCentered="1" verticalCentered="1"/>
  <pageMargins left="0.7" right="0.7" top="0.75" bottom="0.75" header="0.3" footer="0.3"/>
  <pageSetup scale="99" fitToHeight="2" orientation="landscape" r:id="rId1"/>
  <rowBreaks count="1" manualBreakCount="1">
    <brk id="11" max="16383" man="1"/>
  </row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R592"/>
  <sheetViews>
    <sheetView view="pageBreakPreview" topLeftCell="C492" zoomScale="120" zoomScaleNormal="90" zoomScaleSheetLayoutView="120" zoomScalePageLayoutView="90" workbookViewId="0">
      <selection activeCell="F498" sqref="F498"/>
    </sheetView>
  </sheetViews>
  <sheetFormatPr defaultColWidth="9.1796875" defaultRowHeight="13" outlineLevelRow="2"/>
  <cols>
    <col min="1" max="1" width="9.1796875" style="11"/>
    <col min="2" max="2" width="9.1796875" style="11" customWidth="1"/>
    <col min="3" max="3" width="8" style="17" bestFit="1" customWidth="1"/>
    <col min="4" max="4" width="25.453125" style="12" customWidth="1"/>
    <col min="5" max="5" width="15" style="13" customWidth="1"/>
    <col min="6" max="6" width="14.1796875" style="13" customWidth="1"/>
    <col min="7" max="7" width="13.54296875" style="13" customWidth="1"/>
    <col min="8" max="8" width="12.7265625" style="13" customWidth="1"/>
    <col min="9" max="9" width="13.26953125" style="13" customWidth="1"/>
    <col min="10" max="10" width="12.7265625" style="13" customWidth="1"/>
    <col min="11" max="11" width="13.1796875" style="14" customWidth="1"/>
    <col min="12" max="12" width="20.7265625" style="17" customWidth="1"/>
    <col min="13" max="13" width="10.81640625" style="12" customWidth="1"/>
    <col min="14" max="14" width="12.1796875" style="11" customWidth="1"/>
    <col min="15" max="15" width="12" style="11" customWidth="1"/>
    <col min="16" max="17" width="9.1796875" style="12" customWidth="1"/>
    <col min="18" max="18" width="10" style="12" bestFit="1" customWidth="1"/>
    <col min="19" max="16384" width="9.1796875" style="12"/>
  </cols>
  <sheetData>
    <row r="1" spans="1:15" s="3" customFormat="1">
      <c r="A1" s="1" t="str">
        <f>'Cover Sheets'!A10:B10</f>
        <v>WAPA-UGP 2020 Rate Estimate Calculation</v>
      </c>
      <c r="B1" s="1"/>
      <c r="C1" s="2"/>
      <c r="E1" s="4"/>
      <c r="F1" s="4"/>
      <c r="G1" s="4"/>
      <c r="H1" s="4"/>
      <c r="I1" s="4"/>
      <c r="J1" s="4"/>
      <c r="K1" s="5"/>
    </row>
    <row r="2" spans="1:15" s="3" customFormat="1">
      <c r="A2" s="1" t="s">
        <v>2591</v>
      </c>
      <c r="B2" s="1"/>
      <c r="C2" s="2"/>
      <c r="E2" s="4"/>
      <c r="F2" s="4"/>
      <c r="G2" s="4"/>
      <c r="H2" s="4"/>
      <c r="I2" s="4"/>
      <c r="J2" s="4"/>
      <c r="K2" s="5"/>
    </row>
    <row r="3" spans="1:15" s="6" customFormat="1">
      <c r="A3" s="1" t="str">
        <f>'Summary-ATRR'!A3</f>
        <v>12 Months Ending 09/30/2020 ESTIMATE</v>
      </c>
      <c r="B3" s="1"/>
      <c r="C3" s="3"/>
      <c r="E3" s="4"/>
      <c r="F3" s="4"/>
      <c r="G3" s="4"/>
      <c r="H3" s="4"/>
      <c r="I3" s="4"/>
      <c r="J3" s="4"/>
      <c r="K3" s="7"/>
      <c r="L3" s="3"/>
      <c r="M3" s="3"/>
      <c r="N3" s="3"/>
      <c r="O3" s="3"/>
    </row>
    <row r="4" spans="1:15" s="3" customFormat="1" ht="54.75" customHeight="1">
      <c r="A4" s="3" t="s">
        <v>0</v>
      </c>
      <c r="C4" s="8" t="s">
        <v>1</v>
      </c>
      <c r="D4" s="9" t="s">
        <v>2</v>
      </c>
      <c r="E4" s="10" t="s">
        <v>955</v>
      </c>
      <c r="F4" s="10" t="s">
        <v>2401</v>
      </c>
      <c r="G4" s="10" t="s">
        <v>2302</v>
      </c>
      <c r="H4" s="10" t="s">
        <v>2395</v>
      </c>
      <c r="I4" s="10" t="s">
        <v>2396</v>
      </c>
      <c r="J4" s="10" t="s">
        <v>2572</v>
      </c>
      <c r="K4" s="498" t="s">
        <v>2445</v>
      </c>
      <c r="L4" s="8" t="s">
        <v>3</v>
      </c>
      <c r="O4" s="8"/>
    </row>
    <row r="5" spans="1:15" ht="13.5" customHeight="1" outlineLevel="2">
      <c r="A5" s="11">
        <v>1</v>
      </c>
      <c r="B5" s="11" t="s">
        <v>4</v>
      </c>
      <c r="C5" s="12" t="s">
        <v>5</v>
      </c>
      <c r="D5" s="12" t="s">
        <v>6</v>
      </c>
      <c r="E5" s="13">
        <v>133157.92000000001</v>
      </c>
      <c r="G5" s="13">
        <f>E5+F5</f>
        <v>133157.92000000001</v>
      </c>
      <c r="H5" s="14">
        <v>0</v>
      </c>
      <c r="I5" s="14">
        <v>0</v>
      </c>
      <c r="J5" s="14"/>
      <c r="K5" s="14">
        <f>SUM(G5:J5)</f>
        <v>133157.92000000001</v>
      </c>
      <c r="L5" s="12"/>
      <c r="M5" s="11"/>
      <c r="O5" s="15"/>
    </row>
    <row r="6" spans="1:15" outlineLevel="2">
      <c r="A6" s="11">
        <f t="shared" ref="A6:A69" si="0">A5+1</f>
        <v>2</v>
      </c>
      <c r="B6" s="11" t="s">
        <v>4</v>
      </c>
      <c r="C6" s="12" t="s">
        <v>8</v>
      </c>
      <c r="D6" s="12" t="s">
        <v>9</v>
      </c>
      <c r="E6" s="13">
        <v>96623.18</v>
      </c>
      <c r="G6" s="13">
        <f t="shared" ref="G6:G69" si="1">E6+F6</f>
        <v>96623.18</v>
      </c>
      <c r="H6" s="14">
        <v>0</v>
      </c>
      <c r="I6" s="14">
        <v>0</v>
      </c>
      <c r="J6" s="14"/>
      <c r="K6" s="14">
        <f t="shared" ref="K6:K69" si="2">SUM(G6:J6)</f>
        <v>96623.18</v>
      </c>
      <c r="L6" s="12"/>
      <c r="M6" s="11"/>
      <c r="O6" s="15"/>
    </row>
    <row r="7" spans="1:15" ht="12.75" customHeight="1" outlineLevel="2">
      <c r="A7" s="11">
        <f t="shared" si="0"/>
        <v>3</v>
      </c>
      <c r="B7" s="11" t="s">
        <v>4</v>
      </c>
      <c r="C7" s="12" t="s">
        <v>10</v>
      </c>
      <c r="D7" s="12" t="s">
        <v>11</v>
      </c>
      <c r="E7" s="13">
        <v>459778.46</v>
      </c>
      <c r="G7" s="13">
        <f t="shared" si="1"/>
        <v>459778.46</v>
      </c>
      <c r="H7" s="14">
        <v>0</v>
      </c>
      <c r="I7" s="14">
        <v>0</v>
      </c>
      <c r="J7" s="14"/>
      <c r="K7" s="14">
        <f t="shared" si="2"/>
        <v>459778.46</v>
      </c>
      <c r="L7" s="12"/>
      <c r="M7" s="11"/>
      <c r="O7" s="15"/>
    </row>
    <row r="8" spans="1:15" ht="13.5" customHeight="1" outlineLevel="2">
      <c r="A8" s="11">
        <f t="shared" si="0"/>
        <v>4</v>
      </c>
      <c r="B8" s="11" t="s">
        <v>4</v>
      </c>
      <c r="C8" s="16" t="s">
        <v>12</v>
      </c>
      <c r="D8" s="12" t="s">
        <v>13</v>
      </c>
      <c r="E8" s="13">
        <v>357312.09</v>
      </c>
      <c r="G8" s="13">
        <f t="shared" si="1"/>
        <v>357312.09</v>
      </c>
      <c r="H8" s="14">
        <v>0</v>
      </c>
      <c r="I8" s="14">
        <v>0</v>
      </c>
      <c r="J8" s="14"/>
      <c r="K8" s="14">
        <f t="shared" si="2"/>
        <v>357312.09</v>
      </c>
      <c r="L8" s="16"/>
      <c r="M8" s="11"/>
      <c r="O8" s="15"/>
    </row>
    <row r="9" spans="1:15" outlineLevel="2">
      <c r="A9" s="11">
        <f t="shared" si="0"/>
        <v>5</v>
      </c>
      <c r="B9" s="11" t="s">
        <v>4</v>
      </c>
      <c r="C9" s="17" t="s">
        <v>14</v>
      </c>
      <c r="D9" s="12" t="s">
        <v>15</v>
      </c>
      <c r="E9" s="13">
        <v>5076896.62</v>
      </c>
      <c r="G9" s="13">
        <f t="shared" si="1"/>
        <v>5076896.62</v>
      </c>
      <c r="H9" s="14">
        <v>0</v>
      </c>
      <c r="I9" s="14">
        <v>0</v>
      </c>
      <c r="J9" s="14"/>
      <c r="K9" s="14">
        <f t="shared" si="2"/>
        <v>5076896.62</v>
      </c>
      <c r="M9" s="11"/>
      <c r="O9" s="15"/>
    </row>
    <row r="10" spans="1:15" outlineLevel="2">
      <c r="A10" s="11">
        <f t="shared" si="0"/>
        <v>6</v>
      </c>
      <c r="B10" s="11" t="s">
        <v>4</v>
      </c>
      <c r="C10" s="17" t="s">
        <v>16</v>
      </c>
      <c r="D10" s="12" t="s">
        <v>17</v>
      </c>
      <c r="E10" s="13">
        <v>9755199.8900000006</v>
      </c>
      <c r="G10" s="13">
        <f t="shared" si="1"/>
        <v>9755199.8900000006</v>
      </c>
      <c r="H10" s="14">
        <v>0</v>
      </c>
      <c r="I10" s="14">
        <v>0</v>
      </c>
      <c r="J10" s="14"/>
      <c r="K10" s="14">
        <f t="shared" si="2"/>
        <v>9755199.8900000006</v>
      </c>
      <c r="M10" s="11"/>
    </row>
    <row r="11" spans="1:15" outlineLevel="2">
      <c r="A11" s="11">
        <f t="shared" si="0"/>
        <v>7</v>
      </c>
      <c r="B11" s="11" t="s">
        <v>4</v>
      </c>
      <c r="C11" s="17" t="s">
        <v>18</v>
      </c>
      <c r="D11" s="12" t="s">
        <v>19</v>
      </c>
      <c r="E11" s="13">
        <v>4229572.28</v>
      </c>
      <c r="G11" s="13">
        <f t="shared" si="1"/>
        <v>4229572.28</v>
      </c>
      <c r="H11" s="14">
        <v>0</v>
      </c>
      <c r="I11" s="14">
        <v>0</v>
      </c>
      <c r="J11" s="14"/>
      <c r="K11" s="14">
        <f t="shared" si="2"/>
        <v>4229572.28</v>
      </c>
      <c r="M11" s="11"/>
      <c r="O11" s="15"/>
    </row>
    <row r="12" spans="1:15" outlineLevel="2">
      <c r="A12" s="11">
        <f>A11+1</f>
        <v>8</v>
      </c>
      <c r="B12" s="11" t="s">
        <v>4</v>
      </c>
      <c r="C12" s="17" t="s">
        <v>20</v>
      </c>
      <c r="D12" s="12" t="s">
        <v>21</v>
      </c>
      <c r="E12" s="13">
        <v>12764457.25</v>
      </c>
      <c r="F12" s="13">
        <v>0</v>
      </c>
      <c r="G12" s="13">
        <f t="shared" si="1"/>
        <v>12764457.25</v>
      </c>
      <c r="H12" s="14">
        <v>0</v>
      </c>
      <c r="I12" s="14">
        <v>0</v>
      </c>
      <c r="J12" s="14"/>
      <c r="K12" s="14">
        <f t="shared" si="2"/>
        <v>12764457.25</v>
      </c>
      <c r="M12" s="11"/>
    </row>
    <row r="13" spans="1:15" outlineLevel="2">
      <c r="A13" s="11">
        <f t="shared" si="0"/>
        <v>9</v>
      </c>
      <c r="B13" s="11" t="s">
        <v>4</v>
      </c>
      <c r="C13" s="17" t="s">
        <v>22</v>
      </c>
      <c r="D13" s="12" t="s">
        <v>23</v>
      </c>
      <c r="E13" s="13">
        <v>2587517.9900000002</v>
      </c>
      <c r="G13" s="13">
        <f t="shared" si="1"/>
        <v>2587517.9900000002</v>
      </c>
      <c r="H13" s="14">
        <v>0</v>
      </c>
      <c r="I13" s="14">
        <v>0</v>
      </c>
      <c r="J13" s="14"/>
      <c r="K13" s="14">
        <f t="shared" si="2"/>
        <v>2587517.9900000002</v>
      </c>
      <c r="M13" s="11"/>
      <c r="O13" s="15"/>
    </row>
    <row r="14" spans="1:15" outlineLevel="2">
      <c r="A14" s="11">
        <f t="shared" si="0"/>
        <v>10</v>
      </c>
      <c r="B14" s="11" t="s">
        <v>4</v>
      </c>
      <c r="C14" s="17" t="s">
        <v>24</v>
      </c>
      <c r="D14" s="12" t="s">
        <v>25</v>
      </c>
      <c r="E14" s="13">
        <v>1718240.27</v>
      </c>
      <c r="G14" s="13">
        <f t="shared" si="1"/>
        <v>1718240.27</v>
      </c>
      <c r="H14" s="14">
        <v>0</v>
      </c>
      <c r="I14" s="14">
        <v>0</v>
      </c>
      <c r="J14" s="14"/>
      <c r="K14" s="14">
        <f t="shared" si="2"/>
        <v>1718240.27</v>
      </c>
      <c r="M14" s="11"/>
      <c r="O14" s="15"/>
    </row>
    <row r="15" spans="1:15" outlineLevel="2">
      <c r="A15" s="11">
        <f t="shared" si="0"/>
        <v>11</v>
      </c>
      <c r="B15" s="11" t="s">
        <v>4</v>
      </c>
      <c r="C15" s="17" t="s">
        <v>26</v>
      </c>
      <c r="D15" s="12" t="s">
        <v>27</v>
      </c>
      <c r="E15" s="13">
        <v>3318557.94</v>
      </c>
      <c r="G15" s="13">
        <f t="shared" si="1"/>
        <v>3318557.94</v>
      </c>
      <c r="H15" s="14">
        <v>0</v>
      </c>
      <c r="I15" s="14">
        <v>0</v>
      </c>
      <c r="J15" s="14"/>
      <c r="K15" s="14">
        <f t="shared" si="2"/>
        <v>3318557.94</v>
      </c>
      <c r="M15" s="11"/>
      <c r="O15" s="15"/>
    </row>
    <row r="16" spans="1:15" outlineLevel="2">
      <c r="A16" s="11">
        <f t="shared" si="0"/>
        <v>12</v>
      </c>
      <c r="B16" s="11" t="s">
        <v>4</v>
      </c>
      <c r="C16" s="17" t="s">
        <v>28</v>
      </c>
      <c r="D16" s="12" t="s">
        <v>29</v>
      </c>
      <c r="E16" s="13">
        <v>2952236.87</v>
      </c>
      <c r="G16" s="13">
        <f t="shared" si="1"/>
        <v>2952236.87</v>
      </c>
      <c r="H16" s="14">
        <v>0</v>
      </c>
      <c r="I16" s="14">
        <v>0</v>
      </c>
      <c r="J16" s="14"/>
      <c r="K16" s="14">
        <f t="shared" si="2"/>
        <v>2952236.87</v>
      </c>
      <c r="M16" s="11"/>
      <c r="O16" s="15"/>
    </row>
    <row r="17" spans="1:15" outlineLevel="2">
      <c r="A17" s="11">
        <f t="shared" si="0"/>
        <v>13</v>
      </c>
      <c r="B17" s="11" t="s">
        <v>4</v>
      </c>
      <c r="C17" s="17" t="s">
        <v>30</v>
      </c>
      <c r="D17" s="12" t="s">
        <v>31</v>
      </c>
      <c r="E17" s="13">
        <v>141044</v>
      </c>
      <c r="G17" s="13">
        <f t="shared" si="1"/>
        <v>141044</v>
      </c>
      <c r="H17" s="13">
        <v>0</v>
      </c>
      <c r="I17" s="13">
        <v>0</v>
      </c>
      <c r="K17" s="14">
        <f t="shared" si="2"/>
        <v>141044</v>
      </c>
      <c r="L17" s="12"/>
      <c r="M17" s="11"/>
      <c r="O17" s="15"/>
    </row>
    <row r="18" spans="1:15" ht="12.75" customHeight="1" outlineLevel="2">
      <c r="A18" s="11">
        <f t="shared" si="0"/>
        <v>14</v>
      </c>
      <c r="B18" s="11" t="s">
        <v>4</v>
      </c>
      <c r="C18" s="495" t="s">
        <v>33</v>
      </c>
      <c r="D18" s="12" t="s">
        <v>34</v>
      </c>
      <c r="E18" s="13">
        <v>141044</v>
      </c>
      <c r="G18" s="13">
        <f t="shared" si="1"/>
        <v>141044</v>
      </c>
      <c r="H18" s="13">
        <v>0</v>
      </c>
      <c r="I18" s="13">
        <v>0</v>
      </c>
      <c r="K18" s="14">
        <f t="shared" si="2"/>
        <v>141044</v>
      </c>
      <c r="M18" s="11"/>
      <c r="O18" s="15"/>
    </row>
    <row r="19" spans="1:15" outlineLevel="2">
      <c r="A19" s="11">
        <f>A18+1</f>
        <v>15</v>
      </c>
      <c r="B19" s="11" t="s">
        <v>4</v>
      </c>
      <c r="C19" s="17" t="s">
        <v>35</v>
      </c>
      <c r="D19" s="12" t="s">
        <v>36</v>
      </c>
      <c r="E19" s="13">
        <v>1259667.9099999999</v>
      </c>
      <c r="G19" s="13">
        <f t="shared" si="1"/>
        <v>1259667.9099999999</v>
      </c>
      <c r="H19" s="14">
        <v>0</v>
      </c>
      <c r="I19" s="14">
        <v>0</v>
      </c>
      <c r="J19" s="14"/>
      <c r="K19" s="14">
        <f t="shared" si="2"/>
        <v>1259667.9099999999</v>
      </c>
      <c r="M19" s="11"/>
      <c r="O19" s="15"/>
    </row>
    <row r="20" spans="1:15" outlineLevel="2">
      <c r="A20" s="11">
        <f t="shared" si="0"/>
        <v>16</v>
      </c>
      <c r="B20" s="11" t="s">
        <v>4</v>
      </c>
      <c r="C20" s="17" t="s">
        <v>37</v>
      </c>
      <c r="D20" s="12" t="s">
        <v>38</v>
      </c>
      <c r="E20" s="13">
        <f>17227021-3775575</f>
        <v>13451446</v>
      </c>
      <c r="G20" s="13">
        <f t="shared" si="1"/>
        <v>13451446</v>
      </c>
      <c r="H20" s="14">
        <v>0</v>
      </c>
      <c r="I20" s="14">
        <v>0</v>
      </c>
      <c r="J20" s="14"/>
      <c r="K20" s="14">
        <f t="shared" si="2"/>
        <v>13451446</v>
      </c>
      <c r="M20" s="11"/>
      <c r="O20" s="15"/>
    </row>
    <row r="21" spans="1:15" outlineLevel="2">
      <c r="A21" s="11">
        <f t="shared" si="0"/>
        <v>17</v>
      </c>
      <c r="B21" s="11" t="s">
        <v>4</v>
      </c>
      <c r="C21" s="17" t="s">
        <v>39</v>
      </c>
      <c r="D21" s="12" t="s">
        <v>40</v>
      </c>
      <c r="E21" s="13">
        <v>14513307.74</v>
      </c>
      <c r="G21" s="13">
        <f t="shared" si="1"/>
        <v>14513307.74</v>
      </c>
      <c r="H21" s="14">
        <v>0</v>
      </c>
      <c r="I21" s="14">
        <v>0</v>
      </c>
      <c r="J21" s="14"/>
      <c r="K21" s="14">
        <f t="shared" si="2"/>
        <v>14513307.74</v>
      </c>
      <c r="M21" s="11"/>
      <c r="O21" s="15"/>
    </row>
    <row r="22" spans="1:15" outlineLevel="2">
      <c r="A22" s="11">
        <f t="shared" si="0"/>
        <v>18</v>
      </c>
      <c r="B22" s="11" t="s">
        <v>4</v>
      </c>
      <c r="C22" s="17" t="s">
        <v>41</v>
      </c>
      <c r="D22" s="12" t="s">
        <v>42</v>
      </c>
      <c r="E22" s="13">
        <v>5804318.2699999996</v>
      </c>
      <c r="G22" s="13">
        <f t="shared" si="1"/>
        <v>5804318.2699999996</v>
      </c>
      <c r="H22" s="14">
        <v>0</v>
      </c>
      <c r="I22" s="14">
        <v>0</v>
      </c>
      <c r="J22" s="14"/>
      <c r="K22" s="14">
        <f t="shared" si="2"/>
        <v>5804318.2699999996</v>
      </c>
      <c r="M22" s="11"/>
      <c r="O22" s="15"/>
    </row>
    <row r="23" spans="1:15" outlineLevel="2">
      <c r="A23" s="11">
        <f t="shared" si="0"/>
        <v>19</v>
      </c>
      <c r="B23" s="11" t="s">
        <v>4</v>
      </c>
      <c r="C23" s="17" t="s">
        <v>43</v>
      </c>
      <c r="D23" s="12" t="s">
        <v>44</v>
      </c>
      <c r="E23" s="13">
        <v>1366481</v>
      </c>
      <c r="G23" s="13">
        <f t="shared" si="1"/>
        <v>1366481</v>
      </c>
      <c r="H23" s="14">
        <v>0</v>
      </c>
      <c r="I23" s="14">
        <v>0</v>
      </c>
      <c r="J23" s="14"/>
      <c r="K23" s="14">
        <f t="shared" si="2"/>
        <v>1366481</v>
      </c>
      <c r="M23" s="11"/>
      <c r="O23" s="15"/>
    </row>
    <row r="24" spans="1:15" outlineLevel="2">
      <c r="A24" s="11">
        <f t="shared" si="0"/>
        <v>20</v>
      </c>
      <c r="B24" s="11" t="s">
        <v>4</v>
      </c>
      <c r="C24" s="17" t="s">
        <v>45</v>
      </c>
      <c r="D24" s="12" t="s">
        <v>46</v>
      </c>
      <c r="E24" s="13">
        <v>2605678.14</v>
      </c>
      <c r="G24" s="13">
        <f t="shared" si="1"/>
        <v>2605678.14</v>
      </c>
      <c r="H24" s="14">
        <v>0</v>
      </c>
      <c r="I24" s="14">
        <v>0</v>
      </c>
      <c r="J24" s="14"/>
      <c r="K24" s="14">
        <f t="shared" si="2"/>
        <v>2605678.14</v>
      </c>
      <c r="M24" s="11"/>
      <c r="O24" s="15"/>
    </row>
    <row r="25" spans="1:15" outlineLevel="2">
      <c r="A25" s="11">
        <f t="shared" si="0"/>
        <v>21</v>
      </c>
      <c r="B25" s="11" t="s">
        <v>4</v>
      </c>
      <c r="C25" s="17" t="s">
        <v>47</v>
      </c>
      <c r="D25" s="12" t="s">
        <v>48</v>
      </c>
      <c r="E25" s="13">
        <v>553799.82999999996</v>
      </c>
      <c r="G25" s="13">
        <f t="shared" si="1"/>
        <v>553799.82999999996</v>
      </c>
      <c r="H25" s="14">
        <v>0</v>
      </c>
      <c r="I25" s="14">
        <v>0</v>
      </c>
      <c r="J25" s="14"/>
      <c r="K25" s="14">
        <f t="shared" si="2"/>
        <v>553799.82999999996</v>
      </c>
      <c r="M25" s="11"/>
      <c r="O25" s="15"/>
    </row>
    <row r="26" spans="1:15" outlineLevel="2">
      <c r="A26" s="11">
        <f t="shared" si="0"/>
        <v>22</v>
      </c>
      <c r="B26" s="11" t="s">
        <v>4</v>
      </c>
      <c r="C26" s="17" t="s">
        <v>49</v>
      </c>
      <c r="D26" s="12" t="s">
        <v>50</v>
      </c>
      <c r="E26" s="13">
        <v>3464063.5</v>
      </c>
      <c r="G26" s="13">
        <f t="shared" si="1"/>
        <v>3464063.5</v>
      </c>
      <c r="H26" s="14">
        <v>0</v>
      </c>
      <c r="I26" s="14">
        <v>0</v>
      </c>
      <c r="J26" s="14"/>
      <c r="K26" s="14">
        <f t="shared" si="2"/>
        <v>3464063.5</v>
      </c>
      <c r="M26" s="11"/>
      <c r="O26" s="15"/>
    </row>
    <row r="27" spans="1:15" outlineLevel="2">
      <c r="A27" s="11">
        <f t="shared" si="0"/>
        <v>23</v>
      </c>
      <c r="B27" s="11" t="s">
        <v>4</v>
      </c>
      <c r="C27" s="17" t="s">
        <v>51</v>
      </c>
      <c r="D27" s="12" t="s">
        <v>52</v>
      </c>
      <c r="E27" s="13">
        <v>918676</v>
      </c>
      <c r="G27" s="13">
        <f t="shared" si="1"/>
        <v>918676</v>
      </c>
      <c r="H27" s="14">
        <v>0</v>
      </c>
      <c r="I27" s="14">
        <v>0</v>
      </c>
      <c r="J27" s="14"/>
      <c r="K27" s="14">
        <f t="shared" si="2"/>
        <v>918676</v>
      </c>
      <c r="M27" s="11"/>
      <c r="O27" s="15"/>
    </row>
    <row r="28" spans="1:15" outlineLevel="2">
      <c r="A28" s="11">
        <f t="shared" si="0"/>
        <v>24</v>
      </c>
      <c r="B28" s="11" t="s">
        <v>4</v>
      </c>
      <c r="C28" s="17" t="s">
        <v>53</v>
      </c>
      <c r="D28" s="12" t="s">
        <v>54</v>
      </c>
      <c r="E28" s="13">
        <v>1258899.68</v>
      </c>
      <c r="G28" s="13">
        <f t="shared" si="1"/>
        <v>1258899.68</v>
      </c>
      <c r="H28" s="14">
        <v>0</v>
      </c>
      <c r="I28" s="14">
        <v>0</v>
      </c>
      <c r="J28" s="14"/>
      <c r="K28" s="14">
        <f t="shared" si="2"/>
        <v>1258899.68</v>
      </c>
      <c r="M28" s="11"/>
      <c r="O28" s="15"/>
    </row>
    <row r="29" spans="1:15" outlineLevel="2">
      <c r="A29" s="11">
        <f t="shared" si="0"/>
        <v>25</v>
      </c>
      <c r="B29" s="11" t="s">
        <v>4</v>
      </c>
      <c r="C29" s="17" t="s">
        <v>55</v>
      </c>
      <c r="D29" s="12" t="s">
        <v>56</v>
      </c>
      <c r="E29" s="13">
        <v>20977730.73</v>
      </c>
      <c r="G29" s="13">
        <f t="shared" si="1"/>
        <v>20977730.73</v>
      </c>
      <c r="H29" s="14">
        <v>0</v>
      </c>
      <c r="I29" s="14">
        <v>0</v>
      </c>
      <c r="J29" s="14"/>
      <c r="K29" s="14">
        <f t="shared" si="2"/>
        <v>20977730.73</v>
      </c>
      <c r="M29" s="11"/>
      <c r="O29" s="15"/>
    </row>
    <row r="30" spans="1:15" outlineLevel="2">
      <c r="A30" s="11">
        <f t="shared" si="0"/>
        <v>26</v>
      </c>
      <c r="B30" s="11" t="s">
        <v>4</v>
      </c>
      <c r="C30" s="17" t="s">
        <v>57</v>
      </c>
      <c r="D30" s="12" t="s">
        <v>58</v>
      </c>
      <c r="E30" s="13">
        <v>7672600.2400000002</v>
      </c>
      <c r="G30" s="13">
        <f t="shared" si="1"/>
        <v>7672600.2400000002</v>
      </c>
      <c r="H30" s="14">
        <v>0</v>
      </c>
      <c r="I30" s="14">
        <v>0</v>
      </c>
      <c r="J30" s="14"/>
      <c r="K30" s="14">
        <f t="shared" si="2"/>
        <v>7672600.2400000002</v>
      </c>
      <c r="M30" s="11"/>
      <c r="O30" s="15"/>
    </row>
    <row r="31" spans="1:15" outlineLevel="2">
      <c r="A31" s="11">
        <f t="shared" si="0"/>
        <v>27</v>
      </c>
      <c r="B31" s="11" t="s">
        <v>4</v>
      </c>
      <c r="C31" s="17" t="s">
        <v>59</v>
      </c>
      <c r="D31" s="12" t="s">
        <v>60</v>
      </c>
      <c r="E31" s="13">
        <v>1872141.8</v>
      </c>
      <c r="G31" s="13">
        <f t="shared" si="1"/>
        <v>1872141.8</v>
      </c>
      <c r="H31" s="14">
        <v>0</v>
      </c>
      <c r="I31" s="14">
        <v>0</v>
      </c>
      <c r="J31" s="14"/>
      <c r="K31" s="14">
        <f t="shared" si="2"/>
        <v>1872141.8</v>
      </c>
      <c r="M31" s="11"/>
      <c r="O31" s="15"/>
    </row>
    <row r="32" spans="1:15" outlineLevel="2">
      <c r="A32" s="11">
        <f t="shared" si="0"/>
        <v>28</v>
      </c>
      <c r="B32" s="11" t="s">
        <v>4</v>
      </c>
      <c r="C32" s="17" t="s">
        <v>61</v>
      </c>
      <c r="D32" s="12" t="s">
        <v>62</v>
      </c>
      <c r="E32" s="13">
        <v>375316.01</v>
      </c>
      <c r="G32" s="13">
        <f t="shared" si="1"/>
        <v>375316.01</v>
      </c>
      <c r="H32" s="14">
        <v>0</v>
      </c>
      <c r="I32" s="14">
        <v>0</v>
      </c>
      <c r="J32" s="14"/>
      <c r="K32" s="14">
        <f t="shared" si="2"/>
        <v>375316.01</v>
      </c>
      <c r="M32" s="11"/>
      <c r="O32" s="15"/>
    </row>
    <row r="33" spans="1:15" outlineLevel="2">
      <c r="A33" s="11">
        <f t="shared" si="0"/>
        <v>29</v>
      </c>
      <c r="B33" s="11" t="s">
        <v>4</v>
      </c>
      <c r="C33" s="17" t="s">
        <v>63</v>
      </c>
      <c r="D33" s="12" t="s">
        <v>64</v>
      </c>
      <c r="E33" s="13">
        <v>771572.37</v>
      </c>
      <c r="G33" s="13">
        <f t="shared" si="1"/>
        <v>771572.37</v>
      </c>
      <c r="H33" s="14">
        <v>0</v>
      </c>
      <c r="I33" s="14">
        <v>0</v>
      </c>
      <c r="J33" s="14"/>
      <c r="K33" s="14">
        <f t="shared" si="2"/>
        <v>771572.37</v>
      </c>
      <c r="M33" s="11"/>
      <c r="O33" s="15"/>
    </row>
    <row r="34" spans="1:15" outlineLevel="2">
      <c r="A34" s="11">
        <f t="shared" si="0"/>
        <v>30</v>
      </c>
      <c r="B34" s="11" t="s">
        <v>4</v>
      </c>
      <c r="C34" s="17" t="s">
        <v>65</v>
      </c>
      <c r="D34" s="12" t="s">
        <v>66</v>
      </c>
      <c r="E34" s="13">
        <v>60704.18</v>
      </c>
      <c r="G34" s="13">
        <f t="shared" si="1"/>
        <v>60704.18</v>
      </c>
      <c r="H34" s="14">
        <v>0</v>
      </c>
      <c r="I34" s="14">
        <v>0</v>
      </c>
      <c r="J34" s="14"/>
      <c r="K34" s="14">
        <f t="shared" si="2"/>
        <v>60704.18</v>
      </c>
      <c r="M34" s="11"/>
      <c r="O34" s="15"/>
    </row>
    <row r="35" spans="1:15" outlineLevel="2">
      <c r="A35" s="11">
        <f t="shared" si="0"/>
        <v>31</v>
      </c>
      <c r="B35" s="11" t="s">
        <v>4</v>
      </c>
      <c r="C35" s="17" t="s">
        <v>67</v>
      </c>
      <c r="D35" s="12" t="s">
        <v>68</v>
      </c>
      <c r="E35" s="13">
        <v>2369098.0699999998</v>
      </c>
      <c r="G35" s="13">
        <f t="shared" si="1"/>
        <v>2369098.0699999998</v>
      </c>
      <c r="H35" s="14">
        <v>0</v>
      </c>
      <c r="I35" s="14">
        <v>0</v>
      </c>
      <c r="J35" s="14"/>
      <c r="K35" s="14">
        <f t="shared" si="2"/>
        <v>2369098.0699999998</v>
      </c>
      <c r="M35" s="11"/>
      <c r="O35" s="15"/>
    </row>
    <row r="36" spans="1:15" outlineLevel="2">
      <c r="A36" s="11">
        <f t="shared" si="0"/>
        <v>32</v>
      </c>
      <c r="B36" s="11" t="s">
        <v>4</v>
      </c>
      <c r="C36" s="17" t="s">
        <v>69</v>
      </c>
      <c r="D36" s="12" t="s">
        <v>70</v>
      </c>
      <c r="E36" s="13">
        <v>7305876.0899999999</v>
      </c>
      <c r="G36" s="13">
        <f t="shared" si="1"/>
        <v>7305876.0899999999</v>
      </c>
      <c r="H36" s="14">
        <v>0</v>
      </c>
      <c r="I36" s="14">
        <v>0</v>
      </c>
      <c r="J36" s="14"/>
      <c r="K36" s="14">
        <f t="shared" si="2"/>
        <v>7305876.0899999999</v>
      </c>
      <c r="M36" s="11"/>
      <c r="O36" s="15"/>
    </row>
    <row r="37" spans="1:15" outlineLevel="2">
      <c r="A37" s="11">
        <f t="shared" si="0"/>
        <v>33</v>
      </c>
      <c r="B37" s="11" t="s">
        <v>4</v>
      </c>
      <c r="C37" s="17" t="s">
        <v>71</v>
      </c>
      <c r="D37" s="12" t="s">
        <v>72</v>
      </c>
      <c r="E37" s="13">
        <v>922097.72</v>
      </c>
      <c r="G37" s="13">
        <f>E37+F37</f>
        <v>922097.72</v>
      </c>
      <c r="H37" s="14">
        <v>0</v>
      </c>
      <c r="I37" s="14">
        <v>0</v>
      </c>
      <c r="J37" s="14"/>
      <c r="K37" s="14">
        <f t="shared" si="2"/>
        <v>922097.72</v>
      </c>
      <c r="M37" s="11"/>
      <c r="O37" s="15"/>
    </row>
    <row r="38" spans="1:15" outlineLevel="2">
      <c r="A38" s="11">
        <f t="shared" si="0"/>
        <v>34</v>
      </c>
      <c r="B38" s="11" t="s">
        <v>4</v>
      </c>
      <c r="C38" s="17" t="s">
        <v>73</v>
      </c>
      <c r="D38" s="12" t="s">
        <v>74</v>
      </c>
      <c r="E38" s="13">
        <v>4465037.05</v>
      </c>
      <c r="G38" s="13">
        <f t="shared" si="1"/>
        <v>4465037.05</v>
      </c>
      <c r="H38" s="14">
        <v>0</v>
      </c>
      <c r="I38" s="14">
        <v>0</v>
      </c>
      <c r="J38" s="14"/>
      <c r="K38" s="14">
        <f t="shared" si="2"/>
        <v>4465037.05</v>
      </c>
      <c r="M38" s="11"/>
      <c r="O38" s="15"/>
    </row>
    <row r="39" spans="1:15" outlineLevel="2">
      <c r="A39" s="11">
        <f t="shared" si="0"/>
        <v>35</v>
      </c>
      <c r="B39" s="11" t="s">
        <v>4</v>
      </c>
      <c r="C39" s="17" t="s">
        <v>75</v>
      </c>
      <c r="D39" s="12" t="s">
        <v>76</v>
      </c>
      <c r="E39" s="13">
        <v>261417.22</v>
      </c>
      <c r="G39" s="13">
        <f t="shared" si="1"/>
        <v>261417.22</v>
      </c>
      <c r="H39" s="14">
        <v>0</v>
      </c>
      <c r="I39" s="14">
        <v>0</v>
      </c>
      <c r="J39" s="14"/>
      <c r="K39" s="14">
        <f t="shared" si="2"/>
        <v>261417.22</v>
      </c>
      <c r="M39" s="11"/>
      <c r="O39" s="15"/>
    </row>
    <row r="40" spans="1:15" outlineLevel="2">
      <c r="A40" s="11">
        <f t="shared" si="0"/>
        <v>36</v>
      </c>
      <c r="B40" s="11" t="s">
        <v>4</v>
      </c>
      <c r="C40" s="17" t="s">
        <v>77</v>
      </c>
      <c r="D40" s="12" t="s">
        <v>78</v>
      </c>
      <c r="E40" s="13">
        <v>8301710.0999999996</v>
      </c>
      <c r="G40" s="13">
        <f t="shared" si="1"/>
        <v>8301710.0999999996</v>
      </c>
      <c r="H40" s="14">
        <v>0</v>
      </c>
      <c r="I40" s="14">
        <v>0</v>
      </c>
      <c r="J40" s="14"/>
      <c r="K40" s="14">
        <f t="shared" si="2"/>
        <v>8301710.0999999996</v>
      </c>
      <c r="M40" s="11"/>
      <c r="O40" s="15"/>
    </row>
    <row r="41" spans="1:15" outlineLevel="2">
      <c r="A41" s="11">
        <f t="shared" si="0"/>
        <v>37</v>
      </c>
      <c r="B41" s="11" t="s">
        <v>4</v>
      </c>
      <c r="C41" s="17" t="s">
        <v>79</v>
      </c>
      <c r="D41" s="12" t="s">
        <v>80</v>
      </c>
      <c r="E41" s="13">
        <v>28806330.280000001</v>
      </c>
      <c r="G41" s="13">
        <f t="shared" si="1"/>
        <v>28806330.280000001</v>
      </c>
      <c r="H41" s="14">
        <v>0</v>
      </c>
      <c r="I41" s="14">
        <v>0</v>
      </c>
      <c r="J41" s="14"/>
      <c r="K41" s="14">
        <f t="shared" si="2"/>
        <v>28806330.280000001</v>
      </c>
      <c r="M41" s="11"/>
      <c r="O41" s="15"/>
    </row>
    <row r="42" spans="1:15" outlineLevel="2">
      <c r="A42" s="11">
        <f t="shared" si="0"/>
        <v>38</v>
      </c>
      <c r="B42" s="11" t="s">
        <v>4</v>
      </c>
      <c r="C42" s="17" t="s">
        <v>81</v>
      </c>
      <c r="D42" s="12" t="s">
        <v>82</v>
      </c>
      <c r="E42" s="13">
        <v>157876.32</v>
      </c>
      <c r="G42" s="13">
        <f t="shared" si="1"/>
        <v>157876.32</v>
      </c>
      <c r="H42" s="14">
        <v>0</v>
      </c>
      <c r="I42" s="14">
        <v>0</v>
      </c>
      <c r="J42" s="14"/>
      <c r="K42" s="14">
        <f t="shared" si="2"/>
        <v>157876.32</v>
      </c>
      <c r="M42" s="11"/>
      <c r="O42" s="15"/>
    </row>
    <row r="43" spans="1:15" outlineLevel="2">
      <c r="A43" s="11">
        <f t="shared" si="0"/>
        <v>39</v>
      </c>
      <c r="B43" s="11" t="s">
        <v>4</v>
      </c>
      <c r="C43" s="17" t="s">
        <v>83</v>
      </c>
      <c r="D43" s="12" t="s">
        <v>84</v>
      </c>
      <c r="E43" s="13">
        <v>10096096.66</v>
      </c>
      <c r="G43" s="13">
        <f t="shared" si="1"/>
        <v>10096096.66</v>
      </c>
      <c r="H43" s="14">
        <v>0</v>
      </c>
      <c r="I43" s="14">
        <v>0</v>
      </c>
      <c r="J43" s="14"/>
      <c r="K43" s="14">
        <f t="shared" si="2"/>
        <v>10096096.66</v>
      </c>
      <c r="M43" s="11"/>
      <c r="O43" s="15"/>
    </row>
    <row r="44" spans="1:15" outlineLevel="2">
      <c r="A44" s="11">
        <f t="shared" si="0"/>
        <v>40</v>
      </c>
      <c r="B44" s="11" t="s">
        <v>4</v>
      </c>
      <c r="C44" s="17" t="s">
        <v>85</v>
      </c>
      <c r="D44" s="12" t="s">
        <v>86</v>
      </c>
      <c r="E44" s="13">
        <v>7554491.9000000004</v>
      </c>
      <c r="G44" s="13">
        <f t="shared" si="1"/>
        <v>7554491.9000000004</v>
      </c>
      <c r="H44" s="14">
        <v>0</v>
      </c>
      <c r="I44" s="14">
        <v>0</v>
      </c>
      <c r="J44" s="14"/>
      <c r="K44" s="14">
        <f t="shared" si="2"/>
        <v>7554491.9000000004</v>
      </c>
      <c r="M44" s="11"/>
      <c r="O44" s="15"/>
    </row>
    <row r="45" spans="1:15" outlineLevel="2">
      <c r="A45" s="11">
        <f t="shared" si="0"/>
        <v>41</v>
      </c>
      <c r="B45" s="11" t="s">
        <v>4</v>
      </c>
      <c r="C45" s="17" t="s">
        <v>87</v>
      </c>
      <c r="D45" s="12" t="s">
        <v>88</v>
      </c>
      <c r="E45" s="13">
        <v>7782247.0099999998</v>
      </c>
      <c r="G45" s="13">
        <f t="shared" si="1"/>
        <v>7782247.0099999998</v>
      </c>
      <c r="H45" s="14">
        <v>0</v>
      </c>
      <c r="I45" s="14">
        <v>0</v>
      </c>
      <c r="J45" s="14"/>
      <c r="K45" s="14">
        <f t="shared" si="2"/>
        <v>7782247.0099999998</v>
      </c>
      <c r="M45" s="11"/>
      <c r="O45" s="15"/>
    </row>
    <row r="46" spans="1:15" outlineLevel="2">
      <c r="A46" s="11">
        <f t="shared" si="0"/>
        <v>42</v>
      </c>
      <c r="B46" s="11" t="s">
        <v>4</v>
      </c>
      <c r="C46" s="17" t="s">
        <v>89</v>
      </c>
      <c r="D46" s="12" t="s">
        <v>90</v>
      </c>
      <c r="E46" s="13">
        <v>2319938.7200000002</v>
      </c>
      <c r="G46" s="13">
        <f t="shared" si="1"/>
        <v>2319938.7200000002</v>
      </c>
      <c r="H46" s="14">
        <v>0</v>
      </c>
      <c r="I46" s="14">
        <v>0</v>
      </c>
      <c r="J46" s="14"/>
      <c r="K46" s="14">
        <f t="shared" si="2"/>
        <v>2319938.7200000002</v>
      </c>
      <c r="M46" s="11"/>
      <c r="O46" s="15"/>
    </row>
    <row r="47" spans="1:15" outlineLevel="2">
      <c r="A47" s="11">
        <f t="shared" si="0"/>
        <v>43</v>
      </c>
      <c r="B47" s="11" t="s">
        <v>4</v>
      </c>
      <c r="C47" s="17" t="s">
        <v>91</v>
      </c>
      <c r="D47" s="12" t="s">
        <v>92</v>
      </c>
      <c r="E47" s="13">
        <v>777326.71</v>
      </c>
      <c r="G47" s="13">
        <f t="shared" si="1"/>
        <v>777326.71</v>
      </c>
      <c r="H47" s="14">
        <v>0</v>
      </c>
      <c r="I47" s="14">
        <v>0</v>
      </c>
      <c r="J47" s="14"/>
      <c r="K47" s="14">
        <f t="shared" si="2"/>
        <v>777326.71</v>
      </c>
      <c r="M47" s="11"/>
      <c r="O47" s="15"/>
    </row>
    <row r="48" spans="1:15" outlineLevel="2">
      <c r="A48" s="11">
        <f t="shared" si="0"/>
        <v>44</v>
      </c>
      <c r="B48" s="11" t="s">
        <v>4</v>
      </c>
      <c r="C48" s="17" t="s">
        <v>93</v>
      </c>
      <c r="D48" s="12" t="s">
        <v>94</v>
      </c>
      <c r="E48" s="13">
        <v>1308561.8400000001</v>
      </c>
      <c r="G48" s="13">
        <f t="shared" si="1"/>
        <v>1308561.8400000001</v>
      </c>
      <c r="H48" s="14">
        <v>0</v>
      </c>
      <c r="I48" s="14">
        <v>0</v>
      </c>
      <c r="J48" s="14"/>
      <c r="K48" s="14">
        <f t="shared" si="2"/>
        <v>1308561.8400000001</v>
      </c>
      <c r="M48" s="11"/>
      <c r="O48" s="15"/>
    </row>
    <row r="49" spans="1:15" outlineLevel="2">
      <c r="A49" s="11">
        <f t="shared" si="0"/>
        <v>45</v>
      </c>
      <c r="B49" s="11" t="s">
        <v>4</v>
      </c>
      <c r="C49" s="17" t="s">
        <v>95</v>
      </c>
      <c r="D49" s="12" t="s">
        <v>96</v>
      </c>
      <c r="E49" s="13">
        <v>679540.13</v>
      </c>
      <c r="G49" s="13">
        <f t="shared" si="1"/>
        <v>679540.13</v>
      </c>
      <c r="H49" s="14">
        <v>0</v>
      </c>
      <c r="I49" s="14">
        <v>0</v>
      </c>
      <c r="J49" s="14"/>
      <c r="K49" s="14">
        <f t="shared" si="2"/>
        <v>679540.13</v>
      </c>
      <c r="M49" s="11"/>
      <c r="O49" s="15"/>
    </row>
    <row r="50" spans="1:15" outlineLevel="2">
      <c r="A50" s="11">
        <f t="shared" si="0"/>
        <v>46</v>
      </c>
      <c r="B50" s="11" t="s">
        <v>4</v>
      </c>
      <c r="C50" s="17" t="s">
        <v>97</v>
      </c>
      <c r="D50" s="12" t="s">
        <v>98</v>
      </c>
      <c r="E50" s="13">
        <v>11019006.33</v>
      </c>
      <c r="G50" s="13">
        <f t="shared" si="1"/>
        <v>11019006.33</v>
      </c>
      <c r="H50" s="14">
        <v>0</v>
      </c>
      <c r="I50" s="14">
        <v>0</v>
      </c>
      <c r="J50" s="14"/>
      <c r="K50" s="14">
        <f t="shared" si="2"/>
        <v>11019006.33</v>
      </c>
      <c r="M50" s="11"/>
      <c r="O50" s="15"/>
    </row>
    <row r="51" spans="1:15" outlineLevel="2">
      <c r="A51" s="11">
        <f t="shared" si="0"/>
        <v>47</v>
      </c>
      <c r="B51" s="11" t="s">
        <v>4</v>
      </c>
      <c r="C51" s="17" t="s">
        <v>99</v>
      </c>
      <c r="D51" s="12" t="s">
        <v>100</v>
      </c>
      <c r="E51" s="13">
        <v>16397505.050000001</v>
      </c>
      <c r="G51" s="13">
        <f t="shared" si="1"/>
        <v>16397505.050000001</v>
      </c>
      <c r="H51" s="14">
        <v>0</v>
      </c>
      <c r="I51" s="14">
        <v>0</v>
      </c>
      <c r="J51" s="14"/>
      <c r="K51" s="14">
        <f t="shared" si="2"/>
        <v>16397505.050000001</v>
      </c>
      <c r="M51" s="11"/>
      <c r="O51" s="15"/>
    </row>
    <row r="52" spans="1:15" outlineLevel="2">
      <c r="A52" s="11">
        <f t="shared" si="0"/>
        <v>48</v>
      </c>
      <c r="B52" s="11" t="s">
        <v>4</v>
      </c>
      <c r="C52" s="17" t="s">
        <v>101</v>
      </c>
      <c r="D52" s="12" t="s">
        <v>102</v>
      </c>
      <c r="E52" s="13">
        <v>6788950.71</v>
      </c>
      <c r="F52" s="13">
        <v>471477</v>
      </c>
      <c r="G52" s="13">
        <f t="shared" si="1"/>
        <v>7260427.71</v>
      </c>
      <c r="H52" s="14">
        <v>0</v>
      </c>
      <c r="I52" s="14">
        <v>0</v>
      </c>
      <c r="J52" s="14"/>
      <c r="K52" s="14">
        <f t="shared" si="2"/>
        <v>7260427.71</v>
      </c>
      <c r="M52" s="11"/>
      <c r="O52" s="15"/>
    </row>
    <row r="53" spans="1:15" outlineLevel="2">
      <c r="A53" s="11">
        <f t="shared" si="0"/>
        <v>49</v>
      </c>
      <c r="B53" s="11" t="s">
        <v>4</v>
      </c>
      <c r="C53" s="17" t="s">
        <v>103</v>
      </c>
      <c r="D53" s="12" t="s">
        <v>104</v>
      </c>
      <c r="E53" s="13">
        <v>10455917.060000001</v>
      </c>
      <c r="G53" s="13">
        <f t="shared" si="1"/>
        <v>10455917.060000001</v>
      </c>
      <c r="H53" s="14">
        <v>0</v>
      </c>
      <c r="I53" s="14">
        <v>0</v>
      </c>
      <c r="J53" s="14"/>
      <c r="K53" s="14">
        <f t="shared" si="2"/>
        <v>10455917.060000001</v>
      </c>
      <c r="M53" s="11"/>
      <c r="O53" s="15"/>
    </row>
    <row r="54" spans="1:15" outlineLevel="2">
      <c r="A54" s="11">
        <f t="shared" si="0"/>
        <v>50</v>
      </c>
      <c r="B54" s="11" t="s">
        <v>4</v>
      </c>
      <c r="C54" s="17" t="s">
        <v>105</v>
      </c>
      <c r="D54" s="12" t="s">
        <v>106</v>
      </c>
      <c r="E54" s="13">
        <v>10713977.23</v>
      </c>
      <c r="G54" s="13">
        <f t="shared" si="1"/>
        <v>10713977.23</v>
      </c>
      <c r="H54" s="14">
        <v>0</v>
      </c>
      <c r="I54" s="14">
        <v>0</v>
      </c>
      <c r="J54" s="14"/>
      <c r="K54" s="14">
        <f t="shared" si="2"/>
        <v>10713977.23</v>
      </c>
      <c r="M54" s="11"/>
      <c r="O54" s="15"/>
    </row>
    <row r="55" spans="1:15" outlineLevel="2">
      <c r="A55" s="11">
        <f t="shared" si="0"/>
        <v>51</v>
      </c>
      <c r="B55" s="11" t="s">
        <v>4</v>
      </c>
      <c r="C55" s="17" t="s">
        <v>107</v>
      </c>
      <c r="D55" s="12" t="s">
        <v>108</v>
      </c>
      <c r="E55" s="13">
        <v>4763398.6500000004</v>
      </c>
      <c r="G55" s="13">
        <f t="shared" si="1"/>
        <v>4763398.6500000004</v>
      </c>
      <c r="H55" s="14">
        <v>0</v>
      </c>
      <c r="I55" s="14">
        <v>0</v>
      </c>
      <c r="J55" s="14"/>
      <c r="K55" s="14">
        <f t="shared" si="2"/>
        <v>4763398.6500000004</v>
      </c>
      <c r="M55" s="11"/>
      <c r="O55" s="15"/>
    </row>
    <row r="56" spans="1:15" outlineLevel="2">
      <c r="A56" s="11">
        <f t="shared" si="0"/>
        <v>52</v>
      </c>
      <c r="B56" s="11" t="s">
        <v>4</v>
      </c>
      <c r="C56" s="17" t="s">
        <v>109</v>
      </c>
      <c r="D56" s="12" t="s">
        <v>110</v>
      </c>
      <c r="E56" s="13">
        <v>1948078.5</v>
      </c>
      <c r="G56" s="13">
        <f t="shared" si="1"/>
        <v>1948078.5</v>
      </c>
      <c r="H56" s="14">
        <v>0</v>
      </c>
      <c r="I56" s="14">
        <v>0</v>
      </c>
      <c r="J56" s="14"/>
      <c r="K56" s="14">
        <f t="shared" si="2"/>
        <v>1948078.5</v>
      </c>
      <c r="M56" s="11"/>
      <c r="O56" s="15"/>
    </row>
    <row r="57" spans="1:15" outlineLevel="2">
      <c r="A57" s="11">
        <f t="shared" si="0"/>
        <v>53</v>
      </c>
      <c r="B57" s="11" t="s">
        <v>4</v>
      </c>
      <c r="C57" s="17" t="s">
        <v>111</v>
      </c>
      <c r="D57" s="12" t="s">
        <v>112</v>
      </c>
      <c r="E57" s="13">
        <v>1521173.69</v>
      </c>
      <c r="G57" s="13">
        <f t="shared" si="1"/>
        <v>1521173.69</v>
      </c>
      <c r="H57" s="14">
        <v>0</v>
      </c>
      <c r="I57" s="14">
        <v>0</v>
      </c>
      <c r="J57" s="14"/>
      <c r="K57" s="14">
        <f t="shared" si="2"/>
        <v>1521173.69</v>
      </c>
      <c r="M57" s="11"/>
      <c r="O57" s="15"/>
    </row>
    <row r="58" spans="1:15" outlineLevel="2">
      <c r="A58" s="11">
        <f t="shared" si="0"/>
        <v>54</v>
      </c>
      <c r="B58" s="11" t="s">
        <v>4</v>
      </c>
      <c r="C58" s="17" t="s">
        <v>113</v>
      </c>
      <c r="D58" s="12" t="s">
        <v>114</v>
      </c>
      <c r="E58" s="13">
        <v>455727</v>
      </c>
      <c r="G58" s="13">
        <f t="shared" si="1"/>
        <v>455727</v>
      </c>
      <c r="H58" s="14">
        <v>0</v>
      </c>
      <c r="I58" s="14">
        <v>0</v>
      </c>
      <c r="J58" s="14"/>
      <c r="K58" s="14">
        <f t="shared" si="2"/>
        <v>455727</v>
      </c>
      <c r="M58" s="11"/>
      <c r="O58" s="15"/>
    </row>
    <row r="59" spans="1:15" outlineLevel="2">
      <c r="A59" s="11">
        <f t="shared" si="0"/>
        <v>55</v>
      </c>
      <c r="B59" s="11" t="s">
        <v>4</v>
      </c>
      <c r="C59" s="17" t="s">
        <v>115</v>
      </c>
      <c r="D59" s="12" t="s">
        <v>116</v>
      </c>
      <c r="E59" s="13">
        <v>3361449.06</v>
      </c>
      <c r="G59" s="13">
        <f t="shared" si="1"/>
        <v>3361449.06</v>
      </c>
      <c r="H59" s="14">
        <v>0</v>
      </c>
      <c r="I59" s="14">
        <v>0</v>
      </c>
      <c r="J59" s="14"/>
      <c r="K59" s="14">
        <f t="shared" si="2"/>
        <v>3361449.06</v>
      </c>
      <c r="M59" s="11"/>
      <c r="O59" s="15"/>
    </row>
    <row r="60" spans="1:15" outlineLevel="2">
      <c r="A60" s="11">
        <f t="shared" si="0"/>
        <v>56</v>
      </c>
      <c r="B60" s="11" t="s">
        <v>4</v>
      </c>
      <c r="C60" s="17" t="s">
        <v>117</v>
      </c>
      <c r="D60" s="12" t="s">
        <v>118</v>
      </c>
      <c r="E60" s="13">
        <v>3279089.4</v>
      </c>
      <c r="G60" s="13">
        <f t="shared" si="1"/>
        <v>3279089.4</v>
      </c>
      <c r="H60" s="14">
        <v>0</v>
      </c>
      <c r="I60" s="14">
        <v>0</v>
      </c>
      <c r="J60" s="14"/>
      <c r="K60" s="14">
        <f t="shared" si="2"/>
        <v>3279089.4</v>
      </c>
      <c r="M60" s="11"/>
      <c r="O60" s="15"/>
    </row>
    <row r="61" spans="1:15" outlineLevel="2">
      <c r="A61" s="11">
        <f t="shared" si="0"/>
        <v>57</v>
      </c>
      <c r="B61" s="11" t="s">
        <v>4</v>
      </c>
      <c r="C61" s="17" t="s">
        <v>119</v>
      </c>
      <c r="D61" s="12" t="s">
        <v>120</v>
      </c>
      <c r="E61" s="13">
        <v>156778</v>
      </c>
      <c r="G61" s="13">
        <f>E61+F61</f>
        <v>156778</v>
      </c>
      <c r="H61" s="14">
        <v>0</v>
      </c>
      <c r="I61" s="14">
        <v>0</v>
      </c>
      <c r="J61" s="14"/>
      <c r="K61" s="14">
        <f t="shared" si="2"/>
        <v>156778</v>
      </c>
      <c r="M61" s="11"/>
      <c r="O61" s="15"/>
    </row>
    <row r="62" spans="1:15" outlineLevel="2">
      <c r="A62" s="11">
        <f t="shared" si="0"/>
        <v>58</v>
      </c>
      <c r="B62" s="11" t="s">
        <v>4</v>
      </c>
      <c r="C62" s="17" t="s">
        <v>121</v>
      </c>
      <c r="D62" s="12" t="s">
        <v>122</v>
      </c>
      <c r="E62" s="13">
        <v>12744944.75</v>
      </c>
      <c r="G62" s="13">
        <f t="shared" si="1"/>
        <v>12744944.75</v>
      </c>
      <c r="H62" s="14">
        <v>0</v>
      </c>
      <c r="I62" s="14">
        <v>0</v>
      </c>
      <c r="J62" s="14"/>
      <c r="K62" s="14">
        <f t="shared" si="2"/>
        <v>12744944.75</v>
      </c>
      <c r="M62" s="11"/>
      <c r="O62" s="15"/>
    </row>
    <row r="63" spans="1:15" outlineLevel="2">
      <c r="A63" s="11">
        <f t="shared" si="0"/>
        <v>59</v>
      </c>
      <c r="B63" s="11" t="s">
        <v>4</v>
      </c>
      <c r="C63" s="17" t="s">
        <v>123</v>
      </c>
      <c r="D63" s="12" t="s">
        <v>124</v>
      </c>
      <c r="E63" s="13">
        <v>10110752.16</v>
      </c>
      <c r="G63" s="13">
        <f t="shared" si="1"/>
        <v>10110752.16</v>
      </c>
      <c r="H63" s="14">
        <v>0</v>
      </c>
      <c r="I63" s="14">
        <v>0</v>
      </c>
      <c r="J63" s="14"/>
      <c r="K63" s="14">
        <f t="shared" si="2"/>
        <v>10110752.16</v>
      </c>
      <c r="M63" s="11"/>
      <c r="O63" s="15"/>
    </row>
    <row r="64" spans="1:15" outlineLevel="2">
      <c r="A64" s="11">
        <f t="shared" si="0"/>
        <v>60</v>
      </c>
      <c r="B64" s="11" t="s">
        <v>4</v>
      </c>
      <c r="C64" s="17" t="s">
        <v>125</v>
      </c>
      <c r="D64" s="12" t="s">
        <v>126</v>
      </c>
      <c r="E64" s="13">
        <v>2869905.99</v>
      </c>
      <c r="G64" s="13">
        <f t="shared" si="1"/>
        <v>2869905.99</v>
      </c>
      <c r="H64" s="14">
        <v>0</v>
      </c>
      <c r="I64" s="14">
        <v>0</v>
      </c>
      <c r="J64" s="14"/>
      <c r="K64" s="14">
        <f t="shared" si="2"/>
        <v>2869905.99</v>
      </c>
      <c r="M64" s="11"/>
      <c r="O64" s="15"/>
    </row>
    <row r="65" spans="1:15" outlineLevel="2">
      <c r="A65" s="11">
        <f t="shared" si="0"/>
        <v>61</v>
      </c>
      <c r="B65" s="11" t="s">
        <v>4</v>
      </c>
      <c r="C65" s="17" t="s">
        <v>127</v>
      </c>
      <c r="D65" s="12" t="s">
        <v>128</v>
      </c>
      <c r="E65" s="13">
        <v>3255847.1</v>
      </c>
      <c r="G65" s="13">
        <f t="shared" si="1"/>
        <v>3255847.1</v>
      </c>
      <c r="H65" s="14">
        <v>0</v>
      </c>
      <c r="I65" s="14">
        <v>0</v>
      </c>
      <c r="J65" s="14"/>
      <c r="K65" s="14">
        <f t="shared" si="2"/>
        <v>3255847.1</v>
      </c>
      <c r="M65" s="11"/>
      <c r="O65" s="15"/>
    </row>
    <row r="66" spans="1:15" outlineLevel="2">
      <c r="A66" s="11">
        <f t="shared" si="0"/>
        <v>62</v>
      </c>
      <c r="B66" s="11" t="s">
        <v>4</v>
      </c>
      <c r="C66" s="17" t="s">
        <v>129</v>
      </c>
      <c r="D66" s="12" t="s">
        <v>130</v>
      </c>
      <c r="E66" s="13">
        <v>8681331.6699999999</v>
      </c>
      <c r="G66" s="13">
        <f t="shared" si="1"/>
        <v>8681331.6699999999</v>
      </c>
      <c r="H66" s="14">
        <v>0</v>
      </c>
      <c r="I66" s="14">
        <v>0</v>
      </c>
      <c r="J66" s="14"/>
      <c r="K66" s="14">
        <f t="shared" si="2"/>
        <v>8681331.6699999999</v>
      </c>
      <c r="M66" s="11"/>
      <c r="O66" s="15"/>
    </row>
    <row r="67" spans="1:15" outlineLevel="2">
      <c r="A67" s="11">
        <f t="shared" si="0"/>
        <v>63</v>
      </c>
      <c r="B67" s="11" t="s">
        <v>4</v>
      </c>
      <c r="C67" s="17" t="s">
        <v>131</v>
      </c>
      <c r="D67" s="12" t="s">
        <v>132</v>
      </c>
      <c r="E67" s="13">
        <v>5561904.6399999997</v>
      </c>
      <c r="G67" s="13">
        <f t="shared" si="1"/>
        <v>5561904.6399999997</v>
      </c>
      <c r="H67" s="14">
        <v>0</v>
      </c>
      <c r="I67" s="14">
        <v>0</v>
      </c>
      <c r="J67" s="14"/>
      <c r="K67" s="14">
        <f t="shared" si="2"/>
        <v>5561904.6399999997</v>
      </c>
      <c r="M67" s="11"/>
      <c r="O67" s="15"/>
    </row>
    <row r="68" spans="1:15" outlineLevel="2">
      <c r="A68" s="11">
        <f t="shared" si="0"/>
        <v>64</v>
      </c>
      <c r="B68" s="11" t="s">
        <v>4</v>
      </c>
      <c r="C68" s="17" t="s">
        <v>133</v>
      </c>
      <c r="D68" s="12" t="s">
        <v>134</v>
      </c>
      <c r="E68" s="13">
        <v>3647665.52</v>
      </c>
      <c r="G68" s="13">
        <f t="shared" si="1"/>
        <v>3647665.52</v>
      </c>
      <c r="H68" s="14">
        <v>0</v>
      </c>
      <c r="I68" s="14">
        <v>0</v>
      </c>
      <c r="J68" s="14"/>
      <c r="K68" s="14">
        <f t="shared" si="2"/>
        <v>3647665.52</v>
      </c>
      <c r="M68" s="11"/>
      <c r="O68" s="15"/>
    </row>
    <row r="69" spans="1:15" outlineLevel="2">
      <c r="A69" s="11">
        <f t="shared" si="0"/>
        <v>65</v>
      </c>
      <c r="B69" s="11" t="s">
        <v>4</v>
      </c>
      <c r="C69" s="17" t="s">
        <v>135</v>
      </c>
      <c r="D69" s="12" t="s">
        <v>136</v>
      </c>
      <c r="E69" s="13">
        <v>11263708.41</v>
      </c>
      <c r="G69" s="13">
        <f t="shared" si="1"/>
        <v>11263708.41</v>
      </c>
      <c r="H69" s="14">
        <v>0</v>
      </c>
      <c r="I69" s="14">
        <v>0</v>
      </c>
      <c r="J69" s="14"/>
      <c r="K69" s="14">
        <f t="shared" si="2"/>
        <v>11263708.41</v>
      </c>
      <c r="M69" s="11"/>
      <c r="O69" s="15"/>
    </row>
    <row r="70" spans="1:15" outlineLevel="2">
      <c r="A70" s="11">
        <f t="shared" ref="A70:A135" si="3">A69+1</f>
        <v>66</v>
      </c>
      <c r="B70" s="11" t="s">
        <v>4</v>
      </c>
      <c r="C70" s="17" t="s">
        <v>137</v>
      </c>
      <c r="D70" s="12" t="s">
        <v>138</v>
      </c>
      <c r="E70" s="13">
        <v>617622.68000000005</v>
      </c>
      <c r="G70" s="13">
        <f t="shared" ref="G70:G81" si="4">E70+F70</f>
        <v>617622.68000000005</v>
      </c>
      <c r="H70" s="14">
        <v>0</v>
      </c>
      <c r="I70" s="14">
        <v>0</v>
      </c>
      <c r="J70" s="14"/>
      <c r="K70" s="14">
        <f t="shared" ref="K70:K118" si="5">SUM(G70:J70)</f>
        <v>617622.68000000005</v>
      </c>
      <c r="M70" s="11"/>
      <c r="O70" s="15"/>
    </row>
    <row r="71" spans="1:15" outlineLevel="2">
      <c r="A71" s="11">
        <f t="shared" si="3"/>
        <v>67</v>
      </c>
      <c r="B71" s="11" t="s">
        <v>4</v>
      </c>
      <c r="C71" s="17" t="s">
        <v>139</v>
      </c>
      <c r="D71" s="12" t="s">
        <v>140</v>
      </c>
      <c r="E71" s="13">
        <v>6319621.6699999999</v>
      </c>
      <c r="G71" s="13">
        <f t="shared" si="4"/>
        <v>6319621.6699999999</v>
      </c>
      <c r="H71" s="14">
        <v>0</v>
      </c>
      <c r="I71" s="14">
        <v>0</v>
      </c>
      <c r="J71" s="14"/>
      <c r="K71" s="14">
        <f t="shared" si="5"/>
        <v>6319621.6699999999</v>
      </c>
      <c r="M71" s="11"/>
      <c r="O71" s="15"/>
    </row>
    <row r="72" spans="1:15" outlineLevel="2">
      <c r="A72" s="11">
        <f t="shared" si="3"/>
        <v>68</v>
      </c>
      <c r="B72" s="11" t="s">
        <v>4</v>
      </c>
      <c r="C72" s="17" t="s">
        <v>141</v>
      </c>
      <c r="D72" s="12" t="s">
        <v>142</v>
      </c>
      <c r="E72" s="13">
        <v>1189519.96</v>
      </c>
      <c r="G72" s="13">
        <f t="shared" si="4"/>
        <v>1189519.96</v>
      </c>
      <c r="H72" s="14">
        <v>0</v>
      </c>
      <c r="I72" s="14">
        <v>0</v>
      </c>
      <c r="J72" s="14"/>
      <c r="K72" s="14">
        <f t="shared" si="5"/>
        <v>1189519.96</v>
      </c>
      <c r="M72" s="11"/>
      <c r="O72" s="15"/>
    </row>
    <row r="73" spans="1:15" outlineLevel="2">
      <c r="A73" s="11">
        <f t="shared" si="3"/>
        <v>69</v>
      </c>
      <c r="B73" s="11" t="s">
        <v>4</v>
      </c>
      <c r="C73" s="17" t="s">
        <v>143</v>
      </c>
      <c r="D73" s="12" t="s">
        <v>144</v>
      </c>
      <c r="E73" s="13">
        <v>4941648.6100000003</v>
      </c>
      <c r="G73" s="13">
        <f t="shared" si="4"/>
        <v>4941648.6100000003</v>
      </c>
      <c r="H73" s="14">
        <v>0</v>
      </c>
      <c r="I73" s="14">
        <v>0</v>
      </c>
      <c r="J73" s="14"/>
      <c r="K73" s="14">
        <f t="shared" si="5"/>
        <v>4941648.6100000003</v>
      </c>
      <c r="M73" s="11"/>
      <c r="O73" s="15"/>
    </row>
    <row r="74" spans="1:15" outlineLevel="2">
      <c r="A74" s="11">
        <f t="shared" si="3"/>
        <v>70</v>
      </c>
      <c r="B74" s="11" t="s">
        <v>4</v>
      </c>
      <c r="C74" s="17" t="s">
        <v>145</v>
      </c>
      <c r="D74" s="12" t="s">
        <v>146</v>
      </c>
      <c r="E74" s="13">
        <v>3155849.87</v>
      </c>
      <c r="G74" s="13">
        <f t="shared" si="4"/>
        <v>3155849.87</v>
      </c>
      <c r="H74" s="14">
        <v>0</v>
      </c>
      <c r="I74" s="14">
        <v>0</v>
      </c>
      <c r="J74" s="14"/>
      <c r="K74" s="14">
        <f t="shared" si="5"/>
        <v>3155849.87</v>
      </c>
      <c r="M74" s="11"/>
      <c r="O74" s="15"/>
    </row>
    <row r="75" spans="1:15" outlineLevel="2">
      <c r="A75" s="11">
        <f t="shared" si="3"/>
        <v>71</v>
      </c>
      <c r="B75" s="11" t="s">
        <v>4</v>
      </c>
      <c r="C75" s="17" t="s">
        <v>147</v>
      </c>
      <c r="D75" s="12" t="s">
        <v>148</v>
      </c>
      <c r="E75" s="13">
        <v>28751576.699999999</v>
      </c>
      <c r="G75" s="13">
        <f t="shared" si="4"/>
        <v>28751576.699999999</v>
      </c>
      <c r="H75" s="14">
        <v>0</v>
      </c>
      <c r="I75" s="14">
        <v>0</v>
      </c>
      <c r="J75" s="14"/>
      <c r="K75" s="14">
        <f t="shared" si="5"/>
        <v>28751576.699999999</v>
      </c>
      <c r="M75" s="11"/>
      <c r="O75" s="15"/>
    </row>
    <row r="76" spans="1:15" outlineLevel="2">
      <c r="A76" s="11">
        <f t="shared" si="3"/>
        <v>72</v>
      </c>
      <c r="B76" s="11" t="s">
        <v>4</v>
      </c>
      <c r="C76" s="17" t="s">
        <v>149</v>
      </c>
      <c r="D76" s="12" t="s">
        <v>150</v>
      </c>
      <c r="E76" s="13">
        <v>1055414.43</v>
      </c>
      <c r="G76" s="13">
        <f t="shared" si="4"/>
        <v>1055414.43</v>
      </c>
      <c r="H76" s="14">
        <v>0</v>
      </c>
      <c r="I76" s="14">
        <v>0</v>
      </c>
      <c r="J76" s="14"/>
      <c r="K76" s="14">
        <f t="shared" si="5"/>
        <v>1055414.43</v>
      </c>
      <c r="M76" s="11"/>
      <c r="O76" s="15"/>
    </row>
    <row r="77" spans="1:15" outlineLevel="2">
      <c r="A77" s="11">
        <f t="shared" si="3"/>
        <v>73</v>
      </c>
      <c r="B77" s="11" t="s">
        <v>4</v>
      </c>
      <c r="C77" s="17" t="s">
        <v>151</v>
      </c>
      <c r="D77" s="12" t="s">
        <v>152</v>
      </c>
      <c r="E77" s="13">
        <v>8982947.9100000001</v>
      </c>
      <c r="G77" s="13">
        <f t="shared" si="4"/>
        <v>8982947.9100000001</v>
      </c>
      <c r="H77" s="14">
        <v>0</v>
      </c>
      <c r="I77" s="14">
        <v>0</v>
      </c>
      <c r="J77" s="14"/>
      <c r="K77" s="14">
        <f t="shared" si="5"/>
        <v>8982947.9100000001</v>
      </c>
      <c r="M77" s="11"/>
      <c r="O77" s="15"/>
    </row>
    <row r="78" spans="1:15" outlineLevel="2">
      <c r="A78" s="11">
        <f t="shared" si="3"/>
        <v>74</v>
      </c>
      <c r="B78" s="11" t="s">
        <v>4</v>
      </c>
      <c r="C78" s="17" t="s">
        <v>153</v>
      </c>
      <c r="D78" s="12" t="s">
        <v>154</v>
      </c>
      <c r="E78" s="13">
        <v>5274133.7300000004</v>
      </c>
      <c r="G78" s="13">
        <f t="shared" si="4"/>
        <v>5274133.7300000004</v>
      </c>
      <c r="H78" s="14">
        <v>0</v>
      </c>
      <c r="I78" s="14">
        <v>0</v>
      </c>
      <c r="J78" s="14"/>
      <c r="K78" s="14">
        <f t="shared" si="5"/>
        <v>5274133.7300000004</v>
      </c>
      <c r="M78" s="11"/>
      <c r="O78" s="15"/>
    </row>
    <row r="79" spans="1:15" outlineLevel="2">
      <c r="A79" s="698">
        <f t="shared" si="3"/>
        <v>75</v>
      </c>
      <c r="B79" s="698" t="s">
        <v>4</v>
      </c>
      <c r="C79" s="699" t="s">
        <v>2519</v>
      </c>
      <c r="D79" s="700" t="s">
        <v>2522</v>
      </c>
      <c r="E79" s="701">
        <v>0</v>
      </c>
      <c r="F79" s="701">
        <v>136000</v>
      </c>
      <c r="G79" s="701">
        <f t="shared" si="4"/>
        <v>136000</v>
      </c>
      <c r="H79" s="702">
        <v>0</v>
      </c>
      <c r="I79" s="702">
        <v>0</v>
      </c>
      <c r="J79" s="702">
        <v>-136000</v>
      </c>
      <c r="K79" s="702">
        <f t="shared" si="5"/>
        <v>0</v>
      </c>
      <c r="M79" s="11"/>
      <c r="O79" s="15"/>
    </row>
    <row r="80" spans="1:15" outlineLevel="2">
      <c r="A80" s="11">
        <f t="shared" si="3"/>
        <v>76</v>
      </c>
      <c r="B80" s="11" t="s">
        <v>4</v>
      </c>
      <c r="C80" s="17" t="s">
        <v>155</v>
      </c>
      <c r="D80" s="12" t="s">
        <v>156</v>
      </c>
      <c r="E80" s="13">
        <v>1089083.24</v>
      </c>
      <c r="G80" s="13">
        <f t="shared" si="4"/>
        <v>1089083.24</v>
      </c>
      <c r="H80" s="14">
        <v>0</v>
      </c>
      <c r="I80" s="14">
        <v>0</v>
      </c>
      <c r="J80" s="14"/>
      <c r="K80" s="14">
        <f t="shared" si="5"/>
        <v>1089083.24</v>
      </c>
      <c r="M80" s="11"/>
      <c r="O80" s="15"/>
    </row>
    <row r="81" spans="1:15" outlineLevel="2">
      <c r="A81" s="11">
        <f t="shared" si="3"/>
        <v>77</v>
      </c>
      <c r="B81" s="11" t="s">
        <v>4</v>
      </c>
      <c r="C81" s="17" t="s">
        <v>157</v>
      </c>
      <c r="D81" s="12" t="s">
        <v>158</v>
      </c>
      <c r="E81" s="13">
        <v>1816903.7</v>
      </c>
      <c r="G81" s="13">
        <f t="shared" si="4"/>
        <v>1816903.7</v>
      </c>
      <c r="H81" s="14">
        <v>0</v>
      </c>
      <c r="I81" s="14">
        <v>0</v>
      </c>
      <c r="J81" s="14"/>
      <c r="K81" s="14">
        <f t="shared" si="5"/>
        <v>1816903.7</v>
      </c>
      <c r="M81" s="11"/>
      <c r="O81" s="15"/>
    </row>
    <row r="82" spans="1:15" outlineLevel="2">
      <c r="A82" s="11">
        <f t="shared" si="3"/>
        <v>78</v>
      </c>
      <c r="B82" s="11" t="s">
        <v>4</v>
      </c>
      <c r="C82" s="17" t="s">
        <v>159</v>
      </c>
      <c r="D82" s="12" t="s">
        <v>160</v>
      </c>
      <c r="E82" s="13">
        <v>1790107.66</v>
      </c>
      <c r="G82" s="13">
        <f>E82+F82</f>
        <v>1790107.66</v>
      </c>
      <c r="H82" s="14">
        <v>0</v>
      </c>
      <c r="I82" s="14">
        <v>0</v>
      </c>
      <c r="J82" s="14"/>
      <c r="K82" s="14">
        <f t="shared" si="5"/>
        <v>1790107.66</v>
      </c>
      <c r="M82" s="11"/>
      <c r="O82" s="15"/>
    </row>
    <row r="83" spans="1:15" outlineLevel="2">
      <c r="A83" s="11">
        <f t="shared" si="3"/>
        <v>79</v>
      </c>
      <c r="B83" s="11" t="s">
        <v>4</v>
      </c>
      <c r="C83" s="17" t="s">
        <v>161</v>
      </c>
      <c r="D83" s="12" t="s">
        <v>162</v>
      </c>
      <c r="E83" s="13">
        <v>6346264.54</v>
      </c>
      <c r="G83" s="13">
        <f t="shared" ref="G83:G102" si="6">E83+F83</f>
        <v>6346264.54</v>
      </c>
      <c r="H83" s="14">
        <v>0</v>
      </c>
      <c r="I83" s="14">
        <v>0</v>
      </c>
      <c r="J83" s="14"/>
      <c r="K83" s="14">
        <f t="shared" si="5"/>
        <v>6346264.54</v>
      </c>
      <c r="M83" s="11"/>
      <c r="O83" s="15"/>
    </row>
    <row r="84" spans="1:15" outlineLevel="2">
      <c r="A84" s="11">
        <f t="shared" si="3"/>
        <v>80</v>
      </c>
      <c r="B84" s="11" t="s">
        <v>4</v>
      </c>
      <c r="C84" s="17" t="s">
        <v>163</v>
      </c>
      <c r="D84" s="12" t="s">
        <v>164</v>
      </c>
      <c r="E84" s="13">
        <v>10569337.84</v>
      </c>
      <c r="G84" s="13">
        <f t="shared" si="6"/>
        <v>10569337.84</v>
      </c>
      <c r="H84" s="14">
        <v>0</v>
      </c>
      <c r="I84" s="14">
        <v>0</v>
      </c>
      <c r="J84" s="14"/>
      <c r="K84" s="14">
        <f t="shared" si="5"/>
        <v>10569337.84</v>
      </c>
      <c r="M84" s="11"/>
      <c r="O84" s="15"/>
    </row>
    <row r="85" spans="1:15" outlineLevel="2">
      <c r="A85" s="11">
        <f t="shared" si="3"/>
        <v>81</v>
      </c>
      <c r="B85" s="11" t="s">
        <v>4</v>
      </c>
      <c r="C85" s="17" t="s">
        <v>165</v>
      </c>
      <c r="D85" s="12" t="s">
        <v>166</v>
      </c>
      <c r="E85" s="13">
        <v>3750704.04</v>
      </c>
      <c r="G85" s="13">
        <f t="shared" si="6"/>
        <v>3750704.04</v>
      </c>
      <c r="H85" s="14">
        <v>0</v>
      </c>
      <c r="I85" s="14">
        <v>0</v>
      </c>
      <c r="J85" s="14"/>
      <c r="K85" s="14">
        <f t="shared" si="5"/>
        <v>3750704.04</v>
      </c>
      <c r="M85" s="11"/>
      <c r="O85" s="15"/>
    </row>
    <row r="86" spans="1:15" outlineLevel="2">
      <c r="A86" s="11">
        <f t="shared" si="3"/>
        <v>82</v>
      </c>
      <c r="B86" s="11" t="s">
        <v>4</v>
      </c>
      <c r="C86" s="17" t="s">
        <v>167</v>
      </c>
      <c r="D86" s="12" t="s">
        <v>168</v>
      </c>
      <c r="E86" s="13">
        <v>2915316.01</v>
      </c>
      <c r="G86" s="13">
        <f t="shared" si="6"/>
        <v>2915316.01</v>
      </c>
      <c r="H86" s="14">
        <v>0</v>
      </c>
      <c r="I86" s="14">
        <v>0</v>
      </c>
      <c r="J86" s="14"/>
      <c r="K86" s="14">
        <f t="shared" si="5"/>
        <v>2915316.01</v>
      </c>
      <c r="M86" s="11"/>
      <c r="O86" s="15"/>
    </row>
    <row r="87" spans="1:15" outlineLevel="2">
      <c r="A87" s="11">
        <f t="shared" si="3"/>
        <v>83</v>
      </c>
      <c r="B87" s="11" t="s">
        <v>4</v>
      </c>
      <c r="C87" s="17" t="s">
        <v>169</v>
      </c>
      <c r="D87" s="12" t="s">
        <v>170</v>
      </c>
      <c r="E87" s="13">
        <v>1132485.8600000001</v>
      </c>
      <c r="G87" s="13">
        <f t="shared" si="6"/>
        <v>1132485.8600000001</v>
      </c>
      <c r="H87" s="14">
        <v>0</v>
      </c>
      <c r="I87" s="14">
        <v>0</v>
      </c>
      <c r="J87" s="14"/>
      <c r="K87" s="14">
        <f t="shared" si="5"/>
        <v>1132485.8600000001</v>
      </c>
      <c r="M87" s="11"/>
      <c r="O87" s="15"/>
    </row>
    <row r="88" spans="1:15" outlineLevel="2">
      <c r="A88" s="11">
        <f t="shared" si="3"/>
        <v>84</v>
      </c>
      <c r="B88" s="11" t="s">
        <v>4</v>
      </c>
      <c r="C88" s="17" t="s">
        <v>171</v>
      </c>
      <c r="D88" s="12" t="s">
        <v>172</v>
      </c>
      <c r="E88" s="13">
        <v>309991</v>
      </c>
      <c r="G88" s="13">
        <f t="shared" si="6"/>
        <v>309991</v>
      </c>
      <c r="H88" s="14">
        <v>0</v>
      </c>
      <c r="I88" s="14">
        <v>0</v>
      </c>
      <c r="J88" s="14"/>
      <c r="K88" s="14">
        <f t="shared" si="5"/>
        <v>309991</v>
      </c>
      <c r="M88" s="11"/>
      <c r="O88" s="15"/>
    </row>
    <row r="89" spans="1:15" outlineLevel="2">
      <c r="A89" s="11">
        <f t="shared" si="3"/>
        <v>85</v>
      </c>
      <c r="B89" s="11" t="s">
        <v>4</v>
      </c>
      <c r="C89" s="17" t="s">
        <v>173</v>
      </c>
      <c r="D89" s="12" t="s">
        <v>174</v>
      </c>
      <c r="E89" s="13">
        <v>2651859.84</v>
      </c>
      <c r="G89" s="13">
        <f t="shared" si="6"/>
        <v>2651859.84</v>
      </c>
      <c r="H89" s="14">
        <v>0</v>
      </c>
      <c r="I89" s="14">
        <v>0</v>
      </c>
      <c r="J89" s="14"/>
      <c r="K89" s="14">
        <f t="shared" si="5"/>
        <v>2651859.84</v>
      </c>
      <c r="M89" s="11"/>
      <c r="O89" s="15"/>
    </row>
    <row r="90" spans="1:15" ht="13.5" customHeight="1" outlineLevel="2">
      <c r="A90" s="11">
        <f t="shared" si="3"/>
        <v>86</v>
      </c>
      <c r="B90" s="11" t="s">
        <v>4</v>
      </c>
      <c r="C90" s="17" t="s">
        <v>175</v>
      </c>
      <c r="D90" s="12" t="s">
        <v>176</v>
      </c>
      <c r="E90" s="13">
        <v>3973415.92</v>
      </c>
      <c r="G90" s="13">
        <f t="shared" si="6"/>
        <v>3973415.92</v>
      </c>
      <c r="H90" s="14">
        <v>0</v>
      </c>
      <c r="I90" s="14">
        <v>0</v>
      </c>
      <c r="J90" s="14"/>
      <c r="K90" s="14">
        <f t="shared" si="5"/>
        <v>3973415.92</v>
      </c>
      <c r="M90" s="11"/>
      <c r="O90" s="15"/>
    </row>
    <row r="91" spans="1:15" outlineLevel="2">
      <c r="A91" s="11">
        <f t="shared" si="3"/>
        <v>87</v>
      </c>
      <c r="B91" s="11" t="s">
        <v>4</v>
      </c>
      <c r="C91" s="17" t="s">
        <v>177</v>
      </c>
      <c r="D91" s="12" t="s">
        <v>178</v>
      </c>
      <c r="E91" s="13">
        <v>5563295.5999999996</v>
      </c>
      <c r="G91" s="13">
        <f t="shared" si="6"/>
        <v>5563295.5999999996</v>
      </c>
      <c r="H91" s="14">
        <v>0</v>
      </c>
      <c r="I91" s="14">
        <v>0</v>
      </c>
      <c r="J91" s="14"/>
      <c r="K91" s="14">
        <f t="shared" si="5"/>
        <v>5563295.5999999996</v>
      </c>
      <c r="M91" s="11"/>
      <c r="O91" s="15"/>
    </row>
    <row r="92" spans="1:15" outlineLevel="2">
      <c r="A92" s="11">
        <f t="shared" si="3"/>
        <v>88</v>
      </c>
      <c r="B92" s="11" t="s">
        <v>4</v>
      </c>
      <c r="C92" s="17" t="s">
        <v>179</v>
      </c>
      <c r="D92" s="12" t="s">
        <v>180</v>
      </c>
      <c r="E92" s="13">
        <v>5949647.5099999998</v>
      </c>
      <c r="G92" s="13">
        <f t="shared" si="6"/>
        <v>5949647.5099999998</v>
      </c>
      <c r="H92" s="14">
        <v>0</v>
      </c>
      <c r="I92" s="14">
        <v>0</v>
      </c>
      <c r="J92" s="14"/>
      <c r="K92" s="14">
        <f t="shared" si="5"/>
        <v>5949647.5099999998</v>
      </c>
      <c r="M92" s="11"/>
      <c r="O92" s="15"/>
    </row>
    <row r="93" spans="1:15" outlineLevel="2">
      <c r="A93" s="11">
        <f t="shared" si="3"/>
        <v>89</v>
      </c>
      <c r="B93" s="11" t="s">
        <v>4</v>
      </c>
      <c r="C93" s="17" t="s">
        <v>181</v>
      </c>
      <c r="D93" s="12" t="s">
        <v>182</v>
      </c>
      <c r="E93" s="13">
        <v>1967901.35</v>
      </c>
      <c r="G93" s="13">
        <f t="shared" si="6"/>
        <v>1967901.35</v>
      </c>
      <c r="H93" s="14">
        <v>0</v>
      </c>
      <c r="I93" s="14">
        <v>0</v>
      </c>
      <c r="J93" s="14"/>
      <c r="K93" s="14">
        <f t="shared" si="5"/>
        <v>1967901.35</v>
      </c>
      <c r="M93" s="11"/>
      <c r="O93" s="15"/>
    </row>
    <row r="94" spans="1:15" outlineLevel="2">
      <c r="A94" s="11">
        <f t="shared" si="3"/>
        <v>90</v>
      </c>
      <c r="B94" s="11" t="s">
        <v>4</v>
      </c>
      <c r="C94" s="17" t="s">
        <v>183</v>
      </c>
      <c r="D94" s="12" t="s">
        <v>184</v>
      </c>
      <c r="E94" s="13">
        <v>6683770.3600000003</v>
      </c>
      <c r="G94" s="13">
        <f t="shared" si="6"/>
        <v>6683770.3600000003</v>
      </c>
      <c r="H94" s="14">
        <v>0</v>
      </c>
      <c r="I94" s="14">
        <v>0</v>
      </c>
      <c r="J94" s="14"/>
      <c r="K94" s="14">
        <f t="shared" si="5"/>
        <v>6683770.3600000003</v>
      </c>
      <c r="M94" s="11"/>
      <c r="O94" s="15"/>
    </row>
    <row r="95" spans="1:15" outlineLevel="2">
      <c r="A95" s="11">
        <f t="shared" si="3"/>
        <v>91</v>
      </c>
      <c r="B95" s="11" t="s">
        <v>4</v>
      </c>
      <c r="C95" s="17" t="s">
        <v>185</v>
      </c>
      <c r="D95" s="12" t="s">
        <v>186</v>
      </c>
      <c r="E95" s="13">
        <v>388816.19</v>
      </c>
      <c r="G95" s="13">
        <f t="shared" si="6"/>
        <v>388816.19</v>
      </c>
      <c r="H95" s="14">
        <v>0</v>
      </c>
      <c r="I95" s="14">
        <v>0</v>
      </c>
      <c r="J95" s="14"/>
      <c r="K95" s="14">
        <f t="shared" si="5"/>
        <v>388816.19</v>
      </c>
      <c r="M95" s="11"/>
      <c r="O95" s="15"/>
    </row>
    <row r="96" spans="1:15" outlineLevel="2">
      <c r="A96" s="11">
        <f t="shared" si="3"/>
        <v>92</v>
      </c>
      <c r="B96" s="11" t="s">
        <v>4</v>
      </c>
      <c r="C96" s="17" t="s">
        <v>187</v>
      </c>
      <c r="D96" s="12" t="s">
        <v>188</v>
      </c>
      <c r="E96" s="13">
        <v>2488318.48</v>
      </c>
      <c r="G96" s="13">
        <f t="shared" si="6"/>
        <v>2488318.48</v>
      </c>
      <c r="H96" s="14">
        <v>0</v>
      </c>
      <c r="I96" s="14">
        <v>0</v>
      </c>
      <c r="J96" s="14"/>
      <c r="K96" s="14">
        <f t="shared" si="5"/>
        <v>2488318.48</v>
      </c>
      <c r="M96" s="11"/>
      <c r="O96" s="15"/>
    </row>
    <row r="97" spans="1:15" outlineLevel="2">
      <c r="A97" s="11">
        <f t="shared" si="3"/>
        <v>93</v>
      </c>
      <c r="B97" s="11" t="s">
        <v>4</v>
      </c>
      <c r="C97" s="17" t="s">
        <v>189</v>
      </c>
      <c r="D97" s="12" t="s">
        <v>190</v>
      </c>
      <c r="E97" s="13">
        <v>2140435.5299999998</v>
      </c>
      <c r="G97" s="13">
        <f t="shared" si="6"/>
        <v>2140435.5299999998</v>
      </c>
      <c r="H97" s="14">
        <v>0</v>
      </c>
      <c r="I97" s="14">
        <v>0</v>
      </c>
      <c r="J97" s="14"/>
      <c r="K97" s="14">
        <f t="shared" si="5"/>
        <v>2140435.5299999998</v>
      </c>
      <c r="M97" s="11"/>
      <c r="O97" s="15"/>
    </row>
    <row r="98" spans="1:15" outlineLevel="2">
      <c r="A98" s="11">
        <f t="shared" si="3"/>
        <v>94</v>
      </c>
      <c r="B98" s="11" t="s">
        <v>4</v>
      </c>
      <c r="C98" s="17" t="s">
        <v>2365</v>
      </c>
      <c r="D98" s="12" t="s">
        <v>1567</v>
      </c>
      <c r="E98" s="13">
        <v>9269194.1600000001</v>
      </c>
      <c r="G98" s="13">
        <f t="shared" si="6"/>
        <v>9269194.1600000001</v>
      </c>
      <c r="H98" s="14"/>
      <c r="I98" s="14"/>
      <c r="J98" s="14"/>
      <c r="K98" s="14">
        <f t="shared" si="5"/>
        <v>9269194.1600000001</v>
      </c>
      <c r="M98" s="11"/>
      <c r="O98" s="15"/>
    </row>
    <row r="99" spans="1:15" outlineLevel="2">
      <c r="A99" s="11">
        <f t="shared" si="3"/>
        <v>95</v>
      </c>
      <c r="B99" s="11" t="s">
        <v>4</v>
      </c>
      <c r="C99" s="17" t="s">
        <v>191</v>
      </c>
      <c r="D99" s="12" t="s">
        <v>192</v>
      </c>
      <c r="E99" s="13">
        <v>52063.76</v>
      </c>
      <c r="G99" s="13">
        <f t="shared" si="6"/>
        <v>52063.76</v>
      </c>
      <c r="H99" s="14">
        <v>0</v>
      </c>
      <c r="I99" s="14">
        <v>0</v>
      </c>
      <c r="J99" s="14"/>
      <c r="K99" s="14">
        <f t="shared" si="5"/>
        <v>52063.76</v>
      </c>
      <c r="M99" s="11"/>
      <c r="O99" s="15"/>
    </row>
    <row r="100" spans="1:15" outlineLevel="2">
      <c r="A100" s="11">
        <f t="shared" si="3"/>
        <v>96</v>
      </c>
      <c r="B100" s="11" t="s">
        <v>4</v>
      </c>
      <c r="C100" s="17" t="s">
        <v>193</v>
      </c>
      <c r="D100" s="12" t="s">
        <v>194</v>
      </c>
      <c r="E100" s="13">
        <v>2235654.88</v>
      </c>
      <c r="G100" s="13">
        <f t="shared" si="6"/>
        <v>2235654.88</v>
      </c>
      <c r="H100" s="14">
        <v>0</v>
      </c>
      <c r="I100" s="14">
        <v>0</v>
      </c>
      <c r="J100" s="14"/>
      <c r="K100" s="14">
        <f t="shared" si="5"/>
        <v>2235654.88</v>
      </c>
      <c r="M100" s="11"/>
      <c r="O100" s="15"/>
    </row>
    <row r="101" spans="1:15" outlineLevel="2">
      <c r="A101" s="11">
        <f t="shared" si="3"/>
        <v>97</v>
      </c>
      <c r="B101" s="11" t="s">
        <v>4</v>
      </c>
      <c r="C101" s="17" t="s">
        <v>2324</v>
      </c>
      <c r="D101" s="12" t="s">
        <v>195</v>
      </c>
      <c r="E101" s="13">
        <v>576089.67000000004</v>
      </c>
      <c r="G101" s="13">
        <f t="shared" si="6"/>
        <v>576089.67000000004</v>
      </c>
      <c r="H101" s="14">
        <v>-576090</v>
      </c>
      <c r="I101" s="14">
        <v>0</v>
      </c>
      <c r="J101" s="14"/>
      <c r="K101" s="14">
        <f t="shared" si="5"/>
        <v>-0.32999999995809048</v>
      </c>
      <c r="M101" s="11"/>
      <c r="O101" s="15"/>
    </row>
    <row r="102" spans="1:15" outlineLevel="2">
      <c r="A102" s="11">
        <f t="shared" si="3"/>
        <v>98</v>
      </c>
      <c r="B102" s="11" t="s">
        <v>4</v>
      </c>
      <c r="C102" s="17" t="s">
        <v>196</v>
      </c>
      <c r="D102" s="12" t="s">
        <v>197</v>
      </c>
      <c r="E102" s="13">
        <v>7485605.7400000002</v>
      </c>
      <c r="G102" s="13">
        <f t="shared" si="6"/>
        <v>7485605.7400000002</v>
      </c>
      <c r="H102" s="14">
        <v>0</v>
      </c>
      <c r="I102" s="14">
        <v>0</v>
      </c>
      <c r="J102" s="14"/>
      <c r="K102" s="14">
        <f t="shared" si="5"/>
        <v>7485605.7400000002</v>
      </c>
      <c r="M102" s="11"/>
      <c r="O102" s="15"/>
    </row>
    <row r="103" spans="1:15" outlineLevel="2">
      <c r="A103" s="11">
        <f t="shared" si="3"/>
        <v>99</v>
      </c>
      <c r="B103" s="11" t="s">
        <v>4</v>
      </c>
      <c r="C103" s="17" t="s">
        <v>198</v>
      </c>
      <c r="D103" s="12" t="s">
        <v>199</v>
      </c>
      <c r="E103" s="13">
        <v>1938352.95</v>
      </c>
      <c r="G103" s="13">
        <f>E103+F103</f>
        <v>1938352.95</v>
      </c>
      <c r="H103" s="14">
        <v>0</v>
      </c>
      <c r="I103" s="14">
        <v>0</v>
      </c>
      <c r="J103" s="14"/>
      <c r="K103" s="14">
        <f t="shared" si="5"/>
        <v>1938352.95</v>
      </c>
      <c r="M103" s="11"/>
      <c r="O103" s="15"/>
    </row>
    <row r="104" spans="1:15" outlineLevel="2">
      <c r="A104" s="11">
        <f t="shared" si="3"/>
        <v>100</v>
      </c>
      <c r="B104" s="11" t="s">
        <v>4</v>
      </c>
      <c r="C104" s="17" t="s">
        <v>200</v>
      </c>
      <c r="D104" s="12" t="s">
        <v>201</v>
      </c>
      <c r="E104" s="13">
        <v>3217192.17</v>
      </c>
      <c r="G104" s="13">
        <f t="shared" ref="G104:G118" si="7">E104+F104</f>
        <v>3217192.17</v>
      </c>
      <c r="H104" s="14">
        <v>0</v>
      </c>
      <c r="I104" s="14">
        <v>0</v>
      </c>
      <c r="J104" s="14"/>
      <c r="K104" s="14">
        <f t="shared" si="5"/>
        <v>3217192.17</v>
      </c>
      <c r="M104" s="11"/>
      <c r="O104" s="15"/>
    </row>
    <row r="105" spans="1:15" outlineLevel="2">
      <c r="A105" s="11">
        <f t="shared" si="3"/>
        <v>101</v>
      </c>
      <c r="B105" s="11" t="s">
        <v>4</v>
      </c>
      <c r="C105" s="17" t="s">
        <v>202</v>
      </c>
      <c r="D105" s="12" t="s">
        <v>203</v>
      </c>
      <c r="E105" s="13">
        <v>277896.62</v>
      </c>
      <c r="G105" s="13">
        <f t="shared" si="7"/>
        <v>277896.62</v>
      </c>
      <c r="H105" s="14">
        <v>0</v>
      </c>
      <c r="I105" s="14">
        <v>0</v>
      </c>
      <c r="J105" s="14"/>
      <c r="K105" s="14">
        <f t="shared" si="5"/>
        <v>277896.62</v>
      </c>
      <c r="M105" s="11"/>
    </row>
    <row r="106" spans="1:15" outlineLevel="2">
      <c r="A106" s="11">
        <f t="shared" si="3"/>
        <v>102</v>
      </c>
      <c r="B106" s="11" t="s">
        <v>4</v>
      </c>
      <c r="C106" s="17" t="s">
        <v>204</v>
      </c>
      <c r="D106" s="12" t="s">
        <v>205</v>
      </c>
      <c r="E106" s="13">
        <v>6743203.0499999998</v>
      </c>
      <c r="G106" s="13">
        <f t="shared" si="7"/>
        <v>6743203.0499999998</v>
      </c>
      <c r="H106" s="14">
        <v>0</v>
      </c>
      <c r="I106" s="14">
        <v>0</v>
      </c>
      <c r="J106" s="14"/>
      <c r="K106" s="14">
        <f t="shared" si="5"/>
        <v>6743203.0499999998</v>
      </c>
      <c r="M106" s="11"/>
      <c r="O106" s="15"/>
    </row>
    <row r="107" spans="1:15" outlineLevel="2">
      <c r="A107" s="11">
        <f t="shared" si="3"/>
        <v>103</v>
      </c>
      <c r="B107" s="11" t="s">
        <v>4</v>
      </c>
      <c r="C107" s="17" t="s">
        <v>206</v>
      </c>
      <c r="D107" s="12" t="s">
        <v>207</v>
      </c>
      <c r="E107" s="13">
        <v>1084857.5</v>
      </c>
      <c r="G107" s="13">
        <f t="shared" si="7"/>
        <v>1084857.5</v>
      </c>
      <c r="H107" s="14">
        <v>0</v>
      </c>
      <c r="I107" s="14">
        <v>0</v>
      </c>
      <c r="J107" s="14"/>
      <c r="K107" s="14">
        <f t="shared" si="5"/>
        <v>1084857.5</v>
      </c>
    </row>
    <row r="108" spans="1:15" outlineLevel="2">
      <c r="A108" s="11">
        <f t="shared" si="3"/>
        <v>104</v>
      </c>
      <c r="B108" s="11" t="s">
        <v>4</v>
      </c>
      <c r="C108" s="17" t="s">
        <v>208</v>
      </c>
      <c r="D108" s="12" t="s">
        <v>209</v>
      </c>
      <c r="E108" s="13">
        <v>3485236.01</v>
      </c>
      <c r="G108" s="13">
        <f t="shared" si="7"/>
        <v>3485236.01</v>
      </c>
      <c r="H108" s="14">
        <v>0</v>
      </c>
      <c r="I108" s="14">
        <v>0</v>
      </c>
      <c r="J108" s="14"/>
      <c r="K108" s="14">
        <f t="shared" si="5"/>
        <v>3485236.01</v>
      </c>
      <c r="M108" s="11"/>
      <c r="O108" s="15"/>
    </row>
    <row r="109" spans="1:15" outlineLevel="2">
      <c r="A109" s="11">
        <f t="shared" si="3"/>
        <v>105</v>
      </c>
      <c r="B109" s="11" t="s">
        <v>4</v>
      </c>
      <c r="C109" s="17" t="s">
        <v>210</v>
      </c>
      <c r="D109" s="12" t="s">
        <v>211</v>
      </c>
      <c r="E109" s="13">
        <v>1527895.21</v>
      </c>
      <c r="G109" s="13">
        <f t="shared" si="7"/>
        <v>1527895.21</v>
      </c>
      <c r="H109" s="14">
        <v>0</v>
      </c>
      <c r="I109" s="14">
        <v>0</v>
      </c>
      <c r="J109" s="14"/>
      <c r="K109" s="14">
        <f t="shared" si="5"/>
        <v>1527895.21</v>
      </c>
      <c r="M109" s="11"/>
      <c r="O109" s="15"/>
    </row>
    <row r="110" spans="1:15" outlineLevel="2">
      <c r="A110" s="11">
        <f t="shared" si="3"/>
        <v>106</v>
      </c>
      <c r="B110" s="11" t="s">
        <v>4</v>
      </c>
      <c r="C110" s="17" t="s">
        <v>212</v>
      </c>
      <c r="D110" s="12" t="s">
        <v>213</v>
      </c>
      <c r="E110" s="13">
        <v>5110115.21</v>
      </c>
      <c r="G110" s="13">
        <f t="shared" si="7"/>
        <v>5110115.21</v>
      </c>
      <c r="H110" s="14">
        <v>0</v>
      </c>
      <c r="I110" s="14">
        <v>0</v>
      </c>
      <c r="J110" s="14"/>
      <c r="K110" s="14">
        <f t="shared" si="5"/>
        <v>5110115.21</v>
      </c>
      <c r="M110" s="11"/>
      <c r="O110" s="15"/>
    </row>
    <row r="111" spans="1:15" outlineLevel="2">
      <c r="A111" s="11">
        <f t="shared" si="3"/>
        <v>107</v>
      </c>
      <c r="B111" s="11" t="s">
        <v>4</v>
      </c>
      <c r="C111" s="17" t="s">
        <v>214</v>
      </c>
      <c r="D111" s="12" t="s">
        <v>215</v>
      </c>
      <c r="E111" s="13">
        <v>312931.03999999998</v>
      </c>
      <c r="G111" s="13">
        <f t="shared" si="7"/>
        <v>312931.03999999998</v>
      </c>
      <c r="H111" s="14">
        <v>0</v>
      </c>
      <c r="I111" s="14">
        <v>0</v>
      </c>
      <c r="J111" s="14"/>
      <c r="K111" s="14">
        <f t="shared" si="5"/>
        <v>312931.03999999998</v>
      </c>
      <c r="M111" s="11"/>
      <c r="O111" s="15"/>
    </row>
    <row r="112" spans="1:15" outlineLevel="2">
      <c r="A112" s="11">
        <f t="shared" si="3"/>
        <v>108</v>
      </c>
      <c r="B112" s="11" t="s">
        <v>4</v>
      </c>
      <c r="C112" s="17" t="s">
        <v>216</v>
      </c>
      <c r="D112" s="12" t="s">
        <v>217</v>
      </c>
      <c r="E112" s="13">
        <v>7488153.7300000004</v>
      </c>
      <c r="G112" s="13">
        <f t="shared" si="7"/>
        <v>7488153.7300000004</v>
      </c>
      <c r="H112" s="14">
        <v>0</v>
      </c>
      <c r="I112" s="14">
        <v>0</v>
      </c>
      <c r="J112" s="14"/>
      <c r="K112" s="14">
        <f t="shared" si="5"/>
        <v>7488153.7300000004</v>
      </c>
      <c r="M112" s="11"/>
      <c r="O112" s="15"/>
    </row>
    <row r="113" spans="1:15" outlineLevel="2">
      <c r="A113" s="11">
        <f t="shared" si="3"/>
        <v>109</v>
      </c>
      <c r="B113" s="11" t="s">
        <v>4</v>
      </c>
      <c r="C113" s="17" t="s">
        <v>218</v>
      </c>
      <c r="D113" s="12" t="s">
        <v>219</v>
      </c>
      <c r="E113" s="13">
        <v>26924889.420000002</v>
      </c>
      <c r="G113" s="13">
        <f t="shared" si="7"/>
        <v>26924889.420000002</v>
      </c>
      <c r="H113" s="14">
        <v>0</v>
      </c>
      <c r="I113" s="14">
        <v>0</v>
      </c>
      <c r="J113" s="14"/>
      <c r="K113" s="14">
        <f t="shared" si="5"/>
        <v>26924889.420000002</v>
      </c>
      <c r="M113" s="11"/>
      <c r="O113" s="15"/>
    </row>
    <row r="114" spans="1:15" outlineLevel="2">
      <c r="A114" s="11">
        <f t="shared" si="3"/>
        <v>110</v>
      </c>
      <c r="B114" s="11" t="s">
        <v>4</v>
      </c>
      <c r="C114" s="17" t="s">
        <v>37</v>
      </c>
      <c r="D114" s="12" t="s">
        <v>220</v>
      </c>
      <c r="E114" s="13">
        <v>349954</v>
      </c>
      <c r="G114" s="13">
        <f t="shared" si="7"/>
        <v>349954</v>
      </c>
      <c r="H114" s="14">
        <v>0</v>
      </c>
      <c r="I114" s="14">
        <v>0</v>
      </c>
      <c r="J114" s="14"/>
      <c r="K114" s="14">
        <f t="shared" si="5"/>
        <v>349954</v>
      </c>
      <c r="M114" s="11"/>
      <c r="O114" s="15"/>
    </row>
    <row r="115" spans="1:15" outlineLevel="2">
      <c r="A115" s="11">
        <f t="shared" si="3"/>
        <v>111</v>
      </c>
      <c r="B115" s="11" t="s">
        <v>4</v>
      </c>
      <c r="C115" s="17" t="s">
        <v>221</v>
      </c>
      <c r="D115" s="12" t="s">
        <v>222</v>
      </c>
      <c r="E115" s="13">
        <v>17627867.68</v>
      </c>
      <c r="G115" s="13">
        <f t="shared" si="7"/>
        <v>17627867.68</v>
      </c>
      <c r="H115" s="14">
        <v>0</v>
      </c>
      <c r="I115" s="14">
        <v>0</v>
      </c>
      <c r="J115" s="14"/>
      <c r="K115" s="14">
        <f t="shared" si="5"/>
        <v>17627867.68</v>
      </c>
      <c r="M115" s="11"/>
      <c r="O115" s="15"/>
    </row>
    <row r="116" spans="1:15" outlineLevel="2">
      <c r="A116" s="11">
        <f t="shared" si="3"/>
        <v>112</v>
      </c>
      <c r="B116" s="11" t="s">
        <v>4</v>
      </c>
      <c r="C116" s="17" t="s">
        <v>223</v>
      </c>
      <c r="D116" s="12" t="s">
        <v>224</v>
      </c>
      <c r="E116" s="13">
        <v>11035513.970000001</v>
      </c>
      <c r="G116" s="13">
        <f t="shared" si="7"/>
        <v>11035513.970000001</v>
      </c>
      <c r="H116" s="14">
        <v>0</v>
      </c>
      <c r="I116" s="14">
        <v>0</v>
      </c>
      <c r="J116" s="14"/>
      <c r="K116" s="14">
        <f t="shared" si="5"/>
        <v>11035513.970000001</v>
      </c>
      <c r="M116" s="11"/>
      <c r="O116" s="15"/>
    </row>
    <row r="117" spans="1:15" outlineLevel="2">
      <c r="A117" s="11">
        <f t="shared" si="3"/>
        <v>113</v>
      </c>
      <c r="B117" s="11" t="s">
        <v>4</v>
      </c>
      <c r="C117" s="17" t="s">
        <v>225</v>
      </c>
      <c r="D117" s="12" t="s">
        <v>226</v>
      </c>
      <c r="E117" s="13">
        <v>4629315.97</v>
      </c>
      <c r="G117" s="13">
        <f t="shared" si="7"/>
        <v>4629315.97</v>
      </c>
      <c r="H117" s="14">
        <v>0</v>
      </c>
      <c r="I117" s="14">
        <v>0</v>
      </c>
      <c r="J117" s="14"/>
      <c r="K117" s="14">
        <f t="shared" si="5"/>
        <v>4629315.97</v>
      </c>
      <c r="M117" s="11"/>
      <c r="O117" s="15"/>
    </row>
    <row r="118" spans="1:15" outlineLevel="2">
      <c r="A118" s="11">
        <f t="shared" si="3"/>
        <v>114</v>
      </c>
      <c r="B118" s="11" t="s">
        <v>4</v>
      </c>
      <c r="C118" s="17" t="s">
        <v>227</v>
      </c>
      <c r="D118" s="12" t="s">
        <v>228</v>
      </c>
      <c r="E118" s="13">
        <v>2265163.38</v>
      </c>
      <c r="G118" s="13">
        <f t="shared" si="7"/>
        <v>2265163.38</v>
      </c>
      <c r="H118" s="14">
        <v>0</v>
      </c>
      <c r="I118" s="14">
        <v>0</v>
      </c>
      <c r="J118" s="14"/>
      <c r="K118" s="14">
        <f t="shared" si="5"/>
        <v>2265163.38</v>
      </c>
      <c r="M118" s="11"/>
      <c r="O118" s="15"/>
    </row>
    <row r="119" spans="1:15" s="6" customFormat="1" ht="13.5" outlineLevel="1" thickBot="1">
      <c r="A119" s="11">
        <f t="shared" si="3"/>
        <v>115</v>
      </c>
      <c r="B119" s="18" t="s">
        <v>229</v>
      </c>
      <c r="C119" s="19"/>
      <c r="D119" s="20" t="s">
        <v>230</v>
      </c>
      <c r="E119" s="21">
        <f>SUBTOTAL(9,E5:E118)</f>
        <v>568215935.25000024</v>
      </c>
      <c r="F119" s="21">
        <f t="shared" ref="F119:G119" si="8">SUBTOTAL(9,F5:F118)</f>
        <v>607477</v>
      </c>
      <c r="G119" s="21">
        <f t="shared" si="8"/>
        <v>568823412.25000024</v>
      </c>
      <c r="H119" s="21">
        <f>SUBTOTAL(9,H5:H118)</f>
        <v>-576090</v>
      </c>
      <c r="I119" s="21">
        <f>SUBTOTAL(9,I5:I118)</f>
        <v>0</v>
      </c>
      <c r="J119" s="21"/>
      <c r="K119" s="22">
        <f>SUBTOTAL(9,K5:K118)</f>
        <v>568111322.25000024</v>
      </c>
      <c r="L119" s="23"/>
      <c r="M119" s="3"/>
      <c r="N119" s="3"/>
      <c r="O119" s="8"/>
    </row>
    <row r="120" spans="1:15" s="6" customFormat="1" ht="13.5" outlineLevel="1" thickTop="1">
      <c r="A120" s="11">
        <f t="shared" si="3"/>
        <v>116</v>
      </c>
      <c r="B120" s="11" t="s">
        <v>231</v>
      </c>
      <c r="C120" s="17" t="s">
        <v>455</v>
      </c>
      <c r="D120" s="12" t="s">
        <v>456</v>
      </c>
      <c r="E120" s="13">
        <v>6259.21</v>
      </c>
      <c r="F120" s="13"/>
      <c r="G120" s="13">
        <f>E120+F120</f>
        <v>6259.21</v>
      </c>
      <c r="H120" s="13">
        <v>0</v>
      </c>
      <c r="I120" s="13">
        <v>0</v>
      </c>
      <c r="J120" s="13"/>
      <c r="K120" s="14">
        <f>SUM(G120:J120)</f>
        <v>6259.21</v>
      </c>
      <c r="L120" s="23"/>
      <c r="M120" s="3"/>
      <c r="N120" s="3"/>
      <c r="O120" s="8"/>
    </row>
    <row r="121" spans="1:15" outlineLevel="2">
      <c r="A121" s="11">
        <f t="shared" si="3"/>
        <v>117</v>
      </c>
      <c r="B121" s="11" t="s">
        <v>231</v>
      </c>
      <c r="C121" s="17" t="s">
        <v>232</v>
      </c>
      <c r="D121" s="1" t="s">
        <v>233</v>
      </c>
      <c r="E121" s="13">
        <v>5878984.1399999997</v>
      </c>
      <c r="G121" s="13">
        <f t="shared" ref="G121:G184" si="9">E121+F121</f>
        <v>5878984.1399999997</v>
      </c>
      <c r="H121" s="13">
        <v>0</v>
      </c>
      <c r="I121" s="13">
        <v>0</v>
      </c>
      <c r="K121" s="14">
        <f t="shared" ref="K121:K184" si="10">SUM(G121:J121)</f>
        <v>5878984.1399999997</v>
      </c>
      <c r="M121" s="11"/>
      <c r="O121" s="15"/>
    </row>
    <row r="122" spans="1:15" outlineLevel="2">
      <c r="A122" s="11">
        <f t="shared" si="3"/>
        <v>118</v>
      </c>
      <c r="B122" s="11" t="s">
        <v>231</v>
      </c>
      <c r="C122" s="17" t="s">
        <v>234</v>
      </c>
      <c r="D122" s="12" t="s">
        <v>235</v>
      </c>
      <c r="E122" s="13">
        <v>2318295.1</v>
      </c>
      <c r="G122" s="13">
        <f t="shared" si="9"/>
        <v>2318295.1</v>
      </c>
      <c r="H122" s="13">
        <v>-800024</v>
      </c>
      <c r="I122" s="13">
        <v>0</v>
      </c>
      <c r="K122" s="14">
        <f t="shared" si="10"/>
        <v>1518271.1</v>
      </c>
      <c r="M122" s="11"/>
      <c r="O122" s="15"/>
    </row>
    <row r="123" spans="1:15" outlineLevel="2">
      <c r="A123" s="11">
        <f t="shared" si="3"/>
        <v>119</v>
      </c>
      <c r="B123" s="11" t="s">
        <v>231</v>
      </c>
      <c r="C123" s="17" t="s">
        <v>237</v>
      </c>
      <c r="D123" s="12" t="s">
        <v>238</v>
      </c>
      <c r="E123" s="13">
        <v>63325.31</v>
      </c>
      <c r="G123" s="13">
        <f t="shared" si="9"/>
        <v>63325.31</v>
      </c>
      <c r="H123" s="13">
        <v>0</v>
      </c>
      <c r="I123" s="13">
        <v>0</v>
      </c>
      <c r="K123" s="14">
        <f t="shared" si="10"/>
        <v>63325.31</v>
      </c>
      <c r="M123" s="11"/>
    </row>
    <row r="124" spans="1:15" outlineLevel="2">
      <c r="A124" s="11">
        <f t="shared" si="3"/>
        <v>120</v>
      </c>
      <c r="B124" s="11" t="s">
        <v>231</v>
      </c>
      <c r="C124" s="17" t="s">
        <v>457</v>
      </c>
      <c r="D124" s="12" t="s">
        <v>458</v>
      </c>
      <c r="E124" s="13">
        <v>35004.78</v>
      </c>
      <c r="G124" s="13">
        <f t="shared" si="9"/>
        <v>35004.78</v>
      </c>
      <c r="H124" s="13">
        <v>-35005</v>
      </c>
      <c r="I124" s="13">
        <v>0</v>
      </c>
      <c r="K124" s="14">
        <f t="shared" si="10"/>
        <v>-0.22000000000116415</v>
      </c>
      <c r="M124" s="11"/>
    </row>
    <row r="125" spans="1:15" outlineLevel="2">
      <c r="A125" s="11">
        <f t="shared" si="3"/>
        <v>121</v>
      </c>
      <c r="B125" s="11" t="s">
        <v>231</v>
      </c>
      <c r="C125" s="17" t="s">
        <v>239</v>
      </c>
      <c r="D125" s="12" t="s">
        <v>240</v>
      </c>
      <c r="E125" s="13">
        <v>2899880.73</v>
      </c>
      <c r="G125" s="13">
        <f t="shared" si="9"/>
        <v>2899880.73</v>
      </c>
      <c r="H125" s="13">
        <v>-124344</v>
      </c>
      <c r="I125" s="13">
        <v>0</v>
      </c>
      <c r="K125" s="14">
        <f t="shared" si="10"/>
        <v>2775536.73</v>
      </c>
      <c r="M125" s="11"/>
    </row>
    <row r="126" spans="1:15" outlineLevel="2">
      <c r="A126" s="11">
        <f t="shared" si="3"/>
        <v>122</v>
      </c>
      <c r="B126" s="11" t="s">
        <v>231</v>
      </c>
      <c r="C126" s="17" t="s">
        <v>459</v>
      </c>
      <c r="D126" s="12" t="s">
        <v>460</v>
      </c>
      <c r="E126" s="13">
        <v>279691.27</v>
      </c>
      <c r="G126" s="13">
        <f t="shared" si="9"/>
        <v>279691.27</v>
      </c>
      <c r="H126" s="13">
        <v>0</v>
      </c>
      <c r="I126" s="13">
        <v>0</v>
      </c>
      <c r="K126" s="14">
        <f t="shared" si="10"/>
        <v>279691.27</v>
      </c>
      <c r="M126" s="11"/>
    </row>
    <row r="127" spans="1:15" outlineLevel="2">
      <c r="A127" s="11">
        <f t="shared" si="3"/>
        <v>123</v>
      </c>
      <c r="B127" s="11" t="s">
        <v>231</v>
      </c>
      <c r="C127" s="17" t="s">
        <v>241</v>
      </c>
      <c r="D127" s="12" t="s">
        <v>242</v>
      </c>
      <c r="E127" s="13">
        <v>309700.65000000002</v>
      </c>
      <c r="G127" s="13">
        <f t="shared" si="9"/>
        <v>309700.65000000002</v>
      </c>
      <c r="H127" s="13">
        <v>0</v>
      </c>
      <c r="I127" s="13">
        <v>0</v>
      </c>
      <c r="K127" s="14">
        <f>SUM(G127:J127)</f>
        <v>309700.65000000002</v>
      </c>
      <c r="M127" s="11"/>
      <c r="O127" s="15"/>
    </row>
    <row r="128" spans="1:15" outlineLevel="2">
      <c r="A128" s="11">
        <f t="shared" si="3"/>
        <v>124</v>
      </c>
      <c r="B128" s="11" t="s">
        <v>231</v>
      </c>
      <c r="C128" s="17" t="s">
        <v>243</v>
      </c>
      <c r="D128" s="12" t="s">
        <v>244</v>
      </c>
      <c r="E128" s="13">
        <v>13779308.23</v>
      </c>
      <c r="G128" s="13">
        <f t="shared" si="9"/>
        <v>13779308.23</v>
      </c>
      <c r="H128" s="13">
        <v>-163836</v>
      </c>
      <c r="I128" s="13">
        <v>0</v>
      </c>
      <c r="K128" s="14">
        <f t="shared" si="10"/>
        <v>13615472.23</v>
      </c>
      <c r="L128" s="12"/>
      <c r="M128" s="11"/>
      <c r="O128" s="15"/>
    </row>
    <row r="129" spans="1:15" outlineLevel="2">
      <c r="A129" s="11">
        <f t="shared" si="3"/>
        <v>125</v>
      </c>
      <c r="B129" s="11" t="s">
        <v>231</v>
      </c>
      <c r="C129" s="17" t="s">
        <v>245</v>
      </c>
      <c r="D129" s="12" t="s">
        <v>246</v>
      </c>
      <c r="E129" s="13">
        <v>4706446.99</v>
      </c>
      <c r="G129" s="13">
        <f t="shared" si="9"/>
        <v>4706446.99</v>
      </c>
      <c r="H129" s="13">
        <v>-231321</v>
      </c>
      <c r="I129" s="13">
        <v>0</v>
      </c>
      <c r="K129" s="14">
        <f t="shared" si="10"/>
        <v>4475125.99</v>
      </c>
      <c r="L129" s="12"/>
      <c r="M129" s="11"/>
      <c r="O129" s="15"/>
    </row>
    <row r="130" spans="1:15" outlineLevel="2">
      <c r="A130" s="11">
        <f t="shared" si="3"/>
        <v>126</v>
      </c>
      <c r="B130" s="11" t="s">
        <v>231</v>
      </c>
      <c r="C130" s="17" t="s">
        <v>247</v>
      </c>
      <c r="D130" s="12" t="s">
        <v>248</v>
      </c>
      <c r="E130" s="13">
        <v>272529.27</v>
      </c>
      <c r="G130" s="13">
        <f t="shared" si="9"/>
        <v>272529.27</v>
      </c>
      <c r="H130" s="13">
        <v>-218122</v>
      </c>
      <c r="I130" s="13">
        <v>0</v>
      </c>
      <c r="K130" s="14">
        <f t="shared" si="10"/>
        <v>54407.270000000019</v>
      </c>
      <c r="L130" s="12"/>
      <c r="M130" s="11"/>
      <c r="O130" s="15"/>
    </row>
    <row r="131" spans="1:15" outlineLevel="2">
      <c r="A131" s="11">
        <f t="shared" si="3"/>
        <v>127</v>
      </c>
      <c r="B131" s="11" t="s">
        <v>231</v>
      </c>
      <c r="C131" s="17" t="s">
        <v>249</v>
      </c>
      <c r="D131" s="12" t="s">
        <v>250</v>
      </c>
      <c r="E131" s="13">
        <v>17751914.77</v>
      </c>
      <c r="F131" s="13">
        <v>4338955</v>
      </c>
      <c r="G131" s="13">
        <f t="shared" si="9"/>
        <v>22090869.77</v>
      </c>
      <c r="H131" s="13">
        <v>-187218</v>
      </c>
      <c r="I131" s="13">
        <v>0</v>
      </c>
      <c r="K131" s="14">
        <f t="shared" si="10"/>
        <v>21903651.77</v>
      </c>
      <c r="L131" s="12"/>
      <c r="M131" s="11"/>
      <c r="O131" s="15"/>
    </row>
    <row r="132" spans="1:15" outlineLevel="2">
      <c r="A132" s="11">
        <f t="shared" si="3"/>
        <v>128</v>
      </c>
      <c r="B132" s="11" t="s">
        <v>231</v>
      </c>
      <c r="C132" s="17" t="s">
        <v>251</v>
      </c>
      <c r="D132" s="12" t="s">
        <v>252</v>
      </c>
      <c r="E132" s="13">
        <v>12472.19</v>
      </c>
      <c r="G132" s="13">
        <f t="shared" si="9"/>
        <v>12472.19</v>
      </c>
      <c r="H132" s="13">
        <v>0</v>
      </c>
      <c r="I132" s="13">
        <v>0</v>
      </c>
      <c r="K132" s="14">
        <f t="shared" si="10"/>
        <v>12472.19</v>
      </c>
      <c r="M132" s="11"/>
      <c r="O132" s="15"/>
    </row>
    <row r="133" spans="1:15" outlineLevel="2">
      <c r="A133" s="11">
        <f t="shared" si="3"/>
        <v>129</v>
      </c>
      <c r="B133" s="11" t="s">
        <v>231</v>
      </c>
      <c r="C133" s="17" t="s">
        <v>253</v>
      </c>
      <c r="D133" s="12" t="s">
        <v>254</v>
      </c>
      <c r="E133" s="13">
        <v>2997082.15</v>
      </c>
      <c r="G133" s="13">
        <f t="shared" si="9"/>
        <v>2997082.15</v>
      </c>
      <c r="H133" s="13">
        <v>-630455</v>
      </c>
      <c r="I133" s="13">
        <v>0</v>
      </c>
      <c r="K133" s="14">
        <f t="shared" si="10"/>
        <v>2366627.15</v>
      </c>
      <c r="L133" s="12"/>
      <c r="M133" s="11"/>
      <c r="O133" s="15"/>
    </row>
    <row r="134" spans="1:15" outlineLevel="2">
      <c r="A134" s="11">
        <f t="shared" si="3"/>
        <v>130</v>
      </c>
      <c r="B134" s="11" t="s">
        <v>231</v>
      </c>
      <c r="C134" s="17" t="s">
        <v>255</v>
      </c>
      <c r="D134" s="12" t="s">
        <v>256</v>
      </c>
      <c r="E134" s="13">
        <v>3398445.6</v>
      </c>
      <c r="G134" s="13">
        <f t="shared" si="9"/>
        <v>3398445.6</v>
      </c>
      <c r="H134" s="13">
        <v>-1226623</v>
      </c>
      <c r="I134" s="13">
        <v>0</v>
      </c>
      <c r="K134" s="14">
        <f>SUM(G134:J134)</f>
        <v>2171822.6</v>
      </c>
      <c r="L134" s="12"/>
      <c r="M134" s="11"/>
      <c r="O134" s="15"/>
    </row>
    <row r="135" spans="1:15" outlineLevel="2">
      <c r="A135" s="11">
        <f t="shared" si="3"/>
        <v>131</v>
      </c>
      <c r="B135" s="11" t="s">
        <v>231</v>
      </c>
      <c r="C135" s="17" t="s">
        <v>257</v>
      </c>
      <c r="D135" s="12" t="s">
        <v>258</v>
      </c>
      <c r="E135" s="13">
        <v>4460377.1900000004</v>
      </c>
      <c r="F135" s="13">
        <v>9024920</v>
      </c>
      <c r="G135" s="13">
        <f t="shared" si="9"/>
        <v>13485297.190000001</v>
      </c>
      <c r="H135" s="13">
        <v>0</v>
      </c>
      <c r="I135" s="13">
        <v>0</v>
      </c>
      <c r="K135" s="14">
        <f t="shared" si="10"/>
        <v>13485297.190000001</v>
      </c>
      <c r="M135" s="11"/>
      <c r="O135" s="15"/>
    </row>
    <row r="136" spans="1:15" outlineLevel="2">
      <c r="A136" s="11">
        <f t="shared" ref="A136:A200" si="11">A135+1</f>
        <v>132</v>
      </c>
      <c r="B136" s="11" t="s">
        <v>231</v>
      </c>
      <c r="C136" s="17" t="s">
        <v>2293</v>
      </c>
      <c r="D136" s="12" t="s">
        <v>2318</v>
      </c>
      <c r="E136" s="13">
        <f>4765825.66-4765825.66</f>
        <v>0</v>
      </c>
      <c r="F136" s="13">
        <v>4765826</v>
      </c>
      <c r="G136" s="13">
        <f t="shared" si="9"/>
        <v>4765826</v>
      </c>
      <c r="H136" s="13">
        <v>0</v>
      </c>
      <c r="I136" s="13">
        <v>0</v>
      </c>
      <c r="K136" s="14">
        <f t="shared" si="10"/>
        <v>4765826</v>
      </c>
      <c r="M136" s="11"/>
      <c r="O136" s="15"/>
    </row>
    <row r="137" spans="1:15" outlineLevel="2">
      <c r="A137" s="11">
        <f t="shared" si="11"/>
        <v>133</v>
      </c>
      <c r="B137" s="11" t="s">
        <v>231</v>
      </c>
      <c r="C137" s="17" t="s">
        <v>461</v>
      </c>
      <c r="D137" s="12" t="s">
        <v>462</v>
      </c>
      <c r="E137" s="13">
        <v>45210.14</v>
      </c>
      <c r="G137" s="13">
        <f t="shared" si="9"/>
        <v>45210.14</v>
      </c>
      <c r="H137" s="13">
        <v>0</v>
      </c>
      <c r="I137" s="13">
        <v>0</v>
      </c>
      <c r="K137" s="14">
        <f t="shared" si="10"/>
        <v>45210.14</v>
      </c>
      <c r="M137" s="11"/>
      <c r="O137" s="15"/>
    </row>
    <row r="138" spans="1:15" outlineLevel="2">
      <c r="A138" s="11">
        <f t="shared" si="11"/>
        <v>134</v>
      </c>
      <c r="B138" s="11" t="s">
        <v>231</v>
      </c>
      <c r="C138" s="17" t="s">
        <v>259</v>
      </c>
      <c r="D138" s="12" t="s">
        <v>260</v>
      </c>
      <c r="E138" s="13">
        <v>2463312.04</v>
      </c>
      <c r="G138" s="13">
        <f t="shared" si="9"/>
        <v>2463312.04</v>
      </c>
      <c r="H138" s="13">
        <v>0</v>
      </c>
      <c r="I138" s="13">
        <v>0</v>
      </c>
      <c r="K138" s="14">
        <f t="shared" si="10"/>
        <v>2463312.04</v>
      </c>
      <c r="M138" s="11"/>
      <c r="O138" s="15"/>
    </row>
    <row r="139" spans="1:15" outlineLevel="2">
      <c r="A139" s="11">
        <f t="shared" si="11"/>
        <v>135</v>
      </c>
      <c r="B139" s="11" t="s">
        <v>231</v>
      </c>
      <c r="C139" s="17" t="s">
        <v>261</v>
      </c>
      <c r="D139" s="12" t="s">
        <v>262</v>
      </c>
      <c r="E139" s="13">
        <v>3819872.91</v>
      </c>
      <c r="G139" s="13">
        <f t="shared" si="9"/>
        <v>3819872.91</v>
      </c>
      <c r="H139" s="13">
        <v>-1007873</v>
      </c>
      <c r="I139" s="13">
        <v>0</v>
      </c>
      <c r="K139" s="14">
        <f t="shared" si="10"/>
        <v>2811999.91</v>
      </c>
      <c r="L139" s="12"/>
      <c r="M139" s="11"/>
      <c r="O139" s="15"/>
    </row>
    <row r="140" spans="1:15" outlineLevel="2">
      <c r="A140" s="11">
        <f t="shared" si="11"/>
        <v>136</v>
      </c>
      <c r="B140" s="11" t="s">
        <v>231</v>
      </c>
      <c r="C140" s="17" t="s">
        <v>463</v>
      </c>
      <c r="D140" s="12" t="s">
        <v>464</v>
      </c>
      <c r="E140" s="13">
        <v>1376075.86</v>
      </c>
      <c r="G140" s="13">
        <f t="shared" si="9"/>
        <v>1376075.86</v>
      </c>
      <c r="H140" s="13">
        <v>0</v>
      </c>
      <c r="I140" s="13">
        <v>0</v>
      </c>
      <c r="K140" s="14">
        <f t="shared" si="10"/>
        <v>1376075.86</v>
      </c>
      <c r="L140" s="12"/>
      <c r="M140" s="11"/>
      <c r="O140" s="15"/>
    </row>
    <row r="141" spans="1:15" outlineLevel="2">
      <c r="A141" s="11">
        <f t="shared" si="11"/>
        <v>137</v>
      </c>
      <c r="B141" s="11" t="s">
        <v>231</v>
      </c>
      <c r="C141" s="17" t="s">
        <v>263</v>
      </c>
      <c r="D141" s="12" t="s">
        <v>264</v>
      </c>
      <c r="E141" s="13">
        <v>9139053.5299999993</v>
      </c>
      <c r="G141" s="13">
        <f t="shared" si="9"/>
        <v>9139053.5299999993</v>
      </c>
      <c r="H141" s="13">
        <v>-2140670</v>
      </c>
      <c r="I141" s="13">
        <v>0</v>
      </c>
      <c r="K141" s="14">
        <f>SUM(G141:J141)</f>
        <v>6998383.5299999993</v>
      </c>
      <c r="L141" s="12"/>
      <c r="M141" s="11"/>
      <c r="O141" s="15"/>
    </row>
    <row r="142" spans="1:15" outlineLevel="2">
      <c r="A142" s="11">
        <f t="shared" si="11"/>
        <v>138</v>
      </c>
      <c r="B142" s="11" t="s">
        <v>231</v>
      </c>
      <c r="C142" s="17" t="s">
        <v>265</v>
      </c>
      <c r="D142" s="12" t="s">
        <v>266</v>
      </c>
      <c r="E142" s="13">
        <v>5986123.4699999997</v>
      </c>
      <c r="G142" s="13">
        <f t="shared" si="9"/>
        <v>5986123.4699999997</v>
      </c>
      <c r="H142" s="13">
        <v>-315045</v>
      </c>
      <c r="I142" s="13">
        <v>0</v>
      </c>
      <c r="K142" s="14">
        <f t="shared" si="10"/>
        <v>5671078.4699999997</v>
      </c>
      <c r="L142" s="12"/>
      <c r="M142" s="11"/>
      <c r="O142" s="15"/>
    </row>
    <row r="143" spans="1:15" outlineLevel="2">
      <c r="A143" s="11">
        <f t="shared" si="11"/>
        <v>139</v>
      </c>
      <c r="B143" s="11" t="s">
        <v>231</v>
      </c>
      <c r="C143" s="17" t="s">
        <v>267</v>
      </c>
      <c r="D143" s="12" t="s">
        <v>268</v>
      </c>
      <c r="E143" s="13">
        <v>8453083.7100000009</v>
      </c>
      <c r="G143" s="13">
        <f t="shared" si="9"/>
        <v>8453083.7100000009</v>
      </c>
      <c r="H143" s="13">
        <v>0</v>
      </c>
      <c r="I143" s="13">
        <v>0</v>
      </c>
      <c r="K143" s="14">
        <f t="shared" si="10"/>
        <v>8453083.7100000009</v>
      </c>
      <c r="M143" s="11"/>
      <c r="O143" s="15"/>
    </row>
    <row r="144" spans="1:15" outlineLevel="2">
      <c r="A144" s="11">
        <f t="shared" si="11"/>
        <v>140</v>
      </c>
      <c r="B144" s="11" t="s">
        <v>231</v>
      </c>
      <c r="C144" s="17" t="s">
        <v>269</v>
      </c>
      <c r="D144" s="12" t="s">
        <v>270</v>
      </c>
      <c r="E144" s="13">
        <v>11630045.17</v>
      </c>
      <c r="G144" s="13">
        <f t="shared" si="9"/>
        <v>11630045.17</v>
      </c>
      <c r="H144" s="13">
        <v>0</v>
      </c>
      <c r="I144" s="13">
        <v>0</v>
      </c>
      <c r="K144" s="14">
        <f t="shared" si="10"/>
        <v>11630045.17</v>
      </c>
      <c r="M144" s="11"/>
      <c r="O144" s="15"/>
    </row>
    <row r="145" spans="1:15" outlineLevel="2">
      <c r="A145" s="11">
        <f t="shared" si="11"/>
        <v>141</v>
      </c>
      <c r="B145" s="11" t="s">
        <v>231</v>
      </c>
      <c r="C145" s="17" t="s">
        <v>271</v>
      </c>
      <c r="D145" s="12" t="s">
        <v>272</v>
      </c>
      <c r="E145" s="13">
        <v>2390851.2200000002</v>
      </c>
      <c r="G145" s="13">
        <f t="shared" si="9"/>
        <v>2390851.2200000002</v>
      </c>
      <c r="H145" s="13">
        <v>0</v>
      </c>
      <c r="I145" s="13">
        <v>0</v>
      </c>
      <c r="K145" s="14">
        <f t="shared" si="10"/>
        <v>2390851.2200000002</v>
      </c>
      <c r="M145" s="11"/>
      <c r="O145" s="15"/>
    </row>
    <row r="146" spans="1:15" outlineLevel="2">
      <c r="A146" s="11">
        <f t="shared" si="11"/>
        <v>142</v>
      </c>
      <c r="B146" s="11" t="s">
        <v>231</v>
      </c>
      <c r="C146" s="17" t="s">
        <v>273</v>
      </c>
      <c r="D146" s="12" t="s">
        <v>274</v>
      </c>
      <c r="E146" s="13">
        <v>4633608.43</v>
      </c>
      <c r="G146" s="13">
        <f t="shared" si="9"/>
        <v>4633608.43</v>
      </c>
      <c r="H146" s="13">
        <v>-346142</v>
      </c>
      <c r="I146" s="13">
        <v>0</v>
      </c>
      <c r="K146" s="14">
        <f>SUM(G146:J146)</f>
        <v>4287466.43</v>
      </c>
      <c r="L146" s="12"/>
      <c r="M146" s="11"/>
      <c r="O146" s="15"/>
    </row>
    <row r="147" spans="1:15" outlineLevel="2">
      <c r="A147" s="11">
        <f t="shared" si="11"/>
        <v>143</v>
      </c>
      <c r="B147" s="11" t="s">
        <v>231</v>
      </c>
      <c r="C147" s="17" t="s">
        <v>275</v>
      </c>
      <c r="D147" s="12" t="s">
        <v>276</v>
      </c>
      <c r="E147" s="13">
        <v>1484722.33</v>
      </c>
      <c r="G147" s="13">
        <f t="shared" si="9"/>
        <v>1484722.33</v>
      </c>
      <c r="H147" s="13">
        <v>-1484722</v>
      </c>
      <c r="I147" s="13">
        <v>0</v>
      </c>
      <c r="K147" s="14">
        <f t="shared" si="10"/>
        <v>0.33000000007450581</v>
      </c>
      <c r="L147" s="12"/>
      <c r="M147" s="11"/>
      <c r="O147" s="15"/>
    </row>
    <row r="148" spans="1:15" outlineLevel="2">
      <c r="A148" s="11">
        <f t="shared" si="11"/>
        <v>144</v>
      </c>
      <c r="B148" s="11" t="s">
        <v>231</v>
      </c>
      <c r="C148" s="17" t="s">
        <v>277</v>
      </c>
      <c r="D148" s="12" t="s">
        <v>278</v>
      </c>
      <c r="E148" s="13">
        <v>10478271.449999999</v>
      </c>
      <c r="G148" s="13">
        <f t="shared" si="9"/>
        <v>10478271.449999999</v>
      </c>
      <c r="H148" s="13">
        <v>-2305</v>
      </c>
      <c r="I148" s="13">
        <v>0</v>
      </c>
      <c r="K148" s="14">
        <f t="shared" si="10"/>
        <v>10475966.449999999</v>
      </c>
      <c r="L148" s="12"/>
      <c r="M148" s="11"/>
      <c r="O148" s="15"/>
    </row>
    <row r="149" spans="1:15" outlineLevel="2">
      <c r="A149" s="11">
        <f t="shared" si="11"/>
        <v>145</v>
      </c>
      <c r="B149" s="11" t="s">
        <v>231</v>
      </c>
      <c r="C149" s="17" t="s">
        <v>465</v>
      </c>
      <c r="D149" s="12" t="s">
        <v>466</v>
      </c>
      <c r="E149" s="13">
        <v>848872.14</v>
      </c>
      <c r="G149" s="13">
        <f t="shared" si="9"/>
        <v>848872.14</v>
      </c>
      <c r="H149" s="13">
        <v>-109673</v>
      </c>
      <c r="K149" s="14">
        <f t="shared" si="10"/>
        <v>739199.14</v>
      </c>
      <c r="L149" s="12"/>
      <c r="M149" s="11"/>
      <c r="O149" s="15"/>
    </row>
    <row r="150" spans="1:15" outlineLevel="2">
      <c r="A150" s="11">
        <f t="shared" si="11"/>
        <v>146</v>
      </c>
      <c r="B150" s="11" t="s">
        <v>231</v>
      </c>
      <c r="C150" s="17" t="s">
        <v>279</v>
      </c>
      <c r="D150" s="12" t="s">
        <v>280</v>
      </c>
      <c r="E150" s="13">
        <v>16188021.15</v>
      </c>
      <c r="G150" s="13">
        <f t="shared" si="9"/>
        <v>16188021.15</v>
      </c>
      <c r="H150" s="13">
        <v>-183385</v>
      </c>
      <c r="I150" s="13">
        <v>0</v>
      </c>
      <c r="K150" s="14">
        <f t="shared" si="10"/>
        <v>16004636.15</v>
      </c>
      <c r="L150" s="12"/>
      <c r="M150" s="11"/>
      <c r="O150" s="15"/>
    </row>
    <row r="151" spans="1:15" outlineLevel="2">
      <c r="A151" s="11">
        <f t="shared" si="11"/>
        <v>147</v>
      </c>
      <c r="B151" s="11" t="s">
        <v>231</v>
      </c>
      <c r="C151" s="17" t="s">
        <v>281</v>
      </c>
      <c r="D151" s="12" t="s">
        <v>282</v>
      </c>
      <c r="E151" s="13">
        <v>1602554.49</v>
      </c>
      <c r="G151" s="13">
        <f t="shared" si="9"/>
        <v>1602554.49</v>
      </c>
      <c r="H151" s="13">
        <v>-1602554</v>
      </c>
      <c r="I151" s="13">
        <v>0</v>
      </c>
      <c r="K151" s="14">
        <f t="shared" si="10"/>
        <v>0.48999999999068677</v>
      </c>
      <c r="L151" s="12"/>
      <c r="M151" s="11"/>
      <c r="O151" s="15"/>
    </row>
    <row r="152" spans="1:15" outlineLevel="2">
      <c r="A152" s="11">
        <f t="shared" si="11"/>
        <v>148</v>
      </c>
      <c r="B152" s="11" t="s">
        <v>231</v>
      </c>
      <c r="C152" s="17" t="s">
        <v>283</v>
      </c>
      <c r="D152" s="12" t="s">
        <v>284</v>
      </c>
      <c r="E152" s="13">
        <v>2918979.13</v>
      </c>
      <c r="G152" s="13">
        <f t="shared" si="9"/>
        <v>2918979.13</v>
      </c>
      <c r="H152" s="13">
        <v>-81504</v>
      </c>
      <c r="I152" s="13">
        <v>0</v>
      </c>
      <c r="K152" s="14">
        <f t="shared" si="10"/>
        <v>2837475.13</v>
      </c>
      <c r="L152" s="12"/>
      <c r="M152" s="11"/>
      <c r="O152" s="15"/>
    </row>
    <row r="153" spans="1:15" outlineLevel="2">
      <c r="A153" s="11">
        <f t="shared" si="11"/>
        <v>149</v>
      </c>
      <c r="B153" s="11" t="s">
        <v>231</v>
      </c>
      <c r="C153" s="17" t="s">
        <v>467</v>
      </c>
      <c r="D153" s="12" t="s">
        <v>468</v>
      </c>
      <c r="E153" s="13">
        <v>23704.42</v>
      </c>
      <c r="G153" s="13">
        <f t="shared" si="9"/>
        <v>23704.42</v>
      </c>
      <c r="H153" s="13">
        <v>0</v>
      </c>
      <c r="I153" s="13">
        <v>0</v>
      </c>
      <c r="K153" s="14">
        <f>SUM(G153:J153)</f>
        <v>23704.42</v>
      </c>
      <c r="L153" s="12"/>
      <c r="M153" s="11"/>
      <c r="O153" s="15"/>
    </row>
    <row r="154" spans="1:15" outlineLevel="2">
      <c r="A154" s="11">
        <f t="shared" si="11"/>
        <v>150</v>
      </c>
      <c r="B154" s="11" t="s">
        <v>231</v>
      </c>
      <c r="C154" s="17" t="s">
        <v>469</v>
      </c>
      <c r="D154" s="12" t="s">
        <v>470</v>
      </c>
      <c r="E154" s="13">
        <v>49112.160000000003</v>
      </c>
      <c r="G154" s="13">
        <f t="shared" si="9"/>
        <v>49112.160000000003</v>
      </c>
      <c r="H154" s="13">
        <v>0</v>
      </c>
      <c r="I154" s="13">
        <v>0</v>
      </c>
      <c r="K154" s="14">
        <f t="shared" si="10"/>
        <v>49112.160000000003</v>
      </c>
      <c r="L154" s="12"/>
      <c r="M154" s="11"/>
      <c r="O154" s="15"/>
    </row>
    <row r="155" spans="1:15" outlineLevel="2">
      <c r="A155" s="11">
        <f t="shared" si="11"/>
        <v>151</v>
      </c>
      <c r="B155" s="11" t="s">
        <v>231</v>
      </c>
      <c r="C155" s="17" t="s">
        <v>471</v>
      </c>
      <c r="D155" s="12" t="s">
        <v>472</v>
      </c>
      <c r="E155" s="13">
        <v>66107.63</v>
      </c>
      <c r="G155" s="13">
        <f>E155+F155</f>
        <v>66107.63</v>
      </c>
      <c r="H155" s="13">
        <v>0</v>
      </c>
      <c r="I155" s="13">
        <v>0</v>
      </c>
      <c r="K155" s="14">
        <f>SUM(G155:J155)</f>
        <v>66107.63</v>
      </c>
      <c r="L155" s="12"/>
      <c r="M155" s="11"/>
      <c r="O155" s="15"/>
    </row>
    <row r="156" spans="1:15" outlineLevel="2">
      <c r="A156" s="11">
        <f t="shared" si="11"/>
        <v>152</v>
      </c>
      <c r="B156" s="11" t="s">
        <v>231</v>
      </c>
      <c r="C156" s="17" t="s">
        <v>285</v>
      </c>
      <c r="D156" s="12" t="s">
        <v>286</v>
      </c>
      <c r="E156" s="13">
        <v>1347433.28</v>
      </c>
      <c r="G156" s="13">
        <f t="shared" si="9"/>
        <v>1347433.28</v>
      </c>
      <c r="H156" s="13">
        <v>-351323</v>
      </c>
      <c r="I156" s="13">
        <v>0</v>
      </c>
      <c r="K156" s="14">
        <f t="shared" si="10"/>
        <v>996110.28</v>
      </c>
      <c r="L156" s="12"/>
      <c r="M156" s="11"/>
      <c r="O156" s="15"/>
    </row>
    <row r="157" spans="1:15" outlineLevel="2">
      <c r="A157" s="11">
        <f t="shared" si="11"/>
        <v>153</v>
      </c>
      <c r="B157" s="11" t="s">
        <v>231</v>
      </c>
      <c r="C157" s="17" t="s">
        <v>287</v>
      </c>
      <c r="D157" s="12" t="s">
        <v>288</v>
      </c>
      <c r="E157" s="13">
        <v>6878146.0300000003</v>
      </c>
      <c r="G157" s="13">
        <f t="shared" si="9"/>
        <v>6878146.0300000003</v>
      </c>
      <c r="H157" s="13">
        <v>-1197122</v>
      </c>
      <c r="I157" s="13">
        <v>0</v>
      </c>
      <c r="K157" s="14">
        <f t="shared" si="10"/>
        <v>5681024.0300000003</v>
      </c>
      <c r="L157" s="12"/>
      <c r="M157" s="11"/>
      <c r="O157" s="15"/>
    </row>
    <row r="158" spans="1:15" outlineLevel="2">
      <c r="A158" s="11">
        <f t="shared" si="11"/>
        <v>154</v>
      </c>
      <c r="B158" s="11" t="s">
        <v>231</v>
      </c>
      <c r="C158" s="17" t="s">
        <v>289</v>
      </c>
      <c r="D158" s="12" t="s">
        <v>290</v>
      </c>
      <c r="E158" s="13">
        <v>2099906.66</v>
      </c>
      <c r="G158" s="13">
        <f t="shared" si="9"/>
        <v>2099906.66</v>
      </c>
      <c r="H158" s="13">
        <v>-17147</v>
      </c>
      <c r="I158" s="13">
        <v>0</v>
      </c>
      <c r="K158" s="14">
        <f t="shared" si="10"/>
        <v>2082759.6600000001</v>
      </c>
      <c r="L158" s="12"/>
      <c r="M158" s="11"/>
      <c r="O158" s="15"/>
    </row>
    <row r="159" spans="1:15" outlineLevel="2">
      <c r="A159" s="11">
        <f t="shared" si="11"/>
        <v>155</v>
      </c>
      <c r="B159" s="11" t="s">
        <v>231</v>
      </c>
      <c r="C159" s="17" t="s">
        <v>291</v>
      </c>
      <c r="D159" s="12" t="s">
        <v>292</v>
      </c>
      <c r="E159" s="13">
        <v>579.42999999999995</v>
      </c>
      <c r="G159" s="13">
        <f t="shared" si="9"/>
        <v>579.42999999999995</v>
      </c>
      <c r="H159" s="13">
        <v>-579</v>
      </c>
      <c r="I159" s="13">
        <v>0</v>
      </c>
      <c r="K159" s="14">
        <f t="shared" si="10"/>
        <v>0.42999999999994998</v>
      </c>
      <c r="L159" s="12"/>
      <c r="M159" s="11"/>
      <c r="O159" s="15"/>
    </row>
    <row r="160" spans="1:15" outlineLevel="2">
      <c r="A160" s="11">
        <f t="shared" si="11"/>
        <v>156</v>
      </c>
      <c r="B160" s="11" t="s">
        <v>231</v>
      </c>
      <c r="C160" s="17" t="s">
        <v>293</v>
      </c>
      <c r="D160" s="12" t="s">
        <v>294</v>
      </c>
      <c r="E160" s="13">
        <v>3507128.62</v>
      </c>
      <c r="G160" s="13">
        <f t="shared" si="9"/>
        <v>3507128.62</v>
      </c>
      <c r="H160" s="13">
        <v>-41652</v>
      </c>
      <c r="I160" s="13">
        <v>0</v>
      </c>
      <c r="K160" s="14">
        <f t="shared" si="10"/>
        <v>3465476.62</v>
      </c>
      <c r="L160" s="12"/>
      <c r="M160" s="11"/>
      <c r="O160" s="15"/>
    </row>
    <row r="161" spans="1:15" outlineLevel="2">
      <c r="A161" s="11">
        <f t="shared" si="11"/>
        <v>157</v>
      </c>
      <c r="B161" s="11" t="s">
        <v>231</v>
      </c>
      <c r="C161" s="17" t="s">
        <v>295</v>
      </c>
      <c r="D161" s="12" t="s">
        <v>296</v>
      </c>
      <c r="E161" s="13">
        <v>749767.78</v>
      </c>
      <c r="G161" s="13">
        <f t="shared" si="9"/>
        <v>749767.78</v>
      </c>
      <c r="H161" s="13">
        <v>-247423</v>
      </c>
      <c r="I161" s="13">
        <v>0</v>
      </c>
      <c r="K161" s="14">
        <f t="shared" si="10"/>
        <v>502344.78</v>
      </c>
      <c r="M161" s="11"/>
      <c r="O161" s="15"/>
    </row>
    <row r="162" spans="1:15" outlineLevel="2">
      <c r="A162" s="11">
        <f t="shared" si="11"/>
        <v>158</v>
      </c>
      <c r="B162" s="11" t="s">
        <v>231</v>
      </c>
      <c r="C162" s="17" t="s">
        <v>297</v>
      </c>
      <c r="D162" s="12" t="s">
        <v>298</v>
      </c>
      <c r="E162" s="13">
        <v>5530495.0199999996</v>
      </c>
      <c r="G162" s="13">
        <f t="shared" si="9"/>
        <v>5530495.0199999996</v>
      </c>
      <c r="H162" s="13">
        <v>-164229</v>
      </c>
      <c r="I162" s="13">
        <v>0</v>
      </c>
      <c r="K162" s="14">
        <f>SUM(G162:J162)</f>
        <v>5366266.0199999996</v>
      </c>
      <c r="L162" s="12"/>
      <c r="M162" s="11"/>
      <c r="O162" s="15"/>
    </row>
    <row r="163" spans="1:15" outlineLevel="2">
      <c r="A163" s="11">
        <f t="shared" si="11"/>
        <v>159</v>
      </c>
      <c r="B163" s="11" t="s">
        <v>231</v>
      </c>
      <c r="C163" s="17" t="s">
        <v>299</v>
      </c>
      <c r="D163" s="12" t="s">
        <v>300</v>
      </c>
      <c r="E163" s="13">
        <v>4296872.84</v>
      </c>
      <c r="G163" s="13">
        <f t="shared" si="9"/>
        <v>4296872.84</v>
      </c>
      <c r="H163" s="13">
        <v>0</v>
      </c>
      <c r="I163" s="13">
        <v>0</v>
      </c>
      <c r="K163" s="14">
        <f t="shared" si="10"/>
        <v>4296872.84</v>
      </c>
      <c r="L163" s="12"/>
      <c r="M163" s="11"/>
      <c r="O163" s="15"/>
    </row>
    <row r="164" spans="1:15" ht="12.75" customHeight="1" outlineLevel="2">
      <c r="A164" s="11">
        <f t="shared" si="11"/>
        <v>160</v>
      </c>
      <c r="B164" s="11" t="s">
        <v>231</v>
      </c>
      <c r="C164" s="17" t="s">
        <v>301</v>
      </c>
      <c r="D164" s="12" t="s">
        <v>302</v>
      </c>
      <c r="E164" s="13">
        <v>1270127.44</v>
      </c>
      <c r="G164" s="13">
        <f t="shared" si="9"/>
        <v>1270127.44</v>
      </c>
      <c r="H164" s="13">
        <v>-572275</v>
      </c>
      <c r="I164" s="13">
        <v>0</v>
      </c>
      <c r="K164" s="14">
        <f t="shared" si="10"/>
        <v>697852.44</v>
      </c>
      <c r="L164" s="12"/>
      <c r="M164" s="11"/>
      <c r="O164" s="15"/>
    </row>
    <row r="165" spans="1:15" outlineLevel="2">
      <c r="A165" s="11">
        <f t="shared" si="11"/>
        <v>161</v>
      </c>
      <c r="B165" s="11" t="s">
        <v>231</v>
      </c>
      <c r="C165" s="17" t="s">
        <v>303</v>
      </c>
      <c r="D165" s="12" t="s">
        <v>304</v>
      </c>
      <c r="E165" s="13">
        <v>27656157.329999998</v>
      </c>
      <c r="F165" s="13">
        <v>1411015</v>
      </c>
      <c r="G165" s="13">
        <f t="shared" si="9"/>
        <v>29067172.329999998</v>
      </c>
      <c r="H165" s="13">
        <v>0</v>
      </c>
      <c r="I165" s="13">
        <v>0</v>
      </c>
      <c r="K165" s="14">
        <f t="shared" si="10"/>
        <v>29067172.329999998</v>
      </c>
      <c r="L165" s="12"/>
      <c r="M165" s="11"/>
      <c r="O165" s="15"/>
    </row>
    <row r="166" spans="1:15" outlineLevel="2">
      <c r="A166" s="11">
        <f t="shared" si="11"/>
        <v>162</v>
      </c>
      <c r="B166" s="11" t="s">
        <v>231</v>
      </c>
      <c r="C166" s="17" t="s">
        <v>305</v>
      </c>
      <c r="D166" s="12" t="s">
        <v>306</v>
      </c>
      <c r="E166" s="13">
        <v>4266040.32</v>
      </c>
      <c r="G166" s="13">
        <f t="shared" si="9"/>
        <v>4266040.32</v>
      </c>
      <c r="H166" s="13">
        <v>-40435</v>
      </c>
      <c r="I166" s="13">
        <v>0</v>
      </c>
      <c r="K166" s="14">
        <f t="shared" si="10"/>
        <v>4225605.32</v>
      </c>
      <c r="L166" s="12"/>
      <c r="M166" s="11"/>
      <c r="O166" s="15"/>
    </row>
    <row r="167" spans="1:15" outlineLevel="2">
      <c r="A167" s="11">
        <f t="shared" si="11"/>
        <v>163</v>
      </c>
      <c r="B167" s="11" t="s">
        <v>231</v>
      </c>
      <c r="C167" s="17" t="s">
        <v>307</v>
      </c>
      <c r="D167" s="12" t="s">
        <v>308</v>
      </c>
      <c r="E167" s="13">
        <v>7744394.29</v>
      </c>
      <c r="G167" s="13">
        <f t="shared" si="9"/>
        <v>7744394.29</v>
      </c>
      <c r="H167" s="13">
        <v>-1030790</v>
      </c>
      <c r="I167" s="13">
        <v>0</v>
      </c>
      <c r="K167" s="14">
        <f>SUM(G167:J167)</f>
        <v>6713604.29</v>
      </c>
      <c r="L167" s="12"/>
      <c r="M167" s="11"/>
      <c r="O167" s="15"/>
    </row>
    <row r="168" spans="1:15" outlineLevel="2">
      <c r="A168" s="11">
        <f t="shared" si="11"/>
        <v>164</v>
      </c>
      <c r="B168" s="11" t="s">
        <v>231</v>
      </c>
      <c r="C168" s="17" t="s">
        <v>309</v>
      </c>
      <c r="D168" s="12" t="s">
        <v>310</v>
      </c>
      <c r="E168" s="13">
        <v>253710.27</v>
      </c>
      <c r="G168" s="13">
        <f t="shared" si="9"/>
        <v>253710.27</v>
      </c>
      <c r="H168" s="13">
        <v>0</v>
      </c>
      <c r="I168" s="13">
        <v>0</v>
      </c>
      <c r="K168" s="14">
        <f t="shared" si="10"/>
        <v>253710.27</v>
      </c>
      <c r="L168" s="12"/>
      <c r="M168" s="11"/>
      <c r="O168" s="15"/>
    </row>
    <row r="169" spans="1:15" outlineLevel="2">
      <c r="A169" s="11">
        <f t="shared" si="11"/>
        <v>165</v>
      </c>
      <c r="B169" s="11" t="s">
        <v>231</v>
      </c>
      <c r="C169" s="17" t="s">
        <v>311</v>
      </c>
      <c r="D169" s="12" t="s">
        <v>312</v>
      </c>
      <c r="E169" s="13">
        <v>10832303.18</v>
      </c>
      <c r="G169" s="13">
        <f t="shared" si="9"/>
        <v>10832303.18</v>
      </c>
      <c r="H169" s="13">
        <v>0</v>
      </c>
      <c r="I169" s="13">
        <v>0</v>
      </c>
      <c r="K169" s="14">
        <f t="shared" si="10"/>
        <v>10832303.18</v>
      </c>
      <c r="M169" s="11"/>
      <c r="O169" s="15"/>
    </row>
    <row r="170" spans="1:15" outlineLevel="2">
      <c r="A170" s="11">
        <f t="shared" si="11"/>
        <v>166</v>
      </c>
      <c r="B170" s="11" t="s">
        <v>231</v>
      </c>
      <c r="C170" s="17" t="s">
        <v>313</v>
      </c>
      <c r="D170" s="12" t="s">
        <v>314</v>
      </c>
      <c r="E170" s="13">
        <v>17698959.530000001</v>
      </c>
      <c r="F170" s="13">
        <v>1892000</v>
      </c>
      <c r="G170" s="13">
        <f t="shared" si="9"/>
        <v>19590959.530000001</v>
      </c>
      <c r="H170" s="13">
        <v>-163144</v>
      </c>
      <c r="I170" s="13">
        <v>0</v>
      </c>
      <c r="K170" s="14">
        <f t="shared" si="10"/>
        <v>19427815.530000001</v>
      </c>
      <c r="L170" s="12"/>
      <c r="M170" s="11"/>
      <c r="O170" s="15"/>
    </row>
    <row r="171" spans="1:15" outlineLevel="2">
      <c r="A171" s="11">
        <f t="shared" si="11"/>
        <v>167</v>
      </c>
      <c r="B171" s="11" t="s">
        <v>231</v>
      </c>
      <c r="C171" s="17" t="s">
        <v>315</v>
      </c>
      <c r="D171" s="12" t="s">
        <v>316</v>
      </c>
      <c r="E171" s="13">
        <v>1725310.24</v>
      </c>
      <c r="G171" s="13">
        <f t="shared" si="9"/>
        <v>1725310.24</v>
      </c>
      <c r="H171" s="13">
        <v>0</v>
      </c>
      <c r="I171" s="13">
        <v>0</v>
      </c>
      <c r="K171" s="14">
        <f t="shared" si="10"/>
        <v>1725310.24</v>
      </c>
      <c r="M171" s="11"/>
      <c r="O171" s="15"/>
    </row>
    <row r="172" spans="1:15" outlineLevel="2">
      <c r="A172" s="11">
        <f t="shared" si="11"/>
        <v>168</v>
      </c>
      <c r="B172" s="11" t="s">
        <v>231</v>
      </c>
      <c r="C172" s="17" t="s">
        <v>317</v>
      </c>
      <c r="D172" s="12" t="s">
        <v>318</v>
      </c>
      <c r="E172" s="13">
        <v>10645252.35</v>
      </c>
      <c r="G172" s="13">
        <f t="shared" si="9"/>
        <v>10645252.35</v>
      </c>
      <c r="H172" s="13">
        <v>0</v>
      </c>
      <c r="I172" s="13">
        <v>0</v>
      </c>
      <c r="K172" s="14">
        <f t="shared" si="10"/>
        <v>10645252.35</v>
      </c>
      <c r="M172" s="11"/>
      <c r="O172" s="15"/>
    </row>
    <row r="173" spans="1:15" outlineLevel="2">
      <c r="A173" s="11">
        <f t="shared" si="11"/>
        <v>169</v>
      </c>
      <c r="B173" s="11" t="s">
        <v>231</v>
      </c>
      <c r="C173" s="17" t="s">
        <v>319</v>
      </c>
      <c r="D173" s="12" t="s">
        <v>320</v>
      </c>
      <c r="E173" s="13">
        <v>17791350.989999998</v>
      </c>
      <c r="F173" s="13">
        <v>0</v>
      </c>
      <c r="G173" s="13">
        <f>E173+F173</f>
        <v>17791350.989999998</v>
      </c>
      <c r="H173" s="13">
        <v>0</v>
      </c>
      <c r="I173" s="13">
        <v>0</v>
      </c>
      <c r="K173" s="14">
        <f t="shared" si="10"/>
        <v>17791350.989999998</v>
      </c>
      <c r="M173" s="11"/>
      <c r="O173" s="15"/>
    </row>
    <row r="174" spans="1:15" outlineLevel="2">
      <c r="A174" s="11">
        <f t="shared" si="11"/>
        <v>170</v>
      </c>
      <c r="B174" s="11" t="s">
        <v>231</v>
      </c>
      <c r="C174" s="17" t="s">
        <v>2294</v>
      </c>
      <c r="D174" s="12" t="s">
        <v>2317</v>
      </c>
      <c r="E174" s="13">
        <f>11966651.04+253719.57-11966651.04-253719.57</f>
        <v>2.9103830456733704E-10</v>
      </c>
      <c r="G174" s="13">
        <f t="shared" si="9"/>
        <v>2.9103830456733704E-10</v>
      </c>
      <c r="H174" s="13">
        <v>0</v>
      </c>
      <c r="I174" s="13">
        <v>0</v>
      </c>
      <c r="K174" s="14">
        <f>SUM(G174:J174)</f>
        <v>2.9103830456733704E-10</v>
      </c>
      <c r="M174" s="11"/>
      <c r="O174" s="15"/>
    </row>
    <row r="175" spans="1:15" ht="12.75" customHeight="1" outlineLevel="2">
      <c r="A175" s="11">
        <f t="shared" si="11"/>
        <v>171</v>
      </c>
      <c r="B175" s="11" t="s">
        <v>231</v>
      </c>
      <c r="C175" s="17" t="s">
        <v>321</v>
      </c>
      <c r="D175" s="12" t="s">
        <v>322</v>
      </c>
      <c r="E175" s="13">
        <v>23855781.239999998</v>
      </c>
      <c r="G175" s="13">
        <f t="shared" si="9"/>
        <v>23855781.239999998</v>
      </c>
      <c r="H175" s="13">
        <v>-2224203</v>
      </c>
      <c r="I175" s="13">
        <v>0</v>
      </c>
      <c r="K175" s="14">
        <f t="shared" si="10"/>
        <v>21631578.239999998</v>
      </c>
      <c r="L175" s="12"/>
      <c r="M175" s="11"/>
      <c r="O175" s="15"/>
    </row>
    <row r="176" spans="1:15" outlineLevel="2">
      <c r="A176" s="11">
        <f t="shared" si="11"/>
        <v>172</v>
      </c>
      <c r="B176" s="11" t="s">
        <v>231</v>
      </c>
      <c r="C176" s="17" t="s">
        <v>323</v>
      </c>
      <c r="D176" s="12" t="s">
        <v>324</v>
      </c>
      <c r="E176" s="13">
        <v>8439044.1799999997</v>
      </c>
      <c r="G176" s="13">
        <f t="shared" si="9"/>
        <v>8439044.1799999997</v>
      </c>
      <c r="H176" s="13">
        <v>0</v>
      </c>
      <c r="I176" s="13">
        <v>0</v>
      </c>
      <c r="K176" s="14">
        <f t="shared" si="10"/>
        <v>8439044.1799999997</v>
      </c>
      <c r="M176" s="11"/>
      <c r="O176" s="15"/>
    </row>
    <row r="177" spans="1:15" outlineLevel="2">
      <c r="A177" s="11">
        <f t="shared" si="11"/>
        <v>173</v>
      </c>
      <c r="B177" s="11" t="s">
        <v>231</v>
      </c>
      <c r="C177" s="17" t="s">
        <v>325</v>
      </c>
      <c r="D177" s="12" t="s">
        <v>326</v>
      </c>
      <c r="E177" s="13">
        <v>1510561.05</v>
      </c>
      <c r="G177" s="13">
        <f t="shared" si="9"/>
        <v>1510561.05</v>
      </c>
      <c r="H177" s="13">
        <v>-43752</v>
      </c>
      <c r="I177" s="13">
        <v>0</v>
      </c>
      <c r="K177" s="14">
        <f t="shared" si="10"/>
        <v>1466809.05</v>
      </c>
      <c r="L177" s="12"/>
      <c r="M177" s="11"/>
      <c r="O177" s="15"/>
    </row>
    <row r="178" spans="1:15" outlineLevel="2">
      <c r="A178" s="11">
        <f t="shared" si="11"/>
        <v>174</v>
      </c>
      <c r="B178" s="11" t="s">
        <v>231</v>
      </c>
      <c r="C178" s="17" t="s">
        <v>327</v>
      </c>
      <c r="D178" s="12" t="s">
        <v>328</v>
      </c>
      <c r="E178" s="13">
        <v>5578082.3200000003</v>
      </c>
      <c r="F178" s="13">
        <v>0</v>
      </c>
      <c r="G178" s="13">
        <f t="shared" si="9"/>
        <v>5578082.3200000003</v>
      </c>
      <c r="H178" s="13">
        <v>-326877</v>
      </c>
      <c r="I178" s="13">
        <v>0</v>
      </c>
      <c r="K178" s="14">
        <f t="shared" si="10"/>
        <v>5251205.32</v>
      </c>
      <c r="L178" s="12"/>
      <c r="M178" s="11"/>
      <c r="O178" s="15"/>
    </row>
    <row r="179" spans="1:15" outlineLevel="2">
      <c r="A179" s="11">
        <f t="shared" si="11"/>
        <v>175</v>
      </c>
      <c r="B179" s="11" t="s">
        <v>231</v>
      </c>
      <c r="C179" s="17" t="s">
        <v>2348</v>
      </c>
      <c r="D179" s="12" t="s">
        <v>2347</v>
      </c>
      <c r="E179" s="13">
        <v>9869842</v>
      </c>
      <c r="F179" s="13">
        <v>9626000</v>
      </c>
      <c r="G179" s="13">
        <f t="shared" si="9"/>
        <v>19495842</v>
      </c>
      <c r="H179" s="13">
        <v>0</v>
      </c>
      <c r="I179" s="13">
        <v>0</v>
      </c>
      <c r="K179" s="14">
        <f>SUM(G179:J179)</f>
        <v>19495842</v>
      </c>
      <c r="L179" s="12"/>
      <c r="M179" s="11"/>
      <c r="O179" s="15"/>
    </row>
    <row r="180" spans="1:15" outlineLevel="2">
      <c r="A180" s="11">
        <f t="shared" si="11"/>
        <v>176</v>
      </c>
      <c r="B180" s="11" t="s">
        <v>231</v>
      </c>
      <c r="C180" s="17" t="s">
        <v>475</v>
      </c>
      <c r="D180" s="12" t="s">
        <v>476</v>
      </c>
      <c r="E180" s="13">
        <f>82518.71+16015.17</f>
        <v>98533.88</v>
      </c>
      <c r="G180" s="13">
        <f t="shared" si="9"/>
        <v>98533.88</v>
      </c>
      <c r="H180" s="13">
        <v>0</v>
      </c>
      <c r="I180" s="13">
        <v>0</v>
      </c>
      <c r="K180" s="14">
        <f t="shared" si="10"/>
        <v>98533.88</v>
      </c>
      <c r="L180" s="12"/>
      <c r="M180" s="11"/>
      <c r="O180" s="15"/>
    </row>
    <row r="181" spans="1:15" outlineLevel="2">
      <c r="A181" s="11">
        <f t="shared" si="11"/>
        <v>177</v>
      </c>
      <c r="B181" s="11" t="s">
        <v>231</v>
      </c>
      <c r="C181" s="17" t="s">
        <v>329</v>
      </c>
      <c r="D181" s="12" t="s">
        <v>330</v>
      </c>
      <c r="E181" s="13">
        <v>11868241.48</v>
      </c>
      <c r="G181" s="13">
        <f t="shared" si="9"/>
        <v>11868241.48</v>
      </c>
      <c r="H181" s="13">
        <v>-62475</v>
      </c>
      <c r="I181" s="13">
        <v>0</v>
      </c>
      <c r="K181" s="14">
        <f t="shared" si="10"/>
        <v>11805766.48</v>
      </c>
      <c r="L181" s="12"/>
      <c r="M181" s="11"/>
      <c r="O181" s="15"/>
    </row>
    <row r="182" spans="1:15" outlineLevel="2">
      <c r="A182" s="11">
        <f t="shared" si="11"/>
        <v>178</v>
      </c>
      <c r="B182" s="11" t="s">
        <v>231</v>
      </c>
      <c r="C182" s="17" t="s">
        <v>2295</v>
      </c>
      <c r="D182" s="12" t="s">
        <v>2316</v>
      </c>
      <c r="E182" s="13">
        <f>6841033.8-6841033.8</f>
        <v>0</v>
      </c>
      <c r="F182" s="13">
        <v>6841034</v>
      </c>
      <c r="G182" s="13">
        <f t="shared" si="9"/>
        <v>6841034</v>
      </c>
      <c r="H182" s="13">
        <v>0</v>
      </c>
      <c r="I182" s="13">
        <v>0</v>
      </c>
      <c r="K182" s="14">
        <f t="shared" si="10"/>
        <v>6841034</v>
      </c>
      <c r="L182" s="12"/>
      <c r="M182" s="11"/>
      <c r="O182" s="15"/>
    </row>
    <row r="183" spans="1:15" outlineLevel="2">
      <c r="A183" s="11">
        <f t="shared" si="11"/>
        <v>179</v>
      </c>
      <c r="B183" s="11" t="s">
        <v>231</v>
      </c>
      <c r="C183" s="17" t="s">
        <v>477</v>
      </c>
      <c r="D183" s="12" t="s">
        <v>478</v>
      </c>
      <c r="E183" s="13">
        <v>10832.21</v>
      </c>
      <c r="G183" s="13">
        <f t="shared" si="9"/>
        <v>10832.21</v>
      </c>
      <c r="H183" s="13">
        <v>0</v>
      </c>
      <c r="I183" s="13">
        <v>0</v>
      </c>
      <c r="K183" s="14">
        <f t="shared" si="10"/>
        <v>10832.21</v>
      </c>
      <c r="L183" s="12"/>
      <c r="M183" s="11"/>
      <c r="O183" s="15"/>
    </row>
    <row r="184" spans="1:15" outlineLevel="2">
      <c r="A184" s="11">
        <f t="shared" si="11"/>
        <v>180</v>
      </c>
      <c r="B184" s="11" t="s">
        <v>231</v>
      </c>
      <c r="C184" s="17" t="s">
        <v>331</v>
      </c>
      <c r="D184" s="12" t="s">
        <v>332</v>
      </c>
      <c r="E184" s="13">
        <v>3894019.92</v>
      </c>
      <c r="G184" s="13">
        <f t="shared" si="9"/>
        <v>3894019.92</v>
      </c>
      <c r="H184" s="13">
        <v>-143716</v>
      </c>
      <c r="I184" s="13">
        <v>0</v>
      </c>
      <c r="K184" s="14">
        <f t="shared" si="10"/>
        <v>3750303.92</v>
      </c>
      <c r="L184" s="12"/>
      <c r="M184" s="11"/>
      <c r="O184" s="15"/>
    </row>
    <row r="185" spans="1:15" outlineLevel="2">
      <c r="A185" s="11">
        <f t="shared" si="11"/>
        <v>181</v>
      </c>
      <c r="B185" s="11" t="s">
        <v>231</v>
      </c>
      <c r="C185" s="17" t="s">
        <v>333</v>
      </c>
      <c r="D185" s="12" t="s">
        <v>334</v>
      </c>
      <c r="E185" s="13">
        <v>11683545.109999999</v>
      </c>
      <c r="G185" s="13">
        <f t="shared" ref="G185:G190" si="12">E185+F185</f>
        <v>11683545.109999999</v>
      </c>
      <c r="H185" s="13">
        <v>-320531</v>
      </c>
      <c r="I185" s="13">
        <v>0</v>
      </c>
      <c r="K185" s="14">
        <f t="shared" ref="K185:K190" si="13">SUM(G185:J185)</f>
        <v>11363014.109999999</v>
      </c>
      <c r="L185" s="12"/>
      <c r="M185" s="11"/>
      <c r="O185" s="15"/>
    </row>
    <row r="186" spans="1:15" outlineLevel="2">
      <c r="A186" s="11">
        <f t="shared" si="11"/>
        <v>182</v>
      </c>
      <c r="B186" s="11" t="s">
        <v>231</v>
      </c>
      <c r="C186" s="17" t="s">
        <v>335</v>
      </c>
      <c r="D186" s="12" t="s">
        <v>336</v>
      </c>
      <c r="E186" s="13">
        <v>23290587.5</v>
      </c>
      <c r="F186" s="13">
        <v>3152063</v>
      </c>
      <c r="G186" s="13">
        <f t="shared" si="12"/>
        <v>26442650.5</v>
      </c>
      <c r="H186" s="13">
        <v>-1837674</v>
      </c>
      <c r="I186" s="13">
        <v>0</v>
      </c>
      <c r="K186" s="14">
        <f>SUM(G186:J186)</f>
        <v>24604976.5</v>
      </c>
      <c r="L186" s="12"/>
      <c r="M186" s="11"/>
      <c r="O186" s="15"/>
    </row>
    <row r="187" spans="1:15" outlineLevel="2">
      <c r="A187" s="11">
        <f t="shared" si="11"/>
        <v>183</v>
      </c>
      <c r="B187" s="11" t="s">
        <v>231</v>
      </c>
      <c r="C187" s="17" t="s">
        <v>337</v>
      </c>
      <c r="D187" s="12" t="s">
        <v>338</v>
      </c>
      <c r="E187" s="13">
        <v>7092854.1799999997</v>
      </c>
      <c r="F187" s="13">
        <v>551423</v>
      </c>
      <c r="G187" s="13">
        <f t="shared" si="12"/>
        <v>7644277.1799999997</v>
      </c>
      <c r="H187" s="13">
        <v>-1180480</v>
      </c>
      <c r="I187" s="13">
        <v>0</v>
      </c>
      <c r="K187" s="14">
        <f t="shared" si="13"/>
        <v>6463797.1799999997</v>
      </c>
      <c r="L187" s="12"/>
      <c r="M187" s="11"/>
      <c r="O187" s="15"/>
    </row>
    <row r="188" spans="1:15" outlineLevel="2">
      <c r="A188" s="11">
        <f t="shared" si="11"/>
        <v>184</v>
      </c>
      <c r="B188" s="11" t="s">
        <v>231</v>
      </c>
      <c r="C188" s="17" t="s">
        <v>339</v>
      </c>
      <c r="D188" s="12" t="s">
        <v>340</v>
      </c>
      <c r="E188" s="13">
        <v>2861374.78</v>
      </c>
      <c r="G188" s="13">
        <f t="shared" si="12"/>
        <v>2861374.78</v>
      </c>
      <c r="H188" s="13">
        <v>-1307837</v>
      </c>
      <c r="I188" s="13">
        <v>0</v>
      </c>
      <c r="K188" s="14">
        <f t="shared" si="13"/>
        <v>1553537.7799999998</v>
      </c>
      <c r="L188" s="12"/>
      <c r="M188" s="11"/>
      <c r="O188" s="15"/>
    </row>
    <row r="189" spans="1:15" outlineLevel="2">
      <c r="A189" s="11">
        <f t="shared" si="11"/>
        <v>185</v>
      </c>
      <c r="B189" s="11" t="s">
        <v>231</v>
      </c>
      <c r="C189" s="17" t="s">
        <v>341</v>
      </c>
      <c r="D189" s="12" t="s">
        <v>342</v>
      </c>
      <c r="E189" s="13">
        <v>3943916.72</v>
      </c>
      <c r="G189" s="13">
        <f t="shared" si="12"/>
        <v>3943916.72</v>
      </c>
      <c r="H189" s="13">
        <v>-158722</v>
      </c>
      <c r="I189" s="13">
        <v>0</v>
      </c>
      <c r="K189" s="14">
        <f t="shared" si="13"/>
        <v>3785194.72</v>
      </c>
      <c r="L189" s="12"/>
      <c r="M189" s="11"/>
      <c r="O189" s="15"/>
    </row>
    <row r="190" spans="1:15" outlineLevel="2">
      <c r="A190" s="11">
        <f t="shared" si="11"/>
        <v>186</v>
      </c>
      <c r="B190" s="11" t="s">
        <v>231</v>
      </c>
      <c r="C190" s="17" t="s">
        <v>343</v>
      </c>
      <c r="D190" s="12" t="s">
        <v>344</v>
      </c>
      <c r="E190" s="13">
        <v>11108747.65</v>
      </c>
      <c r="G190" s="13">
        <f t="shared" si="12"/>
        <v>11108747.65</v>
      </c>
      <c r="H190" s="13">
        <v>0</v>
      </c>
      <c r="I190" s="13">
        <v>0</v>
      </c>
      <c r="K190" s="14">
        <f t="shared" si="13"/>
        <v>11108747.65</v>
      </c>
      <c r="L190" s="12"/>
      <c r="M190" s="11"/>
      <c r="O190" s="15"/>
    </row>
    <row r="191" spans="1:15" outlineLevel="2">
      <c r="A191" s="11">
        <f t="shared" si="11"/>
        <v>187</v>
      </c>
      <c r="B191" s="11" t="s">
        <v>231</v>
      </c>
      <c r="C191" s="17" t="s">
        <v>479</v>
      </c>
      <c r="D191" s="12" t="s">
        <v>480</v>
      </c>
      <c r="E191" s="13">
        <v>29969.23</v>
      </c>
      <c r="G191" s="13">
        <f>E191+F191</f>
        <v>29969.23</v>
      </c>
      <c r="H191" s="13">
        <v>0</v>
      </c>
      <c r="I191" s="13">
        <v>0</v>
      </c>
      <c r="K191" s="14">
        <f>SUM(G191:J191)</f>
        <v>29969.23</v>
      </c>
      <c r="L191" s="12"/>
      <c r="M191" s="11"/>
      <c r="O191" s="15"/>
    </row>
    <row r="192" spans="1:15" outlineLevel="2">
      <c r="A192" s="11">
        <f t="shared" si="11"/>
        <v>188</v>
      </c>
      <c r="B192" s="11" t="s">
        <v>231</v>
      </c>
      <c r="C192" s="17" t="s">
        <v>481</v>
      </c>
      <c r="D192" s="12" t="s">
        <v>482</v>
      </c>
      <c r="E192" s="13">
        <v>340848.27</v>
      </c>
      <c r="G192" s="13">
        <f t="shared" ref="G192:G210" si="14">E192+F192</f>
        <v>340848.27</v>
      </c>
      <c r="H192" s="13">
        <v>0</v>
      </c>
      <c r="I192" s="13">
        <v>0</v>
      </c>
      <c r="K192" s="14">
        <f t="shared" ref="K192:K196" si="15">SUM(G192:J192)</f>
        <v>340848.27</v>
      </c>
      <c r="L192" s="12"/>
      <c r="M192" s="11"/>
      <c r="O192" s="15"/>
    </row>
    <row r="193" spans="1:15" outlineLevel="2">
      <c r="A193" s="11">
        <f t="shared" si="11"/>
        <v>189</v>
      </c>
      <c r="B193" s="11" t="s">
        <v>231</v>
      </c>
      <c r="C193" s="17" t="s">
        <v>345</v>
      </c>
      <c r="D193" s="12" t="s">
        <v>346</v>
      </c>
      <c r="E193" s="13">
        <v>19476</v>
      </c>
      <c r="G193" s="13">
        <f t="shared" si="14"/>
        <v>19476</v>
      </c>
      <c r="H193" s="13">
        <v>0</v>
      </c>
      <c r="I193" s="13">
        <v>0</v>
      </c>
      <c r="K193" s="14">
        <f t="shared" si="15"/>
        <v>19476</v>
      </c>
      <c r="M193" s="11"/>
      <c r="O193" s="15"/>
    </row>
    <row r="194" spans="1:15" outlineLevel="2">
      <c r="A194" s="11">
        <f t="shared" si="11"/>
        <v>190</v>
      </c>
      <c r="B194" s="11" t="s">
        <v>231</v>
      </c>
      <c r="C194" s="17" t="s">
        <v>347</v>
      </c>
      <c r="D194" s="12" t="s">
        <v>348</v>
      </c>
      <c r="E194" s="13">
        <v>1829480.7</v>
      </c>
      <c r="F194" s="13">
        <v>3928000</v>
      </c>
      <c r="G194" s="13">
        <f t="shared" si="14"/>
        <v>5757480.7000000002</v>
      </c>
      <c r="H194" s="13">
        <v>-1134120</v>
      </c>
      <c r="I194" s="13">
        <v>0</v>
      </c>
      <c r="K194" s="14">
        <f t="shared" si="15"/>
        <v>4623360.7</v>
      </c>
      <c r="L194" s="12"/>
      <c r="M194" s="11"/>
      <c r="O194" s="15"/>
    </row>
    <row r="195" spans="1:15" outlineLevel="2">
      <c r="A195" s="11">
        <f t="shared" si="11"/>
        <v>191</v>
      </c>
      <c r="B195" s="11" t="s">
        <v>231</v>
      </c>
      <c r="C195" s="17" t="s">
        <v>349</v>
      </c>
      <c r="D195" s="12" t="s">
        <v>350</v>
      </c>
      <c r="E195" s="13">
        <v>7925435.4699999997</v>
      </c>
      <c r="G195" s="13">
        <f t="shared" si="14"/>
        <v>7925435.4699999997</v>
      </c>
      <c r="H195" s="13">
        <v>-593801</v>
      </c>
      <c r="I195" s="13">
        <v>0</v>
      </c>
      <c r="K195" s="14">
        <f t="shared" si="15"/>
        <v>7331634.4699999997</v>
      </c>
      <c r="L195" s="12"/>
      <c r="M195" s="11"/>
      <c r="O195" s="15"/>
    </row>
    <row r="196" spans="1:15" outlineLevel="2">
      <c r="A196" s="11">
        <f t="shared" si="11"/>
        <v>192</v>
      </c>
      <c r="B196" s="11" t="s">
        <v>231</v>
      </c>
      <c r="C196" s="17" t="s">
        <v>351</v>
      </c>
      <c r="D196" s="12" t="s">
        <v>352</v>
      </c>
      <c r="E196" s="13">
        <v>838166.05</v>
      </c>
      <c r="G196" s="13">
        <f t="shared" si="14"/>
        <v>838166.05</v>
      </c>
      <c r="H196" s="13">
        <v>-154097</v>
      </c>
      <c r="I196" s="13">
        <v>0</v>
      </c>
      <c r="K196" s="14">
        <f t="shared" si="15"/>
        <v>684069.05</v>
      </c>
      <c r="M196" s="11"/>
      <c r="O196" s="15"/>
    </row>
    <row r="197" spans="1:15" outlineLevel="2">
      <c r="A197" s="11">
        <f t="shared" si="11"/>
        <v>193</v>
      </c>
      <c r="B197" s="11" t="s">
        <v>231</v>
      </c>
      <c r="C197" s="17" t="s">
        <v>353</v>
      </c>
      <c r="D197" s="12" t="s">
        <v>354</v>
      </c>
      <c r="E197" s="13">
        <v>6920614.1399999997</v>
      </c>
      <c r="G197" s="13">
        <f t="shared" si="14"/>
        <v>6920614.1399999997</v>
      </c>
      <c r="H197" s="13">
        <v>0</v>
      </c>
      <c r="I197" s="13">
        <v>0</v>
      </c>
      <c r="K197" s="14">
        <f>SUM(G197:J197)</f>
        <v>6920614.1399999997</v>
      </c>
      <c r="M197" s="11"/>
      <c r="O197" s="15"/>
    </row>
    <row r="198" spans="1:15" outlineLevel="2">
      <c r="A198" s="11">
        <f t="shared" si="11"/>
        <v>194</v>
      </c>
      <c r="B198" s="11" t="s">
        <v>231</v>
      </c>
      <c r="C198" s="17" t="s">
        <v>355</v>
      </c>
      <c r="D198" s="12" t="s">
        <v>356</v>
      </c>
      <c r="E198" s="13">
        <v>1895701.8</v>
      </c>
      <c r="G198" s="13">
        <f t="shared" si="14"/>
        <v>1895701.8</v>
      </c>
      <c r="H198" s="13">
        <v>0</v>
      </c>
      <c r="I198" s="13">
        <v>0</v>
      </c>
      <c r="K198" s="14">
        <f t="shared" ref="K198:K205" si="16">SUM(G198:J198)</f>
        <v>1895701.8</v>
      </c>
      <c r="M198" s="11"/>
      <c r="O198" s="15"/>
    </row>
    <row r="199" spans="1:15" outlineLevel="2">
      <c r="A199" s="11">
        <f t="shared" si="11"/>
        <v>195</v>
      </c>
      <c r="B199" s="11" t="s">
        <v>231</v>
      </c>
      <c r="C199" s="17" t="s">
        <v>357</v>
      </c>
      <c r="D199" s="12" t="s">
        <v>358</v>
      </c>
      <c r="E199" s="13">
        <f>305417.9+896681.51</f>
        <v>1202099.4100000001</v>
      </c>
      <c r="G199" s="13">
        <f t="shared" si="14"/>
        <v>1202099.4100000001</v>
      </c>
      <c r="H199" s="13">
        <v>0</v>
      </c>
      <c r="I199" s="13">
        <v>0</v>
      </c>
      <c r="K199" s="14">
        <f t="shared" si="16"/>
        <v>1202099.4100000001</v>
      </c>
      <c r="M199" s="11"/>
      <c r="O199" s="15"/>
    </row>
    <row r="200" spans="1:15" outlineLevel="2">
      <c r="A200" s="11">
        <f t="shared" si="11"/>
        <v>196</v>
      </c>
      <c r="B200" s="11" t="s">
        <v>231</v>
      </c>
      <c r="C200" s="17" t="s">
        <v>2304</v>
      </c>
      <c r="D200" s="12" t="s">
        <v>2305</v>
      </c>
      <c r="E200" s="13">
        <v>5351152.01</v>
      </c>
      <c r="F200" s="13">
        <v>0</v>
      </c>
      <c r="G200" s="13">
        <f t="shared" si="14"/>
        <v>5351152.01</v>
      </c>
      <c r="H200" s="13">
        <v>0</v>
      </c>
      <c r="I200" s="13">
        <v>0</v>
      </c>
      <c r="K200" s="14">
        <f t="shared" si="16"/>
        <v>5351152.01</v>
      </c>
      <c r="M200" s="11"/>
      <c r="O200" s="15"/>
    </row>
    <row r="201" spans="1:15" outlineLevel="2">
      <c r="A201" s="11">
        <f t="shared" ref="A201:A207" si="17">A200+1</f>
        <v>197</v>
      </c>
      <c r="B201" s="11" t="s">
        <v>231</v>
      </c>
      <c r="C201" s="17" t="s">
        <v>359</v>
      </c>
      <c r="D201" s="12" t="s">
        <v>360</v>
      </c>
      <c r="E201" s="13">
        <v>3473709.71</v>
      </c>
      <c r="G201" s="13">
        <f t="shared" si="14"/>
        <v>3473709.71</v>
      </c>
      <c r="H201" s="13">
        <v>-586992</v>
      </c>
      <c r="I201" s="13">
        <v>0</v>
      </c>
      <c r="K201" s="14">
        <f t="shared" si="16"/>
        <v>2886717.71</v>
      </c>
      <c r="L201" s="12"/>
      <c r="M201" s="11"/>
      <c r="O201" s="15"/>
    </row>
    <row r="202" spans="1:15" outlineLevel="2">
      <c r="A202" s="11">
        <f t="shared" si="17"/>
        <v>198</v>
      </c>
      <c r="B202" s="11" t="s">
        <v>231</v>
      </c>
      <c r="C202" s="17" t="s">
        <v>361</v>
      </c>
      <c r="D202" s="12" t="s">
        <v>362</v>
      </c>
      <c r="E202" s="13">
        <v>7254341.0700000003</v>
      </c>
      <c r="G202" s="13">
        <f t="shared" si="14"/>
        <v>7254341.0700000003</v>
      </c>
      <c r="H202" s="13">
        <v>-1095435</v>
      </c>
      <c r="I202" s="13">
        <v>0</v>
      </c>
      <c r="K202" s="14">
        <f t="shared" si="16"/>
        <v>6158906.0700000003</v>
      </c>
      <c r="M202" s="11"/>
      <c r="O202" s="15"/>
    </row>
    <row r="203" spans="1:15" outlineLevel="2">
      <c r="A203" s="11">
        <f t="shared" si="17"/>
        <v>199</v>
      </c>
      <c r="B203" s="11" t="s">
        <v>231</v>
      </c>
      <c r="C203" s="17" t="s">
        <v>363</v>
      </c>
      <c r="D203" s="12" t="s">
        <v>364</v>
      </c>
      <c r="E203" s="13">
        <v>2030823.76</v>
      </c>
      <c r="G203" s="13">
        <f t="shared" si="14"/>
        <v>2030823.76</v>
      </c>
      <c r="H203" s="13">
        <v>-139236</v>
      </c>
      <c r="I203" s="13">
        <v>0</v>
      </c>
      <c r="K203" s="14">
        <f t="shared" si="16"/>
        <v>1891587.76</v>
      </c>
      <c r="L203" s="12"/>
      <c r="M203" s="11"/>
      <c r="O203" s="15"/>
    </row>
    <row r="204" spans="1:15" outlineLevel="2">
      <c r="A204" s="11">
        <f t="shared" si="17"/>
        <v>200</v>
      </c>
      <c r="B204" s="11" t="s">
        <v>231</v>
      </c>
      <c r="C204" s="17" t="s">
        <v>483</v>
      </c>
      <c r="D204" s="12" t="s">
        <v>484</v>
      </c>
      <c r="E204" s="13">
        <v>72367.83</v>
      </c>
      <c r="G204" s="13">
        <f t="shared" si="14"/>
        <v>72367.83</v>
      </c>
      <c r="H204" s="13">
        <v>-72368</v>
      </c>
      <c r="I204" s="13">
        <v>0</v>
      </c>
      <c r="K204" s="14">
        <f>SUM(G204:J204)</f>
        <v>-0.16999999999825377</v>
      </c>
      <c r="L204" s="12"/>
      <c r="M204" s="11"/>
      <c r="O204" s="15"/>
    </row>
    <row r="205" spans="1:15" outlineLevel="2">
      <c r="A205" s="11">
        <f t="shared" si="17"/>
        <v>201</v>
      </c>
      <c r="B205" s="11" t="s">
        <v>231</v>
      </c>
      <c r="C205" s="17" t="s">
        <v>365</v>
      </c>
      <c r="D205" s="12" t="s">
        <v>366</v>
      </c>
      <c r="E205" s="13">
        <v>1944816.97</v>
      </c>
      <c r="G205" s="13">
        <f t="shared" si="14"/>
        <v>1944816.97</v>
      </c>
      <c r="H205" s="13">
        <v>-33744</v>
      </c>
      <c r="I205" s="13">
        <v>0</v>
      </c>
      <c r="K205" s="14">
        <f t="shared" si="16"/>
        <v>1911072.97</v>
      </c>
      <c r="L205" s="12"/>
      <c r="M205" s="11"/>
      <c r="O205" s="15"/>
    </row>
    <row r="206" spans="1:15" ht="13.5" customHeight="1" outlineLevel="2">
      <c r="A206" s="11">
        <f t="shared" si="17"/>
        <v>202</v>
      </c>
      <c r="B206" s="11" t="s">
        <v>231</v>
      </c>
      <c r="C206" s="17" t="s">
        <v>367</v>
      </c>
      <c r="D206" s="12" t="s">
        <v>368</v>
      </c>
      <c r="E206" s="13">
        <v>18333139.199999999</v>
      </c>
      <c r="F206" s="13">
        <v>0</v>
      </c>
      <c r="G206" s="13">
        <f t="shared" si="14"/>
        <v>18333139.199999999</v>
      </c>
      <c r="H206" s="13">
        <v>0</v>
      </c>
      <c r="I206" s="13">
        <v>0</v>
      </c>
      <c r="K206" s="14">
        <f>SUM(G206:J206)</f>
        <v>18333139.199999999</v>
      </c>
      <c r="M206" s="11"/>
      <c r="O206" s="15"/>
    </row>
    <row r="207" spans="1:15" outlineLevel="2">
      <c r="A207" s="11">
        <f t="shared" si="17"/>
        <v>203</v>
      </c>
      <c r="B207" s="11" t="s">
        <v>231</v>
      </c>
      <c r="C207" s="17" t="s">
        <v>369</v>
      </c>
      <c r="D207" s="12" t="s">
        <v>370</v>
      </c>
      <c r="E207" s="13">
        <v>1152964.03</v>
      </c>
      <c r="F207" s="13">
        <v>1827144</v>
      </c>
      <c r="G207" s="13">
        <f t="shared" si="14"/>
        <v>2980108.0300000003</v>
      </c>
      <c r="H207" s="13">
        <v>-287497</v>
      </c>
      <c r="I207" s="13">
        <v>0</v>
      </c>
      <c r="K207" s="14">
        <f t="shared" ref="K207:K216" si="18">SUM(G207:J207)</f>
        <v>2692611.0300000003</v>
      </c>
      <c r="L207" s="12"/>
      <c r="M207" s="11"/>
      <c r="O207" s="15"/>
    </row>
    <row r="208" spans="1:15" outlineLevel="2">
      <c r="A208" s="11">
        <f t="shared" ref="A208:A266" si="19">A207+1</f>
        <v>204</v>
      </c>
      <c r="B208" s="11" t="s">
        <v>231</v>
      </c>
      <c r="C208" s="17" t="s">
        <v>371</v>
      </c>
      <c r="D208" s="12" t="s">
        <v>372</v>
      </c>
      <c r="E208" s="13">
        <v>3242234.29</v>
      </c>
      <c r="G208" s="13">
        <f t="shared" si="14"/>
        <v>3242234.29</v>
      </c>
      <c r="H208" s="13">
        <v>-58595</v>
      </c>
      <c r="I208" s="13">
        <v>0</v>
      </c>
      <c r="K208" s="14">
        <f t="shared" si="18"/>
        <v>3183639.29</v>
      </c>
      <c r="L208" s="12"/>
      <c r="M208" s="11"/>
      <c r="O208" s="15"/>
    </row>
    <row r="209" spans="1:15" outlineLevel="2">
      <c r="A209" s="11">
        <f t="shared" si="19"/>
        <v>205</v>
      </c>
      <c r="B209" s="11" t="s">
        <v>231</v>
      </c>
      <c r="C209" s="17" t="s">
        <v>485</v>
      </c>
      <c r="D209" s="12" t="s">
        <v>486</v>
      </c>
      <c r="E209" s="13">
        <v>180660.37</v>
      </c>
      <c r="G209" s="13">
        <f t="shared" si="14"/>
        <v>180660.37</v>
      </c>
      <c r="H209" s="13">
        <v>0</v>
      </c>
      <c r="I209" s="13">
        <v>0</v>
      </c>
      <c r="K209" s="14">
        <f t="shared" si="18"/>
        <v>180660.37</v>
      </c>
      <c r="L209" s="12"/>
      <c r="M209" s="11"/>
      <c r="O209" s="15"/>
    </row>
    <row r="210" spans="1:15" outlineLevel="2">
      <c r="A210" s="11">
        <f t="shared" si="19"/>
        <v>206</v>
      </c>
      <c r="B210" s="11" t="s">
        <v>231</v>
      </c>
      <c r="C210" s="17" t="s">
        <v>487</v>
      </c>
      <c r="D210" s="12" t="s">
        <v>488</v>
      </c>
      <c r="E210" s="13">
        <v>890606.75</v>
      </c>
      <c r="G210" s="13">
        <f t="shared" si="14"/>
        <v>890606.75</v>
      </c>
      <c r="H210" s="13">
        <v>-108485</v>
      </c>
      <c r="I210" s="13">
        <v>0</v>
      </c>
      <c r="K210" s="14">
        <f t="shared" si="18"/>
        <v>782121.75</v>
      </c>
      <c r="L210" s="12"/>
      <c r="M210" s="11"/>
      <c r="O210" s="15"/>
    </row>
    <row r="211" spans="1:15" outlineLevel="2">
      <c r="A211" s="11">
        <f t="shared" si="19"/>
        <v>207</v>
      </c>
      <c r="B211" s="11" t="s">
        <v>231</v>
      </c>
      <c r="C211" s="17" t="s">
        <v>373</v>
      </c>
      <c r="D211" s="12" t="s">
        <v>374</v>
      </c>
      <c r="E211" s="13">
        <v>2037147.6</v>
      </c>
      <c r="G211" s="13">
        <f>E211+F211</f>
        <v>2037147.6</v>
      </c>
      <c r="H211" s="13">
        <v>-209290</v>
      </c>
      <c r="I211" s="13">
        <v>0</v>
      </c>
      <c r="K211" s="14">
        <f t="shared" si="18"/>
        <v>1827857.6</v>
      </c>
      <c r="L211" s="12"/>
      <c r="M211" s="11"/>
      <c r="O211" s="15"/>
    </row>
    <row r="212" spans="1:15" outlineLevel="2">
      <c r="A212" s="11">
        <f t="shared" si="19"/>
        <v>208</v>
      </c>
      <c r="B212" s="11" t="s">
        <v>231</v>
      </c>
      <c r="C212" s="17" t="s">
        <v>375</v>
      </c>
      <c r="D212" s="12" t="s">
        <v>376</v>
      </c>
      <c r="E212" s="13">
        <v>4284663.8099999996</v>
      </c>
      <c r="G212" s="13">
        <f t="shared" ref="G212:G230" si="20">E212+F212</f>
        <v>4284663.8099999996</v>
      </c>
      <c r="H212" s="13">
        <v>-699890</v>
      </c>
      <c r="I212" s="13">
        <v>0</v>
      </c>
      <c r="K212" s="14">
        <f t="shared" si="18"/>
        <v>3584773.8099999996</v>
      </c>
      <c r="L212" s="12"/>
      <c r="M212" s="11"/>
      <c r="O212" s="15"/>
    </row>
    <row r="213" spans="1:15" outlineLevel="2">
      <c r="A213" s="11">
        <f t="shared" si="19"/>
        <v>209</v>
      </c>
      <c r="B213" s="11" t="s">
        <v>231</v>
      </c>
      <c r="C213" s="17" t="s">
        <v>489</v>
      </c>
      <c r="D213" s="12" t="s">
        <v>490</v>
      </c>
      <c r="E213" s="13">
        <v>992414.68</v>
      </c>
      <c r="G213" s="13">
        <f t="shared" si="20"/>
        <v>992414.68</v>
      </c>
      <c r="H213" s="13">
        <v>-101191</v>
      </c>
      <c r="I213" s="13">
        <v>0</v>
      </c>
      <c r="K213" s="14">
        <f>SUM(G213:J213)</f>
        <v>891223.68</v>
      </c>
      <c r="L213" s="12"/>
      <c r="M213" s="11"/>
      <c r="O213" s="15"/>
    </row>
    <row r="214" spans="1:15" outlineLevel="2">
      <c r="A214" s="11">
        <f t="shared" si="19"/>
        <v>210</v>
      </c>
      <c r="B214" s="11" t="s">
        <v>231</v>
      </c>
      <c r="C214" s="17" t="s">
        <v>377</v>
      </c>
      <c r="D214" s="12" t="s">
        <v>378</v>
      </c>
      <c r="E214" s="13">
        <v>250628.78</v>
      </c>
      <c r="G214" s="13">
        <f t="shared" si="20"/>
        <v>250628.78</v>
      </c>
      <c r="H214" s="13">
        <v>-250629</v>
      </c>
      <c r="I214" s="13">
        <v>0</v>
      </c>
      <c r="K214" s="14">
        <f t="shared" si="18"/>
        <v>-0.22000000000116415</v>
      </c>
      <c r="L214" s="12"/>
      <c r="M214" s="11"/>
      <c r="O214" s="15"/>
    </row>
    <row r="215" spans="1:15" outlineLevel="2">
      <c r="A215" s="11">
        <f t="shared" si="19"/>
        <v>211</v>
      </c>
      <c r="B215" s="11" t="s">
        <v>231</v>
      </c>
      <c r="C215" s="17" t="s">
        <v>379</v>
      </c>
      <c r="D215" s="12" t="s">
        <v>380</v>
      </c>
      <c r="E215" s="13">
        <f>5739050.59</f>
        <v>5739050.5899999999</v>
      </c>
      <c r="G215" s="13">
        <f t="shared" si="20"/>
        <v>5739050.5899999999</v>
      </c>
      <c r="H215" s="13">
        <v>-556793</v>
      </c>
      <c r="I215" s="13">
        <v>0</v>
      </c>
      <c r="K215" s="14">
        <f t="shared" si="18"/>
        <v>5182257.59</v>
      </c>
      <c r="L215" s="12"/>
      <c r="M215" s="11"/>
      <c r="O215" s="15"/>
    </row>
    <row r="216" spans="1:15" outlineLevel="2">
      <c r="A216" s="11">
        <f t="shared" si="19"/>
        <v>212</v>
      </c>
      <c r="B216" s="11" t="s">
        <v>231</v>
      </c>
      <c r="C216" s="17" t="s">
        <v>381</v>
      </c>
      <c r="D216" s="12" t="s">
        <v>382</v>
      </c>
      <c r="E216" s="13">
        <v>1733527.61</v>
      </c>
      <c r="G216" s="13">
        <f t="shared" si="20"/>
        <v>1733527.61</v>
      </c>
      <c r="H216" s="13">
        <v>-1733528</v>
      </c>
      <c r="I216" s="13">
        <v>0</v>
      </c>
      <c r="K216" s="14">
        <f t="shared" si="18"/>
        <v>-0.38999999989755452</v>
      </c>
      <c r="M216" s="11"/>
      <c r="O216" s="15"/>
    </row>
    <row r="217" spans="1:15" outlineLevel="2">
      <c r="A217" s="698">
        <f t="shared" si="19"/>
        <v>213</v>
      </c>
      <c r="B217" s="698" t="s">
        <v>231</v>
      </c>
      <c r="C217" s="699" t="s">
        <v>2470</v>
      </c>
      <c r="D217" s="700" t="s">
        <v>2471</v>
      </c>
      <c r="E217" s="701">
        <v>0</v>
      </c>
      <c r="F217" s="701">
        <v>7671000</v>
      </c>
      <c r="G217" s="701">
        <f t="shared" si="20"/>
        <v>7671000</v>
      </c>
      <c r="H217" s="701">
        <v>0</v>
      </c>
      <c r="I217" s="701">
        <v>0</v>
      </c>
      <c r="J217" s="701">
        <v>-7671000</v>
      </c>
      <c r="K217" s="702">
        <f>SUM(G217:J217)</f>
        <v>0</v>
      </c>
      <c r="M217" s="11"/>
      <c r="O217" s="15"/>
    </row>
    <row r="218" spans="1:15" outlineLevel="2">
      <c r="A218" s="11">
        <f t="shared" si="19"/>
        <v>214</v>
      </c>
      <c r="B218" s="11" t="s">
        <v>231</v>
      </c>
      <c r="C218" s="17" t="s">
        <v>383</v>
      </c>
      <c r="D218" s="12" t="s">
        <v>384</v>
      </c>
      <c r="E218" s="13">
        <v>623512.97</v>
      </c>
      <c r="G218" s="13">
        <f t="shared" si="20"/>
        <v>623512.97</v>
      </c>
      <c r="H218" s="13">
        <v>0</v>
      </c>
      <c r="I218" s="13">
        <v>0</v>
      </c>
      <c r="K218" s="14">
        <f>SUM(G218:J218)</f>
        <v>623512.97</v>
      </c>
      <c r="M218" s="11"/>
      <c r="O218" s="15"/>
    </row>
    <row r="219" spans="1:15" outlineLevel="2">
      <c r="A219" s="11">
        <f t="shared" si="19"/>
        <v>215</v>
      </c>
      <c r="B219" s="11" t="s">
        <v>231</v>
      </c>
      <c r="C219" s="17" t="s">
        <v>385</v>
      </c>
      <c r="D219" s="12" t="s">
        <v>386</v>
      </c>
      <c r="E219" s="13">
        <v>3193683.23</v>
      </c>
      <c r="G219" s="13">
        <f t="shared" si="20"/>
        <v>3193683.23</v>
      </c>
      <c r="H219" s="13">
        <v>-1380449</v>
      </c>
      <c r="I219" s="13">
        <v>0</v>
      </c>
      <c r="K219" s="14">
        <f t="shared" ref="K219:K261" si="21">SUM(G219:J219)</f>
        <v>1813234.23</v>
      </c>
      <c r="L219" s="12"/>
      <c r="M219" s="11"/>
      <c r="O219" s="15"/>
    </row>
    <row r="220" spans="1:15" outlineLevel="2">
      <c r="A220" s="11">
        <f t="shared" si="19"/>
        <v>216</v>
      </c>
      <c r="B220" s="11" t="s">
        <v>231</v>
      </c>
      <c r="C220" s="17" t="s">
        <v>387</v>
      </c>
      <c r="D220" s="12" t="s">
        <v>388</v>
      </c>
      <c r="E220" s="13">
        <v>8722780.4299999997</v>
      </c>
      <c r="G220" s="13">
        <f t="shared" si="20"/>
        <v>8722780.4299999997</v>
      </c>
      <c r="H220" s="13">
        <v>-570712</v>
      </c>
      <c r="I220" s="13">
        <v>0</v>
      </c>
      <c r="K220" s="14">
        <f t="shared" si="21"/>
        <v>8152068.4299999997</v>
      </c>
      <c r="L220" s="12"/>
      <c r="M220" s="11"/>
      <c r="O220" s="15"/>
    </row>
    <row r="221" spans="1:15" outlineLevel="2">
      <c r="A221" s="11">
        <f t="shared" si="19"/>
        <v>217</v>
      </c>
      <c r="B221" s="11" t="s">
        <v>231</v>
      </c>
      <c r="C221" s="17" t="s">
        <v>389</v>
      </c>
      <c r="D221" s="12" t="s">
        <v>390</v>
      </c>
      <c r="E221" s="13">
        <v>74402.89</v>
      </c>
      <c r="G221" s="13">
        <f t="shared" si="20"/>
        <v>74402.89</v>
      </c>
      <c r="H221" s="13">
        <v>0</v>
      </c>
      <c r="I221" s="13">
        <v>0</v>
      </c>
      <c r="K221" s="14">
        <f t="shared" si="21"/>
        <v>74402.89</v>
      </c>
      <c r="M221" s="11"/>
      <c r="O221" s="15"/>
    </row>
    <row r="222" spans="1:15" outlineLevel="2">
      <c r="A222" s="11">
        <f t="shared" si="19"/>
        <v>218</v>
      </c>
      <c r="B222" s="11" t="s">
        <v>231</v>
      </c>
      <c r="C222" s="17" t="s">
        <v>391</v>
      </c>
      <c r="D222" s="12" t="s">
        <v>392</v>
      </c>
      <c r="E222" s="13">
        <v>861699.29</v>
      </c>
      <c r="G222" s="13">
        <f t="shared" si="20"/>
        <v>861699.29</v>
      </c>
      <c r="H222" s="13">
        <v>-861699</v>
      </c>
      <c r="I222" s="13">
        <v>0</v>
      </c>
      <c r="K222" s="14">
        <f t="shared" si="21"/>
        <v>0.2900000000372529</v>
      </c>
      <c r="L222" s="12"/>
      <c r="M222" s="11"/>
      <c r="O222" s="15"/>
    </row>
    <row r="223" spans="1:15" outlineLevel="2">
      <c r="A223" s="11">
        <f t="shared" si="19"/>
        <v>219</v>
      </c>
      <c r="B223" s="11" t="s">
        <v>231</v>
      </c>
      <c r="C223" s="17" t="s">
        <v>393</v>
      </c>
      <c r="D223" s="12" t="s">
        <v>394</v>
      </c>
      <c r="E223" s="13">
        <v>5490901.8799999999</v>
      </c>
      <c r="G223" s="13">
        <f t="shared" si="20"/>
        <v>5490901.8799999999</v>
      </c>
      <c r="H223" s="13">
        <v>-169696</v>
      </c>
      <c r="I223" s="13">
        <v>0</v>
      </c>
      <c r="K223" s="14">
        <f t="shared" si="21"/>
        <v>5321205.88</v>
      </c>
      <c r="L223" s="12"/>
      <c r="M223" s="11"/>
      <c r="O223" s="15"/>
    </row>
    <row r="224" spans="1:15" outlineLevel="2">
      <c r="A224" s="11">
        <f t="shared" si="19"/>
        <v>220</v>
      </c>
      <c r="B224" s="11" t="s">
        <v>231</v>
      </c>
      <c r="C224" s="17" t="s">
        <v>491</v>
      </c>
      <c r="D224" s="12" t="s">
        <v>492</v>
      </c>
      <c r="E224" s="13">
        <v>22102.23</v>
      </c>
      <c r="G224" s="13">
        <f t="shared" si="20"/>
        <v>22102.23</v>
      </c>
      <c r="H224" s="13">
        <v>0</v>
      </c>
      <c r="I224" s="13">
        <v>0</v>
      </c>
      <c r="K224" s="14">
        <f t="shared" si="21"/>
        <v>22102.23</v>
      </c>
      <c r="L224" s="12"/>
      <c r="M224" s="11"/>
      <c r="O224" s="15"/>
    </row>
    <row r="225" spans="1:15" outlineLevel="2">
      <c r="A225" s="11">
        <f t="shared" si="19"/>
        <v>221</v>
      </c>
      <c r="B225" s="11" t="s">
        <v>231</v>
      </c>
      <c r="C225" s="17" t="s">
        <v>395</v>
      </c>
      <c r="D225" s="12" t="s">
        <v>396</v>
      </c>
      <c r="E225" s="13">
        <v>13019488.130000001</v>
      </c>
      <c r="F225" s="13">
        <v>2251474</v>
      </c>
      <c r="G225" s="13">
        <f t="shared" si="20"/>
        <v>15270962.130000001</v>
      </c>
      <c r="H225" s="13">
        <v>0</v>
      </c>
      <c r="I225" s="13">
        <v>0</v>
      </c>
      <c r="K225" s="14">
        <f>SUM(G225:J225)</f>
        <v>15270962.130000001</v>
      </c>
      <c r="M225" s="11"/>
      <c r="O225" s="15"/>
    </row>
    <row r="226" spans="1:15" outlineLevel="2">
      <c r="A226" s="11">
        <f t="shared" si="19"/>
        <v>222</v>
      </c>
      <c r="B226" s="11" t="s">
        <v>231</v>
      </c>
      <c r="C226" s="17" t="s">
        <v>397</v>
      </c>
      <c r="D226" s="12" t="s">
        <v>398</v>
      </c>
      <c r="E226" s="13">
        <v>17196540.600000001</v>
      </c>
      <c r="F226" s="13">
        <v>2409316</v>
      </c>
      <c r="G226" s="13">
        <f t="shared" si="20"/>
        <v>19605856.600000001</v>
      </c>
      <c r="H226" s="13">
        <v>0</v>
      </c>
      <c r="I226" s="13">
        <v>0</v>
      </c>
      <c r="K226" s="14">
        <f t="shared" si="21"/>
        <v>19605856.600000001</v>
      </c>
      <c r="M226" s="11"/>
      <c r="O226" s="15"/>
    </row>
    <row r="227" spans="1:15" outlineLevel="2">
      <c r="A227" s="11">
        <f t="shared" si="19"/>
        <v>223</v>
      </c>
      <c r="B227" s="11" t="s">
        <v>231</v>
      </c>
      <c r="C227" s="17" t="s">
        <v>399</v>
      </c>
      <c r="D227" s="12" t="s">
        <v>400</v>
      </c>
      <c r="E227" s="13">
        <v>14952320.199999999</v>
      </c>
      <c r="G227" s="13">
        <f t="shared" si="20"/>
        <v>14952320.199999999</v>
      </c>
      <c r="H227" s="13">
        <v>-516513</v>
      </c>
      <c r="I227" s="13">
        <v>0</v>
      </c>
      <c r="K227" s="14">
        <f t="shared" si="21"/>
        <v>14435807.199999999</v>
      </c>
      <c r="L227" s="12"/>
      <c r="M227" s="11"/>
      <c r="O227" s="15"/>
    </row>
    <row r="228" spans="1:15" outlineLevel="2">
      <c r="A228" s="11">
        <f t="shared" si="19"/>
        <v>224</v>
      </c>
      <c r="B228" s="11" t="s">
        <v>231</v>
      </c>
      <c r="C228" s="17" t="s">
        <v>401</v>
      </c>
      <c r="D228" s="12" t="s">
        <v>402</v>
      </c>
      <c r="E228" s="13">
        <v>8021788.9400000004</v>
      </c>
      <c r="F228" s="13">
        <v>3413767</v>
      </c>
      <c r="G228" s="13">
        <f t="shared" si="20"/>
        <v>11435555.940000001</v>
      </c>
      <c r="H228" s="13">
        <v>-245264</v>
      </c>
      <c r="I228" s="13">
        <v>0</v>
      </c>
      <c r="K228" s="14">
        <f t="shared" si="21"/>
        <v>11190291.940000001</v>
      </c>
      <c r="M228" s="11"/>
      <c r="O228" s="15"/>
    </row>
    <row r="229" spans="1:15" outlineLevel="2">
      <c r="A229" s="11">
        <f t="shared" si="19"/>
        <v>225</v>
      </c>
      <c r="B229" s="11" t="s">
        <v>231</v>
      </c>
      <c r="C229" s="17" t="s">
        <v>493</v>
      </c>
      <c r="D229" s="12" t="s">
        <v>494</v>
      </c>
      <c r="E229" s="13">
        <v>49735.05</v>
      </c>
      <c r="G229" s="13">
        <f t="shared" si="20"/>
        <v>49735.05</v>
      </c>
      <c r="H229" s="13">
        <v>0</v>
      </c>
      <c r="I229" s="13">
        <v>0</v>
      </c>
      <c r="K229" s="14">
        <f t="shared" si="21"/>
        <v>49735.05</v>
      </c>
      <c r="M229" s="11"/>
      <c r="O229" s="15"/>
    </row>
    <row r="230" spans="1:15" outlineLevel="2">
      <c r="A230" s="11">
        <f t="shared" si="19"/>
        <v>226</v>
      </c>
      <c r="B230" s="11" t="s">
        <v>231</v>
      </c>
      <c r="C230" s="17" t="s">
        <v>403</v>
      </c>
      <c r="D230" s="12" t="s">
        <v>404</v>
      </c>
      <c r="E230" s="13">
        <v>74427.83</v>
      </c>
      <c r="G230" s="13">
        <f t="shared" si="20"/>
        <v>74427.83</v>
      </c>
      <c r="H230" s="13">
        <v>0</v>
      </c>
      <c r="I230" s="13">
        <v>0</v>
      </c>
      <c r="K230" s="14">
        <f t="shared" si="21"/>
        <v>74427.83</v>
      </c>
      <c r="M230" s="11"/>
      <c r="O230" s="15"/>
    </row>
    <row r="231" spans="1:15" outlineLevel="2">
      <c r="A231" s="11">
        <f t="shared" si="19"/>
        <v>227</v>
      </c>
      <c r="B231" s="11" t="s">
        <v>231</v>
      </c>
      <c r="C231" s="17" t="s">
        <v>405</v>
      </c>
      <c r="D231" s="12" t="s">
        <v>406</v>
      </c>
      <c r="E231" s="13">
        <v>2881761.04</v>
      </c>
      <c r="G231" s="13">
        <f>E231+F231</f>
        <v>2881761.04</v>
      </c>
      <c r="H231" s="13">
        <v>-373848</v>
      </c>
      <c r="I231" s="13">
        <v>0</v>
      </c>
      <c r="K231" s="14">
        <f t="shared" si="21"/>
        <v>2507913.04</v>
      </c>
      <c r="M231" s="11"/>
      <c r="O231" s="15"/>
    </row>
    <row r="232" spans="1:15" outlineLevel="2">
      <c r="A232" s="11">
        <f t="shared" si="19"/>
        <v>228</v>
      </c>
      <c r="B232" s="11" t="s">
        <v>231</v>
      </c>
      <c r="C232" s="17" t="s">
        <v>495</v>
      </c>
      <c r="D232" s="12" t="s">
        <v>496</v>
      </c>
      <c r="E232" s="13">
        <v>606043.92000000004</v>
      </c>
      <c r="G232" s="13">
        <f t="shared" ref="G232:G248" si="22">E232+F232</f>
        <v>606043.92000000004</v>
      </c>
      <c r="H232" s="13">
        <v>-103121</v>
      </c>
      <c r="I232" s="13">
        <v>0</v>
      </c>
      <c r="K232" s="14">
        <f>SUM(G232:J232)</f>
        <v>502922.92000000004</v>
      </c>
      <c r="M232" s="11"/>
      <c r="O232" s="15"/>
    </row>
    <row r="233" spans="1:15" outlineLevel="2">
      <c r="A233" s="11">
        <f>A232+1</f>
        <v>229</v>
      </c>
      <c r="B233" s="11" t="s">
        <v>231</v>
      </c>
      <c r="C233" s="17" t="s">
        <v>497</v>
      </c>
      <c r="D233" s="12" t="s">
        <v>498</v>
      </c>
      <c r="E233" s="13">
        <v>166305.57999999999</v>
      </c>
      <c r="G233" s="13">
        <f t="shared" si="22"/>
        <v>166305.57999999999</v>
      </c>
      <c r="H233" s="13">
        <v>0</v>
      </c>
      <c r="I233" s="13">
        <v>0</v>
      </c>
      <c r="K233" s="14">
        <f t="shared" si="21"/>
        <v>166305.57999999999</v>
      </c>
      <c r="M233" s="11"/>
      <c r="O233" s="15"/>
    </row>
    <row r="234" spans="1:15" outlineLevel="2">
      <c r="A234" s="11">
        <f t="shared" si="19"/>
        <v>230</v>
      </c>
      <c r="B234" s="11" t="s">
        <v>231</v>
      </c>
      <c r="C234" s="17" t="s">
        <v>2325</v>
      </c>
      <c r="D234" s="12" t="s">
        <v>2306</v>
      </c>
      <c r="E234" s="13">
        <v>5187463.4800000004</v>
      </c>
      <c r="F234" s="13">
        <v>5014000</v>
      </c>
      <c r="G234" s="13">
        <f t="shared" si="22"/>
        <v>10201463.48</v>
      </c>
      <c r="H234" s="13">
        <v>0</v>
      </c>
      <c r="I234" s="13">
        <v>0</v>
      </c>
      <c r="K234" s="14">
        <f t="shared" si="21"/>
        <v>10201463.48</v>
      </c>
      <c r="M234" s="11"/>
      <c r="O234" s="15"/>
    </row>
    <row r="235" spans="1:15" outlineLevel="2">
      <c r="A235" s="11">
        <f t="shared" si="19"/>
        <v>231</v>
      </c>
      <c r="B235" s="11" t="s">
        <v>231</v>
      </c>
      <c r="C235" s="17" t="s">
        <v>407</v>
      </c>
      <c r="D235" s="12" t="s">
        <v>408</v>
      </c>
      <c r="E235" s="13">
        <v>948489.72</v>
      </c>
      <c r="G235" s="13">
        <f t="shared" si="22"/>
        <v>948489.72</v>
      </c>
      <c r="H235" s="13">
        <v>-125594</v>
      </c>
      <c r="I235" s="13">
        <v>0</v>
      </c>
      <c r="K235" s="14">
        <f t="shared" si="21"/>
        <v>822895.72</v>
      </c>
      <c r="L235" s="12"/>
      <c r="M235" s="11"/>
      <c r="O235" s="15"/>
    </row>
    <row r="236" spans="1:15" outlineLevel="2">
      <c r="A236" s="11">
        <f t="shared" si="19"/>
        <v>232</v>
      </c>
      <c r="B236" s="11" t="s">
        <v>231</v>
      </c>
      <c r="C236" s="17" t="s">
        <v>409</v>
      </c>
      <c r="D236" s="12" t="s">
        <v>410</v>
      </c>
      <c r="E236" s="13">
        <v>12974149.65</v>
      </c>
      <c r="G236" s="13">
        <f t="shared" si="22"/>
        <v>12974149.65</v>
      </c>
      <c r="H236" s="13">
        <v>0</v>
      </c>
      <c r="I236" s="13">
        <v>0</v>
      </c>
      <c r="K236" s="14">
        <f>SUM(G236:J236)</f>
        <v>12974149.65</v>
      </c>
      <c r="M236" s="11"/>
      <c r="O236" s="15"/>
    </row>
    <row r="237" spans="1:15" outlineLevel="2">
      <c r="A237" s="11">
        <f t="shared" si="19"/>
        <v>233</v>
      </c>
      <c r="B237" s="11" t="s">
        <v>231</v>
      </c>
      <c r="C237" s="17" t="s">
        <v>501</v>
      </c>
      <c r="D237" s="12" t="s">
        <v>502</v>
      </c>
      <c r="E237" s="13">
        <v>12390930.82</v>
      </c>
      <c r="F237" s="13">
        <v>5700000</v>
      </c>
      <c r="G237" s="13">
        <f>E237+F237</f>
        <v>18090930.82</v>
      </c>
      <c r="H237" s="13">
        <v>0</v>
      </c>
      <c r="I237" s="13">
        <v>0</v>
      </c>
      <c r="K237" s="14">
        <f t="shared" si="21"/>
        <v>18090930.82</v>
      </c>
      <c r="M237" s="11"/>
      <c r="O237" s="15"/>
    </row>
    <row r="238" spans="1:15" outlineLevel="2">
      <c r="A238" s="11">
        <f t="shared" si="19"/>
        <v>234</v>
      </c>
      <c r="B238" s="11" t="s">
        <v>231</v>
      </c>
      <c r="C238" s="17" t="s">
        <v>411</v>
      </c>
      <c r="D238" s="12" t="s">
        <v>412</v>
      </c>
      <c r="E238" s="13">
        <v>6819467.9199999999</v>
      </c>
      <c r="G238" s="13">
        <f t="shared" si="22"/>
        <v>6819467.9199999999</v>
      </c>
      <c r="H238" s="13">
        <v>-176541</v>
      </c>
      <c r="I238" s="13">
        <v>0</v>
      </c>
      <c r="K238" s="14">
        <f t="shared" si="21"/>
        <v>6642926.9199999999</v>
      </c>
      <c r="L238" s="12"/>
      <c r="M238" s="11"/>
      <c r="O238" s="15"/>
    </row>
    <row r="239" spans="1:15" outlineLevel="2">
      <c r="A239" s="11">
        <f t="shared" si="19"/>
        <v>235</v>
      </c>
      <c r="B239" s="11" t="s">
        <v>231</v>
      </c>
      <c r="C239" s="17" t="s">
        <v>413</v>
      </c>
      <c r="D239" s="12" t="s">
        <v>414</v>
      </c>
      <c r="E239" s="13">
        <v>108751.28</v>
      </c>
      <c r="G239" s="13">
        <f t="shared" si="22"/>
        <v>108751.28</v>
      </c>
      <c r="H239" s="13">
        <v>0</v>
      </c>
      <c r="I239" s="13">
        <v>0</v>
      </c>
      <c r="K239" s="14">
        <f t="shared" si="21"/>
        <v>108751.28</v>
      </c>
      <c r="M239" s="11"/>
      <c r="O239" s="15"/>
    </row>
    <row r="240" spans="1:15" outlineLevel="2">
      <c r="A240" s="11">
        <f t="shared" si="19"/>
        <v>236</v>
      </c>
      <c r="B240" s="11" t="s">
        <v>231</v>
      </c>
      <c r="C240" s="17" t="s">
        <v>499</v>
      </c>
      <c r="D240" s="12" t="s">
        <v>500</v>
      </c>
      <c r="E240" s="13">
        <v>232375.26</v>
      </c>
      <c r="G240" s="13">
        <f t="shared" si="22"/>
        <v>232375.26</v>
      </c>
      <c r="H240" s="13">
        <v>0</v>
      </c>
      <c r="I240" s="13">
        <v>0</v>
      </c>
      <c r="K240" s="14">
        <f t="shared" si="21"/>
        <v>232375.26</v>
      </c>
      <c r="M240" s="11"/>
      <c r="O240" s="15"/>
    </row>
    <row r="241" spans="1:15" outlineLevel="2">
      <c r="A241" s="11">
        <f t="shared" si="19"/>
        <v>237</v>
      </c>
      <c r="B241" s="11" t="s">
        <v>231</v>
      </c>
      <c r="C241" s="17" t="s">
        <v>415</v>
      </c>
      <c r="D241" s="12" t="s">
        <v>416</v>
      </c>
      <c r="E241" s="13">
        <v>3206763.26</v>
      </c>
      <c r="G241" s="13">
        <f t="shared" si="22"/>
        <v>3206763.26</v>
      </c>
      <c r="H241" s="13">
        <v>0</v>
      </c>
      <c r="I241" s="13">
        <v>0</v>
      </c>
      <c r="K241" s="14">
        <f t="shared" si="21"/>
        <v>3206763.26</v>
      </c>
      <c r="M241" s="11"/>
      <c r="O241" s="15"/>
    </row>
    <row r="242" spans="1:15" outlineLevel="2">
      <c r="A242" s="11">
        <f>A241+1</f>
        <v>238</v>
      </c>
      <c r="B242" s="11" t="s">
        <v>231</v>
      </c>
      <c r="C242" s="17" t="s">
        <v>417</v>
      </c>
      <c r="D242" s="12" t="s">
        <v>418</v>
      </c>
      <c r="E242" s="13">
        <v>1571437.2</v>
      </c>
      <c r="G242" s="13">
        <f t="shared" si="22"/>
        <v>1571437.2</v>
      </c>
      <c r="H242" s="13">
        <v>-654299</v>
      </c>
      <c r="I242" s="13">
        <v>0</v>
      </c>
      <c r="K242" s="14">
        <f t="shared" si="21"/>
        <v>917138.2</v>
      </c>
      <c r="L242" s="12"/>
      <c r="M242" s="11"/>
      <c r="O242" s="15"/>
    </row>
    <row r="243" spans="1:15" outlineLevel="2">
      <c r="A243" s="11">
        <f t="shared" si="19"/>
        <v>239</v>
      </c>
      <c r="B243" s="11" t="s">
        <v>231</v>
      </c>
      <c r="C243" s="17" t="s">
        <v>419</v>
      </c>
      <c r="D243" s="12" t="s">
        <v>420</v>
      </c>
      <c r="E243" s="13">
        <v>3453847.29</v>
      </c>
      <c r="G243" s="13">
        <f t="shared" si="22"/>
        <v>3453847.29</v>
      </c>
      <c r="H243" s="13">
        <v>-45361</v>
      </c>
      <c r="I243" s="13">
        <v>0</v>
      </c>
      <c r="K243" s="14">
        <f>SUM(G243:J243)</f>
        <v>3408486.29</v>
      </c>
      <c r="L243" s="12"/>
      <c r="M243" s="11"/>
      <c r="O243" s="15"/>
    </row>
    <row r="244" spans="1:15" outlineLevel="2">
      <c r="A244" s="11">
        <f t="shared" si="19"/>
        <v>240</v>
      </c>
      <c r="B244" s="11" t="s">
        <v>231</v>
      </c>
      <c r="C244" s="17" t="s">
        <v>421</v>
      </c>
      <c r="D244" s="12" t="s">
        <v>422</v>
      </c>
      <c r="E244" s="13">
        <v>2075908.82</v>
      </c>
      <c r="G244" s="13">
        <f t="shared" si="22"/>
        <v>2075908.82</v>
      </c>
      <c r="H244" s="13">
        <v>-938020</v>
      </c>
      <c r="I244" s="13">
        <v>0</v>
      </c>
      <c r="K244" s="14">
        <f t="shared" si="21"/>
        <v>1137888.82</v>
      </c>
      <c r="L244" s="12"/>
      <c r="M244" s="11"/>
      <c r="O244" s="15"/>
    </row>
    <row r="245" spans="1:15" outlineLevel="2">
      <c r="A245" s="11">
        <f t="shared" si="19"/>
        <v>241</v>
      </c>
      <c r="B245" s="11" t="s">
        <v>231</v>
      </c>
      <c r="C245" s="17" t="s">
        <v>423</v>
      </c>
      <c r="D245" s="12" t="s">
        <v>424</v>
      </c>
      <c r="E245" s="13">
        <v>3609306.24</v>
      </c>
      <c r="G245" s="13">
        <f t="shared" si="22"/>
        <v>3609306.24</v>
      </c>
      <c r="H245" s="13">
        <v>0</v>
      </c>
      <c r="I245" s="13">
        <v>0</v>
      </c>
      <c r="K245" s="14">
        <f t="shared" si="21"/>
        <v>3609306.24</v>
      </c>
      <c r="M245" s="11"/>
      <c r="O245" s="15"/>
    </row>
    <row r="246" spans="1:15" outlineLevel="2">
      <c r="A246" s="11">
        <f t="shared" si="19"/>
        <v>242</v>
      </c>
      <c r="B246" s="11" t="s">
        <v>231</v>
      </c>
      <c r="C246" s="17" t="s">
        <v>425</v>
      </c>
      <c r="D246" s="12" t="s">
        <v>426</v>
      </c>
      <c r="E246" s="13">
        <v>11778774.810000001</v>
      </c>
      <c r="G246" s="13">
        <f t="shared" si="22"/>
        <v>11778774.810000001</v>
      </c>
      <c r="H246" s="13">
        <v>0</v>
      </c>
      <c r="I246" s="13">
        <v>0</v>
      </c>
      <c r="K246" s="14">
        <f t="shared" si="21"/>
        <v>11778774.810000001</v>
      </c>
      <c r="M246" s="11"/>
      <c r="O246" s="15"/>
    </row>
    <row r="247" spans="1:15" outlineLevel="2">
      <c r="A247" s="11">
        <f t="shared" si="19"/>
        <v>243</v>
      </c>
      <c r="B247" s="11" t="s">
        <v>231</v>
      </c>
      <c r="C247" s="17" t="s">
        <v>427</v>
      </c>
      <c r="D247" s="12" t="s">
        <v>428</v>
      </c>
      <c r="E247" s="13">
        <v>16007532.51</v>
      </c>
      <c r="G247" s="13">
        <f t="shared" si="22"/>
        <v>16007532.51</v>
      </c>
      <c r="H247" s="13">
        <v>0</v>
      </c>
      <c r="I247" s="13">
        <v>0</v>
      </c>
      <c r="K247" s="14">
        <f t="shared" si="21"/>
        <v>16007532.51</v>
      </c>
      <c r="L247" s="12"/>
      <c r="M247" s="11"/>
      <c r="O247" s="15"/>
    </row>
    <row r="248" spans="1:15" outlineLevel="2">
      <c r="A248" s="11">
        <f t="shared" si="19"/>
        <v>244</v>
      </c>
      <c r="B248" s="11" t="s">
        <v>231</v>
      </c>
      <c r="C248" s="17" t="s">
        <v>429</v>
      </c>
      <c r="D248" s="12" t="s">
        <v>430</v>
      </c>
      <c r="E248" s="13">
        <v>7600293.54</v>
      </c>
      <c r="G248" s="13">
        <f t="shared" si="22"/>
        <v>7600293.54</v>
      </c>
      <c r="H248" s="13">
        <v>-108365</v>
      </c>
      <c r="I248" s="13">
        <v>0</v>
      </c>
      <c r="K248" s="14">
        <f t="shared" si="21"/>
        <v>7491928.54</v>
      </c>
      <c r="L248" s="12"/>
      <c r="M248" s="11"/>
      <c r="O248" s="15"/>
    </row>
    <row r="249" spans="1:15" outlineLevel="2">
      <c r="A249" s="11">
        <f t="shared" si="19"/>
        <v>245</v>
      </c>
      <c r="B249" s="11" t="s">
        <v>231</v>
      </c>
      <c r="C249" s="17" t="s">
        <v>431</v>
      </c>
      <c r="D249" s="12" t="s">
        <v>432</v>
      </c>
      <c r="E249" s="13">
        <v>5141440.25</v>
      </c>
      <c r="G249" s="13">
        <f>E249+F249</f>
        <v>5141440.25</v>
      </c>
      <c r="H249" s="13">
        <v>-181849</v>
      </c>
      <c r="I249" s="13">
        <v>0</v>
      </c>
      <c r="K249" s="14">
        <f>SUM(G249:J249)</f>
        <v>4959591.25</v>
      </c>
      <c r="L249" s="12"/>
      <c r="M249" s="11"/>
      <c r="O249" s="15"/>
    </row>
    <row r="250" spans="1:15" outlineLevel="2">
      <c r="A250" s="11">
        <f t="shared" si="19"/>
        <v>246</v>
      </c>
      <c r="B250" s="11" t="s">
        <v>231</v>
      </c>
      <c r="C250" s="17" t="s">
        <v>433</v>
      </c>
      <c r="D250" s="12" t="s">
        <v>434</v>
      </c>
      <c r="E250" s="13">
        <v>40859.629999999997</v>
      </c>
      <c r="G250" s="13">
        <f t="shared" ref="G250:G261" si="23">E250+F250</f>
        <v>40859.629999999997</v>
      </c>
      <c r="H250" s="13">
        <v>0</v>
      </c>
      <c r="I250" s="13">
        <v>0</v>
      </c>
      <c r="K250" s="14">
        <f t="shared" si="21"/>
        <v>40859.629999999997</v>
      </c>
      <c r="M250" s="11"/>
      <c r="O250" s="15"/>
    </row>
    <row r="251" spans="1:15" outlineLevel="2">
      <c r="A251" s="11">
        <f t="shared" si="19"/>
        <v>247</v>
      </c>
      <c r="B251" s="11" t="s">
        <v>231</v>
      </c>
      <c r="C251" s="17" t="s">
        <v>435</v>
      </c>
      <c r="D251" s="12" t="s">
        <v>436</v>
      </c>
      <c r="E251" s="13">
        <v>109910.18</v>
      </c>
      <c r="G251" s="13">
        <f t="shared" si="23"/>
        <v>109910.18</v>
      </c>
      <c r="H251" s="13">
        <v>-54083</v>
      </c>
      <c r="I251" s="13">
        <v>0</v>
      </c>
      <c r="K251" s="14">
        <f t="shared" si="21"/>
        <v>55827.179999999993</v>
      </c>
      <c r="L251" s="12"/>
      <c r="M251" s="11"/>
      <c r="O251" s="15"/>
    </row>
    <row r="252" spans="1:15" outlineLevel="2">
      <c r="A252" s="11">
        <f t="shared" si="19"/>
        <v>248</v>
      </c>
      <c r="B252" s="11" t="s">
        <v>231</v>
      </c>
      <c r="C252" s="17" t="s">
        <v>437</v>
      </c>
      <c r="D252" s="12" t="s">
        <v>438</v>
      </c>
      <c r="E252" s="13">
        <v>11047497.42</v>
      </c>
      <c r="G252" s="13">
        <f t="shared" si="23"/>
        <v>11047497.42</v>
      </c>
      <c r="H252" s="13">
        <v>0</v>
      </c>
      <c r="I252" s="13">
        <v>0</v>
      </c>
      <c r="K252" s="14">
        <f t="shared" si="21"/>
        <v>11047497.42</v>
      </c>
      <c r="M252" s="11"/>
      <c r="O252" s="15"/>
    </row>
    <row r="253" spans="1:15" outlineLevel="2">
      <c r="A253" s="11">
        <f t="shared" si="19"/>
        <v>249</v>
      </c>
      <c r="B253" s="11" t="s">
        <v>231</v>
      </c>
      <c r="C253" s="17" t="s">
        <v>439</v>
      </c>
      <c r="D253" s="12" t="s">
        <v>440</v>
      </c>
      <c r="E253" s="13">
        <v>831303.68000000005</v>
      </c>
      <c r="G253" s="13">
        <f t="shared" si="23"/>
        <v>831303.68000000005</v>
      </c>
      <c r="H253" s="13">
        <v>-250593</v>
      </c>
      <c r="I253" s="13">
        <v>0</v>
      </c>
      <c r="K253" s="14">
        <f t="shared" si="21"/>
        <v>580710.68000000005</v>
      </c>
      <c r="L253" s="12"/>
      <c r="M253" s="11"/>
      <c r="O253" s="15"/>
    </row>
    <row r="254" spans="1:15" outlineLevel="2">
      <c r="A254" s="11">
        <f t="shared" si="19"/>
        <v>250</v>
      </c>
      <c r="B254" s="11" t="s">
        <v>231</v>
      </c>
      <c r="C254" s="17" t="s">
        <v>441</v>
      </c>
      <c r="D254" s="12" t="s">
        <v>442</v>
      </c>
      <c r="E254" s="13">
        <v>15594604.08</v>
      </c>
      <c r="G254" s="13">
        <f t="shared" si="23"/>
        <v>15594604.08</v>
      </c>
      <c r="H254" s="13">
        <v>0</v>
      </c>
      <c r="I254" s="13">
        <v>0</v>
      </c>
      <c r="K254" s="14">
        <f t="shared" si="21"/>
        <v>15594604.08</v>
      </c>
      <c r="M254" s="11"/>
      <c r="O254" s="15"/>
    </row>
    <row r="255" spans="1:15" outlineLevel="2">
      <c r="A255" s="11">
        <f t="shared" si="19"/>
        <v>251</v>
      </c>
      <c r="B255" s="11" t="s">
        <v>231</v>
      </c>
      <c r="C255" s="17" t="s">
        <v>443</v>
      </c>
      <c r="D255" s="12" t="s">
        <v>444</v>
      </c>
      <c r="E255" s="13">
        <v>8198986.5800000001</v>
      </c>
      <c r="G255" s="13">
        <f t="shared" si="23"/>
        <v>8198986.5800000001</v>
      </c>
      <c r="H255" s="13">
        <v>-97320</v>
      </c>
      <c r="I255" s="13">
        <v>0</v>
      </c>
      <c r="K255" s="14">
        <f t="shared" si="21"/>
        <v>8101666.5800000001</v>
      </c>
      <c r="M255" s="11"/>
      <c r="O255" s="15"/>
    </row>
    <row r="256" spans="1:15" outlineLevel="2">
      <c r="A256" s="11">
        <f t="shared" si="19"/>
        <v>252</v>
      </c>
      <c r="B256" s="11" t="s">
        <v>231</v>
      </c>
      <c r="C256" s="17" t="s">
        <v>445</v>
      </c>
      <c r="D256" s="12" t="s">
        <v>446</v>
      </c>
      <c r="E256" s="13">
        <v>3234614.29</v>
      </c>
      <c r="G256" s="13">
        <f t="shared" si="23"/>
        <v>3234614.29</v>
      </c>
      <c r="H256" s="13">
        <v>-101869</v>
      </c>
      <c r="I256" s="13">
        <v>0</v>
      </c>
      <c r="K256" s="14">
        <f>SUM(G256:J256)</f>
        <v>3132745.29</v>
      </c>
      <c r="L256" s="12"/>
      <c r="M256" s="11"/>
      <c r="O256" s="15"/>
    </row>
    <row r="257" spans="1:15" outlineLevel="2">
      <c r="A257" s="11">
        <f t="shared" si="19"/>
        <v>253</v>
      </c>
      <c r="B257" s="11" t="s">
        <v>231</v>
      </c>
      <c r="C257" s="17" t="s">
        <v>503</v>
      </c>
      <c r="D257" s="12" t="s">
        <v>504</v>
      </c>
      <c r="E257" s="13">
        <v>183222.22</v>
      </c>
      <c r="G257" s="13">
        <f t="shared" si="23"/>
        <v>183222.22</v>
      </c>
      <c r="H257" s="13">
        <v>0</v>
      </c>
      <c r="I257" s="13">
        <v>0</v>
      </c>
      <c r="K257" s="14">
        <f t="shared" si="21"/>
        <v>183222.22</v>
      </c>
      <c r="L257" s="12"/>
      <c r="M257" s="11"/>
      <c r="O257" s="15"/>
    </row>
    <row r="258" spans="1:15" outlineLevel="2">
      <c r="A258" s="11">
        <f t="shared" si="19"/>
        <v>254</v>
      </c>
      <c r="B258" s="11" t="s">
        <v>231</v>
      </c>
      <c r="C258" s="17" t="s">
        <v>447</v>
      </c>
      <c r="D258" s="12" t="s">
        <v>448</v>
      </c>
      <c r="E258" s="13">
        <v>7181904.5999999996</v>
      </c>
      <c r="G258" s="13">
        <f t="shared" si="23"/>
        <v>7181904.5999999996</v>
      </c>
      <c r="H258" s="13">
        <v>-1346899</v>
      </c>
      <c r="I258" s="13">
        <v>0</v>
      </c>
      <c r="K258" s="14">
        <f t="shared" si="21"/>
        <v>5835005.5999999996</v>
      </c>
      <c r="L258" s="12"/>
      <c r="M258" s="11"/>
      <c r="O258" s="15"/>
    </row>
    <row r="259" spans="1:15" outlineLevel="2">
      <c r="A259" s="11">
        <f t="shared" si="19"/>
        <v>255</v>
      </c>
      <c r="B259" s="11" t="s">
        <v>231</v>
      </c>
      <c r="C259" s="17" t="s">
        <v>449</v>
      </c>
      <c r="D259" s="12" t="s">
        <v>450</v>
      </c>
      <c r="E259" s="13">
        <v>2775992.03</v>
      </c>
      <c r="G259" s="13">
        <f t="shared" si="23"/>
        <v>2775992.03</v>
      </c>
      <c r="H259" s="13">
        <v>-1579680</v>
      </c>
      <c r="I259" s="13">
        <v>0</v>
      </c>
      <c r="K259" s="14">
        <f>SUM(G259:J259)</f>
        <v>1196312.0299999998</v>
      </c>
      <c r="L259" s="12"/>
      <c r="M259" s="11"/>
      <c r="O259" s="15"/>
    </row>
    <row r="260" spans="1:15" outlineLevel="2">
      <c r="A260" s="11">
        <f t="shared" si="19"/>
        <v>256</v>
      </c>
      <c r="B260" s="11" t="s">
        <v>231</v>
      </c>
      <c r="C260" s="17" t="s">
        <v>505</v>
      </c>
      <c r="D260" s="12" t="s">
        <v>506</v>
      </c>
      <c r="E260" s="13">
        <v>76395.83</v>
      </c>
      <c r="G260" s="13">
        <f t="shared" si="23"/>
        <v>76395.83</v>
      </c>
      <c r="H260" s="13">
        <v>0</v>
      </c>
      <c r="I260" s="13">
        <v>0</v>
      </c>
      <c r="K260" s="14">
        <f t="shared" si="21"/>
        <v>76395.83</v>
      </c>
      <c r="L260" s="12"/>
      <c r="M260" s="11"/>
      <c r="O260" s="15"/>
    </row>
    <row r="261" spans="1:15" outlineLevel="2">
      <c r="A261" s="11">
        <f t="shared" si="19"/>
        <v>257</v>
      </c>
      <c r="B261" s="11" t="s">
        <v>231</v>
      </c>
      <c r="C261" s="17" t="s">
        <v>451</v>
      </c>
      <c r="D261" s="12" t="s">
        <v>452</v>
      </c>
      <c r="E261" s="13">
        <v>2935</v>
      </c>
      <c r="G261" s="13">
        <f t="shared" si="23"/>
        <v>2935</v>
      </c>
      <c r="H261" s="13">
        <v>0</v>
      </c>
      <c r="I261" s="13">
        <v>0</v>
      </c>
      <c r="K261" s="14">
        <f t="shared" si="21"/>
        <v>2935</v>
      </c>
      <c r="L261" s="12"/>
      <c r="M261" s="11"/>
      <c r="O261" s="15"/>
    </row>
    <row r="262" spans="1:15" s="6" customFormat="1" ht="13.5" outlineLevel="1" thickBot="1">
      <c r="A262" s="11">
        <f t="shared" si="19"/>
        <v>258</v>
      </c>
      <c r="B262" s="18" t="s">
        <v>453</v>
      </c>
      <c r="C262" s="19"/>
      <c r="D262" s="20" t="s">
        <v>454</v>
      </c>
      <c r="E262" s="21">
        <f t="shared" ref="E262:J262" si="24">SUBTOTAL(9,E120:E261)</f>
        <v>690475890.71000004</v>
      </c>
      <c r="F262" s="21">
        <f>SUBTOTAL(9,F120:F261)</f>
        <v>73817937</v>
      </c>
      <c r="G262" s="21">
        <f t="shared" si="24"/>
        <v>764293827.71000004</v>
      </c>
      <c r="H262" s="21">
        <f t="shared" si="24"/>
        <v>-40020673</v>
      </c>
      <c r="I262" s="21">
        <f t="shared" si="24"/>
        <v>0</v>
      </c>
      <c r="J262" s="21">
        <f t="shared" si="24"/>
        <v>-7671000</v>
      </c>
      <c r="K262" s="22">
        <f>SUBTOTAL(9,K120:K261)</f>
        <v>716602154.71000004</v>
      </c>
      <c r="L262" s="23"/>
      <c r="M262" s="3"/>
      <c r="N262" s="3"/>
      <c r="O262" s="8"/>
    </row>
    <row r="263" spans="1:15" ht="13.5" outlineLevel="2" thickTop="1">
      <c r="A263" s="11">
        <f t="shared" si="19"/>
        <v>259</v>
      </c>
      <c r="B263" s="11" t="s">
        <v>507</v>
      </c>
      <c r="C263" s="17" t="s">
        <v>508</v>
      </c>
      <c r="D263" s="12" t="s">
        <v>509</v>
      </c>
      <c r="E263" s="13">
        <v>3488667.41</v>
      </c>
      <c r="G263" s="13">
        <f>E263+F263</f>
        <v>3488667.41</v>
      </c>
      <c r="H263" s="13">
        <v>0</v>
      </c>
      <c r="I263" s="13">
        <v>0</v>
      </c>
      <c r="K263" s="14">
        <f>SUM(G263:J263)</f>
        <v>3488667.41</v>
      </c>
      <c r="M263" s="11"/>
      <c r="O263" s="15"/>
    </row>
    <row r="264" spans="1:15" outlineLevel="2">
      <c r="A264" s="11">
        <f t="shared" si="19"/>
        <v>260</v>
      </c>
      <c r="B264" s="11" t="s">
        <v>507</v>
      </c>
      <c r="C264" s="17" t="s">
        <v>510</v>
      </c>
      <c r="D264" s="12" t="s">
        <v>511</v>
      </c>
      <c r="E264" s="13">
        <v>9917898.5700000003</v>
      </c>
      <c r="G264" s="13">
        <f t="shared" ref="G264:G281" si="25">E264+F264</f>
        <v>9917898.5700000003</v>
      </c>
      <c r="H264" s="13">
        <v>0</v>
      </c>
      <c r="I264" s="13">
        <v>0</v>
      </c>
      <c r="K264" s="14">
        <f t="shared" ref="K264:K281" si="26">SUM(G264:J264)</f>
        <v>9917898.5700000003</v>
      </c>
      <c r="M264" s="11"/>
      <c r="O264" s="15"/>
    </row>
    <row r="265" spans="1:15" outlineLevel="2">
      <c r="A265" s="11">
        <f t="shared" si="19"/>
        <v>261</v>
      </c>
      <c r="B265" s="11" t="s">
        <v>507</v>
      </c>
      <c r="C265" s="17" t="s">
        <v>512</v>
      </c>
      <c r="D265" s="12" t="s">
        <v>513</v>
      </c>
      <c r="E265" s="13">
        <v>6845966.21</v>
      </c>
      <c r="G265" s="13">
        <f t="shared" si="25"/>
        <v>6845966.21</v>
      </c>
      <c r="H265" s="13">
        <v>0</v>
      </c>
      <c r="I265" s="13">
        <v>0</v>
      </c>
      <c r="K265" s="14">
        <f t="shared" si="26"/>
        <v>6845966.21</v>
      </c>
      <c r="M265" s="11"/>
      <c r="O265" s="15"/>
    </row>
    <row r="266" spans="1:15" outlineLevel="2">
      <c r="A266" s="11">
        <f t="shared" si="19"/>
        <v>262</v>
      </c>
      <c r="B266" s="11" t="s">
        <v>507</v>
      </c>
      <c r="C266" s="17" t="s">
        <v>514</v>
      </c>
      <c r="D266" s="12" t="s">
        <v>515</v>
      </c>
      <c r="E266" s="13">
        <v>3852063.84</v>
      </c>
      <c r="G266" s="13">
        <f t="shared" si="25"/>
        <v>3852063.84</v>
      </c>
      <c r="H266" s="13">
        <v>0</v>
      </c>
      <c r="I266" s="13">
        <v>0</v>
      </c>
      <c r="K266" s="14">
        <f t="shared" si="26"/>
        <v>3852063.84</v>
      </c>
      <c r="M266" s="11"/>
      <c r="O266" s="15"/>
    </row>
    <row r="267" spans="1:15" outlineLevel="2">
      <c r="A267" s="11">
        <f t="shared" ref="A267:A331" si="27">A266+1</f>
        <v>263</v>
      </c>
      <c r="B267" s="11" t="s">
        <v>507</v>
      </c>
      <c r="C267" s="17" t="s">
        <v>516</v>
      </c>
      <c r="D267" s="12" t="s">
        <v>517</v>
      </c>
      <c r="E267" s="13">
        <v>2040286.92</v>
      </c>
      <c r="G267" s="13">
        <f t="shared" si="25"/>
        <v>2040286.92</v>
      </c>
      <c r="H267" s="13">
        <v>0</v>
      </c>
      <c r="I267" s="13">
        <v>0</v>
      </c>
      <c r="K267" s="14">
        <f t="shared" si="26"/>
        <v>2040286.92</v>
      </c>
      <c r="M267" s="11"/>
      <c r="O267" s="15"/>
    </row>
    <row r="268" spans="1:15" outlineLevel="2">
      <c r="A268" s="11">
        <f t="shared" si="27"/>
        <v>264</v>
      </c>
      <c r="B268" s="11" t="s">
        <v>507</v>
      </c>
      <c r="C268" s="17" t="s">
        <v>518</v>
      </c>
      <c r="D268" s="12" t="s">
        <v>519</v>
      </c>
      <c r="E268" s="13">
        <v>794673.34</v>
      </c>
      <c r="G268" s="13">
        <f t="shared" si="25"/>
        <v>794673.34</v>
      </c>
      <c r="H268" s="13">
        <v>0</v>
      </c>
      <c r="I268" s="13">
        <v>0</v>
      </c>
      <c r="K268" s="14">
        <f t="shared" si="26"/>
        <v>794673.34</v>
      </c>
      <c r="M268" s="11"/>
      <c r="O268" s="15"/>
    </row>
    <row r="269" spans="1:15" outlineLevel="2">
      <c r="A269" s="11">
        <f t="shared" si="27"/>
        <v>265</v>
      </c>
      <c r="B269" s="11" t="s">
        <v>507</v>
      </c>
      <c r="C269" s="17" t="s">
        <v>520</v>
      </c>
      <c r="D269" s="12" t="s">
        <v>521</v>
      </c>
      <c r="E269" s="13">
        <v>8351981.5899999999</v>
      </c>
      <c r="G269" s="13">
        <f t="shared" si="25"/>
        <v>8351981.5899999999</v>
      </c>
      <c r="H269" s="13">
        <v>0</v>
      </c>
      <c r="I269" s="13">
        <v>0</v>
      </c>
      <c r="K269" s="14">
        <f t="shared" si="26"/>
        <v>8351981.5899999999</v>
      </c>
      <c r="M269" s="11"/>
      <c r="O269" s="15"/>
    </row>
    <row r="270" spans="1:15" outlineLevel="2">
      <c r="A270" s="11">
        <f t="shared" si="27"/>
        <v>266</v>
      </c>
      <c r="B270" s="11" t="s">
        <v>507</v>
      </c>
      <c r="C270" s="17" t="s">
        <v>522</v>
      </c>
      <c r="D270" s="12" t="s">
        <v>523</v>
      </c>
      <c r="E270" s="13">
        <v>2435618.58</v>
      </c>
      <c r="G270" s="13">
        <f t="shared" si="25"/>
        <v>2435618.58</v>
      </c>
      <c r="H270" s="13">
        <v>0</v>
      </c>
      <c r="I270" s="13">
        <v>0</v>
      </c>
      <c r="K270" s="14">
        <f t="shared" si="26"/>
        <v>2435618.58</v>
      </c>
      <c r="M270" s="11"/>
      <c r="O270" s="15"/>
    </row>
    <row r="271" spans="1:15" outlineLevel="2">
      <c r="A271" s="11">
        <f t="shared" si="27"/>
        <v>267</v>
      </c>
      <c r="B271" s="11" t="s">
        <v>507</v>
      </c>
      <c r="C271" s="17" t="s">
        <v>524</v>
      </c>
      <c r="D271" s="12" t="s">
        <v>525</v>
      </c>
      <c r="E271" s="13">
        <v>493999.14</v>
      </c>
      <c r="G271" s="13">
        <f t="shared" si="25"/>
        <v>493999.14</v>
      </c>
      <c r="H271" s="13">
        <v>0</v>
      </c>
      <c r="I271" s="13">
        <v>0</v>
      </c>
      <c r="K271" s="14">
        <f t="shared" si="26"/>
        <v>493999.14</v>
      </c>
      <c r="M271" s="11"/>
      <c r="O271" s="15"/>
    </row>
    <row r="272" spans="1:15" outlineLevel="2">
      <c r="A272" s="11">
        <f t="shared" si="27"/>
        <v>268</v>
      </c>
      <c r="B272" s="11" t="s">
        <v>507</v>
      </c>
      <c r="C272" s="17" t="s">
        <v>526</v>
      </c>
      <c r="D272" s="12" t="s">
        <v>527</v>
      </c>
      <c r="E272" s="13">
        <v>2709638.83</v>
      </c>
      <c r="G272" s="13">
        <f t="shared" si="25"/>
        <v>2709638.83</v>
      </c>
      <c r="H272" s="13">
        <v>0</v>
      </c>
      <c r="I272" s="13">
        <v>0</v>
      </c>
      <c r="K272" s="14">
        <f t="shared" si="26"/>
        <v>2709638.83</v>
      </c>
      <c r="M272" s="11"/>
      <c r="O272" s="15"/>
    </row>
    <row r="273" spans="1:15" outlineLevel="2">
      <c r="A273" s="11">
        <f t="shared" si="27"/>
        <v>269</v>
      </c>
      <c r="B273" s="11" t="s">
        <v>507</v>
      </c>
      <c r="C273" s="17" t="s">
        <v>528</v>
      </c>
      <c r="D273" s="12" t="s">
        <v>529</v>
      </c>
      <c r="E273" s="13">
        <v>3841397.64</v>
      </c>
      <c r="G273" s="13">
        <f t="shared" si="25"/>
        <v>3841397.64</v>
      </c>
      <c r="H273" s="13">
        <v>0</v>
      </c>
      <c r="I273" s="13">
        <v>0</v>
      </c>
      <c r="K273" s="14">
        <f t="shared" si="26"/>
        <v>3841397.64</v>
      </c>
      <c r="M273" s="11"/>
      <c r="O273" s="15"/>
    </row>
    <row r="274" spans="1:15" outlineLevel="2">
      <c r="A274" s="11">
        <f t="shared" si="27"/>
        <v>270</v>
      </c>
      <c r="B274" s="11" t="s">
        <v>507</v>
      </c>
      <c r="C274" s="17" t="s">
        <v>530</v>
      </c>
      <c r="D274" s="12" t="s">
        <v>531</v>
      </c>
      <c r="E274" s="13">
        <v>1025254.07</v>
      </c>
      <c r="G274" s="13">
        <f t="shared" si="25"/>
        <v>1025254.07</v>
      </c>
      <c r="H274" s="13">
        <v>0</v>
      </c>
      <c r="I274" s="13">
        <v>0</v>
      </c>
      <c r="K274" s="14">
        <f t="shared" si="26"/>
        <v>1025254.07</v>
      </c>
      <c r="M274" s="11"/>
      <c r="O274" s="15"/>
    </row>
    <row r="275" spans="1:15" outlineLevel="2">
      <c r="A275" s="11">
        <f t="shared" si="27"/>
        <v>271</v>
      </c>
      <c r="B275" s="11" t="s">
        <v>507</v>
      </c>
      <c r="C275" s="17" t="s">
        <v>532</v>
      </c>
      <c r="D275" s="12" t="s">
        <v>533</v>
      </c>
      <c r="E275" s="13">
        <v>96884.41</v>
      </c>
      <c r="G275" s="13">
        <f t="shared" si="25"/>
        <v>96884.41</v>
      </c>
      <c r="H275" s="13">
        <v>0</v>
      </c>
      <c r="I275" s="13">
        <v>0</v>
      </c>
      <c r="K275" s="14">
        <f t="shared" si="26"/>
        <v>96884.41</v>
      </c>
      <c r="M275" s="11"/>
      <c r="O275" s="15"/>
    </row>
    <row r="276" spans="1:15" outlineLevel="2">
      <c r="A276" s="11">
        <f t="shared" si="27"/>
        <v>272</v>
      </c>
      <c r="B276" s="11" t="s">
        <v>507</v>
      </c>
      <c r="C276" s="17" t="s">
        <v>534</v>
      </c>
      <c r="D276" s="12" t="s">
        <v>535</v>
      </c>
      <c r="E276" s="13">
        <v>1679673.69</v>
      </c>
      <c r="G276" s="13">
        <f t="shared" si="25"/>
        <v>1679673.69</v>
      </c>
      <c r="H276" s="13">
        <v>0</v>
      </c>
      <c r="I276" s="13">
        <v>0</v>
      </c>
      <c r="K276" s="14">
        <f t="shared" si="26"/>
        <v>1679673.69</v>
      </c>
      <c r="M276" s="11"/>
      <c r="O276" s="15"/>
    </row>
    <row r="277" spans="1:15" outlineLevel="2">
      <c r="A277" s="11">
        <f t="shared" si="27"/>
        <v>273</v>
      </c>
      <c r="B277" s="11" t="s">
        <v>507</v>
      </c>
      <c r="C277" s="17" t="s">
        <v>536</v>
      </c>
      <c r="D277" s="12" t="s">
        <v>537</v>
      </c>
      <c r="E277" s="13">
        <v>1051383.4099999999</v>
      </c>
      <c r="G277" s="13">
        <f>E277+F277</f>
        <v>1051383.4099999999</v>
      </c>
      <c r="H277" s="13">
        <v>0</v>
      </c>
      <c r="I277" s="13">
        <v>0</v>
      </c>
      <c r="K277" s="14">
        <f t="shared" si="26"/>
        <v>1051383.4099999999</v>
      </c>
      <c r="M277" s="11"/>
      <c r="O277" s="15"/>
    </row>
    <row r="278" spans="1:15" outlineLevel="2">
      <c r="A278" s="11">
        <f t="shared" si="27"/>
        <v>274</v>
      </c>
      <c r="B278" s="11" t="s">
        <v>507</v>
      </c>
      <c r="C278" s="17" t="s">
        <v>538</v>
      </c>
      <c r="D278" s="12" t="s">
        <v>539</v>
      </c>
      <c r="E278" s="13">
        <v>2221966.7200000002</v>
      </c>
      <c r="G278" s="13">
        <f t="shared" si="25"/>
        <v>2221966.7200000002</v>
      </c>
      <c r="H278" s="13">
        <v>0</v>
      </c>
      <c r="I278" s="13">
        <v>0</v>
      </c>
      <c r="K278" s="14">
        <f t="shared" si="26"/>
        <v>2221966.7200000002</v>
      </c>
      <c r="M278" s="11"/>
      <c r="O278" s="15"/>
    </row>
    <row r="279" spans="1:15" ht="12.75" customHeight="1" outlineLevel="2">
      <c r="A279" s="11">
        <f t="shared" si="27"/>
        <v>275</v>
      </c>
      <c r="B279" s="11" t="s">
        <v>507</v>
      </c>
      <c r="C279" s="495" t="s">
        <v>540</v>
      </c>
      <c r="D279" s="12" t="s">
        <v>541</v>
      </c>
      <c r="E279" s="13">
        <v>3007881.59</v>
      </c>
      <c r="G279" s="13">
        <f t="shared" si="25"/>
        <v>3007881.59</v>
      </c>
      <c r="H279" s="13">
        <v>0</v>
      </c>
      <c r="I279" s="13">
        <v>0</v>
      </c>
      <c r="K279" s="14">
        <f t="shared" si="26"/>
        <v>3007881.59</v>
      </c>
      <c r="L279" s="12"/>
      <c r="M279" s="11"/>
      <c r="O279" s="15"/>
    </row>
    <row r="280" spans="1:15" outlineLevel="2">
      <c r="A280" s="11">
        <f t="shared" si="27"/>
        <v>276</v>
      </c>
      <c r="B280" s="11" t="s">
        <v>507</v>
      </c>
      <c r="C280" s="17" t="s">
        <v>542</v>
      </c>
      <c r="D280" s="12" t="s">
        <v>543</v>
      </c>
      <c r="E280" s="13">
        <v>239919.86</v>
      </c>
      <c r="G280" s="13">
        <f t="shared" si="25"/>
        <v>239919.86</v>
      </c>
      <c r="H280" s="13">
        <v>0</v>
      </c>
      <c r="I280" s="13">
        <v>0</v>
      </c>
      <c r="K280" s="14">
        <f t="shared" si="26"/>
        <v>239919.86</v>
      </c>
      <c r="L280" s="495"/>
      <c r="M280" s="11"/>
    </row>
    <row r="281" spans="1:15" outlineLevel="2">
      <c r="A281" s="11">
        <f t="shared" si="27"/>
        <v>277</v>
      </c>
      <c r="B281" s="11" t="s">
        <v>507</v>
      </c>
      <c r="C281" s="17" t="s">
        <v>544</v>
      </c>
      <c r="D281" s="12" t="s">
        <v>545</v>
      </c>
      <c r="E281" s="13">
        <v>7452150.5499999998</v>
      </c>
      <c r="G281" s="13">
        <f t="shared" si="25"/>
        <v>7452150.5499999998</v>
      </c>
      <c r="H281" s="13">
        <v>0</v>
      </c>
      <c r="I281" s="13">
        <v>0</v>
      </c>
      <c r="K281" s="14">
        <f t="shared" si="26"/>
        <v>7452150.5499999998</v>
      </c>
      <c r="M281" s="11"/>
      <c r="O281" s="15"/>
    </row>
    <row r="282" spans="1:15" s="6" customFormat="1" ht="13.5" outlineLevel="1" thickBot="1">
      <c r="A282" s="11">
        <f t="shared" si="27"/>
        <v>278</v>
      </c>
      <c r="B282" s="18" t="s">
        <v>546</v>
      </c>
      <c r="C282" s="19"/>
      <c r="D282" s="20" t="s">
        <v>547</v>
      </c>
      <c r="E282" s="21">
        <f>SUBTOTAL(9,E263:E281)</f>
        <v>61547306.36999999</v>
      </c>
      <c r="F282" s="21">
        <f t="shared" ref="F282:G282" si="28">SUBTOTAL(9,F263:F281)</f>
        <v>0</v>
      </c>
      <c r="G282" s="21">
        <f t="shared" si="28"/>
        <v>61547306.36999999</v>
      </c>
      <c r="H282" s="21">
        <f>SUBTOTAL(9,H263:H281)</f>
        <v>0</v>
      </c>
      <c r="I282" s="21">
        <f>SUBTOTAL(9,I263:I281)</f>
        <v>0</v>
      </c>
      <c r="J282" s="21"/>
      <c r="K282" s="22">
        <f>SUBTOTAL(9,K263:K281)</f>
        <v>61547306.36999999</v>
      </c>
      <c r="L282" s="23"/>
      <c r="M282" s="3"/>
      <c r="N282" s="3"/>
      <c r="O282" s="8"/>
    </row>
    <row r="283" spans="1:15" ht="13.5" outlineLevel="2" thickTop="1">
      <c r="A283" s="11">
        <f t="shared" si="27"/>
        <v>279</v>
      </c>
      <c r="B283" s="11" t="s">
        <v>548</v>
      </c>
      <c r="C283" s="17" t="s">
        <v>549</v>
      </c>
      <c r="D283" s="1" t="s">
        <v>550</v>
      </c>
      <c r="E283" s="13">
        <f>6006058.11</f>
        <v>6006058.1100000003</v>
      </c>
      <c r="G283" s="13">
        <f>E283+F283</f>
        <v>6006058.1100000003</v>
      </c>
      <c r="H283" s="13">
        <v>0</v>
      </c>
      <c r="I283" s="13">
        <f>'WS13-SSCDFac'!H5</f>
        <v>-1501514.5274999989</v>
      </c>
      <c r="J283" s="13">
        <v>0</v>
      </c>
      <c r="K283" s="14">
        <f>SUM(G283:J283)</f>
        <v>4504543.5825000014</v>
      </c>
      <c r="L283" s="840" t="s">
        <v>1485</v>
      </c>
      <c r="M283" s="11"/>
    </row>
    <row r="284" spans="1:15" ht="12.75" customHeight="1" outlineLevel="2">
      <c r="A284" s="11">
        <f t="shared" si="27"/>
        <v>280</v>
      </c>
      <c r="B284" s="11" t="s">
        <v>548</v>
      </c>
      <c r="C284" s="17" t="s">
        <v>551</v>
      </c>
      <c r="D284" s="12" t="s">
        <v>552</v>
      </c>
      <c r="E284" s="13">
        <v>2542599.64</v>
      </c>
      <c r="G284" s="13">
        <f t="shared" ref="G284:G285" si="29">E284+F284</f>
        <v>2542599.64</v>
      </c>
      <c r="H284" s="13">
        <v>0</v>
      </c>
      <c r="I284" s="13">
        <f>'WS13-SSCDFac'!H6</f>
        <v>-412325.99526999984</v>
      </c>
      <c r="J284" s="13">
        <v>0</v>
      </c>
      <c r="K284" s="14">
        <f>SUM(G284:J284)</f>
        <v>2130273.6447300003</v>
      </c>
      <c r="L284" s="841"/>
      <c r="M284" s="11"/>
      <c r="O284" s="15"/>
    </row>
    <row r="285" spans="1:15" outlineLevel="2">
      <c r="A285" s="11">
        <f t="shared" si="27"/>
        <v>281</v>
      </c>
      <c r="B285" s="11" t="s">
        <v>548</v>
      </c>
      <c r="C285" s="17" t="s">
        <v>988</v>
      </c>
      <c r="D285" s="12" t="s">
        <v>553</v>
      </c>
      <c r="E285" s="13">
        <v>12430495.15</v>
      </c>
      <c r="G285" s="13">
        <f t="shared" si="29"/>
        <v>12430495.15</v>
      </c>
      <c r="H285" s="13">
        <v>0</v>
      </c>
      <c r="I285" s="13">
        <f>'WS13-SSCDFac'!H7</f>
        <v>-3161796.522499999</v>
      </c>
      <c r="J285" s="13">
        <v>0</v>
      </c>
      <c r="K285" s="14">
        <f>SUM(G285:J285)</f>
        <v>9268698.6275000013</v>
      </c>
      <c r="L285" s="841"/>
      <c r="M285" s="11"/>
      <c r="O285" s="15"/>
    </row>
    <row r="286" spans="1:15" s="6" customFormat="1" ht="13.5" outlineLevel="1" thickBot="1">
      <c r="A286" s="11">
        <f t="shared" si="27"/>
        <v>282</v>
      </c>
      <c r="B286" s="18" t="s">
        <v>554</v>
      </c>
      <c r="C286" s="19"/>
      <c r="D286" s="20" t="s">
        <v>555</v>
      </c>
      <c r="E286" s="21">
        <f>SUBTOTAL(9,E283:E285)</f>
        <v>20979152.899999999</v>
      </c>
      <c r="F286" s="21">
        <f t="shared" ref="F286:G286" si="30">SUBTOTAL(9,F283:F285)</f>
        <v>0</v>
      </c>
      <c r="G286" s="21">
        <f t="shared" si="30"/>
        <v>20979152.899999999</v>
      </c>
      <c r="H286" s="21">
        <f>SUBTOTAL(9,H283:H285)</f>
        <v>0</v>
      </c>
      <c r="I286" s="21">
        <f>SUBTOTAL(9,I283:I285)</f>
        <v>-5075637.0452699978</v>
      </c>
      <c r="J286" s="21">
        <f>SUBTOTAL(9,J283:J285)</f>
        <v>0</v>
      </c>
      <c r="K286" s="22">
        <f>SUBTOTAL(9,K283:K285)</f>
        <v>15903515.854730003</v>
      </c>
      <c r="L286" s="24"/>
      <c r="M286" s="3"/>
      <c r="N286" s="3"/>
      <c r="O286" s="8"/>
    </row>
    <row r="287" spans="1:15" ht="13.5" outlineLevel="2" thickTop="1">
      <c r="A287" s="11">
        <f t="shared" si="27"/>
        <v>283</v>
      </c>
      <c r="B287" s="11" t="s">
        <v>556</v>
      </c>
      <c r="C287" s="17" t="s">
        <v>557</v>
      </c>
      <c r="D287" s="12" t="s">
        <v>558</v>
      </c>
      <c r="E287" s="13">
        <v>69740.75</v>
      </c>
      <c r="G287" s="13">
        <f>E287+F287</f>
        <v>69740.75</v>
      </c>
      <c r="H287" s="13">
        <v>0</v>
      </c>
      <c r="I287" s="13">
        <v>0</v>
      </c>
      <c r="K287" s="14">
        <f>SUM(G287:J287)</f>
        <v>69740.75</v>
      </c>
      <c r="M287" s="11"/>
      <c r="O287" s="15"/>
    </row>
    <row r="288" spans="1:15" outlineLevel="2">
      <c r="A288" s="11">
        <f t="shared" si="27"/>
        <v>284</v>
      </c>
      <c r="B288" s="11" t="s">
        <v>556</v>
      </c>
      <c r="C288" s="17" t="s">
        <v>559</v>
      </c>
      <c r="D288" s="12" t="s">
        <v>560</v>
      </c>
      <c r="E288" s="13">
        <v>213000</v>
      </c>
      <c r="G288" s="13">
        <f t="shared" ref="G288:G300" si="31">E288+F288</f>
        <v>213000</v>
      </c>
      <c r="H288" s="13">
        <v>0</v>
      </c>
      <c r="I288" s="13">
        <v>0</v>
      </c>
      <c r="K288" s="14">
        <f t="shared" ref="K288:K300" si="32">SUM(G288:J288)</f>
        <v>213000</v>
      </c>
      <c r="M288" s="11"/>
      <c r="O288" s="15"/>
    </row>
    <row r="289" spans="1:15" outlineLevel="2">
      <c r="A289" s="11">
        <f t="shared" si="27"/>
        <v>285</v>
      </c>
      <c r="B289" s="11" t="s">
        <v>556</v>
      </c>
      <c r="C289" s="17" t="s">
        <v>561</v>
      </c>
      <c r="D289" s="12" t="s">
        <v>562</v>
      </c>
      <c r="E289" s="13">
        <v>218492.84</v>
      </c>
      <c r="G289" s="13">
        <f t="shared" si="31"/>
        <v>218492.84</v>
      </c>
      <c r="H289" s="13">
        <v>0</v>
      </c>
      <c r="I289" s="13">
        <v>0</v>
      </c>
      <c r="K289" s="14">
        <f t="shared" si="32"/>
        <v>218492.84</v>
      </c>
      <c r="M289" s="11"/>
      <c r="O289" s="15"/>
    </row>
    <row r="290" spans="1:15" outlineLevel="2">
      <c r="A290" s="11">
        <f t="shared" si="27"/>
        <v>286</v>
      </c>
      <c r="B290" s="11" t="s">
        <v>556</v>
      </c>
      <c r="C290" s="17" t="s">
        <v>563</v>
      </c>
      <c r="D290" s="12" t="s">
        <v>564</v>
      </c>
      <c r="E290" s="13">
        <v>813859.77</v>
      </c>
      <c r="G290" s="13">
        <f t="shared" si="31"/>
        <v>813859.77</v>
      </c>
      <c r="H290" s="13">
        <v>0</v>
      </c>
      <c r="I290" s="13">
        <v>0</v>
      </c>
      <c r="K290" s="14">
        <f t="shared" si="32"/>
        <v>813859.77</v>
      </c>
      <c r="M290" s="11"/>
      <c r="O290" s="15"/>
    </row>
    <row r="291" spans="1:15" outlineLevel="2">
      <c r="A291" s="11">
        <f t="shared" si="27"/>
        <v>287</v>
      </c>
      <c r="B291" s="11" t="s">
        <v>556</v>
      </c>
      <c r="C291" s="17" t="s">
        <v>565</v>
      </c>
      <c r="D291" s="12" t="s">
        <v>566</v>
      </c>
      <c r="E291" s="13">
        <f>519632.09+6569.16</f>
        <v>526201.25</v>
      </c>
      <c r="G291" s="13">
        <f t="shared" si="31"/>
        <v>526201.25</v>
      </c>
      <c r="H291" s="13">
        <v>0</v>
      </c>
      <c r="I291" s="13">
        <v>0</v>
      </c>
      <c r="K291" s="14">
        <f t="shared" si="32"/>
        <v>526201.25</v>
      </c>
      <c r="M291" s="11"/>
      <c r="O291" s="15"/>
    </row>
    <row r="292" spans="1:15" outlineLevel="2">
      <c r="A292" s="11">
        <f t="shared" si="27"/>
        <v>288</v>
      </c>
      <c r="B292" s="11" t="s">
        <v>556</v>
      </c>
      <c r="C292" s="17" t="s">
        <v>567</v>
      </c>
      <c r="D292" s="12" t="s">
        <v>568</v>
      </c>
      <c r="E292" s="13">
        <v>170278</v>
      </c>
      <c r="G292" s="13">
        <f t="shared" si="31"/>
        <v>170278</v>
      </c>
      <c r="H292" s="13">
        <v>0</v>
      </c>
      <c r="I292" s="13">
        <v>0</v>
      </c>
      <c r="K292" s="14">
        <f t="shared" si="32"/>
        <v>170278</v>
      </c>
      <c r="M292" s="11"/>
      <c r="O292" s="15"/>
    </row>
    <row r="293" spans="1:15" outlineLevel="2">
      <c r="A293" s="11">
        <f t="shared" si="27"/>
        <v>289</v>
      </c>
      <c r="B293" s="11" t="s">
        <v>556</v>
      </c>
      <c r="C293" s="17" t="s">
        <v>569</v>
      </c>
      <c r="D293" s="12" t="s">
        <v>570</v>
      </c>
      <c r="E293" s="13">
        <v>35070.980000000003</v>
      </c>
      <c r="G293" s="13">
        <f t="shared" si="31"/>
        <v>35070.980000000003</v>
      </c>
      <c r="H293" s="13">
        <v>0</v>
      </c>
      <c r="I293" s="13">
        <v>0</v>
      </c>
      <c r="K293" s="14">
        <f t="shared" si="32"/>
        <v>35070.980000000003</v>
      </c>
      <c r="M293" s="11"/>
      <c r="O293" s="15"/>
    </row>
    <row r="294" spans="1:15" outlineLevel="2">
      <c r="A294" s="11">
        <f t="shared" si="27"/>
        <v>290</v>
      </c>
      <c r="B294" s="11" t="s">
        <v>556</v>
      </c>
      <c r="C294" s="17" t="s">
        <v>571</v>
      </c>
      <c r="D294" s="12" t="s">
        <v>572</v>
      </c>
      <c r="E294" s="13">
        <v>163694.91</v>
      </c>
      <c r="G294" s="13">
        <f t="shared" si="31"/>
        <v>163694.91</v>
      </c>
      <c r="H294" s="13">
        <v>0</v>
      </c>
      <c r="I294" s="13">
        <v>0</v>
      </c>
      <c r="K294" s="14">
        <f t="shared" si="32"/>
        <v>163694.91</v>
      </c>
      <c r="M294" s="11"/>
      <c r="O294" s="15"/>
    </row>
    <row r="295" spans="1:15" outlineLevel="2">
      <c r="A295" s="11">
        <f t="shared" si="27"/>
        <v>291</v>
      </c>
      <c r="B295" s="11" t="s">
        <v>556</v>
      </c>
      <c r="C295" s="17" t="s">
        <v>573</v>
      </c>
      <c r="D295" s="12" t="s">
        <v>574</v>
      </c>
      <c r="E295" s="13">
        <v>19074.86</v>
      </c>
      <c r="G295" s="13">
        <f t="shared" si="31"/>
        <v>19074.86</v>
      </c>
      <c r="H295" s="13">
        <v>0</v>
      </c>
      <c r="I295" s="13">
        <v>0</v>
      </c>
      <c r="K295" s="14">
        <f t="shared" si="32"/>
        <v>19074.86</v>
      </c>
      <c r="M295" s="11"/>
      <c r="O295" s="15"/>
    </row>
    <row r="296" spans="1:15" outlineLevel="2">
      <c r="A296" s="11">
        <f t="shared" si="27"/>
        <v>292</v>
      </c>
      <c r="B296" s="11" t="s">
        <v>556</v>
      </c>
      <c r="C296" s="17" t="s">
        <v>575</v>
      </c>
      <c r="D296" s="12" t="s">
        <v>576</v>
      </c>
      <c r="E296" s="13">
        <v>127143.62</v>
      </c>
      <c r="G296" s="13">
        <f t="shared" si="31"/>
        <v>127143.62</v>
      </c>
      <c r="H296" s="13">
        <v>0</v>
      </c>
      <c r="I296" s="13">
        <v>0</v>
      </c>
      <c r="K296" s="14">
        <f t="shared" si="32"/>
        <v>127143.62</v>
      </c>
      <c r="M296" s="11"/>
      <c r="O296" s="15"/>
    </row>
    <row r="297" spans="1:15" outlineLevel="2">
      <c r="A297" s="11">
        <f t="shared" si="27"/>
        <v>293</v>
      </c>
      <c r="B297" s="11" t="s">
        <v>556</v>
      </c>
      <c r="C297" s="17" t="s">
        <v>577</v>
      </c>
      <c r="D297" s="12" t="s">
        <v>578</v>
      </c>
      <c r="E297" s="13">
        <v>404166.08</v>
      </c>
      <c r="G297" s="13">
        <f t="shared" si="31"/>
        <v>404166.08</v>
      </c>
      <c r="H297" s="13">
        <v>0</v>
      </c>
      <c r="I297" s="13">
        <v>0</v>
      </c>
      <c r="K297" s="14">
        <f t="shared" si="32"/>
        <v>404166.08</v>
      </c>
      <c r="M297" s="11"/>
      <c r="O297" s="15"/>
    </row>
    <row r="298" spans="1:15" outlineLevel="2">
      <c r="A298" s="11">
        <f t="shared" si="27"/>
        <v>294</v>
      </c>
      <c r="B298" s="11" t="s">
        <v>556</v>
      </c>
      <c r="C298" s="17" t="s">
        <v>579</v>
      </c>
      <c r="D298" s="12" t="s">
        <v>580</v>
      </c>
      <c r="E298" s="13">
        <v>192498.02</v>
      </c>
      <c r="G298" s="13">
        <f t="shared" si="31"/>
        <v>192498.02</v>
      </c>
      <c r="H298" s="13">
        <v>-192498</v>
      </c>
      <c r="I298" s="13">
        <v>0</v>
      </c>
      <c r="K298" s="14">
        <f t="shared" si="32"/>
        <v>1.9999999989522621E-2</v>
      </c>
      <c r="M298" s="11"/>
      <c r="O298" s="15"/>
    </row>
    <row r="299" spans="1:15" outlineLevel="2">
      <c r="A299" s="11">
        <f t="shared" si="27"/>
        <v>295</v>
      </c>
      <c r="B299" s="11" t="s">
        <v>556</v>
      </c>
      <c r="C299" s="17" t="s">
        <v>581</v>
      </c>
      <c r="D299" s="12" t="s">
        <v>582</v>
      </c>
      <c r="E299" s="13">
        <v>71118</v>
      </c>
      <c r="G299" s="13">
        <f t="shared" si="31"/>
        <v>71118</v>
      </c>
      <c r="H299" s="13">
        <v>0</v>
      </c>
      <c r="I299" s="13">
        <v>0</v>
      </c>
      <c r="K299" s="14">
        <f t="shared" si="32"/>
        <v>71118</v>
      </c>
      <c r="M299" s="11"/>
      <c r="O299" s="15"/>
    </row>
    <row r="300" spans="1:15" outlineLevel="2">
      <c r="A300" s="11">
        <f t="shared" si="27"/>
        <v>296</v>
      </c>
      <c r="B300" s="11" t="s">
        <v>556</v>
      </c>
      <c r="C300" s="17" t="s">
        <v>583</v>
      </c>
      <c r="D300" s="12" t="s">
        <v>584</v>
      </c>
      <c r="E300" s="13">
        <v>179327.81</v>
      </c>
      <c r="G300" s="13">
        <f t="shared" si="31"/>
        <v>179327.81</v>
      </c>
      <c r="H300" s="13">
        <v>0</v>
      </c>
      <c r="I300" s="13">
        <v>0</v>
      </c>
      <c r="K300" s="14">
        <f t="shared" si="32"/>
        <v>179327.81</v>
      </c>
      <c r="M300" s="11"/>
      <c r="O300" s="15"/>
    </row>
    <row r="301" spans="1:15" s="6" customFormat="1" ht="13.5" outlineLevel="1" thickBot="1">
      <c r="A301" s="11">
        <f t="shared" si="27"/>
        <v>297</v>
      </c>
      <c r="B301" s="18" t="s">
        <v>585</v>
      </c>
      <c r="C301" s="19"/>
      <c r="D301" s="20" t="s">
        <v>586</v>
      </c>
      <c r="E301" s="21">
        <f>SUBTOTAL(9,E287:E300)</f>
        <v>3203666.89</v>
      </c>
      <c r="F301" s="21">
        <f t="shared" ref="F301:G301" si="33">SUBTOTAL(9,F287:F300)</f>
        <v>0</v>
      </c>
      <c r="G301" s="21">
        <f t="shared" si="33"/>
        <v>3203666.89</v>
      </c>
      <c r="H301" s="21">
        <f>SUBTOTAL(9,H287:H300)</f>
        <v>-192498</v>
      </c>
      <c r="I301" s="21">
        <f>SUBTOTAL(9,I287:I300)</f>
        <v>0</v>
      </c>
      <c r="J301" s="21"/>
      <c r="K301" s="22">
        <f>SUBTOTAL(9,K287:K300)</f>
        <v>3011168.89</v>
      </c>
      <c r="L301" s="23"/>
      <c r="M301" s="3"/>
      <c r="N301" s="3"/>
      <c r="O301" s="8"/>
    </row>
    <row r="302" spans="1:15" ht="13.5" outlineLevel="2" thickTop="1">
      <c r="A302" s="11">
        <f t="shared" si="27"/>
        <v>298</v>
      </c>
      <c r="B302" s="11" t="s">
        <v>587</v>
      </c>
      <c r="C302" s="17" t="s">
        <v>588</v>
      </c>
      <c r="D302" s="12" t="s">
        <v>589</v>
      </c>
      <c r="E302" s="13">
        <v>81944</v>
      </c>
      <c r="G302" s="13">
        <f>E302+F302</f>
        <v>81944</v>
      </c>
      <c r="H302" s="13">
        <v>0</v>
      </c>
      <c r="I302" s="13">
        <v>-81944</v>
      </c>
      <c r="K302" s="14">
        <f>SUM(G302:J302)</f>
        <v>0</v>
      </c>
      <c r="L302" s="12"/>
      <c r="M302" s="11"/>
      <c r="O302" s="15"/>
    </row>
    <row r="303" spans="1:15" outlineLevel="2">
      <c r="A303" s="11">
        <f t="shared" si="27"/>
        <v>299</v>
      </c>
      <c r="B303" s="11" t="s">
        <v>587</v>
      </c>
      <c r="C303" s="17" t="s">
        <v>590</v>
      </c>
      <c r="D303" s="12" t="s">
        <v>591</v>
      </c>
      <c r="E303" s="13">
        <v>64611.39</v>
      </c>
      <c r="G303" s="13">
        <f t="shared" ref="G303:G305" si="34">E303+F303</f>
        <v>64611.39</v>
      </c>
      <c r="H303" s="13">
        <v>0</v>
      </c>
      <c r="I303" s="13">
        <v>-64611</v>
      </c>
      <c r="K303" s="14">
        <f t="shared" ref="K303:K305" si="35">SUM(G303:J303)</f>
        <v>0.38999999999941792</v>
      </c>
      <c r="M303" s="11"/>
      <c r="O303" s="15"/>
    </row>
    <row r="304" spans="1:15" outlineLevel="2">
      <c r="A304" s="11">
        <f t="shared" si="27"/>
        <v>300</v>
      </c>
      <c r="B304" s="11" t="s">
        <v>587</v>
      </c>
      <c r="C304" s="17" t="s">
        <v>592</v>
      </c>
      <c r="D304" s="12" t="s">
        <v>593</v>
      </c>
      <c r="E304" s="13">
        <v>922163.82</v>
      </c>
      <c r="G304" s="13">
        <f t="shared" si="34"/>
        <v>922163.82</v>
      </c>
      <c r="H304" s="13">
        <v>0</v>
      </c>
      <c r="I304" s="13">
        <v>0</v>
      </c>
      <c r="K304" s="14">
        <f t="shared" si="35"/>
        <v>922163.82</v>
      </c>
      <c r="M304" s="11"/>
      <c r="O304" s="15"/>
    </row>
    <row r="305" spans="1:15" outlineLevel="2">
      <c r="A305" s="11">
        <f t="shared" si="27"/>
        <v>301</v>
      </c>
      <c r="B305" s="11" t="s">
        <v>587</v>
      </c>
      <c r="C305" s="17" t="s">
        <v>594</v>
      </c>
      <c r="D305" s="12" t="s">
        <v>595</v>
      </c>
      <c r="E305" s="13">
        <v>690735.13</v>
      </c>
      <c r="G305" s="13">
        <f t="shared" si="34"/>
        <v>690735.13</v>
      </c>
      <c r="H305" s="13">
        <v>0</v>
      </c>
      <c r="I305" s="13">
        <v>0</v>
      </c>
      <c r="K305" s="14">
        <f t="shared" si="35"/>
        <v>690735.13</v>
      </c>
      <c r="M305" s="11"/>
      <c r="O305" s="15"/>
    </row>
    <row r="306" spans="1:15" s="6" customFormat="1" ht="13.5" outlineLevel="1" thickBot="1">
      <c r="A306" s="11">
        <f t="shared" si="27"/>
        <v>302</v>
      </c>
      <c r="B306" s="18" t="s">
        <v>596</v>
      </c>
      <c r="C306" s="19"/>
      <c r="D306" s="20" t="s">
        <v>597</v>
      </c>
      <c r="E306" s="21">
        <f>SUBTOTAL(9,E302:E305)</f>
        <v>1759454.3399999999</v>
      </c>
      <c r="F306" s="21">
        <f t="shared" ref="F306:G306" si="36">SUBTOTAL(9,F302:F305)</f>
        <v>0</v>
      </c>
      <c r="G306" s="21">
        <f t="shared" si="36"/>
        <v>1759454.3399999999</v>
      </c>
      <c r="H306" s="21">
        <f>SUBTOTAL(9,H302:H305)</f>
        <v>0</v>
      </c>
      <c r="I306" s="21">
        <f>SUBTOTAL(9,I302:I305)</f>
        <v>-146555</v>
      </c>
      <c r="J306" s="21"/>
      <c r="K306" s="22">
        <f>SUBTOTAL(9,K302:K305)</f>
        <v>1612899.3399999999</v>
      </c>
      <c r="L306" s="23"/>
      <c r="M306" s="3"/>
      <c r="N306" s="3"/>
      <c r="O306" s="8"/>
    </row>
    <row r="307" spans="1:15" ht="13.5" outlineLevel="2" thickTop="1">
      <c r="A307" s="11">
        <f t="shared" si="27"/>
        <v>303</v>
      </c>
      <c r="B307" s="11" t="s">
        <v>598</v>
      </c>
      <c r="C307" s="17" t="s">
        <v>599</v>
      </c>
      <c r="D307" s="12" t="s">
        <v>600</v>
      </c>
      <c r="E307" s="13">
        <v>17199.41</v>
      </c>
      <c r="G307" s="13">
        <f>E307+F307</f>
        <v>17199.41</v>
      </c>
      <c r="H307" s="13">
        <v>0</v>
      </c>
      <c r="I307" s="13">
        <f t="shared" ref="I307:I312" si="37">-(G307*$L$310)</f>
        <v>-5495.2114950000005</v>
      </c>
      <c r="K307" s="14">
        <f>SUM(G307:J307)</f>
        <v>11704.198505</v>
      </c>
      <c r="L307" s="840" t="s">
        <v>2301</v>
      </c>
    </row>
    <row r="308" spans="1:15" outlineLevel="2">
      <c r="A308" s="11">
        <f t="shared" si="27"/>
        <v>304</v>
      </c>
      <c r="B308" s="11" t="s">
        <v>598</v>
      </c>
      <c r="C308" s="17" t="s">
        <v>601</v>
      </c>
      <c r="D308" s="12" t="s">
        <v>602</v>
      </c>
      <c r="E308" s="13">
        <v>246174.69</v>
      </c>
      <c r="G308" s="13">
        <f t="shared" ref="G308:G375" si="38">E308+F308</f>
        <v>246174.69</v>
      </c>
      <c r="H308" s="13">
        <v>0</v>
      </c>
      <c r="I308" s="13">
        <f t="shared" si="37"/>
        <v>-78652.813454999996</v>
      </c>
      <c r="K308" s="14">
        <f t="shared" ref="K308:K317" si="39">SUM(G308:J308)</f>
        <v>167521.87654500001</v>
      </c>
      <c r="L308" s="841"/>
    </row>
    <row r="309" spans="1:15" outlineLevel="2">
      <c r="A309" s="11">
        <f t="shared" si="27"/>
        <v>305</v>
      </c>
      <c r="B309" s="11" t="s">
        <v>598</v>
      </c>
      <c r="C309" s="17" t="s">
        <v>603</v>
      </c>
      <c r="D309" s="12" t="s">
        <v>604</v>
      </c>
      <c r="E309" s="13">
        <v>421019.06</v>
      </c>
      <c r="G309" s="13">
        <f t="shared" si="38"/>
        <v>421019.06</v>
      </c>
      <c r="H309" s="13">
        <v>0</v>
      </c>
      <c r="I309" s="13">
        <f t="shared" si="37"/>
        <v>-134515.58967000002</v>
      </c>
      <c r="K309" s="14">
        <f t="shared" si="39"/>
        <v>286503.47032999998</v>
      </c>
      <c r="L309" s="841"/>
    </row>
    <row r="310" spans="1:15" outlineLevel="2">
      <c r="A310" s="11">
        <f t="shared" si="27"/>
        <v>306</v>
      </c>
      <c r="B310" s="11" t="s">
        <v>598</v>
      </c>
      <c r="C310" s="17" t="s">
        <v>605</v>
      </c>
      <c r="D310" s="12" t="s">
        <v>606</v>
      </c>
      <c r="E310" s="13">
        <v>99834.58</v>
      </c>
      <c r="G310" s="13">
        <f t="shared" si="38"/>
        <v>99834.58</v>
      </c>
      <c r="H310" s="13">
        <v>0</v>
      </c>
      <c r="I310" s="13">
        <f t="shared" si="37"/>
        <v>-31897.14831</v>
      </c>
      <c r="K310" s="14">
        <f t="shared" si="39"/>
        <v>67937.431689999998</v>
      </c>
      <c r="L310" s="25">
        <v>0.31950000000000001</v>
      </c>
      <c r="M310" s="11"/>
      <c r="O310" s="15"/>
    </row>
    <row r="311" spans="1:15" outlineLevel="2">
      <c r="A311" s="11">
        <f t="shared" si="27"/>
        <v>307</v>
      </c>
      <c r="B311" s="11" t="s">
        <v>598</v>
      </c>
      <c r="C311" s="17" t="s">
        <v>607</v>
      </c>
      <c r="D311" s="12" t="s">
        <v>608</v>
      </c>
      <c r="E311" s="13">
        <v>324151.14</v>
      </c>
      <c r="G311" s="13">
        <f t="shared" si="38"/>
        <v>324151.14</v>
      </c>
      <c r="H311" s="13">
        <v>0</v>
      </c>
      <c r="I311" s="13">
        <f t="shared" si="37"/>
        <v>-103566.28923000001</v>
      </c>
      <c r="K311" s="14">
        <f>SUM(G311:J311)</f>
        <v>220584.85077000002</v>
      </c>
      <c r="M311" s="11"/>
      <c r="O311" s="15"/>
    </row>
    <row r="312" spans="1:15" outlineLevel="2">
      <c r="A312" s="11">
        <f t="shared" si="27"/>
        <v>308</v>
      </c>
      <c r="B312" s="11" t="s">
        <v>598</v>
      </c>
      <c r="C312" s="17" t="s">
        <v>609</v>
      </c>
      <c r="D312" s="12" t="s">
        <v>610</v>
      </c>
      <c r="E312" s="13">
        <v>255497.96</v>
      </c>
      <c r="G312" s="13">
        <f t="shared" si="38"/>
        <v>255497.96</v>
      </c>
      <c r="H312" s="13">
        <v>0</v>
      </c>
      <c r="I312" s="13">
        <f t="shared" si="37"/>
        <v>-81631.59822</v>
      </c>
      <c r="K312" s="14">
        <f t="shared" si="39"/>
        <v>173866.36177999998</v>
      </c>
      <c r="M312" s="11"/>
      <c r="O312" s="15"/>
    </row>
    <row r="313" spans="1:15" outlineLevel="2">
      <c r="A313" s="11">
        <f t="shared" si="27"/>
        <v>309</v>
      </c>
      <c r="B313" s="11" t="s">
        <v>598</v>
      </c>
      <c r="C313" s="17" t="s">
        <v>611</v>
      </c>
      <c r="D313" s="12" t="s">
        <v>612</v>
      </c>
      <c r="E313" s="13">
        <v>196601.21</v>
      </c>
      <c r="G313" s="13">
        <f t="shared" si="38"/>
        <v>196601.21</v>
      </c>
      <c r="H313" s="13">
        <v>0</v>
      </c>
      <c r="I313" s="13">
        <f t="shared" ref="I313:I322" si="40">-(G313*$L$310)</f>
        <v>-62814.086595000001</v>
      </c>
      <c r="K313" s="14">
        <f t="shared" si="39"/>
        <v>133787.12340499999</v>
      </c>
      <c r="M313" s="11"/>
      <c r="O313" s="15"/>
    </row>
    <row r="314" spans="1:15" outlineLevel="2">
      <c r="A314" s="11">
        <f t="shared" si="27"/>
        <v>310</v>
      </c>
      <c r="B314" s="11" t="s">
        <v>598</v>
      </c>
      <c r="C314" s="17" t="s">
        <v>613</v>
      </c>
      <c r="D314" s="12" t="s">
        <v>614</v>
      </c>
      <c r="E314" s="13">
        <v>10678.65</v>
      </c>
      <c r="G314" s="13">
        <f t="shared" si="38"/>
        <v>10678.65</v>
      </c>
      <c r="H314" s="13">
        <v>0</v>
      </c>
      <c r="I314" s="13">
        <f t="shared" si="40"/>
        <v>-3411.8286749999997</v>
      </c>
      <c r="K314" s="14">
        <f>SUM(G314:J314)</f>
        <v>7266.8213249999999</v>
      </c>
      <c r="M314" s="11"/>
      <c r="O314" s="15"/>
    </row>
    <row r="315" spans="1:15" outlineLevel="2">
      <c r="A315" s="11">
        <f t="shared" si="27"/>
        <v>311</v>
      </c>
      <c r="B315" s="11" t="s">
        <v>598</v>
      </c>
      <c r="C315" s="17" t="s">
        <v>615</v>
      </c>
      <c r="D315" s="12" t="s">
        <v>616</v>
      </c>
      <c r="E315" s="13">
        <v>113361.84</v>
      </c>
      <c r="G315" s="13">
        <f t="shared" si="38"/>
        <v>113361.84</v>
      </c>
      <c r="H315" s="13">
        <v>0</v>
      </c>
      <c r="I315" s="13">
        <f t="shared" si="40"/>
        <v>-36219.107880000003</v>
      </c>
      <c r="K315" s="14">
        <f t="shared" si="39"/>
        <v>77142.732120000001</v>
      </c>
      <c r="M315" s="11"/>
      <c r="O315" s="15"/>
    </row>
    <row r="316" spans="1:15" outlineLevel="2">
      <c r="A316" s="11">
        <f t="shared" si="27"/>
        <v>312</v>
      </c>
      <c r="B316" s="11" t="s">
        <v>598</v>
      </c>
      <c r="C316" s="17" t="s">
        <v>617</v>
      </c>
      <c r="D316" s="12" t="s">
        <v>618</v>
      </c>
      <c r="E316" s="13">
        <v>568561.56000000006</v>
      </c>
      <c r="G316" s="13">
        <f t="shared" si="38"/>
        <v>568561.56000000006</v>
      </c>
      <c r="H316" s="13">
        <v>0</v>
      </c>
      <c r="I316" s="13">
        <f t="shared" si="40"/>
        <v>-181655.41842000003</v>
      </c>
      <c r="K316" s="14">
        <f t="shared" si="39"/>
        <v>386906.14158000005</v>
      </c>
      <c r="M316" s="11"/>
      <c r="O316" s="15"/>
    </row>
    <row r="317" spans="1:15" outlineLevel="2">
      <c r="A317" s="11">
        <f t="shared" si="27"/>
        <v>313</v>
      </c>
      <c r="B317" s="11" t="s">
        <v>598</v>
      </c>
      <c r="C317" s="17" t="s">
        <v>2366</v>
      </c>
      <c r="D317" s="12" t="s">
        <v>2367</v>
      </c>
      <c r="E317" s="13">
        <v>158945.60000000001</v>
      </c>
      <c r="G317" s="13">
        <f t="shared" si="38"/>
        <v>158945.60000000001</v>
      </c>
      <c r="I317" s="13">
        <v>-136495</v>
      </c>
      <c r="K317" s="14">
        <f t="shared" si="39"/>
        <v>22450.600000000006</v>
      </c>
      <c r="M317" s="11"/>
      <c r="O317" s="15"/>
    </row>
    <row r="318" spans="1:15" outlineLevel="2">
      <c r="A318" s="11">
        <f t="shared" si="27"/>
        <v>314</v>
      </c>
      <c r="B318" s="11" t="s">
        <v>598</v>
      </c>
      <c r="C318" s="17" t="s">
        <v>619</v>
      </c>
      <c r="D318" s="12" t="s">
        <v>620</v>
      </c>
      <c r="E318" s="13">
        <f>248434.53+148239.05</f>
        <v>396673.57999999996</v>
      </c>
      <c r="G318" s="13">
        <f t="shared" si="38"/>
        <v>396673.57999999996</v>
      </c>
      <c r="H318" s="13">
        <v>0</v>
      </c>
      <c r="I318" s="13">
        <f t="shared" si="40"/>
        <v>-126737.20880999998</v>
      </c>
      <c r="K318" s="14">
        <f>SUM(G318:J318)</f>
        <v>269936.37118999998</v>
      </c>
      <c r="M318" s="11"/>
      <c r="O318" s="15"/>
    </row>
    <row r="319" spans="1:15" outlineLevel="2">
      <c r="A319" s="11">
        <f t="shared" si="27"/>
        <v>315</v>
      </c>
      <c r="B319" s="11" t="s">
        <v>598</v>
      </c>
      <c r="C319" s="17" t="s">
        <v>621</v>
      </c>
      <c r="D319" s="12" t="s">
        <v>622</v>
      </c>
      <c r="E319" s="13">
        <v>227955.26</v>
      </c>
      <c r="G319" s="13">
        <f t="shared" si="38"/>
        <v>227955.26</v>
      </c>
      <c r="H319" s="13">
        <v>0</v>
      </c>
      <c r="I319" s="13">
        <f t="shared" si="40"/>
        <v>-72831.705570000006</v>
      </c>
      <c r="K319" s="14">
        <f>SUM(G319:J319)</f>
        <v>155123.55443000002</v>
      </c>
      <c r="M319" s="11"/>
      <c r="O319" s="15"/>
    </row>
    <row r="320" spans="1:15" outlineLevel="2">
      <c r="A320" s="11">
        <f t="shared" si="27"/>
        <v>316</v>
      </c>
      <c r="B320" s="11" t="s">
        <v>598</v>
      </c>
      <c r="C320" s="17" t="s">
        <v>623</v>
      </c>
      <c r="D320" s="12" t="s">
        <v>624</v>
      </c>
      <c r="E320" s="13">
        <v>149227.87</v>
      </c>
      <c r="G320" s="13">
        <f t="shared" si="38"/>
        <v>149227.87</v>
      </c>
      <c r="H320" s="13">
        <v>0</v>
      </c>
      <c r="I320" s="13">
        <f t="shared" si="40"/>
        <v>-47678.304465000001</v>
      </c>
      <c r="K320" s="14">
        <f t="shared" ref="K320:K322" si="41">SUM(G320:J320)</f>
        <v>101549.565535</v>
      </c>
      <c r="M320" s="11"/>
      <c r="O320" s="15"/>
    </row>
    <row r="321" spans="1:15" outlineLevel="2">
      <c r="A321" s="11">
        <f t="shared" si="27"/>
        <v>317</v>
      </c>
      <c r="B321" s="11" t="s">
        <v>598</v>
      </c>
      <c r="C321" s="17" t="s">
        <v>625</v>
      </c>
      <c r="D321" s="12" t="s">
        <v>626</v>
      </c>
      <c r="E321" s="13">
        <v>147129.10999999999</v>
      </c>
      <c r="G321" s="13">
        <f t="shared" si="38"/>
        <v>147129.10999999999</v>
      </c>
      <c r="H321" s="13">
        <v>0</v>
      </c>
      <c r="I321" s="13">
        <f t="shared" si="40"/>
        <v>-47007.750645</v>
      </c>
      <c r="K321" s="14">
        <f t="shared" si="41"/>
        <v>100121.35935499999</v>
      </c>
      <c r="M321" s="11"/>
      <c r="O321" s="15"/>
    </row>
    <row r="322" spans="1:15" outlineLevel="2">
      <c r="A322" s="11">
        <f t="shared" si="27"/>
        <v>318</v>
      </c>
      <c r="B322" s="11" t="s">
        <v>598</v>
      </c>
      <c r="C322" s="17" t="s">
        <v>627</v>
      </c>
      <c r="D322" s="12" t="s">
        <v>628</v>
      </c>
      <c r="E322" s="13">
        <v>11441.22</v>
      </c>
      <c r="G322" s="13">
        <f t="shared" si="38"/>
        <v>11441.22</v>
      </c>
      <c r="H322" s="13">
        <v>0</v>
      </c>
      <c r="I322" s="13">
        <f t="shared" si="40"/>
        <v>-3655.4697899999996</v>
      </c>
      <c r="K322" s="14">
        <f t="shared" si="41"/>
        <v>7785.7502100000002</v>
      </c>
      <c r="M322" s="11"/>
      <c r="O322" s="15"/>
    </row>
    <row r="323" spans="1:15" outlineLevel="2">
      <c r="A323" s="11">
        <f t="shared" si="27"/>
        <v>319</v>
      </c>
      <c r="B323" s="11" t="s">
        <v>598</v>
      </c>
      <c r="C323" s="17" t="s">
        <v>629</v>
      </c>
      <c r="D323" s="12" t="s">
        <v>630</v>
      </c>
      <c r="E323" s="13">
        <v>92595.35</v>
      </c>
      <c r="G323" s="13">
        <f t="shared" si="38"/>
        <v>92595.35</v>
      </c>
      <c r="H323" s="13">
        <v>0</v>
      </c>
      <c r="I323" s="13">
        <f>-(G323*$L$310)</f>
        <v>-29584.214325000001</v>
      </c>
      <c r="K323" s="14">
        <f>SUM(G323:J323)</f>
        <v>63011.135675000005</v>
      </c>
      <c r="M323" s="11"/>
      <c r="O323" s="15"/>
    </row>
    <row r="324" spans="1:15" outlineLevel="2">
      <c r="A324" s="11">
        <f t="shared" si="27"/>
        <v>320</v>
      </c>
      <c r="B324" s="11" t="s">
        <v>598</v>
      </c>
      <c r="C324" s="17" t="s">
        <v>631</v>
      </c>
      <c r="D324" s="12" t="s">
        <v>632</v>
      </c>
      <c r="E324" s="13">
        <v>107342.37</v>
      </c>
      <c r="G324" s="13">
        <f t="shared" si="38"/>
        <v>107342.37</v>
      </c>
      <c r="H324" s="13">
        <v>0</v>
      </c>
      <c r="I324" s="13">
        <f>-(G324*$L$310)</f>
        <v>-34295.887215000002</v>
      </c>
      <c r="K324" s="14">
        <f t="shared" ref="K324:K328" si="42">SUM(G324:J324)</f>
        <v>73046.482785</v>
      </c>
      <c r="M324" s="11"/>
      <c r="O324" s="15"/>
    </row>
    <row r="325" spans="1:15" outlineLevel="2">
      <c r="A325" s="11">
        <f t="shared" si="27"/>
        <v>321</v>
      </c>
      <c r="B325" s="11" t="s">
        <v>598</v>
      </c>
      <c r="C325" s="17" t="s">
        <v>633</v>
      </c>
      <c r="D325" s="12" t="s">
        <v>634</v>
      </c>
      <c r="E325" s="13">
        <v>194708.81</v>
      </c>
      <c r="G325" s="13">
        <f t="shared" si="38"/>
        <v>194708.81</v>
      </c>
      <c r="H325" s="13">
        <v>0</v>
      </c>
      <c r="I325" s="13">
        <f>-(G325*$L$310)</f>
        <v>-62209.464795</v>
      </c>
      <c r="K325" s="14">
        <f t="shared" si="42"/>
        <v>132499.34520499999</v>
      </c>
      <c r="M325" s="11"/>
      <c r="O325" s="15"/>
    </row>
    <row r="326" spans="1:15" outlineLevel="2">
      <c r="A326" s="11">
        <f t="shared" si="27"/>
        <v>322</v>
      </c>
      <c r="B326" s="11" t="s">
        <v>598</v>
      </c>
      <c r="C326" s="17" t="s">
        <v>635</v>
      </c>
      <c r="D326" s="12" t="s">
        <v>636</v>
      </c>
      <c r="E326" s="13">
        <v>693235.96</v>
      </c>
      <c r="G326" s="13">
        <f t="shared" si="38"/>
        <v>693235.96</v>
      </c>
      <c r="H326" s="13">
        <v>0</v>
      </c>
      <c r="I326" s="13">
        <f>-(G326*$L$310)</f>
        <v>-221488.88921999998</v>
      </c>
      <c r="K326" s="14">
        <f t="shared" si="42"/>
        <v>471747.07077999995</v>
      </c>
      <c r="M326" s="11"/>
      <c r="O326" s="15"/>
    </row>
    <row r="327" spans="1:15" ht="13.5" customHeight="1" outlineLevel="2">
      <c r="A327" s="11">
        <f t="shared" si="27"/>
        <v>323</v>
      </c>
      <c r="B327" s="11" t="s">
        <v>598</v>
      </c>
      <c r="C327" s="17" t="s">
        <v>637</v>
      </c>
      <c r="D327" s="12" t="s">
        <v>638</v>
      </c>
      <c r="E327" s="13">
        <v>15666.79</v>
      </c>
      <c r="G327" s="13">
        <f t="shared" si="38"/>
        <v>15666.79</v>
      </c>
      <c r="H327" s="13">
        <v>0</v>
      </c>
      <c r="I327" s="13">
        <f>-(G327*$L$310)</f>
        <v>-5005.5394050000004</v>
      </c>
      <c r="K327" s="14">
        <f>SUM(G327:J327)</f>
        <v>10661.250595000001</v>
      </c>
      <c r="M327" s="11"/>
      <c r="O327" s="15"/>
    </row>
    <row r="328" spans="1:15" outlineLevel="2">
      <c r="A328" s="11">
        <f t="shared" si="27"/>
        <v>324</v>
      </c>
      <c r="B328" s="11" t="s">
        <v>598</v>
      </c>
      <c r="C328" s="17" t="s">
        <v>2326</v>
      </c>
      <c r="D328" s="12" t="s">
        <v>639</v>
      </c>
      <c r="E328" s="13">
        <v>284048.28000000003</v>
      </c>
      <c r="G328" s="13">
        <f t="shared" si="38"/>
        <v>284048.28000000003</v>
      </c>
      <c r="H328" s="13">
        <v>0</v>
      </c>
      <c r="I328" s="13">
        <f t="shared" ref="I328:I333" si="43">-(G328*$L$310)</f>
        <v>-90753.425460000013</v>
      </c>
      <c r="K328" s="14">
        <f t="shared" si="42"/>
        <v>193294.85454000003</v>
      </c>
      <c r="M328" s="11"/>
      <c r="O328" s="15"/>
    </row>
    <row r="329" spans="1:15" outlineLevel="2">
      <c r="A329" s="11">
        <f t="shared" si="27"/>
        <v>325</v>
      </c>
      <c r="B329" s="11" t="s">
        <v>598</v>
      </c>
      <c r="C329" s="17" t="s">
        <v>640</v>
      </c>
      <c r="D329" s="12" t="s">
        <v>641</v>
      </c>
      <c r="E329" s="13">
        <v>15293.08</v>
      </c>
      <c r="G329" s="13">
        <f t="shared" si="38"/>
        <v>15293.08</v>
      </c>
      <c r="H329" s="13">
        <v>0</v>
      </c>
      <c r="I329" s="13">
        <f t="shared" si="43"/>
        <v>-4886.1390600000004</v>
      </c>
      <c r="K329" s="14">
        <f>SUM(G329:J329)</f>
        <v>10406.94094</v>
      </c>
      <c r="M329" s="11"/>
      <c r="O329" s="15"/>
    </row>
    <row r="330" spans="1:15" outlineLevel="2">
      <c r="A330" s="11">
        <f t="shared" si="27"/>
        <v>326</v>
      </c>
      <c r="B330" s="11" t="s">
        <v>598</v>
      </c>
      <c r="C330" s="17" t="s">
        <v>642</v>
      </c>
      <c r="D330" s="12" t="s">
        <v>643</v>
      </c>
      <c r="E330" s="13">
        <v>735399.34</v>
      </c>
      <c r="G330" s="13">
        <f t="shared" si="38"/>
        <v>735399.34</v>
      </c>
      <c r="H330" s="13">
        <v>0</v>
      </c>
      <c r="I330" s="13">
        <f t="shared" si="43"/>
        <v>-234960.08913000001</v>
      </c>
      <c r="K330" s="14">
        <f t="shared" ref="K330:K332" si="44">SUM(G330:J330)</f>
        <v>500439.25086999999</v>
      </c>
      <c r="M330" s="11"/>
      <c r="O330" s="15"/>
    </row>
    <row r="331" spans="1:15" outlineLevel="2">
      <c r="A331" s="11">
        <f t="shared" si="27"/>
        <v>327</v>
      </c>
      <c r="B331" s="11" t="s">
        <v>598</v>
      </c>
      <c r="C331" s="17" t="s">
        <v>644</v>
      </c>
      <c r="D331" s="12" t="s">
        <v>645</v>
      </c>
      <c r="E331" s="13">
        <v>66872.3</v>
      </c>
      <c r="G331" s="13">
        <f t="shared" si="38"/>
        <v>66872.3</v>
      </c>
      <c r="H331" s="13">
        <v>0</v>
      </c>
      <c r="I331" s="13">
        <f t="shared" si="43"/>
        <v>-21365.699850000001</v>
      </c>
      <c r="K331" s="14">
        <f t="shared" si="44"/>
        <v>45506.600149999998</v>
      </c>
      <c r="M331" s="11"/>
      <c r="O331" s="15"/>
    </row>
    <row r="332" spans="1:15" outlineLevel="2">
      <c r="A332" s="11">
        <f t="shared" ref="A332:A399" si="45">A331+1</f>
        <v>328</v>
      </c>
      <c r="B332" s="11" t="s">
        <v>598</v>
      </c>
      <c r="C332" s="17" t="s">
        <v>646</v>
      </c>
      <c r="D332" s="12" t="s">
        <v>647</v>
      </c>
      <c r="E332" s="13">
        <v>105280.95</v>
      </c>
      <c r="G332" s="13">
        <f t="shared" si="38"/>
        <v>105280.95</v>
      </c>
      <c r="H332" s="13">
        <v>0</v>
      </c>
      <c r="I332" s="13">
        <f t="shared" si="43"/>
        <v>-33637.263525000002</v>
      </c>
      <c r="K332" s="14">
        <f t="shared" si="44"/>
        <v>71643.686474999995</v>
      </c>
      <c r="M332" s="11"/>
      <c r="O332" s="15"/>
    </row>
    <row r="333" spans="1:15" outlineLevel="2">
      <c r="A333" s="11">
        <f t="shared" si="45"/>
        <v>329</v>
      </c>
      <c r="B333" s="11" t="s">
        <v>598</v>
      </c>
      <c r="C333" s="17" t="s">
        <v>648</v>
      </c>
      <c r="D333" s="12" t="s">
        <v>649</v>
      </c>
      <c r="E333" s="13">
        <v>293101.19</v>
      </c>
      <c r="G333" s="13">
        <f t="shared" si="38"/>
        <v>293101.19</v>
      </c>
      <c r="H333" s="13">
        <v>0</v>
      </c>
      <c r="I333" s="13">
        <f t="shared" si="43"/>
        <v>-93645.830205000006</v>
      </c>
      <c r="K333" s="14">
        <f>SUM(G333:J333)</f>
        <v>199455.359795</v>
      </c>
      <c r="M333" s="11"/>
      <c r="O333" s="15"/>
    </row>
    <row r="334" spans="1:15" outlineLevel="2">
      <c r="A334" s="11">
        <f t="shared" si="45"/>
        <v>330</v>
      </c>
      <c r="B334" s="11" t="s">
        <v>598</v>
      </c>
      <c r="C334" s="17" t="s">
        <v>650</v>
      </c>
      <c r="D334" s="12" t="s">
        <v>651</v>
      </c>
      <c r="E334" s="13">
        <v>1159069.74</v>
      </c>
      <c r="G334" s="13">
        <f>E334+F334</f>
        <v>1159069.74</v>
      </c>
      <c r="H334" s="13">
        <v>0</v>
      </c>
      <c r="I334" s="13">
        <f>-(G334*$L$310)</f>
        <v>-370322.78193</v>
      </c>
      <c r="K334" s="14">
        <f t="shared" ref="K334:K342" si="46">SUM(G334:J334)</f>
        <v>788746.95806999994</v>
      </c>
      <c r="M334" s="11"/>
      <c r="O334" s="15"/>
    </row>
    <row r="335" spans="1:15" outlineLevel="2">
      <c r="A335" s="11">
        <f t="shared" si="45"/>
        <v>331</v>
      </c>
      <c r="B335" s="11" t="s">
        <v>598</v>
      </c>
      <c r="C335" s="17" t="s">
        <v>652</v>
      </c>
      <c r="D335" s="12" t="s">
        <v>653</v>
      </c>
      <c r="E335" s="13">
        <v>1399.06</v>
      </c>
      <c r="G335" s="13">
        <f t="shared" si="38"/>
        <v>1399.06</v>
      </c>
      <c r="H335" s="13">
        <v>0</v>
      </c>
      <c r="I335" s="13">
        <f>-(G335*$L$310)</f>
        <v>-446.99966999999998</v>
      </c>
      <c r="K335" s="14">
        <f t="shared" si="46"/>
        <v>952.06033000000002</v>
      </c>
      <c r="M335" s="11"/>
    </row>
    <row r="336" spans="1:15" outlineLevel="2">
      <c r="A336" s="11">
        <f t="shared" si="45"/>
        <v>332</v>
      </c>
      <c r="B336" s="11" t="s">
        <v>598</v>
      </c>
      <c r="C336" s="17" t="s">
        <v>654</v>
      </c>
      <c r="D336" s="12" t="s">
        <v>655</v>
      </c>
      <c r="E336" s="13">
        <v>11106.51</v>
      </c>
      <c r="G336" s="13">
        <f t="shared" si="38"/>
        <v>11106.51</v>
      </c>
      <c r="H336" s="13">
        <v>0</v>
      </c>
      <c r="I336" s="13">
        <f>-(G336*$L$310)</f>
        <v>-3548.5299450000002</v>
      </c>
      <c r="K336" s="14">
        <f t="shared" si="46"/>
        <v>7557.980055</v>
      </c>
      <c r="M336" s="11"/>
      <c r="O336" s="15"/>
    </row>
    <row r="337" spans="1:15" outlineLevel="2">
      <c r="A337" s="11">
        <f t="shared" si="45"/>
        <v>333</v>
      </c>
      <c r="B337" s="11" t="s">
        <v>598</v>
      </c>
      <c r="C337" s="17" t="s">
        <v>656</v>
      </c>
      <c r="D337" s="12" t="s">
        <v>657</v>
      </c>
      <c r="E337" s="13">
        <v>251028.92</v>
      </c>
      <c r="G337" s="13">
        <f t="shared" si="38"/>
        <v>251028.92</v>
      </c>
      <c r="H337" s="13">
        <v>0</v>
      </c>
      <c r="I337" s="13">
        <f>-(G337*$L$310)</f>
        <v>-80203.739939999999</v>
      </c>
      <c r="K337" s="14">
        <f>SUM(G337:J337)</f>
        <v>170825.18006000001</v>
      </c>
      <c r="M337" s="11"/>
      <c r="O337" s="15"/>
    </row>
    <row r="338" spans="1:15" outlineLevel="2">
      <c r="A338" s="11">
        <f t="shared" si="45"/>
        <v>334</v>
      </c>
      <c r="B338" s="11" t="s">
        <v>598</v>
      </c>
      <c r="C338" s="17" t="s">
        <v>658</v>
      </c>
      <c r="D338" s="12" t="s">
        <v>659</v>
      </c>
      <c r="E338" s="13">
        <v>52564.95</v>
      </c>
      <c r="G338" s="13">
        <f t="shared" si="38"/>
        <v>52564.95</v>
      </c>
      <c r="H338" s="13">
        <v>0</v>
      </c>
      <c r="I338" s="13">
        <f>-(G338*$L$310)</f>
        <v>-16794.501525</v>
      </c>
      <c r="K338" s="14">
        <f t="shared" si="46"/>
        <v>35770.448474999997</v>
      </c>
      <c r="M338" s="11"/>
      <c r="O338" s="15"/>
    </row>
    <row r="339" spans="1:15" outlineLevel="2">
      <c r="A339" s="11">
        <f t="shared" si="45"/>
        <v>335</v>
      </c>
      <c r="B339" s="11" t="s">
        <v>598</v>
      </c>
      <c r="C339" s="17" t="s">
        <v>660</v>
      </c>
      <c r="D339" s="12" t="s">
        <v>661</v>
      </c>
      <c r="E339" s="13">
        <v>1926</v>
      </c>
      <c r="G339" s="13">
        <f t="shared" si="38"/>
        <v>1926</v>
      </c>
      <c r="H339" s="13">
        <v>0</v>
      </c>
      <c r="I339" s="13">
        <f t="shared" ref="I339:I347" si="47">-(G339*$L$310)</f>
        <v>-615.35699999999997</v>
      </c>
      <c r="K339" s="14">
        <f t="shared" si="46"/>
        <v>1310.643</v>
      </c>
      <c r="M339" s="11"/>
      <c r="O339" s="15"/>
    </row>
    <row r="340" spans="1:15" outlineLevel="2">
      <c r="A340" s="11">
        <f t="shared" si="45"/>
        <v>336</v>
      </c>
      <c r="B340" s="11" t="s">
        <v>598</v>
      </c>
      <c r="C340" s="17" t="s">
        <v>662</v>
      </c>
      <c r="D340" s="12" t="s">
        <v>663</v>
      </c>
      <c r="E340" s="13">
        <v>80620.039999999994</v>
      </c>
      <c r="G340" s="13">
        <f t="shared" si="38"/>
        <v>80620.039999999994</v>
      </c>
      <c r="H340" s="13">
        <v>0</v>
      </c>
      <c r="I340" s="13">
        <f t="shared" si="47"/>
        <v>-25758.102779999997</v>
      </c>
      <c r="K340" s="14">
        <f>SUM(G340:J340)</f>
        <v>54861.937219999993</v>
      </c>
      <c r="M340" s="11"/>
      <c r="O340" s="15"/>
    </row>
    <row r="341" spans="1:15" outlineLevel="2">
      <c r="A341" s="11">
        <f t="shared" si="45"/>
        <v>337</v>
      </c>
      <c r="B341" s="11" t="s">
        <v>598</v>
      </c>
      <c r="C341" s="17" t="s">
        <v>664</v>
      </c>
      <c r="D341" s="12" t="s">
        <v>665</v>
      </c>
      <c r="E341" s="13">
        <v>63659.87</v>
      </c>
      <c r="G341" s="13">
        <f t="shared" si="38"/>
        <v>63659.87</v>
      </c>
      <c r="H341" s="13">
        <v>0</v>
      </c>
      <c r="I341" s="13">
        <f t="shared" si="47"/>
        <v>-20339.328465000002</v>
      </c>
      <c r="K341" s="14">
        <f t="shared" si="46"/>
        <v>43320.541534999997</v>
      </c>
      <c r="M341" s="11"/>
      <c r="O341" s="15"/>
    </row>
    <row r="342" spans="1:15" outlineLevel="2">
      <c r="A342" s="11">
        <f t="shared" si="45"/>
        <v>338</v>
      </c>
      <c r="B342" s="11" t="s">
        <v>598</v>
      </c>
      <c r="C342" s="17" t="s">
        <v>666</v>
      </c>
      <c r="D342" s="12" t="s">
        <v>667</v>
      </c>
      <c r="E342" s="13">
        <v>273047.09999999998</v>
      </c>
      <c r="G342" s="13">
        <f t="shared" si="38"/>
        <v>273047.09999999998</v>
      </c>
      <c r="H342" s="13">
        <v>0</v>
      </c>
      <c r="I342" s="13">
        <f t="shared" si="47"/>
        <v>-87238.548449999987</v>
      </c>
      <c r="K342" s="14">
        <f t="shared" si="46"/>
        <v>185808.55154999997</v>
      </c>
      <c r="M342" s="11"/>
      <c r="O342" s="15"/>
    </row>
    <row r="343" spans="1:15" outlineLevel="2">
      <c r="A343" s="11">
        <f t="shared" si="45"/>
        <v>339</v>
      </c>
      <c r="B343" s="11" t="s">
        <v>598</v>
      </c>
      <c r="C343" s="17" t="s">
        <v>668</v>
      </c>
      <c r="D343" s="12" t="s">
        <v>669</v>
      </c>
      <c r="E343" s="13">
        <v>518897.76</v>
      </c>
      <c r="G343" s="13">
        <f t="shared" si="38"/>
        <v>518897.76</v>
      </c>
      <c r="H343" s="13">
        <v>0</v>
      </c>
      <c r="I343" s="13">
        <f t="shared" si="47"/>
        <v>-165787.83431999999</v>
      </c>
      <c r="K343" s="14">
        <f>SUM(G343:J343)</f>
        <v>353109.92567999999</v>
      </c>
      <c r="M343" s="11"/>
      <c r="O343" s="15"/>
    </row>
    <row r="344" spans="1:15" outlineLevel="2">
      <c r="A344" s="11">
        <f t="shared" si="45"/>
        <v>340</v>
      </c>
      <c r="B344" s="11" t="s">
        <v>598</v>
      </c>
      <c r="C344" s="17" t="s">
        <v>670</v>
      </c>
      <c r="D344" s="12" t="s">
        <v>671</v>
      </c>
      <c r="E344" s="13">
        <v>882795.2</v>
      </c>
      <c r="G344" s="13">
        <f t="shared" si="38"/>
        <v>882795.2</v>
      </c>
      <c r="H344" s="13">
        <v>0</v>
      </c>
      <c r="I344" s="13">
        <f t="shared" si="47"/>
        <v>-282053.06640000001</v>
      </c>
      <c r="K344" s="14">
        <f t="shared" ref="K344:K353" si="48">SUM(G344:J344)</f>
        <v>600742.13359999994</v>
      </c>
      <c r="M344" s="11"/>
      <c r="O344" s="15"/>
    </row>
    <row r="345" spans="1:15" outlineLevel="2">
      <c r="A345" s="11">
        <f t="shared" si="45"/>
        <v>341</v>
      </c>
      <c r="B345" s="11" t="s">
        <v>598</v>
      </c>
      <c r="C345" s="17" t="s">
        <v>672</v>
      </c>
      <c r="D345" s="12" t="s">
        <v>673</v>
      </c>
      <c r="E345" s="13">
        <v>399366.77</v>
      </c>
      <c r="G345" s="13">
        <f t="shared" si="38"/>
        <v>399366.77</v>
      </c>
      <c r="H345" s="13">
        <v>0</v>
      </c>
      <c r="I345" s="13">
        <f t="shared" si="47"/>
        <v>-127597.683015</v>
      </c>
      <c r="K345" s="14">
        <f t="shared" si="48"/>
        <v>271769.086985</v>
      </c>
      <c r="M345" s="11"/>
      <c r="O345" s="15"/>
    </row>
    <row r="346" spans="1:15" outlineLevel="2">
      <c r="A346" s="11">
        <f t="shared" si="45"/>
        <v>342</v>
      </c>
      <c r="B346" s="11" t="s">
        <v>598</v>
      </c>
      <c r="C346" s="17" t="s">
        <v>674</v>
      </c>
      <c r="D346" s="12" t="s">
        <v>675</v>
      </c>
      <c r="E346" s="13">
        <v>79113.22</v>
      </c>
      <c r="G346" s="13">
        <f t="shared" si="38"/>
        <v>79113.22</v>
      </c>
      <c r="H346" s="13">
        <v>0</v>
      </c>
      <c r="I346" s="13">
        <f t="shared" si="47"/>
        <v>-25276.673790000001</v>
      </c>
      <c r="K346" s="14">
        <f t="shared" si="48"/>
        <v>53836.54621</v>
      </c>
      <c r="M346" s="11"/>
      <c r="O346" s="15"/>
    </row>
    <row r="347" spans="1:15" outlineLevel="2">
      <c r="A347" s="11">
        <f t="shared" si="45"/>
        <v>343</v>
      </c>
      <c r="B347" s="11" t="s">
        <v>598</v>
      </c>
      <c r="C347" s="17" t="s">
        <v>676</v>
      </c>
      <c r="D347" s="12" t="s">
        <v>677</v>
      </c>
      <c r="E347" s="13">
        <v>1821.43</v>
      </c>
      <c r="G347" s="13">
        <f t="shared" si="38"/>
        <v>1821.43</v>
      </c>
      <c r="H347" s="13">
        <v>0</v>
      </c>
      <c r="I347" s="13">
        <f t="shared" si="47"/>
        <v>-581.94688500000007</v>
      </c>
      <c r="K347" s="14">
        <f>SUM(G347:J347)</f>
        <v>1239.483115</v>
      </c>
      <c r="M347" s="11"/>
      <c r="O347" s="15"/>
    </row>
    <row r="348" spans="1:15" outlineLevel="2">
      <c r="A348" s="11">
        <f t="shared" si="45"/>
        <v>344</v>
      </c>
      <c r="B348" s="11" t="s">
        <v>598</v>
      </c>
      <c r="C348" s="17" t="s">
        <v>678</v>
      </c>
      <c r="D348" s="12" t="s">
        <v>679</v>
      </c>
      <c r="E348" s="13">
        <v>75189.87</v>
      </c>
      <c r="G348" s="13">
        <f t="shared" si="38"/>
        <v>75189.87</v>
      </c>
      <c r="H348" s="13">
        <v>0</v>
      </c>
      <c r="I348" s="13">
        <f>-(G348*$L$310)</f>
        <v>-24023.163464999998</v>
      </c>
      <c r="K348" s="14">
        <f t="shared" si="48"/>
        <v>51166.706534999998</v>
      </c>
      <c r="M348" s="11"/>
      <c r="O348" s="15"/>
    </row>
    <row r="349" spans="1:15" outlineLevel="2">
      <c r="A349" s="11">
        <f t="shared" si="45"/>
        <v>345</v>
      </c>
      <c r="B349" s="11" t="s">
        <v>598</v>
      </c>
      <c r="C349" s="17" t="s">
        <v>680</v>
      </c>
      <c r="D349" s="12" t="s">
        <v>681</v>
      </c>
      <c r="E349" s="13">
        <v>147040.89000000001</v>
      </c>
      <c r="G349" s="13">
        <f t="shared" si="38"/>
        <v>147040.89000000001</v>
      </c>
      <c r="H349" s="13">
        <v>0</v>
      </c>
      <c r="I349" s="13">
        <f>-(G349*$L$310)</f>
        <v>-46979.564355000002</v>
      </c>
      <c r="K349" s="14">
        <f t="shared" si="48"/>
        <v>100061.325645</v>
      </c>
      <c r="M349" s="11"/>
      <c r="O349" s="15"/>
    </row>
    <row r="350" spans="1:15" outlineLevel="2">
      <c r="A350" s="11">
        <f t="shared" si="45"/>
        <v>346</v>
      </c>
      <c r="B350" s="11" t="s">
        <v>598</v>
      </c>
      <c r="C350" s="17" t="s">
        <v>682</v>
      </c>
      <c r="D350" s="12" t="s">
        <v>683</v>
      </c>
      <c r="E350" s="13">
        <v>231893.37</v>
      </c>
      <c r="G350" s="13">
        <f>E350+F350</f>
        <v>231893.37</v>
      </c>
      <c r="H350" s="13">
        <v>0</v>
      </c>
      <c r="I350" s="13">
        <f>-(G350*$L$310)</f>
        <v>-74089.931714999999</v>
      </c>
      <c r="K350" s="14">
        <f>SUM(G350:J350)</f>
        <v>157803.43828499998</v>
      </c>
      <c r="M350" s="11"/>
      <c r="O350" s="15"/>
    </row>
    <row r="351" spans="1:15" outlineLevel="2">
      <c r="A351" s="11">
        <f t="shared" si="45"/>
        <v>347</v>
      </c>
      <c r="B351" s="11" t="s">
        <v>598</v>
      </c>
      <c r="C351" s="17" t="s">
        <v>684</v>
      </c>
      <c r="D351" s="12" t="s">
        <v>685</v>
      </c>
      <c r="E351" s="13">
        <v>165480.70000000001</v>
      </c>
      <c r="G351" s="13">
        <f t="shared" si="38"/>
        <v>165480.70000000001</v>
      </c>
      <c r="H351" s="13">
        <v>0</v>
      </c>
      <c r="I351" s="13">
        <f>-(G351*$L$310)</f>
        <v>-52871.083650000008</v>
      </c>
      <c r="K351" s="14">
        <f t="shared" si="48"/>
        <v>112609.61635</v>
      </c>
      <c r="M351" s="11"/>
      <c r="O351" s="15"/>
    </row>
    <row r="352" spans="1:15" outlineLevel="2">
      <c r="A352" s="11">
        <f t="shared" si="45"/>
        <v>348</v>
      </c>
      <c r="B352" s="11" t="s">
        <v>598</v>
      </c>
      <c r="C352" s="17" t="s">
        <v>686</v>
      </c>
      <c r="D352" s="12" t="s">
        <v>687</v>
      </c>
      <c r="E352" s="13">
        <v>962213.42</v>
      </c>
      <c r="G352" s="13">
        <f t="shared" si="38"/>
        <v>962213.42</v>
      </c>
      <c r="H352" s="13">
        <v>0</v>
      </c>
      <c r="I352" s="13">
        <f>-(G352*$L$310)</f>
        <v>-307427.18768999999</v>
      </c>
      <c r="K352" s="14">
        <f t="shared" si="48"/>
        <v>654786.23231000011</v>
      </c>
      <c r="M352" s="11"/>
      <c r="O352" s="15"/>
    </row>
    <row r="353" spans="1:15" outlineLevel="2">
      <c r="A353" s="11">
        <f t="shared" si="45"/>
        <v>349</v>
      </c>
      <c r="B353" s="11" t="s">
        <v>598</v>
      </c>
      <c r="C353" s="17" t="s">
        <v>688</v>
      </c>
      <c r="D353" s="12" t="s">
        <v>689</v>
      </c>
      <c r="E353" s="13">
        <v>204548</v>
      </c>
      <c r="G353" s="13">
        <f t="shared" si="38"/>
        <v>204548</v>
      </c>
      <c r="H353" s="13">
        <v>0</v>
      </c>
      <c r="I353" s="13">
        <f t="shared" ref="I353:I363" si="49">-(G353*$L$310)</f>
        <v>-65353.086000000003</v>
      </c>
      <c r="K353" s="14">
        <f t="shared" si="48"/>
        <v>139194.91399999999</v>
      </c>
      <c r="M353" s="11"/>
      <c r="O353" s="15"/>
    </row>
    <row r="354" spans="1:15" outlineLevel="2">
      <c r="A354" s="11">
        <f t="shared" si="45"/>
        <v>350</v>
      </c>
      <c r="B354" s="11" t="s">
        <v>598</v>
      </c>
      <c r="C354" s="17" t="s">
        <v>690</v>
      </c>
      <c r="D354" s="12" t="s">
        <v>691</v>
      </c>
      <c r="E354" s="13">
        <v>99569.22</v>
      </c>
      <c r="G354" s="13">
        <f t="shared" si="38"/>
        <v>99569.22</v>
      </c>
      <c r="H354" s="13">
        <v>0</v>
      </c>
      <c r="I354" s="13">
        <f t="shared" si="49"/>
        <v>-31812.36579</v>
      </c>
      <c r="K354" s="14">
        <f>SUM(G354:J354)</f>
        <v>67756.854210000005</v>
      </c>
      <c r="M354" s="11"/>
      <c r="O354" s="15"/>
    </row>
    <row r="355" spans="1:15" outlineLevel="2">
      <c r="A355" s="11">
        <f t="shared" si="45"/>
        <v>351</v>
      </c>
      <c r="B355" s="11" t="s">
        <v>598</v>
      </c>
      <c r="C355" s="17" t="s">
        <v>692</v>
      </c>
      <c r="D355" s="12" t="s">
        <v>693</v>
      </c>
      <c r="E355" s="13">
        <v>2527</v>
      </c>
      <c r="G355" s="13">
        <f t="shared" si="38"/>
        <v>2527</v>
      </c>
      <c r="H355" s="13">
        <v>0</v>
      </c>
      <c r="I355" s="13">
        <f t="shared" si="49"/>
        <v>-807.37649999999996</v>
      </c>
      <c r="K355" s="14">
        <f>SUM(G355:J355)</f>
        <v>1719.6235000000001</v>
      </c>
      <c r="M355" s="11"/>
      <c r="O355" s="15"/>
    </row>
    <row r="356" spans="1:15" outlineLevel="2">
      <c r="A356" s="11">
        <f t="shared" si="45"/>
        <v>352</v>
      </c>
      <c r="B356" s="11" t="s">
        <v>598</v>
      </c>
      <c r="C356" s="17" t="s">
        <v>694</v>
      </c>
      <c r="D356" s="12" t="s">
        <v>695</v>
      </c>
      <c r="E356" s="13">
        <v>76407.48</v>
      </c>
      <c r="G356" s="13">
        <f t="shared" si="38"/>
        <v>76407.48</v>
      </c>
      <c r="H356" s="13">
        <v>0</v>
      </c>
      <c r="I356" s="13">
        <f t="shared" si="49"/>
        <v>-24412.189859999999</v>
      </c>
      <c r="K356" s="14">
        <f t="shared" ref="K356:K358" si="50">SUM(G356:J356)</f>
        <v>51995.290139999997</v>
      </c>
      <c r="M356" s="11"/>
      <c r="O356" s="15"/>
    </row>
    <row r="357" spans="1:15" outlineLevel="2">
      <c r="A357" s="11">
        <f t="shared" si="45"/>
        <v>353</v>
      </c>
      <c r="B357" s="11" t="s">
        <v>598</v>
      </c>
      <c r="C357" s="17" t="s">
        <v>696</v>
      </c>
      <c r="D357" s="12" t="s">
        <v>697</v>
      </c>
      <c r="E357" s="13">
        <v>206549.66</v>
      </c>
      <c r="G357" s="13">
        <f t="shared" si="38"/>
        <v>206549.66</v>
      </c>
      <c r="H357" s="13">
        <v>0</v>
      </c>
      <c r="I357" s="13">
        <f t="shared" si="49"/>
        <v>-65992.616370000003</v>
      </c>
      <c r="K357" s="14">
        <f t="shared" si="50"/>
        <v>140557.04363</v>
      </c>
      <c r="M357" s="11"/>
      <c r="O357" s="15"/>
    </row>
    <row r="358" spans="1:15" outlineLevel="2">
      <c r="A358" s="11">
        <f t="shared" si="45"/>
        <v>354</v>
      </c>
      <c r="B358" s="11" t="s">
        <v>598</v>
      </c>
      <c r="C358" s="17" t="s">
        <v>698</v>
      </c>
      <c r="D358" s="12" t="s">
        <v>699</v>
      </c>
      <c r="E358" s="13">
        <v>212943.86</v>
      </c>
      <c r="G358" s="13">
        <f t="shared" si="38"/>
        <v>212943.86</v>
      </c>
      <c r="H358" s="13">
        <v>0</v>
      </c>
      <c r="I358" s="13">
        <f t="shared" si="49"/>
        <v>-68035.563269999999</v>
      </c>
      <c r="K358" s="14">
        <f t="shared" si="50"/>
        <v>144908.29673</v>
      </c>
      <c r="M358" s="11"/>
      <c r="O358" s="15"/>
    </row>
    <row r="359" spans="1:15" outlineLevel="2">
      <c r="A359" s="11">
        <f t="shared" si="45"/>
        <v>355</v>
      </c>
      <c r="B359" s="11" t="s">
        <v>598</v>
      </c>
      <c r="C359" s="17" t="s">
        <v>2447</v>
      </c>
      <c r="D359" s="12" t="s">
        <v>2448</v>
      </c>
      <c r="E359" s="13">
        <v>21003.3</v>
      </c>
      <c r="G359" s="13">
        <f t="shared" si="38"/>
        <v>21003.3</v>
      </c>
      <c r="I359" s="13">
        <f t="shared" si="49"/>
        <v>-6710.5543500000003</v>
      </c>
      <c r="K359" s="14">
        <f>SUM(G359:J359)</f>
        <v>14292.745649999999</v>
      </c>
      <c r="M359" s="11"/>
      <c r="O359" s="15"/>
    </row>
    <row r="360" spans="1:15" outlineLevel="2">
      <c r="A360" s="11">
        <f t="shared" si="45"/>
        <v>356</v>
      </c>
      <c r="B360" s="11" t="s">
        <v>598</v>
      </c>
      <c r="C360" s="17" t="s">
        <v>700</v>
      </c>
      <c r="D360" s="12" t="s">
        <v>701</v>
      </c>
      <c r="E360" s="13">
        <v>507269.59</v>
      </c>
      <c r="G360" s="13">
        <f t="shared" si="38"/>
        <v>507269.59</v>
      </c>
      <c r="H360" s="13">
        <v>0</v>
      </c>
      <c r="I360" s="13">
        <f t="shared" si="49"/>
        <v>-162072.634005</v>
      </c>
      <c r="K360" s="14">
        <f t="shared" ref="K360" si="51">SUM(G360:J360)</f>
        <v>345196.95599500003</v>
      </c>
      <c r="M360" s="11"/>
      <c r="O360" s="15"/>
    </row>
    <row r="361" spans="1:15" outlineLevel="2">
      <c r="A361" s="11">
        <f t="shared" si="45"/>
        <v>357</v>
      </c>
      <c r="B361" s="11" t="s">
        <v>598</v>
      </c>
      <c r="C361" s="17" t="s">
        <v>702</v>
      </c>
      <c r="D361" s="12" t="s">
        <v>703</v>
      </c>
      <c r="E361" s="13">
        <v>68763.06</v>
      </c>
      <c r="G361" s="13">
        <f t="shared" si="38"/>
        <v>68763.06</v>
      </c>
      <c r="H361" s="13">
        <v>0</v>
      </c>
      <c r="I361" s="13">
        <f t="shared" si="49"/>
        <v>-21969.79767</v>
      </c>
      <c r="K361" s="14">
        <f>SUM(G361:J361)</f>
        <v>46793.262329999998</v>
      </c>
      <c r="M361" s="11"/>
      <c r="O361" s="15"/>
    </row>
    <row r="362" spans="1:15" outlineLevel="2">
      <c r="A362" s="11">
        <f t="shared" si="45"/>
        <v>358</v>
      </c>
      <c r="B362" s="11" t="s">
        <v>598</v>
      </c>
      <c r="C362" s="17" t="s">
        <v>704</v>
      </c>
      <c r="D362" s="12" t="s">
        <v>705</v>
      </c>
      <c r="E362" s="13">
        <v>114124.35</v>
      </c>
      <c r="G362" s="13">
        <f t="shared" si="38"/>
        <v>114124.35</v>
      </c>
      <c r="H362" s="13">
        <v>0</v>
      </c>
      <c r="I362" s="13">
        <f t="shared" si="49"/>
        <v>-36462.729825000002</v>
      </c>
      <c r="K362" s="14">
        <f t="shared" ref="K362:K370" si="52">SUM(G362:J362)</f>
        <v>77661.620175000004</v>
      </c>
      <c r="M362" s="11"/>
      <c r="O362" s="15"/>
    </row>
    <row r="363" spans="1:15" outlineLevel="2">
      <c r="A363" s="11">
        <f t="shared" si="45"/>
        <v>359</v>
      </c>
      <c r="B363" s="11" t="s">
        <v>598</v>
      </c>
      <c r="C363" s="17" t="s">
        <v>473</v>
      </c>
      <c r="D363" s="12" t="s">
        <v>474</v>
      </c>
      <c r="E363" s="13">
        <v>130348.08</v>
      </c>
      <c r="G363" s="13">
        <f t="shared" si="38"/>
        <v>130348.08</v>
      </c>
      <c r="I363" s="13">
        <f t="shared" si="49"/>
        <v>-41646.211560000003</v>
      </c>
      <c r="K363" s="14">
        <f t="shared" si="52"/>
        <v>88701.868439999991</v>
      </c>
      <c r="M363" s="11"/>
      <c r="O363" s="15"/>
    </row>
    <row r="364" spans="1:15" outlineLevel="2">
      <c r="A364" s="11">
        <f t="shared" si="45"/>
        <v>360</v>
      </c>
      <c r="B364" s="11" t="s">
        <v>598</v>
      </c>
      <c r="C364" s="17" t="s">
        <v>706</v>
      </c>
      <c r="D364" s="12" t="s">
        <v>707</v>
      </c>
      <c r="E364" s="13">
        <v>326153.21000000002</v>
      </c>
      <c r="G364" s="13">
        <f t="shared" si="38"/>
        <v>326153.21000000002</v>
      </c>
      <c r="H364" s="13">
        <v>0</v>
      </c>
      <c r="I364" s="13">
        <f t="shared" ref="I364:I369" si="53">-(G364*$L$310)</f>
        <v>-104205.950595</v>
      </c>
      <c r="K364" s="14">
        <f t="shared" si="52"/>
        <v>221947.25940500002</v>
      </c>
      <c r="M364" s="11"/>
      <c r="O364" s="15"/>
    </row>
    <row r="365" spans="1:15" outlineLevel="2">
      <c r="A365" s="11">
        <f t="shared" si="45"/>
        <v>361</v>
      </c>
      <c r="B365" s="11" t="s">
        <v>598</v>
      </c>
      <c r="C365" s="17" t="s">
        <v>708</v>
      </c>
      <c r="D365" s="12" t="s">
        <v>709</v>
      </c>
      <c r="E365" s="13">
        <v>380212.21</v>
      </c>
      <c r="G365" s="13">
        <f t="shared" si="38"/>
        <v>380212.21</v>
      </c>
      <c r="H365" s="13">
        <v>0</v>
      </c>
      <c r="I365" s="13">
        <f t="shared" si="53"/>
        <v>-121477.801095</v>
      </c>
      <c r="K365" s="14">
        <f>SUM(G365:J365)</f>
        <v>258734.40890500002</v>
      </c>
      <c r="M365" s="11"/>
      <c r="O365" s="15"/>
    </row>
    <row r="366" spans="1:15" outlineLevel="2">
      <c r="A366" s="11">
        <f t="shared" si="45"/>
        <v>362</v>
      </c>
      <c r="B366" s="11" t="s">
        <v>598</v>
      </c>
      <c r="C366" s="17" t="s">
        <v>710</v>
      </c>
      <c r="D366" s="12" t="s">
        <v>711</v>
      </c>
      <c r="E366" s="13">
        <v>109068.74</v>
      </c>
      <c r="G366" s="13">
        <f t="shared" si="38"/>
        <v>109068.74</v>
      </c>
      <c r="H366" s="13">
        <v>0</v>
      </c>
      <c r="I366" s="13">
        <f t="shared" si="53"/>
        <v>-34847.46243</v>
      </c>
      <c r="K366" s="14">
        <f t="shared" si="52"/>
        <v>74221.277570000006</v>
      </c>
      <c r="M366" s="11"/>
      <c r="O366" s="15"/>
    </row>
    <row r="367" spans="1:15" outlineLevel="2">
      <c r="A367" s="11">
        <f t="shared" si="45"/>
        <v>363</v>
      </c>
      <c r="B367" s="11" t="s">
        <v>598</v>
      </c>
      <c r="C367" s="17" t="s">
        <v>2449</v>
      </c>
      <c r="D367" s="12" t="s">
        <v>2450</v>
      </c>
      <c r="E367" s="13">
        <v>785698.39</v>
      </c>
      <c r="G367" s="13">
        <f t="shared" si="38"/>
        <v>785698.39</v>
      </c>
      <c r="I367" s="13">
        <f t="shared" si="53"/>
        <v>-251030.63560500002</v>
      </c>
      <c r="K367" s="14">
        <f t="shared" si="52"/>
        <v>534667.75439499994</v>
      </c>
      <c r="M367" s="11"/>
      <c r="O367" s="15"/>
    </row>
    <row r="368" spans="1:15" outlineLevel="2">
      <c r="A368" s="11">
        <f t="shared" si="45"/>
        <v>364</v>
      </c>
      <c r="B368" s="11" t="s">
        <v>598</v>
      </c>
      <c r="C368" s="17" t="s">
        <v>712</v>
      </c>
      <c r="D368" s="12" t="s">
        <v>713</v>
      </c>
      <c r="E368" s="13">
        <v>99222.88</v>
      </c>
      <c r="G368" s="13">
        <f t="shared" si="38"/>
        <v>99222.88</v>
      </c>
      <c r="H368" s="13">
        <v>0</v>
      </c>
      <c r="I368" s="13">
        <f t="shared" si="53"/>
        <v>-31701.710160000002</v>
      </c>
      <c r="K368" s="14">
        <f>SUM(G368:J368)</f>
        <v>67521.169840000002</v>
      </c>
      <c r="M368" s="11"/>
      <c r="O368" s="15"/>
    </row>
    <row r="369" spans="1:15" outlineLevel="2">
      <c r="A369" s="11">
        <f t="shared" si="45"/>
        <v>365</v>
      </c>
      <c r="B369" s="11" t="s">
        <v>598</v>
      </c>
      <c r="C369" s="17" t="s">
        <v>714</v>
      </c>
      <c r="D369" s="12" t="s">
        <v>715</v>
      </c>
      <c r="E369" s="13">
        <v>301613.96999999997</v>
      </c>
      <c r="G369" s="13">
        <f t="shared" si="38"/>
        <v>301613.96999999997</v>
      </c>
      <c r="H369" s="13">
        <v>0</v>
      </c>
      <c r="I369" s="13">
        <f t="shared" si="53"/>
        <v>-96365.663414999988</v>
      </c>
      <c r="K369" s="14">
        <f t="shared" si="52"/>
        <v>205248.30658499998</v>
      </c>
      <c r="M369" s="11"/>
      <c r="O369" s="15"/>
    </row>
    <row r="370" spans="1:15" outlineLevel="2">
      <c r="A370" s="11">
        <f t="shared" si="45"/>
        <v>366</v>
      </c>
      <c r="B370" s="11" t="s">
        <v>598</v>
      </c>
      <c r="C370" s="17" t="s">
        <v>716</v>
      </c>
      <c r="D370" s="12" t="s">
        <v>717</v>
      </c>
      <c r="E370" s="13">
        <v>423094</v>
      </c>
      <c r="G370" s="13">
        <f t="shared" si="38"/>
        <v>423094</v>
      </c>
      <c r="H370" s="13">
        <v>0</v>
      </c>
      <c r="I370" s="13">
        <f t="shared" ref="I370:I372" si="54">-(G370*$L$310)</f>
        <v>-135178.533</v>
      </c>
      <c r="K370" s="14">
        <f t="shared" si="52"/>
        <v>287915.467</v>
      </c>
      <c r="M370" s="11"/>
      <c r="O370" s="15"/>
    </row>
    <row r="371" spans="1:15" outlineLevel="2">
      <c r="A371" s="11">
        <f t="shared" si="45"/>
        <v>367</v>
      </c>
      <c r="B371" s="11" t="s">
        <v>598</v>
      </c>
      <c r="C371" s="17" t="s">
        <v>718</v>
      </c>
      <c r="D371" s="12" t="s">
        <v>719</v>
      </c>
      <c r="E371" s="13">
        <v>61203.72</v>
      </c>
      <c r="G371" s="13">
        <f t="shared" si="38"/>
        <v>61203.72</v>
      </c>
      <c r="H371" s="13">
        <v>0</v>
      </c>
      <c r="I371" s="13">
        <f t="shared" si="54"/>
        <v>-19554.588540000001</v>
      </c>
      <c r="K371" s="14">
        <f>SUM(G371:J371)</f>
        <v>41649.131460000004</v>
      </c>
      <c r="M371" s="11"/>
      <c r="O371" s="15"/>
    </row>
    <row r="372" spans="1:15" outlineLevel="2">
      <c r="A372" s="11">
        <f t="shared" si="45"/>
        <v>368</v>
      </c>
      <c r="B372" s="11" t="s">
        <v>598</v>
      </c>
      <c r="C372" s="17" t="s">
        <v>720</v>
      </c>
      <c r="D372" s="12" t="s">
        <v>721</v>
      </c>
      <c r="E372" s="13">
        <v>303953.87</v>
      </c>
      <c r="G372" s="13">
        <f t="shared" si="38"/>
        <v>303953.87</v>
      </c>
      <c r="H372" s="13">
        <v>0</v>
      </c>
      <c r="I372" s="13">
        <f t="shared" si="54"/>
        <v>-97113.261465000003</v>
      </c>
      <c r="K372" s="14">
        <f t="shared" ref="K372:K381" si="55">SUM(G372:J372)</f>
        <v>206840.60853500001</v>
      </c>
      <c r="M372" s="11"/>
      <c r="O372" s="15"/>
    </row>
    <row r="373" spans="1:15" outlineLevel="2">
      <c r="A373" s="11">
        <f t="shared" si="45"/>
        <v>369</v>
      </c>
      <c r="B373" s="11" t="s">
        <v>598</v>
      </c>
      <c r="C373" s="17" t="s">
        <v>722</v>
      </c>
      <c r="D373" s="12" t="s">
        <v>723</v>
      </c>
      <c r="E373" s="13">
        <v>80798.66</v>
      </c>
      <c r="G373" s="13">
        <f t="shared" si="38"/>
        <v>80798.66</v>
      </c>
      <c r="H373" s="13">
        <v>0</v>
      </c>
      <c r="I373" s="13">
        <f>-(G373*$L$310)</f>
        <v>-25815.171870000002</v>
      </c>
      <c r="K373" s="14">
        <f t="shared" si="55"/>
        <v>54983.488129999998</v>
      </c>
      <c r="M373" s="11"/>
      <c r="O373" s="15"/>
    </row>
    <row r="374" spans="1:15" outlineLevel="2">
      <c r="A374" s="11">
        <f t="shared" si="45"/>
        <v>370</v>
      </c>
      <c r="B374" s="11" t="s">
        <v>598</v>
      </c>
      <c r="C374" s="17" t="s">
        <v>724</v>
      </c>
      <c r="D374" s="12" t="s">
        <v>725</v>
      </c>
      <c r="E374" s="13">
        <v>148752.31</v>
      </c>
      <c r="G374" s="13">
        <f>E374+F374</f>
        <v>148752.31</v>
      </c>
      <c r="H374" s="13">
        <v>0</v>
      </c>
      <c r="I374" s="13">
        <f>-(G374*$L$310)</f>
        <v>-47526.363044999998</v>
      </c>
      <c r="K374" s="14">
        <f t="shared" si="55"/>
        <v>101225.94695499999</v>
      </c>
      <c r="M374" s="11"/>
      <c r="O374" s="15"/>
    </row>
    <row r="375" spans="1:15" outlineLevel="2">
      <c r="A375" s="11">
        <f t="shared" si="45"/>
        <v>371</v>
      </c>
      <c r="B375" s="11" t="s">
        <v>598</v>
      </c>
      <c r="C375" s="17" t="s">
        <v>726</v>
      </c>
      <c r="D375" s="12" t="s">
        <v>727</v>
      </c>
      <c r="E375" s="13">
        <v>315049.13</v>
      </c>
      <c r="G375" s="13">
        <f t="shared" si="38"/>
        <v>315049.13</v>
      </c>
      <c r="H375" s="13">
        <v>0</v>
      </c>
      <c r="I375" s="13">
        <f>-(G375*$L$310)</f>
        <v>-100658.197035</v>
      </c>
      <c r="K375" s="14">
        <f>SUM(G375:J375)</f>
        <v>214390.93296499999</v>
      </c>
      <c r="M375" s="11"/>
      <c r="O375" s="15"/>
    </row>
    <row r="376" spans="1:15" outlineLevel="2">
      <c r="A376" s="11">
        <f t="shared" si="45"/>
        <v>372</v>
      </c>
      <c r="B376" s="11" t="s">
        <v>598</v>
      </c>
      <c r="C376" s="17" t="s">
        <v>728</v>
      </c>
      <c r="D376" s="12" t="s">
        <v>729</v>
      </c>
      <c r="E376" s="13">
        <v>368770.93</v>
      </c>
      <c r="G376" s="13">
        <f t="shared" ref="G376:G381" si="56">E376+F376</f>
        <v>368770.93</v>
      </c>
      <c r="H376" s="13">
        <v>0</v>
      </c>
      <c r="I376" s="13">
        <f>-(G376*$L$310)</f>
        <v>-117822.312135</v>
      </c>
      <c r="K376" s="14">
        <f t="shared" si="55"/>
        <v>250948.61786499998</v>
      </c>
      <c r="M376" s="11"/>
      <c r="O376" s="15"/>
    </row>
    <row r="377" spans="1:15" outlineLevel="2">
      <c r="A377" s="11">
        <f t="shared" si="45"/>
        <v>373</v>
      </c>
      <c r="B377" s="11" t="s">
        <v>598</v>
      </c>
      <c r="C377" s="17" t="s">
        <v>730</v>
      </c>
      <c r="D377" s="12" t="s">
        <v>731</v>
      </c>
      <c r="E377" s="13">
        <v>272857.44</v>
      </c>
      <c r="G377" s="13">
        <f t="shared" si="56"/>
        <v>272857.44</v>
      </c>
      <c r="H377" s="13">
        <v>0</v>
      </c>
      <c r="I377" s="13">
        <f>-(G377*$L$310)</f>
        <v>-87177.952080000003</v>
      </c>
      <c r="K377" s="14">
        <f t="shared" si="55"/>
        <v>185679.48791999999</v>
      </c>
      <c r="M377" s="11"/>
      <c r="O377" s="15"/>
    </row>
    <row r="378" spans="1:15" outlineLevel="2">
      <c r="A378" s="11">
        <f t="shared" si="45"/>
        <v>374</v>
      </c>
      <c r="B378" s="11" t="s">
        <v>598</v>
      </c>
      <c r="C378" s="17" t="s">
        <v>732</v>
      </c>
      <c r="D378" s="12" t="s">
        <v>733</v>
      </c>
      <c r="E378" s="13">
        <v>23846.98</v>
      </c>
      <c r="G378" s="13">
        <f t="shared" si="56"/>
        <v>23846.98</v>
      </c>
      <c r="H378" s="13">
        <v>0</v>
      </c>
      <c r="I378" s="13">
        <f t="shared" ref="I378:I387" si="57">-(G378*$L$310)</f>
        <v>-7619.1101099999996</v>
      </c>
      <c r="K378" s="14">
        <f>SUM(G378:J378)</f>
        <v>16227.86989</v>
      </c>
      <c r="M378" s="11"/>
      <c r="O378" s="15"/>
    </row>
    <row r="379" spans="1:15" outlineLevel="2">
      <c r="A379" s="11">
        <f t="shared" si="45"/>
        <v>375</v>
      </c>
      <c r="B379" s="11" t="s">
        <v>598</v>
      </c>
      <c r="C379" s="17" t="s">
        <v>2375</v>
      </c>
      <c r="D379" s="12" t="s">
        <v>2364</v>
      </c>
      <c r="E379" s="13">
        <v>736184.44</v>
      </c>
      <c r="G379" s="13">
        <f t="shared" si="56"/>
        <v>736184.44</v>
      </c>
      <c r="I379" s="13">
        <f t="shared" si="57"/>
        <v>-235210.92857999998</v>
      </c>
      <c r="K379" s="14">
        <f t="shared" si="55"/>
        <v>500973.51142</v>
      </c>
      <c r="M379" s="11"/>
      <c r="O379" s="15"/>
    </row>
    <row r="380" spans="1:15" outlineLevel="2">
      <c r="A380" s="11">
        <f t="shared" si="45"/>
        <v>376</v>
      </c>
      <c r="B380" s="11" t="s">
        <v>598</v>
      </c>
      <c r="C380" s="17" t="s">
        <v>734</v>
      </c>
      <c r="D380" s="12" t="s">
        <v>735</v>
      </c>
      <c r="E380" s="13">
        <v>74835.460000000006</v>
      </c>
      <c r="G380" s="13">
        <f t="shared" si="56"/>
        <v>74835.460000000006</v>
      </c>
      <c r="H380" s="13">
        <v>0</v>
      </c>
      <c r="I380" s="13">
        <f t="shared" si="57"/>
        <v>-23909.929470000003</v>
      </c>
      <c r="K380" s="14">
        <f t="shared" si="55"/>
        <v>50925.530530000004</v>
      </c>
      <c r="M380" s="11"/>
      <c r="O380" s="15"/>
    </row>
    <row r="381" spans="1:15" outlineLevel="2">
      <c r="A381" s="11">
        <f t="shared" si="45"/>
        <v>377</v>
      </c>
      <c r="B381" s="11" t="s">
        <v>598</v>
      </c>
      <c r="C381" s="17" t="s">
        <v>736</v>
      </c>
      <c r="D381" s="12" t="s">
        <v>737</v>
      </c>
      <c r="E381" s="13">
        <v>109706.08</v>
      </c>
      <c r="G381" s="13">
        <f t="shared" si="56"/>
        <v>109706.08</v>
      </c>
      <c r="H381" s="13">
        <v>0</v>
      </c>
      <c r="I381" s="13">
        <f t="shared" si="57"/>
        <v>-35051.092560000005</v>
      </c>
      <c r="K381" s="14">
        <f t="shared" si="55"/>
        <v>74654.987439999997</v>
      </c>
      <c r="M381" s="11"/>
      <c r="O381" s="15"/>
    </row>
    <row r="382" spans="1:15" outlineLevel="2">
      <c r="A382" s="11">
        <f t="shared" si="45"/>
        <v>378</v>
      </c>
      <c r="B382" s="11" t="s">
        <v>598</v>
      </c>
      <c r="C382" s="17" t="s">
        <v>738</v>
      </c>
      <c r="D382" s="12" t="s">
        <v>739</v>
      </c>
      <c r="E382" s="13">
        <v>882588.11</v>
      </c>
      <c r="G382" s="13">
        <f>E382+F382</f>
        <v>882588.11</v>
      </c>
      <c r="H382" s="13">
        <v>0</v>
      </c>
      <c r="I382" s="13">
        <f t="shared" si="57"/>
        <v>-281986.90114500001</v>
      </c>
      <c r="K382" s="14">
        <f>SUM(G382:J382)</f>
        <v>600601.20885499998</v>
      </c>
      <c r="M382" s="11"/>
      <c r="O382" s="15"/>
    </row>
    <row r="383" spans="1:15" outlineLevel="2">
      <c r="A383" s="11">
        <f t="shared" si="45"/>
        <v>379</v>
      </c>
      <c r="B383" s="11" t="s">
        <v>598</v>
      </c>
      <c r="C383" s="17" t="s">
        <v>740</v>
      </c>
      <c r="D383" s="12" t="s">
        <v>741</v>
      </c>
      <c r="E383" s="13">
        <v>68891.070000000007</v>
      </c>
      <c r="G383" s="13">
        <f t="shared" ref="G383:G398" si="58">E383+F383</f>
        <v>68891.070000000007</v>
      </c>
      <c r="H383" s="13">
        <v>0</v>
      </c>
      <c r="I383" s="13">
        <f t="shared" si="57"/>
        <v>-22010.696865000002</v>
      </c>
      <c r="K383" s="14">
        <f>SUM(G383:J383)</f>
        <v>46880.373135000002</v>
      </c>
      <c r="M383" s="11"/>
      <c r="O383" s="15"/>
    </row>
    <row r="384" spans="1:15" outlineLevel="2">
      <c r="A384" s="11">
        <f t="shared" si="45"/>
        <v>380</v>
      </c>
      <c r="B384" s="11" t="s">
        <v>598</v>
      </c>
      <c r="C384" s="17" t="s">
        <v>742</v>
      </c>
      <c r="D384" s="12" t="s">
        <v>743</v>
      </c>
      <c r="E384" s="13">
        <v>302700.90999999997</v>
      </c>
      <c r="G384" s="13">
        <f t="shared" si="58"/>
        <v>302700.90999999997</v>
      </c>
      <c r="H384" s="13">
        <v>0</v>
      </c>
      <c r="I384" s="13">
        <f t="shared" si="57"/>
        <v>-96712.940745</v>
      </c>
      <c r="K384" s="14">
        <f t="shared" ref="K384:K393" si="59">SUM(G384:J384)</f>
        <v>205987.96925499997</v>
      </c>
      <c r="M384" s="11"/>
      <c r="O384" s="15"/>
    </row>
    <row r="385" spans="1:15" outlineLevel="2">
      <c r="A385" s="11">
        <f t="shared" si="45"/>
        <v>381</v>
      </c>
      <c r="B385" s="11" t="s">
        <v>598</v>
      </c>
      <c r="C385" s="17" t="s">
        <v>744</v>
      </c>
      <c r="D385" s="12" t="s">
        <v>745</v>
      </c>
      <c r="E385" s="13">
        <v>22883.759999999998</v>
      </c>
      <c r="G385" s="13">
        <f t="shared" si="58"/>
        <v>22883.759999999998</v>
      </c>
      <c r="H385" s="13">
        <v>0</v>
      </c>
      <c r="I385" s="13">
        <f t="shared" si="57"/>
        <v>-7311.36132</v>
      </c>
      <c r="K385" s="14">
        <f t="shared" si="59"/>
        <v>15572.398679999998</v>
      </c>
      <c r="M385" s="11"/>
      <c r="O385" s="15"/>
    </row>
    <row r="386" spans="1:15" outlineLevel="2">
      <c r="A386" s="11">
        <f t="shared" si="45"/>
        <v>382</v>
      </c>
      <c r="B386" s="11" t="s">
        <v>598</v>
      </c>
      <c r="C386" s="17" t="s">
        <v>746</v>
      </c>
      <c r="D386" s="12" t="s">
        <v>747</v>
      </c>
      <c r="E386" s="13">
        <v>145723.24</v>
      </c>
      <c r="G386" s="13">
        <f t="shared" si="58"/>
        <v>145723.24</v>
      </c>
      <c r="H386" s="13">
        <v>0</v>
      </c>
      <c r="I386" s="13">
        <f t="shared" si="57"/>
        <v>-46558.57518</v>
      </c>
      <c r="K386" s="14">
        <f t="shared" si="59"/>
        <v>99164.664819999991</v>
      </c>
      <c r="M386" s="11"/>
      <c r="O386" s="15"/>
    </row>
    <row r="387" spans="1:15" outlineLevel="2">
      <c r="A387" s="11">
        <f t="shared" si="45"/>
        <v>383</v>
      </c>
      <c r="B387" s="11" t="s">
        <v>598</v>
      </c>
      <c r="C387" s="17" t="s">
        <v>748</v>
      </c>
      <c r="D387" s="12" t="s">
        <v>749</v>
      </c>
      <c r="E387" s="13">
        <v>22896.21</v>
      </c>
      <c r="G387" s="13">
        <f t="shared" si="58"/>
        <v>22896.21</v>
      </c>
      <c r="H387" s="13">
        <v>0</v>
      </c>
      <c r="I387" s="13">
        <f t="shared" si="57"/>
        <v>-7315.3390950000003</v>
      </c>
      <c r="K387" s="14">
        <f>SUM(G387:J387)</f>
        <v>15580.870905</v>
      </c>
      <c r="M387" s="11"/>
      <c r="O387" s="15"/>
    </row>
    <row r="388" spans="1:15" outlineLevel="2">
      <c r="A388" s="11">
        <f t="shared" si="45"/>
        <v>384</v>
      </c>
      <c r="B388" s="11" t="s">
        <v>598</v>
      </c>
      <c r="C388" s="17" t="s">
        <v>750</v>
      </c>
      <c r="D388" s="12" t="s">
        <v>751</v>
      </c>
      <c r="E388" s="13">
        <v>201837.42</v>
      </c>
      <c r="G388" s="13">
        <f t="shared" si="58"/>
        <v>201837.42</v>
      </c>
      <c r="H388" s="13">
        <v>0</v>
      </c>
      <c r="I388" s="13">
        <f t="shared" ref="I388:I395" si="60">-(G388*$L$310)</f>
        <v>-64487.055690000008</v>
      </c>
      <c r="K388" s="14">
        <f t="shared" si="59"/>
        <v>137350.36431</v>
      </c>
      <c r="M388" s="11"/>
      <c r="O388" s="15"/>
    </row>
    <row r="389" spans="1:15" outlineLevel="2">
      <c r="A389" s="11">
        <f t="shared" si="45"/>
        <v>385</v>
      </c>
      <c r="B389" s="11" t="s">
        <v>598</v>
      </c>
      <c r="C389" s="17" t="s">
        <v>752</v>
      </c>
      <c r="D389" s="12" t="s">
        <v>753</v>
      </c>
      <c r="E389" s="13">
        <v>66494.63</v>
      </c>
      <c r="G389" s="13">
        <f t="shared" si="58"/>
        <v>66494.63</v>
      </c>
      <c r="H389" s="13">
        <v>0</v>
      </c>
      <c r="I389" s="13">
        <f t="shared" si="60"/>
        <v>-21245.034285000002</v>
      </c>
      <c r="K389" s="14">
        <f t="shared" si="59"/>
        <v>45249.595715000003</v>
      </c>
      <c r="M389" s="11"/>
      <c r="O389" s="15"/>
    </row>
    <row r="390" spans="1:15" outlineLevel="2">
      <c r="A390" s="11">
        <f t="shared" si="45"/>
        <v>386</v>
      </c>
      <c r="B390" s="11" t="s">
        <v>598</v>
      </c>
      <c r="C390" s="17" t="s">
        <v>754</v>
      </c>
      <c r="D390" s="12" t="s">
        <v>755</v>
      </c>
      <c r="E390" s="13">
        <v>231172.47</v>
      </c>
      <c r="G390" s="13">
        <f t="shared" si="58"/>
        <v>231172.47</v>
      </c>
      <c r="H390" s="13">
        <v>0</v>
      </c>
      <c r="I390" s="13">
        <f t="shared" si="60"/>
        <v>-73859.604164999997</v>
      </c>
      <c r="K390" s="14">
        <f>SUM(G390:J390)</f>
        <v>157312.865835</v>
      </c>
      <c r="M390" s="11"/>
      <c r="O390" s="15"/>
    </row>
    <row r="391" spans="1:15" outlineLevel="2">
      <c r="A391" s="11">
        <f t="shared" si="45"/>
        <v>387</v>
      </c>
      <c r="B391" s="11" t="s">
        <v>598</v>
      </c>
      <c r="C391" s="17" t="s">
        <v>756</v>
      </c>
      <c r="D391" s="12" t="s">
        <v>757</v>
      </c>
      <c r="E391" s="13">
        <v>210227.06</v>
      </c>
      <c r="G391" s="13">
        <f t="shared" si="58"/>
        <v>210227.06</v>
      </c>
      <c r="H391" s="13">
        <v>0</v>
      </c>
      <c r="I391" s="13">
        <f t="shared" si="60"/>
        <v>-67167.545670000007</v>
      </c>
      <c r="K391" s="14">
        <f t="shared" si="59"/>
        <v>143059.51432999998</v>
      </c>
      <c r="M391" s="11"/>
      <c r="O391" s="15"/>
    </row>
    <row r="392" spans="1:15" outlineLevel="2">
      <c r="A392" s="11">
        <f t="shared" si="45"/>
        <v>388</v>
      </c>
      <c r="B392" s="11" t="s">
        <v>598</v>
      </c>
      <c r="C392" s="17" t="s">
        <v>758</v>
      </c>
      <c r="D392" s="12" t="s">
        <v>759</v>
      </c>
      <c r="E392" s="13">
        <v>768138.58</v>
      </c>
      <c r="G392" s="13">
        <f t="shared" si="58"/>
        <v>768138.58</v>
      </c>
      <c r="H392" s="13">
        <v>0</v>
      </c>
      <c r="I392" s="13">
        <f t="shared" si="60"/>
        <v>-245420.27630999999</v>
      </c>
      <c r="K392" s="14">
        <f t="shared" si="59"/>
        <v>522718.30368999997</v>
      </c>
      <c r="M392" s="11"/>
      <c r="O392" s="15"/>
    </row>
    <row r="393" spans="1:15" outlineLevel="2">
      <c r="A393" s="11">
        <f t="shared" si="45"/>
        <v>389</v>
      </c>
      <c r="B393" s="11" t="s">
        <v>598</v>
      </c>
      <c r="C393" s="17" t="s">
        <v>760</v>
      </c>
      <c r="D393" s="12" t="s">
        <v>761</v>
      </c>
      <c r="E393" s="13">
        <v>90226.7</v>
      </c>
      <c r="G393" s="13">
        <f t="shared" si="58"/>
        <v>90226.7</v>
      </c>
      <c r="H393" s="13">
        <v>0</v>
      </c>
      <c r="I393" s="13">
        <f t="shared" si="60"/>
        <v>-28827.430649999998</v>
      </c>
      <c r="K393" s="14">
        <f t="shared" si="59"/>
        <v>61399.269350000002</v>
      </c>
      <c r="M393" s="11"/>
      <c r="O393" s="15"/>
    </row>
    <row r="394" spans="1:15" outlineLevel="2">
      <c r="A394" s="11">
        <f t="shared" si="45"/>
        <v>390</v>
      </c>
      <c r="B394" s="11" t="s">
        <v>598</v>
      </c>
      <c r="C394" s="17" t="s">
        <v>762</v>
      </c>
      <c r="D394" s="12" t="s">
        <v>763</v>
      </c>
      <c r="E394" s="13">
        <v>46981.39</v>
      </c>
      <c r="G394" s="13">
        <f t="shared" si="58"/>
        <v>46981.39</v>
      </c>
      <c r="H394" s="13">
        <v>0</v>
      </c>
      <c r="I394" s="13">
        <f t="shared" si="60"/>
        <v>-15010.554104999999</v>
      </c>
      <c r="K394" s="14">
        <f>SUM(G394:J394)</f>
        <v>31970.835895</v>
      </c>
      <c r="M394" s="11"/>
      <c r="O394" s="15"/>
    </row>
    <row r="395" spans="1:15" outlineLevel="2">
      <c r="A395" s="11">
        <f t="shared" si="45"/>
        <v>391</v>
      </c>
      <c r="B395" s="11" t="s">
        <v>598</v>
      </c>
      <c r="C395" s="17" t="s">
        <v>764</v>
      </c>
      <c r="D395" s="12" t="s">
        <v>765</v>
      </c>
      <c r="E395" s="13">
        <v>267394.71999999997</v>
      </c>
      <c r="G395" s="13">
        <f t="shared" si="58"/>
        <v>267394.71999999997</v>
      </c>
      <c r="H395" s="13">
        <v>0</v>
      </c>
      <c r="I395" s="13">
        <f t="shared" si="60"/>
        <v>-85432.613039999997</v>
      </c>
      <c r="K395" s="14">
        <f>SUM(G395:J395)</f>
        <v>181962.10695999998</v>
      </c>
      <c r="M395" s="11"/>
      <c r="O395" s="15"/>
    </row>
    <row r="396" spans="1:15" outlineLevel="2">
      <c r="A396" s="11">
        <f t="shared" si="45"/>
        <v>392</v>
      </c>
      <c r="B396" s="11" t="s">
        <v>598</v>
      </c>
      <c r="C396" s="17" t="s">
        <v>766</v>
      </c>
      <c r="D396" s="12" t="s">
        <v>767</v>
      </c>
      <c r="E396" s="13">
        <v>202225.56</v>
      </c>
      <c r="G396" s="13">
        <f t="shared" si="58"/>
        <v>202225.56</v>
      </c>
      <c r="H396" s="13">
        <v>0</v>
      </c>
      <c r="I396" s="13">
        <f t="shared" ref="I396:I404" si="61">-(G396*$L$310)</f>
        <v>-64611.066420000003</v>
      </c>
      <c r="K396" s="14">
        <f t="shared" ref="K396" si="62">SUM(G396:J396)</f>
        <v>137614.49358000001</v>
      </c>
      <c r="M396" s="11"/>
      <c r="O396" s="15"/>
    </row>
    <row r="397" spans="1:15" outlineLevel="2">
      <c r="A397" s="11">
        <f t="shared" si="45"/>
        <v>393</v>
      </c>
      <c r="B397" s="11" t="s">
        <v>598</v>
      </c>
      <c r="C397" s="17" t="s">
        <v>768</v>
      </c>
      <c r="D397" s="12" t="s">
        <v>769</v>
      </c>
      <c r="E397" s="13">
        <v>536504.47</v>
      </c>
      <c r="G397" s="13">
        <f t="shared" si="58"/>
        <v>536504.47</v>
      </c>
      <c r="H397" s="13">
        <v>0</v>
      </c>
      <c r="I397" s="13">
        <f t="shared" si="61"/>
        <v>-171413.17816499999</v>
      </c>
      <c r="K397" s="14">
        <f>SUM(G397:J397)</f>
        <v>365091.29183499998</v>
      </c>
      <c r="M397" s="11"/>
      <c r="O397" s="15"/>
    </row>
    <row r="398" spans="1:15" outlineLevel="2">
      <c r="A398" s="11">
        <f t="shared" si="45"/>
        <v>394</v>
      </c>
      <c r="B398" s="11" t="s">
        <v>598</v>
      </c>
      <c r="C398" s="17" t="s">
        <v>770</v>
      </c>
      <c r="D398" s="12" t="s">
        <v>771</v>
      </c>
      <c r="E398" s="13">
        <v>1051554.3700000001</v>
      </c>
      <c r="G398" s="13">
        <f t="shared" si="58"/>
        <v>1051554.3700000001</v>
      </c>
      <c r="H398" s="13">
        <v>0</v>
      </c>
      <c r="I398" s="13">
        <f t="shared" si="61"/>
        <v>-335971.62121500005</v>
      </c>
      <c r="K398" s="14">
        <f t="shared" ref="K398:K407" si="63">SUM(G398:J398)</f>
        <v>715582.74878500006</v>
      </c>
      <c r="M398" s="11"/>
      <c r="O398" s="15"/>
    </row>
    <row r="399" spans="1:15" outlineLevel="2">
      <c r="A399" s="11">
        <f t="shared" si="45"/>
        <v>395</v>
      </c>
      <c r="B399" s="11" t="s">
        <v>598</v>
      </c>
      <c r="C399" s="17" t="s">
        <v>772</v>
      </c>
      <c r="D399" s="12" t="s">
        <v>773</v>
      </c>
      <c r="E399" s="13">
        <v>751512.5</v>
      </c>
      <c r="G399" s="13">
        <f>E399+F399</f>
        <v>751512.5</v>
      </c>
      <c r="H399" s="13">
        <v>0</v>
      </c>
      <c r="I399" s="13">
        <f t="shared" si="61"/>
        <v>-240108.24374999999</v>
      </c>
      <c r="K399" s="14">
        <f t="shared" si="63"/>
        <v>511404.25624999998</v>
      </c>
      <c r="M399" s="11"/>
      <c r="O399" s="15"/>
    </row>
    <row r="400" spans="1:15" outlineLevel="2">
      <c r="A400" s="11">
        <f t="shared" ref="A400:A463" si="64">A399+1</f>
        <v>396</v>
      </c>
      <c r="B400" s="11" t="s">
        <v>598</v>
      </c>
      <c r="C400" s="17" t="s">
        <v>774</v>
      </c>
      <c r="D400" s="12" t="s">
        <v>775</v>
      </c>
      <c r="E400" s="13">
        <v>723452.46</v>
      </c>
      <c r="G400" s="13">
        <f t="shared" ref="G400:G421" si="65">E400+F400</f>
        <v>723452.46</v>
      </c>
      <c r="H400" s="13">
        <v>0</v>
      </c>
      <c r="I400" s="13">
        <f t="shared" si="61"/>
        <v>-231143.06096999999</v>
      </c>
      <c r="K400" s="14">
        <f t="shared" si="63"/>
        <v>492309.39902999997</v>
      </c>
      <c r="M400" s="11"/>
      <c r="O400" s="15"/>
    </row>
    <row r="401" spans="1:15" outlineLevel="2">
      <c r="A401" s="11">
        <f t="shared" si="64"/>
        <v>397</v>
      </c>
      <c r="B401" s="11" t="s">
        <v>598</v>
      </c>
      <c r="C401" s="17" t="s">
        <v>776</v>
      </c>
      <c r="D401" s="12" t="s">
        <v>777</v>
      </c>
      <c r="E401" s="13">
        <v>48470.16</v>
      </c>
      <c r="G401" s="13">
        <f t="shared" si="65"/>
        <v>48470.16</v>
      </c>
      <c r="H401" s="13">
        <v>0</v>
      </c>
      <c r="I401" s="13">
        <f t="shared" si="61"/>
        <v>-15486.216120000001</v>
      </c>
      <c r="K401" s="14">
        <f>SUM(G401:J401)</f>
        <v>32983.943880000006</v>
      </c>
      <c r="M401" s="11"/>
      <c r="O401" s="15"/>
    </row>
    <row r="402" spans="1:15" outlineLevel="2">
      <c r="A402" s="11">
        <f t="shared" si="64"/>
        <v>398</v>
      </c>
      <c r="B402" s="11" t="s">
        <v>598</v>
      </c>
      <c r="C402" s="17" t="s">
        <v>778</v>
      </c>
      <c r="D402" s="12" t="s">
        <v>779</v>
      </c>
      <c r="E402" s="13">
        <v>79073.789999999994</v>
      </c>
      <c r="G402" s="13">
        <f t="shared" si="65"/>
        <v>79073.789999999994</v>
      </c>
      <c r="H402" s="13">
        <v>0</v>
      </c>
      <c r="I402" s="13">
        <f t="shared" si="61"/>
        <v>-25264.075904999998</v>
      </c>
      <c r="K402" s="14">
        <f t="shared" si="63"/>
        <v>53809.714094999996</v>
      </c>
      <c r="M402" s="11"/>
      <c r="O402" s="15"/>
    </row>
    <row r="403" spans="1:15" outlineLevel="2">
      <c r="A403" s="11">
        <f t="shared" si="64"/>
        <v>399</v>
      </c>
      <c r="B403" s="11" t="s">
        <v>598</v>
      </c>
      <c r="C403" s="17" t="s">
        <v>2288</v>
      </c>
      <c r="D403" s="12" t="s">
        <v>780</v>
      </c>
      <c r="E403" s="13">
        <v>330604.18</v>
      </c>
      <c r="G403" s="13">
        <f t="shared" si="65"/>
        <v>330604.18</v>
      </c>
      <c r="H403" s="13">
        <v>0</v>
      </c>
      <c r="I403" s="13">
        <f t="shared" si="61"/>
        <v>-105628.03551</v>
      </c>
      <c r="K403" s="14">
        <f t="shared" si="63"/>
        <v>224976.14448999998</v>
      </c>
      <c r="M403" s="11"/>
      <c r="O403" s="15"/>
    </row>
    <row r="404" spans="1:15" outlineLevel="2">
      <c r="A404" s="11">
        <f t="shared" si="64"/>
        <v>400</v>
      </c>
      <c r="B404" s="11" t="s">
        <v>598</v>
      </c>
      <c r="C404" s="17" t="s">
        <v>781</v>
      </c>
      <c r="D404" s="12" t="s">
        <v>782</v>
      </c>
      <c r="E404" s="13">
        <v>54516.4</v>
      </c>
      <c r="G404" s="13">
        <f t="shared" si="65"/>
        <v>54516.4</v>
      </c>
      <c r="H404" s="13">
        <v>0</v>
      </c>
      <c r="I404" s="13">
        <f t="shared" si="61"/>
        <v>-17417.989799999999</v>
      </c>
      <c r="K404" s="14">
        <f>SUM(G404:J404)</f>
        <v>37098.410199999998</v>
      </c>
      <c r="M404" s="11"/>
      <c r="O404" s="15"/>
    </row>
    <row r="405" spans="1:15" outlineLevel="2">
      <c r="A405" s="11">
        <f t="shared" si="64"/>
        <v>401</v>
      </c>
      <c r="B405" s="11" t="s">
        <v>598</v>
      </c>
      <c r="C405" s="17" t="s">
        <v>783</v>
      </c>
      <c r="D405" s="12" t="s">
        <v>784</v>
      </c>
      <c r="E405" s="13">
        <v>32444.86</v>
      </c>
      <c r="G405" s="13">
        <f t="shared" si="65"/>
        <v>32444.86</v>
      </c>
      <c r="H405" s="13">
        <v>0</v>
      </c>
      <c r="I405" s="13">
        <f>-(G405*$L$310)</f>
        <v>-10366.13277</v>
      </c>
      <c r="K405" s="14">
        <f t="shared" si="63"/>
        <v>22078.72723</v>
      </c>
      <c r="M405" s="11"/>
      <c r="O405" s="15"/>
    </row>
    <row r="406" spans="1:15" outlineLevel="2">
      <c r="A406" s="11">
        <f t="shared" si="64"/>
        <v>402</v>
      </c>
      <c r="B406" s="11" t="s">
        <v>598</v>
      </c>
      <c r="C406" s="17" t="s">
        <v>785</v>
      </c>
      <c r="D406" s="12" t="s">
        <v>786</v>
      </c>
      <c r="E406" s="13">
        <v>793844.24</v>
      </c>
      <c r="G406" s="13">
        <f t="shared" si="65"/>
        <v>793844.24</v>
      </c>
      <c r="H406" s="13">
        <v>0</v>
      </c>
      <c r="I406" s="13">
        <f>-(G406*$L$310)</f>
        <v>-253633.23467999999</v>
      </c>
      <c r="K406" s="14">
        <f t="shared" si="63"/>
        <v>540211.00532</v>
      </c>
      <c r="M406" s="11"/>
      <c r="O406" s="15"/>
    </row>
    <row r="407" spans="1:15" outlineLevel="2">
      <c r="A407" s="11">
        <f t="shared" si="64"/>
        <v>403</v>
      </c>
      <c r="B407" s="11" t="s">
        <v>598</v>
      </c>
      <c r="C407" s="17" t="s">
        <v>787</v>
      </c>
      <c r="D407" s="12" t="s">
        <v>788</v>
      </c>
      <c r="E407" s="13">
        <v>69987.59</v>
      </c>
      <c r="G407" s="13">
        <f t="shared" si="65"/>
        <v>69987.59</v>
      </c>
      <c r="H407" s="13">
        <v>0</v>
      </c>
      <c r="I407" s="13">
        <f>-(G407*$L$310)</f>
        <v>-22361.035004999998</v>
      </c>
      <c r="K407" s="14">
        <f t="shared" si="63"/>
        <v>47626.554994999999</v>
      </c>
      <c r="M407" s="11"/>
      <c r="O407" s="15"/>
    </row>
    <row r="408" spans="1:15" outlineLevel="2">
      <c r="A408" s="11">
        <f t="shared" si="64"/>
        <v>404</v>
      </c>
      <c r="B408" s="11" t="s">
        <v>598</v>
      </c>
      <c r="C408" s="17" t="s">
        <v>789</v>
      </c>
      <c r="D408" s="12" t="s">
        <v>790</v>
      </c>
      <c r="E408" s="13">
        <v>172792.24</v>
      </c>
      <c r="G408" s="13">
        <f t="shared" si="65"/>
        <v>172792.24</v>
      </c>
      <c r="H408" s="13">
        <v>0</v>
      </c>
      <c r="I408" s="13">
        <f>-(G408*$L$310)</f>
        <v>-55207.12068</v>
      </c>
      <c r="K408" s="14">
        <f>SUM(G408:J408)</f>
        <v>117585.11932</v>
      </c>
      <c r="M408" s="11"/>
      <c r="O408" s="15"/>
    </row>
    <row r="409" spans="1:15" outlineLevel="2">
      <c r="A409" s="11">
        <f t="shared" si="64"/>
        <v>405</v>
      </c>
      <c r="B409" s="11" t="s">
        <v>598</v>
      </c>
      <c r="C409" s="17" t="s">
        <v>791</v>
      </c>
      <c r="D409" s="12" t="s">
        <v>792</v>
      </c>
      <c r="E409" s="13">
        <v>300728.23</v>
      </c>
      <c r="G409" s="13">
        <f t="shared" si="65"/>
        <v>300728.23</v>
      </c>
      <c r="H409" s="13">
        <v>0</v>
      </c>
      <c r="I409" s="13">
        <f>-(G409*$L$310)</f>
        <v>-96082.669484999991</v>
      </c>
      <c r="K409" s="14">
        <f>SUM(G409:J409)</f>
        <v>204645.56051499999</v>
      </c>
      <c r="M409" s="11"/>
      <c r="O409" s="15"/>
    </row>
    <row r="410" spans="1:15" outlineLevel="2">
      <c r="A410" s="11">
        <f t="shared" si="64"/>
        <v>406</v>
      </c>
      <c r="B410" s="11" t="s">
        <v>598</v>
      </c>
      <c r="C410" s="17" t="s">
        <v>793</v>
      </c>
      <c r="D410" s="12" t="s">
        <v>794</v>
      </c>
      <c r="E410" s="13">
        <v>196623.63</v>
      </c>
      <c r="G410" s="13">
        <f t="shared" si="65"/>
        <v>196623.63</v>
      </c>
      <c r="H410" s="13">
        <v>0</v>
      </c>
      <c r="I410" s="13">
        <f t="shared" ref="I410:I411" si="66">-(G410*$L$310)</f>
        <v>-62821.249785</v>
      </c>
      <c r="K410" s="14">
        <f t="shared" ref="K410" si="67">SUM(G410:J410)</f>
        <v>133802.38021500001</v>
      </c>
      <c r="M410" s="11"/>
      <c r="O410" s="15"/>
    </row>
    <row r="411" spans="1:15" outlineLevel="2">
      <c r="A411" s="11">
        <f t="shared" si="64"/>
        <v>407</v>
      </c>
      <c r="B411" s="11" t="s">
        <v>598</v>
      </c>
      <c r="C411" s="17" t="s">
        <v>795</v>
      </c>
      <c r="D411" s="12" t="s">
        <v>796</v>
      </c>
      <c r="E411" s="13">
        <v>516514.5</v>
      </c>
      <c r="G411" s="13">
        <f t="shared" si="65"/>
        <v>516514.5</v>
      </c>
      <c r="H411" s="13">
        <v>0</v>
      </c>
      <c r="I411" s="13">
        <f t="shared" si="66"/>
        <v>-165026.38274999999</v>
      </c>
      <c r="K411" s="14">
        <f>SUM(G411:J411)</f>
        <v>351488.11725000001</v>
      </c>
      <c r="M411" s="11"/>
      <c r="O411" s="15"/>
    </row>
    <row r="412" spans="1:15" outlineLevel="2">
      <c r="A412" s="11">
        <f t="shared" si="64"/>
        <v>408</v>
      </c>
      <c r="B412" s="11" t="s">
        <v>598</v>
      </c>
      <c r="C412" s="17" t="s">
        <v>797</v>
      </c>
      <c r="D412" s="12" t="s">
        <v>798</v>
      </c>
      <c r="E412" s="13">
        <v>15011.61</v>
      </c>
      <c r="G412" s="13">
        <f t="shared" si="65"/>
        <v>15011.61</v>
      </c>
      <c r="H412" s="13">
        <v>0</v>
      </c>
      <c r="I412" s="13">
        <f>-(G412*$L$310)</f>
        <v>-4796.2093949999999</v>
      </c>
      <c r="K412" s="14">
        <f t="shared" ref="K412:K421" si="68">SUM(G412:J412)</f>
        <v>10215.400605000001</v>
      </c>
      <c r="M412" s="11"/>
      <c r="O412" s="15"/>
    </row>
    <row r="413" spans="1:15" outlineLevel="2">
      <c r="A413" s="11">
        <f t="shared" si="64"/>
        <v>409</v>
      </c>
      <c r="B413" s="11" t="s">
        <v>598</v>
      </c>
      <c r="C413" s="17" t="s">
        <v>799</v>
      </c>
      <c r="D413" s="12" t="s">
        <v>800</v>
      </c>
      <c r="E413" s="13">
        <v>125057.06</v>
      </c>
      <c r="G413" s="13">
        <f t="shared" si="65"/>
        <v>125057.06</v>
      </c>
      <c r="H413" s="13">
        <v>0</v>
      </c>
      <c r="I413" s="13">
        <f>-(G413*$L$310)</f>
        <v>-39955.730669999997</v>
      </c>
      <c r="K413" s="14">
        <f t="shared" si="68"/>
        <v>85101.329330000008</v>
      </c>
      <c r="M413" s="11"/>
      <c r="O413" s="15"/>
    </row>
    <row r="414" spans="1:15" outlineLevel="2">
      <c r="A414" s="11">
        <f t="shared" si="64"/>
        <v>410</v>
      </c>
      <c r="B414" s="11" t="s">
        <v>598</v>
      </c>
      <c r="C414" s="17" t="s">
        <v>801</v>
      </c>
      <c r="D414" s="12" t="s">
        <v>802</v>
      </c>
      <c r="E414" s="13">
        <v>128241.53</v>
      </c>
      <c r="G414" s="13">
        <f t="shared" si="65"/>
        <v>128241.53</v>
      </c>
      <c r="H414" s="13">
        <v>0</v>
      </c>
      <c r="I414" s="13">
        <f>-(G414*$L$310)</f>
        <v>-40973.168835000004</v>
      </c>
      <c r="K414" s="14">
        <f t="shared" si="68"/>
        <v>87268.361164999995</v>
      </c>
      <c r="M414" s="11"/>
      <c r="O414" s="15"/>
    </row>
    <row r="415" spans="1:15" outlineLevel="2">
      <c r="A415" s="11">
        <f t="shared" si="64"/>
        <v>411</v>
      </c>
      <c r="B415" s="11" t="s">
        <v>598</v>
      </c>
      <c r="C415" s="17" t="s">
        <v>803</v>
      </c>
      <c r="D415" s="12" t="s">
        <v>804</v>
      </c>
      <c r="E415" s="13">
        <v>216330.02</v>
      </c>
      <c r="G415" s="13">
        <f t="shared" si="65"/>
        <v>216330.02</v>
      </c>
      <c r="H415" s="13">
        <v>0</v>
      </c>
      <c r="I415" s="13">
        <f>-(G415*$L$310)</f>
        <v>-69117.441389999993</v>
      </c>
      <c r="K415" s="14">
        <f>SUM(G415:J415)</f>
        <v>147212.57861</v>
      </c>
      <c r="M415" s="11"/>
      <c r="O415" s="15"/>
    </row>
    <row r="416" spans="1:15" outlineLevel="2">
      <c r="A416" s="11">
        <f t="shared" si="64"/>
        <v>412</v>
      </c>
      <c r="B416" s="11" t="s">
        <v>598</v>
      </c>
      <c r="C416" s="17" t="s">
        <v>805</v>
      </c>
      <c r="D416" s="12" t="s">
        <v>806</v>
      </c>
      <c r="E416" s="13">
        <v>577873.56000000006</v>
      </c>
      <c r="G416" s="13">
        <f t="shared" si="65"/>
        <v>577873.56000000006</v>
      </c>
      <c r="H416" s="13">
        <v>0</v>
      </c>
      <c r="I416" s="13">
        <f>-(G416*$L$310)</f>
        <v>-184630.60242000001</v>
      </c>
      <c r="K416" s="14">
        <f t="shared" si="68"/>
        <v>393242.95758000005</v>
      </c>
      <c r="M416" s="11"/>
      <c r="O416" s="15"/>
    </row>
    <row r="417" spans="1:15" outlineLevel="2">
      <c r="A417" s="11">
        <f t="shared" si="64"/>
        <v>413</v>
      </c>
      <c r="B417" s="11" t="s">
        <v>598</v>
      </c>
      <c r="C417" s="17" t="s">
        <v>807</v>
      </c>
      <c r="D417" s="12" t="s">
        <v>808</v>
      </c>
      <c r="E417" s="13">
        <v>367629.89</v>
      </c>
      <c r="G417" s="13">
        <f t="shared" si="65"/>
        <v>367629.89</v>
      </c>
      <c r="H417" s="13">
        <v>0</v>
      </c>
      <c r="I417" s="13">
        <f t="shared" ref="I417:I425" si="69">-(G417*$L$310)</f>
        <v>-117457.749855</v>
      </c>
      <c r="K417" s="14">
        <f t="shared" si="68"/>
        <v>250172.14014500001</v>
      </c>
      <c r="M417" s="11"/>
      <c r="O417" s="15"/>
    </row>
    <row r="418" spans="1:15" outlineLevel="2">
      <c r="A418" s="11">
        <f t="shared" si="64"/>
        <v>414</v>
      </c>
      <c r="B418" s="11" t="s">
        <v>598</v>
      </c>
      <c r="C418" s="17" t="s">
        <v>809</v>
      </c>
      <c r="D418" s="12" t="s">
        <v>810</v>
      </c>
      <c r="E418" s="13">
        <v>578065.68000000005</v>
      </c>
      <c r="G418" s="13">
        <f t="shared" si="65"/>
        <v>578065.68000000005</v>
      </c>
      <c r="H418" s="13">
        <v>0</v>
      </c>
      <c r="I418" s="13">
        <f t="shared" si="69"/>
        <v>-184691.98476000002</v>
      </c>
      <c r="K418" s="14">
        <f>SUM(G418:J418)</f>
        <v>393373.69524000003</v>
      </c>
      <c r="M418" s="11"/>
      <c r="O418" s="15"/>
    </row>
    <row r="419" spans="1:15" outlineLevel="2">
      <c r="A419" s="11">
        <f t="shared" si="64"/>
        <v>415</v>
      </c>
      <c r="B419" s="11" t="s">
        <v>598</v>
      </c>
      <c r="C419" s="17" t="s">
        <v>811</v>
      </c>
      <c r="D419" s="12" t="s">
        <v>812</v>
      </c>
      <c r="E419" s="13">
        <v>16445.21</v>
      </c>
      <c r="G419" s="13">
        <f t="shared" si="65"/>
        <v>16445.21</v>
      </c>
      <c r="H419" s="13">
        <v>0</v>
      </c>
      <c r="I419" s="13">
        <f t="shared" si="69"/>
        <v>-5254.2445950000001</v>
      </c>
      <c r="K419" s="14">
        <f t="shared" si="68"/>
        <v>11190.965404999999</v>
      </c>
      <c r="M419" s="11"/>
      <c r="O419" s="15"/>
    </row>
    <row r="420" spans="1:15" outlineLevel="2">
      <c r="A420" s="11">
        <f t="shared" si="64"/>
        <v>416</v>
      </c>
      <c r="B420" s="11" t="s">
        <v>598</v>
      </c>
      <c r="C420" s="17" t="s">
        <v>813</v>
      </c>
      <c r="D420" s="12" t="s">
        <v>814</v>
      </c>
      <c r="E420" s="13">
        <v>7684.53</v>
      </c>
      <c r="G420" s="13">
        <f t="shared" si="65"/>
        <v>7684.53</v>
      </c>
      <c r="H420" s="13">
        <v>0</v>
      </c>
      <c r="I420" s="13">
        <f t="shared" si="69"/>
        <v>-2455.2073350000001</v>
      </c>
      <c r="K420" s="14">
        <f t="shared" si="68"/>
        <v>5229.3226649999997</v>
      </c>
      <c r="M420" s="11"/>
      <c r="O420" s="15"/>
    </row>
    <row r="421" spans="1:15" outlineLevel="2">
      <c r="A421" s="11">
        <f t="shared" si="64"/>
        <v>417</v>
      </c>
      <c r="B421" s="11" t="s">
        <v>598</v>
      </c>
      <c r="C421" s="17" t="s">
        <v>815</v>
      </c>
      <c r="D421" s="12" t="s">
        <v>816</v>
      </c>
      <c r="E421" s="13">
        <v>1646</v>
      </c>
      <c r="G421" s="13">
        <f t="shared" si="65"/>
        <v>1646</v>
      </c>
      <c r="H421" s="13">
        <v>0</v>
      </c>
      <c r="I421" s="13">
        <f t="shared" si="69"/>
        <v>-525.89700000000005</v>
      </c>
      <c r="K421" s="14">
        <f t="shared" si="68"/>
        <v>1120.1030000000001</v>
      </c>
      <c r="M421" s="11"/>
      <c r="O421" s="15"/>
    </row>
    <row r="422" spans="1:15" outlineLevel="2">
      <c r="A422" s="11">
        <f t="shared" si="64"/>
        <v>418</v>
      </c>
      <c r="B422" s="11" t="s">
        <v>598</v>
      </c>
      <c r="C422" s="17" t="s">
        <v>817</v>
      </c>
      <c r="D422" s="12" t="s">
        <v>818</v>
      </c>
      <c r="E422" s="13">
        <v>107002.99</v>
      </c>
      <c r="G422" s="13">
        <f>E422+F422</f>
        <v>107002.99</v>
      </c>
      <c r="H422" s="13">
        <v>0</v>
      </c>
      <c r="I422" s="13">
        <f t="shared" si="69"/>
        <v>-34187.455305000003</v>
      </c>
      <c r="K422" s="14">
        <f>SUM(G422:J422)</f>
        <v>72815.534695000009</v>
      </c>
      <c r="M422" s="11"/>
      <c r="O422" s="15"/>
    </row>
    <row r="423" spans="1:15" outlineLevel="2">
      <c r="A423" s="11">
        <f t="shared" si="64"/>
        <v>419</v>
      </c>
      <c r="B423" s="11" t="s">
        <v>598</v>
      </c>
      <c r="C423" s="17" t="s">
        <v>819</v>
      </c>
      <c r="D423" s="12" t="s">
        <v>820</v>
      </c>
      <c r="E423" s="13">
        <v>83843.78</v>
      </c>
      <c r="G423" s="13">
        <f t="shared" ref="G423:G439" si="70">E423+F423</f>
        <v>83843.78</v>
      </c>
      <c r="H423" s="13">
        <v>0</v>
      </c>
      <c r="I423" s="13">
        <f t="shared" si="69"/>
        <v>-26788.08771</v>
      </c>
      <c r="K423" s="14">
        <f>SUM(G423:J423)</f>
        <v>57055.692289999999</v>
      </c>
      <c r="M423" s="11"/>
      <c r="O423" s="15"/>
    </row>
    <row r="424" spans="1:15" outlineLevel="2">
      <c r="A424" s="11">
        <f t="shared" si="64"/>
        <v>420</v>
      </c>
      <c r="B424" s="11" t="s">
        <v>598</v>
      </c>
      <c r="C424" s="17" t="s">
        <v>821</v>
      </c>
      <c r="D424" s="12" t="s">
        <v>822</v>
      </c>
      <c r="E424" s="13">
        <v>530458.91</v>
      </c>
      <c r="G424" s="13">
        <f t="shared" si="70"/>
        <v>530458.91</v>
      </c>
      <c r="H424" s="13">
        <v>0</v>
      </c>
      <c r="I424" s="13">
        <f t="shared" si="69"/>
        <v>-169481.62174500001</v>
      </c>
      <c r="K424" s="14">
        <f t="shared" ref="K424:K426" si="71">SUM(G424:J424)</f>
        <v>360977.28825500002</v>
      </c>
      <c r="M424" s="11"/>
      <c r="O424" s="15"/>
    </row>
    <row r="425" spans="1:15" outlineLevel="2">
      <c r="A425" s="11">
        <f t="shared" si="64"/>
        <v>421</v>
      </c>
      <c r="B425" s="11" t="s">
        <v>598</v>
      </c>
      <c r="C425" s="17" t="s">
        <v>823</v>
      </c>
      <c r="D425" s="12" t="s">
        <v>824</v>
      </c>
      <c r="E425" s="13">
        <v>186734.58</v>
      </c>
      <c r="G425" s="13">
        <f t="shared" si="70"/>
        <v>186734.58</v>
      </c>
      <c r="H425" s="13">
        <v>0</v>
      </c>
      <c r="I425" s="13">
        <f t="shared" si="69"/>
        <v>-59661.69831</v>
      </c>
      <c r="K425" s="14">
        <f t="shared" si="71"/>
        <v>127072.88168999998</v>
      </c>
      <c r="M425" s="11"/>
      <c r="O425" s="15"/>
    </row>
    <row r="426" spans="1:15" outlineLevel="2">
      <c r="A426" s="11">
        <f t="shared" si="64"/>
        <v>422</v>
      </c>
      <c r="B426" s="11" t="s">
        <v>598</v>
      </c>
      <c r="C426" s="17" t="s">
        <v>825</v>
      </c>
      <c r="D426" s="12" t="s">
        <v>826</v>
      </c>
      <c r="E426" s="13">
        <v>3758.31</v>
      </c>
      <c r="G426" s="13">
        <f t="shared" si="70"/>
        <v>3758.31</v>
      </c>
      <c r="H426" s="13">
        <v>0</v>
      </c>
      <c r="I426" s="13">
        <f>-(G426*$L$310)</f>
        <v>-1200.780045</v>
      </c>
      <c r="K426" s="14">
        <f t="shared" si="71"/>
        <v>2557.529955</v>
      </c>
      <c r="M426" s="11"/>
      <c r="O426" s="15"/>
    </row>
    <row r="427" spans="1:15" outlineLevel="2">
      <c r="A427" s="11">
        <f t="shared" si="64"/>
        <v>423</v>
      </c>
      <c r="B427" s="11" t="s">
        <v>598</v>
      </c>
      <c r="C427" s="17" t="s">
        <v>827</v>
      </c>
      <c r="D427" s="12" t="s">
        <v>828</v>
      </c>
      <c r="E427" s="13">
        <v>27264.31</v>
      </c>
      <c r="G427" s="13">
        <f t="shared" si="70"/>
        <v>27264.31</v>
      </c>
      <c r="H427" s="13">
        <v>0</v>
      </c>
      <c r="I427" s="13">
        <f>-(G427*$L$310)</f>
        <v>-8710.9470450000008</v>
      </c>
      <c r="K427" s="14">
        <f>SUM(G427:J427)</f>
        <v>18553.362955000001</v>
      </c>
      <c r="M427" s="11"/>
      <c r="O427" s="15"/>
    </row>
    <row r="428" spans="1:15" outlineLevel="2">
      <c r="A428" s="11">
        <f t="shared" si="64"/>
        <v>424</v>
      </c>
      <c r="B428" s="11" t="s">
        <v>598</v>
      </c>
      <c r="C428" s="17" t="s">
        <v>829</v>
      </c>
      <c r="D428" s="12" t="s">
        <v>830</v>
      </c>
      <c r="E428" s="13">
        <v>4771.8900000000003</v>
      </c>
      <c r="G428" s="13">
        <f t="shared" si="70"/>
        <v>4771.8900000000003</v>
      </c>
      <c r="H428" s="13">
        <v>0</v>
      </c>
      <c r="I428" s="13">
        <f>-(G428*$L$310)</f>
        <v>-1524.6188550000002</v>
      </c>
      <c r="K428" s="14">
        <f t="shared" ref="K428:K437" si="72">SUM(G428:J428)</f>
        <v>3247.2711450000002</v>
      </c>
      <c r="M428" s="11"/>
      <c r="O428" s="15"/>
    </row>
    <row r="429" spans="1:15" outlineLevel="2">
      <c r="A429" s="11">
        <f t="shared" si="64"/>
        <v>425</v>
      </c>
      <c r="B429" s="11" t="s">
        <v>598</v>
      </c>
      <c r="C429" s="17" t="s">
        <v>831</v>
      </c>
      <c r="D429" s="12" t="s">
        <v>832</v>
      </c>
      <c r="E429" s="13">
        <v>340932.16</v>
      </c>
      <c r="G429" s="13">
        <f t="shared" si="70"/>
        <v>340932.16</v>
      </c>
      <c r="H429" s="13">
        <v>0</v>
      </c>
      <c r="I429" s="13">
        <f>-(G429*$L$310)</f>
        <v>-108927.82511999999</v>
      </c>
      <c r="K429" s="14">
        <f t="shared" si="72"/>
        <v>232004.33487999998</v>
      </c>
      <c r="M429" s="11"/>
      <c r="O429" s="15"/>
    </row>
    <row r="430" spans="1:15" outlineLevel="2">
      <c r="A430" s="11">
        <f t="shared" si="64"/>
        <v>426</v>
      </c>
      <c r="B430" s="11" t="s">
        <v>598</v>
      </c>
      <c r="C430" s="17" t="s">
        <v>833</v>
      </c>
      <c r="D430" s="12" t="s">
        <v>834</v>
      </c>
      <c r="E430" s="13">
        <v>161748.41</v>
      </c>
      <c r="G430" s="13">
        <f t="shared" si="70"/>
        <v>161748.41</v>
      </c>
      <c r="H430" s="13">
        <v>0</v>
      </c>
      <c r="I430" s="13">
        <f>-(G430*$L$310)</f>
        <v>-51678.616995000004</v>
      </c>
      <c r="K430" s="14">
        <f t="shared" si="72"/>
        <v>110069.793005</v>
      </c>
      <c r="M430" s="11"/>
      <c r="O430" s="15"/>
    </row>
    <row r="431" spans="1:15" outlineLevel="2">
      <c r="A431" s="11">
        <f t="shared" si="64"/>
        <v>427</v>
      </c>
      <c r="B431" s="11" t="s">
        <v>598</v>
      </c>
      <c r="C431" s="17" t="s">
        <v>835</v>
      </c>
      <c r="D431" s="12" t="s">
        <v>836</v>
      </c>
      <c r="E431" s="13">
        <v>166315.1</v>
      </c>
      <c r="G431" s="13">
        <f t="shared" si="70"/>
        <v>166315.1</v>
      </c>
      <c r="H431" s="13">
        <v>0</v>
      </c>
      <c r="I431" s="13">
        <f t="shared" ref="I431:I436" si="73">-(G431*$L$310)</f>
        <v>-53137.674450000006</v>
      </c>
      <c r="K431" s="14">
        <f>SUM(G431:J431)</f>
        <v>113177.42555</v>
      </c>
      <c r="M431" s="11"/>
      <c r="O431" s="15"/>
    </row>
    <row r="432" spans="1:15" outlineLevel="2">
      <c r="A432" s="11">
        <f t="shared" si="64"/>
        <v>428</v>
      </c>
      <c r="B432" s="11" t="s">
        <v>598</v>
      </c>
      <c r="C432" s="17" t="s">
        <v>837</v>
      </c>
      <c r="D432" s="12" t="s">
        <v>838</v>
      </c>
      <c r="E432" s="13">
        <v>267563.39</v>
      </c>
      <c r="G432" s="13">
        <f t="shared" si="70"/>
        <v>267563.39</v>
      </c>
      <c r="H432" s="13">
        <v>0</v>
      </c>
      <c r="I432" s="13">
        <f t="shared" si="73"/>
        <v>-85486.503105000011</v>
      </c>
      <c r="K432" s="14">
        <f t="shared" si="72"/>
        <v>182076.886895</v>
      </c>
      <c r="M432" s="11"/>
      <c r="O432" s="15"/>
    </row>
    <row r="433" spans="1:15" outlineLevel="2">
      <c r="A433" s="11">
        <f t="shared" si="64"/>
        <v>429</v>
      </c>
      <c r="B433" s="11" t="s">
        <v>598</v>
      </c>
      <c r="C433" s="17" t="s">
        <v>839</v>
      </c>
      <c r="D433" s="12" t="s">
        <v>840</v>
      </c>
      <c r="E433" s="13">
        <v>226933.71</v>
      </c>
      <c r="G433" s="13">
        <f t="shared" si="70"/>
        <v>226933.71</v>
      </c>
      <c r="H433" s="13">
        <v>0</v>
      </c>
      <c r="I433" s="13">
        <f t="shared" si="73"/>
        <v>-72505.320345</v>
      </c>
      <c r="K433" s="14">
        <f t="shared" si="72"/>
        <v>154428.38965500001</v>
      </c>
      <c r="M433" s="11"/>
      <c r="O433" s="15"/>
    </row>
    <row r="434" spans="1:15" outlineLevel="2">
      <c r="A434" s="11">
        <f t="shared" si="64"/>
        <v>430</v>
      </c>
      <c r="B434" s="11" t="s">
        <v>598</v>
      </c>
      <c r="C434" s="17" t="s">
        <v>841</v>
      </c>
      <c r="D434" s="12" t="s">
        <v>842</v>
      </c>
      <c r="E434" s="13">
        <v>172921.71</v>
      </c>
      <c r="G434" s="13">
        <f t="shared" si="70"/>
        <v>172921.71</v>
      </c>
      <c r="H434" s="13">
        <v>0</v>
      </c>
      <c r="I434" s="13">
        <f t="shared" si="73"/>
        <v>-55248.486344999998</v>
      </c>
      <c r="K434" s="14">
        <f>SUM(G434:J434)</f>
        <v>117673.22365499999</v>
      </c>
      <c r="M434" s="11"/>
      <c r="O434" s="15"/>
    </row>
    <row r="435" spans="1:15" outlineLevel="2">
      <c r="A435" s="11">
        <f t="shared" si="64"/>
        <v>431</v>
      </c>
      <c r="B435" s="11" t="s">
        <v>598</v>
      </c>
      <c r="C435" s="17" t="s">
        <v>843</v>
      </c>
      <c r="D435" s="12" t="s">
        <v>844</v>
      </c>
      <c r="E435" s="13">
        <v>396722.21</v>
      </c>
      <c r="G435" s="13">
        <f t="shared" si="70"/>
        <v>396722.21</v>
      </c>
      <c r="H435" s="13">
        <v>0</v>
      </c>
      <c r="I435" s="13">
        <f t="shared" si="73"/>
        <v>-126752.74609500001</v>
      </c>
      <c r="K435" s="14">
        <f t="shared" si="72"/>
        <v>269969.46390500001</v>
      </c>
      <c r="M435" s="11"/>
      <c r="O435" s="15"/>
    </row>
    <row r="436" spans="1:15" outlineLevel="2">
      <c r="A436" s="11">
        <f t="shared" si="64"/>
        <v>432</v>
      </c>
      <c r="B436" s="11" t="s">
        <v>598</v>
      </c>
      <c r="C436" s="17" t="s">
        <v>845</v>
      </c>
      <c r="D436" s="12" t="s">
        <v>846</v>
      </c>
      <c r="E436" s="13">
        <v>1164374.43</v>
      </c>
      <c r="G436" s="13">
        <f t="shared" si="70"/>
        <v>1164374.43</v>
      </c>
      <c r="H436" s="13">
        <v>0</v>
      </c>
      <c r="I436" s="13">
        <f t="shared" si="73"/>
        <v>-372017.63038499997</v>
      </c>
      <c r="K436" s="14">
        <f t="shared" si="72"/>
        <v>792356.79961499991</v>
      </c>
      <c r="M436" s="11"/>
      <c r="O436" s="15"/>
    </row>
    <row r="437" spans="1:15" outlineLevel="2">
      <c r="A437" s="11">
        <f t="shared" si="64"/>
        <v>433</v>
      </c>
      <c r="B437" s="11" t="s">
        <v>598</v>
      </c>
      <c r="C437" s="17" t="s">
        <v>847</v>
      </c>
      <c r="D437" s="12" t="s">
        <v>848</v>
      </c>
      <c r="E437" s="13">
        <v>1237</v>
      </c>
      <c r="G437" s="13">
        <f t="shared" si="70"/>
        <v>1237</v>
      </c>
      <c r="H437" s="13">
        <v>0</v>
      </c>
      <c r="I437" s="13">
        <f>-(G437*$L$310)</f>
        <v>-395.22149999999999</v>
      </c>
      <c r="K437" s="14">
        <f t="shared" si="72"/>
        <v>841.77850000000001</v>
      </c>
      <c r="M437" s="11"/>
      <c r="O437" s="15"/>
    </row>
    <row r="438" spans="1:15" outlineLevel="2">
      <c r="A438" s="11">
        <f t="shared" si="64"/>
        <v>434</v>
      </c>
      <c r="B438" s="11" t="s">
        <v>598</v>
      </c>
      <c r="C438" s="17" t="s">
        <v>849</v>
      </c>
      <c r="D438" s="12" t="s">
        <v>850</v>
      </c>
      <c r="E438" s="13">
        <v>87666.99</v>
      </c>
      <c r="G438" s="13">
        <f t="shared" si="70"/>
        <v>87666.99</v>
      </c>
      <c r="H438" s="13">
        <v>0</v>
      </c>
      <c r="I438" s="13">
        <f>-(G438*$L$310)</f>
        <v>-28009.603305000001</v>
      </c>
      <c r="K438" s="14">
        <f>SUM(G438:J438)</f>
        <v>59657.386695000008</v>
      </c>
      <c r="M438" s="11"/>
      <c r="O438" s="15"/>
    </row>
    <row r="439" spans="1:15" outlineLevel="2">
      <c r="A439" s="11">
        <f t="shared" si="64"/>
        <v>435</v>
      </c>
      <c r="B439" s="11" t="s">
        <v>598</v>
      </c>
      <c r="C439" s="17" t="s">
        <v>851</v>
      </c>
      <c r="D439" s="12" t="s">
        <v>852</v>
      </c>
      <c r="E439" s="13">
        <v>1052565.6299999999</v>
      </c>
      <c r="G439" s="13">
        <f t="shared" si="70"/>
        <v>1052565.6299999999</v>
      </c>
      <c r="H439" s="13">
        <v>0</v>
      </c>
      <c r="I439" s="13">
        <f>-(G439*$L$310)</f>
        <v>-336294.71878499998</v>
      </c>
      <c r="K439" s="14">
        <f>SUM(G439:J439)</f>
        <v>716270.91121499985</v>
      </c>
      <c r="M439" s="11"/>
      <c r="O439" s="15"/>
    </row>
    <row r="440" spans="1:15" outlineLevel="2">
      <c r="A440" s="11">
        <f t="shared" si="64"/>
        <v>436</v>
      </c>
      <c r="B440" s="11" t="s">
        <v>598</v>
      </c>
      <c r="C440" s="17" t="s">
        <v>853</v>
      </c>
      <c r="D440" s="12" t="s">
        <v>854</v>
      </c>
      <c r="E440" s="13">
        <v>427162.42</v>
      </c>
      <c r="G440" s="13">
        <f>E440+F440</f>
        <v>427162.42</v>
      </c>
      <c r="H440" s="13">
        <v>0</v>
      </c>
      <c r="I440" s="13">
        <f>-(G440*$L$310)</f>
        <v>-136478.39319</v>
      </c>
      <c r="K440" s="14">
        <f t="shared" ref="K440:K442" si="74">SUM(G440:J440)</f>
        <v>290684.02680999995</v>
      </c>
      <c r="M440" s="11"/>
      <c r="O440" s="15"/>
    </row>
    <row r="441" spans="1:15" outlineLevel="2">
      <c r="A441" s="11">
        <f t="shared" si="64"/>
        <v>437</v>
      </c>
      <c r="B441" s="11" t="s">
        <v>598</v>
      </c>
      <c r="C441" s="17" t="s">
        <v>855</v>
      </c>
      <c r="D441" s="12" t="s">
        <v>856</v>
      </c>
      <c r="E441" s="13">
        <v>330717.93</v>
      </c>
      <c r="G441" s="13">
        <f t="shared" ref="G441:G455" si="75">E441+F441</f>
        <v>330717.93</v>
      </c>
      <c r="H441" s="13">
        <v>0</v>
      </c>
      <c r="I441" s="13">
        <f>-(G441*$L$310)</f>
        <v>-105664.378635</v>
      </c>
      <c r="K441" s="14">
        <f t="shared" si="74"/>
        <v>225053.55136499999</v>
      </c>
      <c r="L441" s="26"/>
      <c r="M441" s="11"/>
      <c r="O441" s="15"/>
    </row>
    <row r="442" spans="1:15" outlineLevel="2">
      <c r="A442" s="11">
        <f t="shared" si="64"/>
        <v>438</v>
      </c>
      <c r="B442" s="11" t="s">
        <v>598</v>
      </c>
      <c r="C442" s="17" t="s">
        <v>857</v>
      </c>
      <c r="D442" s="12" t="s">
        <v>858</v>
      </c>
      <c r="E442" s="13">
        <v>1366</v>
      </c>
      <c r="G442" s="13">
        <f t="shared" si="75"/>
        <v>1366</v>
      </c>
      <c r="H442" s="13">
        <v>0</v>
      </c>
      <c r="I442" s="13">
        <f t="shared" ref="I442:I450" si="76">-(G442*$L$310)</f>
        <v>-436.43700000000001</v>
      </c>
      <c r="K442" s="14">
        <f t="shared" si="74"/>
        <v>929.56299999999999</v>
      </c>
      <c r="L442" s="26"/>
      <c r="M442" s="11"/>
      <c r="O442" s="15"/>
    </row>
    <row r="443" spans="1:15" outlineLevel="2">
      <c r="A443" s="11">
        <f t="shared" si="64"/>
        <v>439</v>
      </c>
      <c r="B443" s="11" t="s">
        <v>598</v>
      </c>
      <c r="C443" s="17" t="s">
        <v>859</v>
      </c>
      <c r="D443" s="12" t="s">
        <v>860</v>
      </c>
      <c r="E443" s="13">
        <v>532434.87</v>
      </c>
      <c r="G443" s="13">
        <f t="shared" si="75"/>
        <v>532434.87</v>
      </c>
      <c r="H443" s="13">
        <v>0</v>
      </c>
      <c r="I443" s="13">
        <f t="shared" si="76"/>
        <v>-170112.94096500002</v>
      </c>
      <c r="K443" s="14">
        <f>SUM(G443:J443)</f>
        <v>362321.92903499998</v>
      </c>
      <c r="L443" s="26"/>
      <c r="M443" s="11"/>
      <c r="O443" s="15"/>
    </row>
    <row r="444" spans="1:15" outlineLevel="2">
      <c r="A444" s="11">
        <f t="shared" si="64"/>
        <v>440</v>
      </c>
      <c r="B444" s="11" t="s">
        <v>598</v>
      </c>
      <c r="C444" s="17" t="s">
        <v>861</v>
      </c>
      <c r="D444" s="12" t="s">
        <v>862</v>
      </c>
      <c r="E444" s="13">
        <v>549514.41</v>
      </c>
      <c r="G444" s="13">
        <f t="shared" si="75"/>
        <v>549514.41</v>
      </c>
      <c r="H444" s="13">
        <v>0</v>
      </c>
      <c r="I444" s="13">
        <f t="shared" si="76"/>
        <v>-175569.85399500001</v>
      </c>
      <c r="K444" s="14">
        <f t="shared" ref="K444" si="77">SUM(G444:J444)</f>
        <v>373944.55600500002</v>
      </c>
      <c r="L444" s="26"/>
      <c r="M444" s="11"/>
      <c r="O444" s="15"/>
    </row>
    <row r="445" spans="1:15" outlineLevel="2">
      <c r="A445" s="11">
        <f t="shared" si="64"/>
        <v>441</v>
      </c>
      <c r="B445" s="11" t="s">
        <v>598</v>
      </c>
      <c r="C445" s="17" t="s">
        <v>863</v>
      </c>
      <c r="D445" s="12" t="s">
        <v>864</v>
      </c>
      <c r="E445" s="13">
        <v>295982.49</v>
      </c>
      <c r="G445" s="13">
        <f t="shared" si="75"/>
        <v>295982.49</v>
      </c>
      <c r="H445" s="13">
        <v>0</v>
      </c>
      <c r="I445" s="13">
        <f t="shared" si="76"/>
        <v>-94566.405555000005</v>
      </c>
      <c r="K445" s="14">
        <f>SUM(G445:J445)</f>
        <v>201416.08444499999</v>
      </c>
      <c r="L445" s="26"/>
      <c r="M445" s="11"/>
      <c r="O445" s="15"/>
    </row>
    <row r="446" spans="1:15" outlineLevel="2">
      <c r="A446" s="11">
        <f t="shared" si="64"/>
        <v>442</v>
      </c>
      <c r="B446" s="11" t="s">
        <v>598</v>
      </c>
      <c r="C446" s="17" t="s">
        <v>865</v>
      </c>
      <c r="D446" s="12" t="s">
        <v>866</v>
      </c>
      <c r="E446" s="13">
        <v>1853</v>
      </c>
      <c r="G446" s="13">
        <f t="shared" si="75"/>
        <v>1853</v>
      </c>
      <c r="H446" s="13">
        <v>0</v>
      </c>
      <c r="I446" s="13">
        <f t="shared" si="76"/>
        <v>-592.0335</v>
      </c>
      <c r="K446" s="14">
        <f t="shared" ref="K446:K455" si="78">SUM(G446:J446)</f>
        <v>1260.9665</v>
      </c>
      <c r="L446" s="26"/>
      <c r="M446" s="11"/>
      <c r="O446" s="15"/>
    </row>
    <row r="447" spans="1:15" outlineLevel="2">
      <c r="A447" s="11">
        <f t="shared" si="64"/>
        <v>443</v>
      </c>
      <c r="B447" s="11" t="s">
        <v>598</v>
      </c>
      <c r="C447" s="17" t="s">
        <v>867</v>
      </c>
      <c r="D447" s="12" t="s">
        <v>868</v>
      </c>
      <c r="E447" s="13">
        <v>50053.17</v>
      </c>
      <c r="G447" s="13">
        <f t="shared" si="75"/>
        <v>50053.17</v>
      </c>
      <c r="H447" s="13">
        <v>0</v>
      </c>
      <c r="I447" s="13">
        <f t="shared" si="76"/>
        <v>-15991.987815</v>
      </c>
      <c r="K447" s="14">
        <f t="shared" si="78"/>
        <v>34061.182184999998</v>
      </c>
      <c r="L447" s="26"/>
      <c r="M447" s="11"/>
      <c r="O447" s="15"/>
    </row>
    <row r="448" spans="1:15" outlineLevel="2">
      <c r="A448" s="11">
        <f t="shared" si="64"/>
        <v>444</v>
      </c>
      <c r="B448" s="11" t="s">
        <v>598</v>
      </c>
      <c r="C448" s="17" t="s">
        <v>869</v>
      </c>
      <c r="D448" s="12" t="s">
        <v>870</v>
      </c>
      <c r="E448" s="13">
        <v>469050.13</v>
      </c>
      <c r="G448" s="13">
        <f t="shared" si="75"/>
        <v>469050.13</v>
      </c>
      <c r="H448" s="13">
        <v>0</v>
      </c>
      <c r="I448" s="13">
        <f t="shared" si="76"/>
        <v>-149861.516535</v>
      </c>
      <c r="K448" s="14">
        <f t="shared" si="78"/>
        <v>319188.613465</v>
      </c>
      <c r="L448" s="26"/>
      <c r="M448" s="11"/>
      <c r="O448" s="15"/>
    </row>
    <row r="449" spans="1:15" outlineLevel="2">
      <c r="A449" s="11">
        <f t="shared" si="64"/>
        <v>445</v>
      </c>
      <c r="B449" s="11" t="s">
        <v>598</v>
      </c>
      <c r="C449" s="17" t="s">
        <v>871</v>
      </c>
      <c r="D449" s="12" t="s">
        <v>872</v>
      </c>
      <c r="E449" s="13">
        <v>459861.27</v>
      </c>
      <c r="G449" s="13">
        <f t="shared" si="75"/>
        <v>459861.27</v>
      </c>
      <c r="H449" s="13">
        <v>0</v>
      </c>
      <c r="I449" s="13">
        <f t="shared" si="76"/>
        <v>-146925.67576500002</v>
      </c>
      <c r="K449" s="14">
        <f>SUM(G449:J449)</f>
        <v>312935.59423499997</v>
      </c>
      <c r="L449" s="26"/>
      <c r="M449" s="11"/>
      <c r="O449" s="15"/>
    </row>
    <row r="450" spans="1:15" outlineLevel="2">
      <c r="A450" s="11">
        <f t="shared" si="64"/>
        <v>446</v>
      </c>
      <c r="B450" s="11" t="s">
        <v>598</v>
      </c>
      <c r="C450" s="17" t="s">
        <v>873</v>
      </c>
      <c r="D450" s="12" t="s">
        <v>874</v>
      </c>
      <c r="E450" s="13">
        <v>8781.5400000000009</v>
      </c>
      <c r="G450" s="13">
        <f t="shared" si="75"/>
        <v>8781.5400000000009</v>
      </c>
      <c r="H450" s="13">
        <v>0</v>
      </c>
      <c r="I450" s="13">
        <f t="shared" si="76"/>
        <v>-2805.7020300000004</v>
      </c>
      <c r="K450" s="14">
        <f t="shared" si="78"/>
        <v>5975.8379700000005</v>
      </c>
      <c r="L450" s="26"/>
      <c r="M450" s="11"/>
      <c r="O450" s="15"/>
    </row>
    <row r="451" spans="1:15" outlineLevel="2">
      <c r="A451" s="11">
        <f t="shared" si="64"/>
        <v>447</v>
      </c>
      <c r="B451" s="11" t="s">
        <v>598</v>
      </c>
      <c r="C451" s="17" t="s">
        <v>875</v>
      </c>
      <c r="D451" s="12" t="s">
        <v>876</v>
      </c>
      <c r="E451" s="13">
        <v>106095.81</v>
      </c>
      <c r="G451" s="13">
        <f t="shared" si="75"/>
        <v>106095.81</v>
      </c>
      <c r="H451" s="13">
        <v>0</v>
      </c>
      <c r="I451" s="13">
        <f t="shared" ref="I451:I457" si="79">-(G451*$L$310)</f>
        <v>-33897.611295000002</v>
      </c>
      <c r="K451" s="14">
        <f t="shared" si="78"/>
        <v>72198.198704999988</v>
      </c>
      <c r="L451" s="26"/>
      <c r="M451" s="11"/>
      <c r="O451" s="15"/>
    </row>
    <row r="452" spans="1:15" outlineLevel="2">
      <c r="A452" s="11">
        <f t="shared" si="64"/>
        <v>448</v>
      </c>
      <c r="B452" s="11" t="s">
        <v>598</v>
      </c>
      <c r="C452" s="17" t="s">
        <v>877</v>
      </c>
      <c r="D452" s="12" t="s">
        <v>878</v>
      </c>
      <c r="E452" s="13">
        <v>216887.19</v>
      </c>
      <c r="G452" s="13">
        <f t="shared" si="75"/>
        <v>216887.19</v>
      </c>
      <c r="H452" s="13">
        <v>0</v>
      </c>
      <c r="I452" s="13">
        <f t="shared" si="79"/>
        <v>-69295.457204999999</v>
      </c>
      <c r="K452" s="14">
        <f>SUM(G452:J452)</f>
        <v>147591.73279500002</v>
      </c>
      <c r="L452" s="26"/>
      <c r="M452" s="11"/>
      <c r="O452" s="15"/>
    </row>
    <row r="453" spans="1:15" outlineLevel="2">
      <c r="A453" s="11">
        <f t="shared" si="64"/>
        <v>449</v>
      </c>
      <c r="B453" s="11" t="s">
        <v>598</v>
      </c>
      <c r="C453" s="17" t="s">
        <v>879</v>
      </c>
      <c r="D453" s="12" t="s">
        <v>880</v>
      </c>
      <c r="E453" s="13">
        <v>588189.96</v>
      </c>
      <c r="G453" s="13">
        <f t="shared" si="75"/>
        <v>588189.96</v>
      </c>
      <c r="H453" s="13">
        <v>0</v>
      </c>
      <c r="I453" s="13">
        <f t="shared" si="79"/>
        <v>-187926.69222</v>
      </c>
      <c r="K453" s="14">
        <f t="shared" si="78"/>
        <v>400263.26777999999</v>
      </c>
      <c r="L453" s="26"/>
      <c r="M453" s="11"/>
      <c r="O453" s="15"/>
    </row>
    <row r="454" spans="1:15" outlineLevel="2">
      <c r="A454" s="11">
        <f t="shared" si="64"/>
        <v>450</v>
      </c>
      <c r="B454" s="11" t="s">
        <v>598</v>
      </c>
      <c r="C454" s="17" t="s">
        <v>881</v>
      </c>
      <c r="D454" s="12" t="s">
        <v>882</v>
      </c>
      <c r="E454" s="13">
        <v>1239694.3500000001</v>
      </c>
      <c r="G454" s="13">
        <f t="shared" si="75"/>
        <v>1239694.3500000001</v>
      </c>
      <c r="H454" s="13">
        <v>0</v>
      </c>
      <c r="I454" s="13">
        <f t="shared" si="79"/>
        <v>-396082.34482500004</v>
      </c>
      <c r="K454" s="14">
        <f t="shared" si="78"/>
        <v>843612.00517500006</v>
      </c>
      <c r="L454" s="26"/>
      <c r="M454" s="11"/>
      <c r="O454" s="15"/>
    </row>
    <row r="455" spans="1:15" outlineLevel="2">
      <c r="A455" s="11">
        <f t="shared" si="64"/>
        <v>451</v>
      </c>
      <c r="B455" s="11" t="s">
        <v>598</v>
      </c>
      <c r="C455" s="17" t="s">
        <v>883</v>
      </c>
      <c r="D455" s="12" t="s">
        <v>884</v>
      </c>
      <c r="E455" s="13">
        <v>145955.72</v>
      </c>
      <c r="G455" s="13">
        <f t="shared" si="75"/>
        <v>145955.72</v>
      </c>
      <c r="H455" s="13">
        <v>0</v>
      </c>
      <c r="I455" s="13">
        <f t="shared" si="79"/>
        <v>-46632.85254</v>
      </c>
      <c r="K455" s="14">
        <f t="shared" si="78"/>
        <v>99322.867460000009</v>
      </c>
      <c r="L455" s="26"/>
      <c r="M455" s="11"/>
      <c r="O455" s="15"/>
    </row>
    <row r="456" spans="1:15" outlineLevel="2">
      <c r="A456" s="11">
        <f t="shared" si="64"/>
        <v>452</v>
      </c>
      <c r="B456" s="11" t="s">
        <v>598</v>
      </c>
      <c r="C456" s="17" t="s">
        <v>885</v>
      </c>
      <c r="D456" s="12" t="s">
        <v>886</v>
      </c>
      <c r="E456" s="13">
        <v>98596.95</v>
      </c>
      <c r="G456" s="13">
        <f>E456+F456</f>
        <v>98596.95</v>
      </c>
      <c r="H456" s="13">
        <v>0</v>
      </c>
      <c r="I456" s="13">
        <f t="shared" si="79"/>
        <v>-31501.725524999998</v>
      </c>
      <c r="K456" s="14">
        <f>SUM(G456:J456)</f>
        <v>67095.224474999995</v>
      </c>
      <c r="L456" s="26"/>
      <c r="M456" s="11"/>
      <c r="O456" s="15"/>
    </row>
    <row r="457" spans="1:15" outlineLevel="2">
      <c r="A457" s="11">
        <f t="shared" si="64"/>
        <v>453</v>
      </c>
      <c r="B457" s="11" t="s">
        <v>598</v>
      </c>
      <c r="C457" s="17" t="s">
        <v>887</v>
      </c>
      <c r="D457" s="12" t="s">
        <v>888</v>
      </c>
      <c r="E457" s="13">
        <v>479342.66</v>
      </c>
      <c r="G457" s="13">
        <f t="shared" ref="G457:G465" si="80">E457+F457</f>
        <v>479342.66</v>
      </c>
      <c r="H457" s="13">
        <v>0</v>
      </c>
      <c r="I457" s="13">
        <f t="shared" si="79"/>
        <v>-153149.97986999998</v>
      </c>
      <c r="K457" s="14">
        <f>SUM(G457:J457)</f>
        <v>326192.68012999999</v>
      </c>
      <c r="L457" s="26"/>
      <c r="M457" s="11"/>
      <c r="O457" s="15"/>
    </row>
    <row r="458" spans="1:15" outlineLevel="2">
      <c r="A458" s="11">
        <f t="shared" si="64"/>
        <v>454</v>
      </c>
      <c r="B458" s="11" t="s">
        <v>598</v>
      </c>
      <c r="C458" s="17" t="s">
        <v>889</v>
      </c>
      <c r="D458" s="12" t="s">
        <v>890</v>
      </c>
      <c r="E458" s="13">
        <v>721884.45</v>
      </c>
      <c r="G458" s="13">
        <f t="shared" si="80"/>
        <v>721884.45</v>
      </c>
      <c r="H458" s="13">
        <v>0</v>
      </c>
      <c r="I458" s="13">
        <f t="shared" ref="I458:I465" si="81">-(G458*$L$310)</f>
        <v>-230642.081775</v>
      </c>
      <c r="K458" s="14">
        <f t="shared" ref="K458:K460" si="82">SUM(G458:J458)</f>
        <v>491242.36822499998</v>
      </c>
      <c r="L458" s="26"/>
      <c r="M458" s="11"/>
      <c r="O458" s="15"/>
    </row>
    <row r="459" spans="1:15" outlineLevel="2">
      <c r="A459" s="11">
        <f t="shared" si="64"/>
        <v>455</v>
      </c>
      <c r="B459" s="11" t="s">
        <v>598</v>
      </c>
      <c r="C459" s="17" t="s">
        <v>891</v>
      </c>
      <c r="D459" s="12" t="s">
        <v>892</v>
      </c>
      <c r="E459" s="13">
        <v>17781.11</v>
      </c>
      <c r="G459" s="13">
        <f t="shared" si="80"/>
        <v>17781.11</v>
      </c>
      <c r="H459" s="13">
        <v>0</v>
      </c>
      <c r="I459" s="13">
        <f t="shared" si="81"/>
        <v>-5681.0646450000004</v>
      </c>
      <c r="K459" s="14">
        <f t="shared" si="82"/>
        <v>12100.045355</v>
      </c>
      <c r="M459" s="11"/>
      <c r="O459" s="15"/>
    </row>
    <row r="460" spans="1:15" outlineLevel="2">
      <c r="A460" s="11">
        <f t="shared" si="64"/>
        <v>456</v>
      </c>
      <c r="B460" s="11" t="s">
        <v>598</v>
      </c>
      <c r="C460" s="17" t="s">
        <v>893</v>
      </c>
      <c r="D460" s="12" t="s">
        <v>894</v>
      </c>
      <c r="E460" s="13">
        <v>682468.71</v>
      </c>
      <c r="G460" s="13">
        <f t="shared" si="80"/>
        <v>682468.71</v>
      </c>
      <c r="H460" s="13">
        <v>0</v>
      </c>
      <c r="I460" s="13">
        <f t="shared" si="81"/>
        <v>-218048.75284499998</v>
      </c>
      <c r="K460" s="14">
        <f t="shared" si="82"/>
        <v>464419.95715499995</v>
      </c>
      <c r="M460" s="11"/>
      <c r="O460" s="15"/>
    </row>
    <row r="461" spans="1:15" outlineLevel="2">
      <c r="A461" s="11">
        <f t="shared" si="64"/>
        <v>457</v>
      </c>
      <c r="B461" s="11" t="s">
        <v>598</v>
      </c>
      <c r="C461" s="17" t="s">
        <v>895</v>
      </c>
      <c r="D461" s="12" t="s">
        <v>896</v>
      </c>
      <c r="E461" s="13">
        <v>19002.97</v>
      </c>
      <c r="G461" s="13">
        <f t="shared" si="80"/>
        <v>19002.97</v>
      </c>
      <c r="H461" s="13">
        <v>0</v>
      </c>
      <c r="I461" s="13">
        <f t="shared" si="81"/>
        <v>-6071.4489150000009</v>
      </c>
      <c r="K461" s="14">
        <f>SUM(G461:J461)</f>
        <v>12931.521085</v>
      </c>
      <c r="M461" s="11"/>
      <c r="O461" s="15"/>
    </row>
    <row r="462" spans="1:15" outlineLevel="2">
      <c r="A462" s="11">
        <f t="shared" si="64"/>
        <v>458</v>
      </c>
      <c r="B462" s="11" t="s">
        <v>598</v>
      </c>
      <c r="C462" s="17" t="s">
        <v>897</v>
      </c>
      <c r="D462" s="12" t="s">
        <v>898</v>
      </c>
      <c r="E462" s="13">
        <v>91987.25</v>
      </c>
      <c r="G462" s="13">
        <f t="shared" si="80"/>
        <v>91987.25</v>
      </c>
      <c r="H462" s="13">
        <v>0</v>
      </c>
      <c r="I462" s="13">
        <f t="shared" si="81"/>
        <v>-29389.926374999999</v>
      </c>
      <c r="K462" s="14">
        <f t="shared" ref="K462:K464" si="83">SUM(G462:J462)</f>
        <v>62597.323625000005</v>
      </c>
      <c r="L462" s="14"/>
      <c r="M462" s="14"/>
      <c r="N462" s="14"/>
      <c r="O462" s="14"/>
    </row>
    <row r="463" spans="1:15" outlineLevel="2">
      <c r="A463" s="11">
        <f t="shared" si="64"/>
        <v>459</v>
      </c>
      <c r="B463" s="11" t="s">
        <v>598</v>
      </c>
      <c r="C463" s="17" t="s">
        <v>2327</v>
      </c>
      <c r="D463" s="12" t="s">
        <v>899</v>
      </c>
      <c r="E463" s="13">
        <v>165594.23999999999</v>
      </c>
      <c r="G463" s="13">
        <f t="shared" si="80"/>
        <v>165594.23999999999</v>
      </c>
      <c r="H463" s="13">
        <v>0</v>
      </c>
      <c r="I463" s="13">
        <f t="shared" si="81"/>
        <v>-52907.359680000001</v>
      </c>
      <c r="K463" s="14">
        <f t="shared" si="83"/>
        <v>112686.88032</v>
      </c>
      <c r="L463" s="12"/>
      <c r="M463" s="11"/>
      <c r="O463" s="15"/>
    </row>
    <row r="464" spans="1:15" outlineLevel="2">
      <c r="A464" s="11">
        <f t="shared" ref="A464:A507" si="84">A463+1</f>
        <v>460</v>
      </c>
      <c r="B464" s="11" t="s">
        <v>598</v>
      </c>
      <c r="C464" s="17" t="s">
        <v>900</v>
      </c>
      <c r="D464" s="12" t="s">
        <v>901</v>
      </c>
      <c r="E464" s="13">
        <v>28279.89</v>
      </c>
      <c r="G464" s="13">
        <f t="shared" si="80"/>
        <v>28279.89</v>
      </c>
      <c r="H464" s="13">
        <v>0</v>
      </c>
      <c r="I464" s="13">
        <f t="shared" si="81"/>
        <v>-9035.4248549999993</v>
      </c>
      <c r="K464" s="14">
        <f t="shared" si="83"/>
        <v>19244.465145000002</v>
      </c>
      <c r="L464" s="12"/>
      <c r="M464" s="11"/>
    </row>
    <row r="465" spans="1:15" outlineLevel="2">
      <c r="A465" s="11">
        <f t="shared" si="84"/>
        <v>461</v>
      </c>
      <c r="B465" s="11" t="s">
        <v>598</v>
      </c>
      <c r="C465" s="12" t="s">
        <v>2328</v>
      </c>
      <c r="D465" s="12" t="s">
        <v>902</v>
      </c>
      <c r="E465" s="13">
        <f>72507.65+150859.01</f>
        <v>223366.66</v>
      </c>
      <c r="G465" s="13">
        <f t="shared" si="80"/>
        <v>223366.66</v>
      </c>
      <c r="H465" s="13">
        <v>0</v>
      </c>
      <c r="I465" s="13">
        <f t="shared" si="81"/>
        <v>-71365.647870000001</v>
      </c>
      <c r="K465" s="14">
        <f>SUM(G465:J465)</f>
        <v>152001.01212999999</v>
      </c>
      <c r="L465" s="12"/>
      <c r="M465" s="11"/>
      <c r="O465" s="15"/>
    </row>
    <row r="466" spans="1:15" s="6" customFormat="1" ht="13.5" outlineLevel="1" thickBot="1">
      <c r="A466" s="11">
        <f t="shared" si="84"/>
        <v>462</v>
      </c>
      <c r="B466" s="18" t="s">
        <v>903</v>
      </c>
      <c r="C466" s="20"/>
      <c r="D466" s="20" t="s">
        <v>904</v>
      </c>
      <c r="E466" s="21">
        <f>SUBTOTAL(9,E307:E465)</f>
        <v>42029019.200000003</v>
      </c>
      <c r="F466" s="21">
        <f t="shared" ref="F466:G466" si="85">SUBTOTAL(9,F307:F465)</f>
        <v>0</v>
      </c>
      <c r="G466" s="21">
        <f t="shared" si="85"/>
        <v>42029019.200000003</v>
      </c>
      <c r="H466" s="21">
        <f>SUBTOTAL(9,H307:H465)</f>
        <v>0</v>
      </c>
      <c r="I466" s="21">
        <f>SUBTOTAL(9,I307:I465)</f>
        <v>-13513983.515200004</v>
      </c>
      <c r="J466" s="21"/>
      <c r="K466" s="22">
        <f>SUBTOTAL(9,K307:K465)</f>
        <v>28515035.684800003</v>
      </c>
      <c r="M466" s="3"/>
      <c r="N466" s="3"/>
      <c r="O466" s="8"/>
    </row>
    <row r="467" spans="1:15" ht="13.5" outlineLevel="2" thickTop="1">
      <c r="A467" s="11">
        <f t="shared" si="84"/>
        <v>463</v>
      </c>
      <c r="B467" s="11" t="s">
        <v>905</v>
      </c>
      <c r="C467" s="17" t="s">
        <v>906</v>
      </c>
      <c r="D467" s="12" t="s">
        <v>907</v>
      </c>
      <c r="E467" s="13">
        <v>19890751.77</v>
      </c>
      <c r="G467" s="13">
        <f>E467+F467</f>
        <v>19890751.77</v>
      </c>
      <c r="H467" s="13">
        <v>0</v>
      </c>
      <c r="I467" s="13">
        <v>0</v>
      </c>
      <c r="K467" s="14">
        <f>SUM(G467:J467)</f>
        <v>19890751.77</v>
      </c>
      <c r="L467" s="12"/>
      <c r="M467" s="11"/>
      <c r="O467" s="15"/>
    </row>
    <row r="468" spans="1:15" outlineLevel="2">
      <c r="A468" s="11">
        <f t="shared" si="84"/>
        <v>464</v>
      </c>
      <c r="B468" s="11" t="s">
        <v>905</v>
      </c>
      <c r="C468" s="495" t="s">
        <v>906</v>
      </c>
      <c r="D468" s="12" t="s">
        <v>908</v>
      </c>
      <c r="E468" s="13">
        <v>3680368.76</v>
      </c>
      <c r="G468" s="13">
        <f>E468+F468</f>
        <v>3680368.76</v>
      </c>
      <c r="H468" s="13">
        <v>0</v>
      </c>
      <c r="I468" s="13">
        <v>0</v>
      </c>
      <c r="K468" s="14">
        <f>SUM(G468:J468)</f>
        <v>3680368.76</v>
      </c>
      <c r="L468" s="12"/>
      <c r="M468" s="11"/>
      <c r="O468" s="15"/>
    </row>
    <row r="469" spans="1:15" s="6" customFormat="1" ht="13.5" outlineLevel="1" thickBot="1">
      <c r="A469" s="11">
        <f t="shared" si="84"/>
        <v>465</v>
      </c>
      <c r="B469" s="18" t="s">
        <v>909</v>
      </c>
      <c r="C469" s="27"/>
      <c r="D469" s="20" t="s">
        <v>910</v>
      </c>
      <c r="E469" s="21">
        <f>SUBTOTAL(9,E467:E468)</f>
        <v>23571120.530000001</v>
      </c>
      <c r="F469" s="21">
        <f t="shared" ref="F469:G469" si="86">SUBTOTAL(9,F467:F468)</f>
        <v>0</v>
      </c>
      <c r="G469" s="21">
        <f t="shared" si="86"/>
        <v>23571120.530000001</v>
      </c>
      <c r="H469" s="21">
        <f>SUBTOTAL(9,H467:H468)</f>
        <v>0</v>
      </c>
      <c r="I469" s="21">
        <f>SUBTOTAL(9,I467:I468)</f>
        <v>0</v>
      </c>
      <c r="J469" s="21"/>
      <c r="K469" s="22">
        <f>SUBTOTAL(9,K467:K468)</f>
        <v>23571120.530000001</v>
      </c>
      <c r="M469" s="3"/>
      <c r="N469" s="3"/>
      <c r="O469" s="8"/>
    </row>
    <row r="470" spans="1:15" ht="13.5" outlineLevel="2" thickTop="1">
      <c r="A470" s="11">
        <f t="shared" si="84"/>
        <v>466</v>
      </c>
      <c r="B470" s="11" t="s">
        <v>911</v>
      </c>
      <c r="C470" s="17" t="s">
        <v>912</v>
      </c>
      <c r="D470" s="12" t="s">
        <v>913</v>
      </c>
      <c r="E470" s="13">
        <v>650000.85</v>
      </c>
      <c r="G470" s="13">
        <f>E470+F470</f>
        <v>650000.85</v>
      </c>
      <c r="H470" s="13">
        <v>-650001</v>
      </c>
      <c r="I470" s="13">
        <v>0</v>
      </c>
      <c r="K470" s="14">
        <f>SUM(G470:J470)</f>
        <v>-0.15000000002328306</v>
      </c>
      <c r="L470" s="840"/>
      <c r="M470" s="11"/>
      <c r="O470" s="15"/>
    </row>
    <row r="471" spans="1:15" outlineLevel="2">
      <c r="A471" s="11">
        <f t="shared" si="84"/>
        <v>467</v>
      </c>
      <c r="B471" s="11" t="s">
        <v>911</v>
      </c>
      <c r="C471" s="17" t="s">
        <v>914</v>
      </c>
      <c r="D471" s="12" t="s">
        <v>2296</v>
      </c>
      <c r="E471" s="13">
        <v>184827.19</v>
      </c>
      <c r="G471" s="13">
        <f t="shared" ref="G471:G486" si="87">E471+F471</f>
        <v>184827.19</v>
      </c>
      <c r="H471" s="13">
        <v>-184827</v>
      </c>
      <c r="I471" s="13">
        <v>0</v>
      </c>
      <c r="K471" s="14">
        <f t="shared" ref="K471:K486" si="88">SUM(G471:J471)</f>
        <v>0.19000000000232831</v>
      </c>
      <c r="L471" s="841"/>
      <c r="M471" s="11"/>
      <c r="O471" s="15"/>
    </row>
    <row r="472" spans="1:15" outlineLevel="2">
      <c r="A472" s="11">
        <f t="shared" si="84"/>
        <v>468</v>
      </c>
      <c r="B472" s="11" t="s">
        <v>911</v>
      </c>
      <c r="C472" s="17" t="s">
        <v>915</v>
      </c>
      <c r="D472" s="12" t="s">
        <v>2297</v>
      </c>
      <c r="E472" s="13">
        <v>223594.2</v>
      </c>
      <c r="G472" s="13">
        <f t="shared" si="87"/>
        <v>223594.2</v>
      </c>
      <c r="H472" s="13">
        <v>-223594</v>
      </c>
      <c r="I472" s="13">
        <v>0</v>
      </c>
      <c r="K472" s="14">
        <f t="shared" si="88"/>
        <v>0.20000000001164153</v>
      </c>
      <c r="L472" s="841"/>
      <c r="M472" s="11"/>
      <c r="O472" s="15"/>
    </row>
    <row r="473" spans="1:15" outlineLevel="2">
      <c r="A473" s="11">
        <f t="shared" si="84"/>
        <v>469</v>
      </c>
      <c r="B473" s="11" t="s">
        <v>911</v>
      </c>
      <c r="C473" s="17" t="s">
        <v>916</v>
      </c>
      <c r="D473" s="12" t="s">
        <v>2298</v>
      </c>
      <c r="E473" s="13">
        <v>171256.71</v>
      </c>
      <c r="G473" s="13">
        <f t="shared" si="87"/>
        <v>171256.71</v>
      </c>
      <c r="H473" s="13">
        <v>-171257</v>
      </c>
      <c r="I473" s="13">
        <v>0</v>
      </c>
      <c r="K473" s="14">
        <f t="shared" si="88"/>
        <v>-0.29000000000814907</v>
      </c>
      <c r="M473" s="11"/>
      <c r="O473" s="15"/>
    </row>
    <row r="474" spans="1:15" outlineLevel="2">
      <c r="A474" s="11">
        <f t="shared" si="84"/>
        <v>470</v>
      </c>
      <c r="B474" s="11" t="s">
        <v>911</v>
      </c>
      <c r="C474" s="17" t="s">
        <v>917</v>
      </c>
      <c r="D474" s="12" t="s">
        <v>918</v>
      </c>
      <c r="E474" s="13">
        <v>25505.599999999999</v>
      </c>
      <c r="G474" s="13">
        <f t="shared" si="87"/>
        <v>25505.599999999999</v>
      </c>
      <c r="H474" s="13">
        <v>-25506</v>
      </c>
      <c r="I474" s="13">
        <v>0</v>
      </c>
      <c r="K474" s="14">
        <f t="shared" si="88"/>
        <v>-0.40000000000145519</v>
      </c>
      <c r="M474" s="11"/>
      <c r="O474" s="15"/>
    </row>
    <row r="475" spans="1:15" outlineLevel="2">
      <c r="A475" s="11">
        <f t="shared" si="84"/>
        <v>471</v>
      </c>
      <c r="B475" s="11" t="s">
        <v>911</v>
      </c>
      <c r="C475" s="17" t="s">
        <v>919</v>
      </c>
      <c r="D475" s="12" t="s">
        <v>920</v>
      </c>
      <c r="E475" s="13">
        <v>297423</v>
      </c>
      <c r="G475" s="13">
        <f t="shared" si="87"/>
        <v>297423</v>
      </c>
      <c r="H475" s="13">
        <v>-297423</v>
      </c>
      <c r="I475" s="13">
        <v>0</v>
      </c>
      <c r="K475" s="14">
        <f t="shared" si="88"/>
        <v>0</v>
      </c>
      <c r="M475" s="11"/>
      <c r="O475" s="15"/>
    </row>
    <row r="476" spans="1:15" outlineLevel="2">
      <c r="A476" s="11">
        <f t="shared" si="84"/>
        <v>472</v>
      </c>
      <c r="B476" s="11" t="s">
        <v>911</v>
      </c>
      <c r="C476" s="17" t="s">
        <v>921</v>
      </c>
      <c r="D476" s="12" t="s">
        <v>2299</v>
      </c>
      <c r="E476" s="13">
        <v>253597.44</v>
      </c>
      <c r="G476" s="13">
        <f t="shared" si="87"/>
        <v>253597.44</v>
      </c>
      <c r="H476" s="13">
        <v>-253597</v>
      </c>
      <c r="I476" s="13">
        <v>0</v>
      </c>
      <c r="K476" s="14">
        <f t="shared" si="88"/>
        <v>0.44000000000232831</v>
      </c>
      <c r="M476" s="11"/>
      <c r="O476" s="15"/>
    </row>
    <row r="477" spans="1:15" outlineLevel="2">
      <c r="A477" s="11">
        <f t="shared" si="84"/>
        <v>473</v>
      </c>
      <c r="B477" s="11" t="s">
        <v>911</v>
      </c>
      <c r="C477" s="17" t="s">
        <v>922</v>
      </c>
      <c r="D477" s="12" t="s">
        <v>923</v>
      </c>
      <c r="E477" s="13">
        <v>1079091.51</v>
      </c>
      <c r="G477" s="13">
        <f t="shared" si="87"/>
        <v>1079091.51</v>
      </c>
      <c r="H477" s="13">
        <v>-1079092</v>
      </c>
      <c r="I477" s="13">
        <v>0</v>
      </c>
      <c r="K477" s="14">
        <f t="shared" si="88"/>
        <v>-0.48999999999068677</v>
      </c>
      <c r="M477" s="11"/>
      <c r="O477" s="15"/>
    </row>
    <row r="478" spans="1:15" outlineLevel="2">
      <c r="A478" s="11">
        <f t="shared" si="84"/>
        <v>474</v>
      </c>
      <c r="B478" s="11" t="s">
        <v>911</v>
      </c>
      <c r="C478" s="17" t="s">
        <v>924</v>
      </c>
      <c r="D478" s="12" t="s">
        <v>2300</v>
      </c>
      <c r="E478" s="13">
        <v>425706.26</v>
      </c>
      <c r="G478" s="13">
        <f t="shared" si="87"/>
        <v>425706.26</v>
      </c>
      <c r="H478" s="13">
        <v>-425706</v>
      </c>
      <c r="I478" s="13">
        <v>0</v>
      </c>
      <c r="K478" s="14">
        <f t="shared" si="88"/>
        <v>0.26000000000931323</v>
      </c>
      <c r="M478" s="11"/>
      <c r="O478" s="15"/>
    </row>
    <row r="479" spans="1:15" outlineLevel="2">
      <c r="A479" s="11">
        <f t="shared" si="84"/>
        <v>475</v>
      </c>
      <c r="B479" s="11" t="s">
        <v>911</v>
      </c>
      <c r="C479" s="17" t="s">
        <v>925</v>
      </c>
      <c r="D479" s="12" t="s">
        <v>926</v>
      </c>
      <c r="E479" s="13">
        <v>108040.31</v>
      </c>
      <c r="G479" s="13">
        <f t="shared" si="87"/>
        <v>108040.31</v>
      </c>
      <c r="H479" s="13">
        <v>-108040</v>
      </c>
      <c r="I479" s="13">
        <v>0</v>
      </c>
      <c r="K479" s="14">
        <f t="shared" si="88"/>
        <v>0.30999999999767169</v>
      </c>
      <c r="M479" s="11"/>
      <c r="O479" s="15"/>
    </row>
    <row r="480" spans="1:15" outlineLevel="2">
      <c r="A480" s="11">
        <f t="shared" si="84"/>
        <v>476</v>
      </c>
      <c r="B480" s="11" t="s">
        <v>911</v>
      </c>
      <c r="C480" s="17" t="s">
        <v>927</v>
      </c>
      <c r="D480" s="12" t="s">
        <v>928</v>
      </c>
      <c r="E480" s="13">
        <v>6494</v>
      </c>
      <c r="G480" s="13">
        <f t="shared" si="87"/>
        <v>6494</v>
      </c>
      <c r="H480" s="13">
        <v>-6494</v>
      </c>
      <c r="I480" s="13">
        <v>0</v>
      </c>
      <c r="K480" s="14">
        <f t="shared" si="88"/>
        <v>0</v>
      </c>
      <c r="M480" s="11"/>
      <c r="O480" s="15"/>
    </row>
    <row r="481" spans="1:15" outlineLevel="2">
      <c r="A481" s="11">
        <f t="shared" si="84"/>
        <v>477</v>
      </c>
      <c r="B481" s="11" t="s">
        <v>911</v>
      </c>
      <c r="C481" s="17" t="s">
        <v>929</v>
      </c>
      <c r="D481" s="12" t="s">
        <v>930</v>
      </c>
      <c r="E481" s="13">
        <v>102282.9</v>
      </c>
      <c r="G481" s="13">
        <f t="shared" si="87"/>
        <v>102282.9</v>
      </c>
      <c r="H481" s="13">
        <v>-102283</v>
      </c>
      <c r="I481" s="13">
        <v>0</v>
      </c>
      <c r="K481" s="14">
        <f t="shared" si="88"/>
        <v>-0.10000000000582077</v>
      </c>
      <c r="M481" s="11"/>
      <c r="O481" s="15"/>
    </row>
    <row r="482" spans="1:15" outlineLevel="2">
      <c r="A482" s="11">
        <f t="shared" si="84"/>
        <v>478</v>
      </c>
      <c r="B482" s="11" t="s">
        <v>911</v>
      </c>
      <c r="C482" s="17" t="s">
        <v>931</v>
      </c>
      <c r="D482" s="12" t="s">
        <v>932</v>
      </c>
      <c r="E482" s="13">
        <v>1237730.0900000001</v>
      </c>
      <c r="G482" s="13">
        <f t="shared" si="87"/>
        <v>1237730.0900000001</v>
      </c>
      <c r="H482" s="13">
        <v>-1237730</v>
      </c>
      <c r="I482" s="13">
        <v>0</v>
      </c>
      <c r="K482" s="14">
        <f t="shared" si="88"/>
        <v>9.0000000083819032E-2</v>
      </c>
      <c r="M482" s="11"/>
      <c r="O482" s="15"/>
    </row>
    <row r="483" spans="1:15" outlineLevel="2">
      <c r="A483" s="11">
        <f t="shared" si="84"/>
        <v>479</v>
      </c>
      <c r="B483" s="11" t="s">
        <v>911</v>
      </c>
      <c r="C483" s="17" t="s">
        <v>933</v>
      </c>
      <c r="D483" s="12" t="s">
        <v>2287</v>
      </c>
      <c r="E483" s="13">
        <v>920941.25</v>
      </c>
      <c r="G483" s="13">
        <f t="shared" si="87"/>
        <v>920941.25</v>
      </c>
      <c r="H483" s="13">
        <v>-920941</v>
      </c>
      <c r="I483" s="13">
        <v>0</v>
      </c>
      <c r="K483" s="14">
        <f t="shared" si="88"/>
        <v>0.25</v>
      </c>
      <c r="M483" s="11"/>
      <c r="O483" s="15"/>
    </row>
    <row r="484" spans="1:15" ht="12.75" customHeight="1" outlineLevel="2">
      <c r="A484" s="11">
        <f t="shared" si="84"/>
        <v>480</v>
      </c>
      <c r="B484" s="11" t="s">
        <v>911</v>
      </c>
      <c r="C484" s="17" t="s">
        <v>934</v>
      </c>
      <c r="D484" s="12" t="s">
        <v>2286</v>
      </c>
      <c r="E484" s="13">
        <v>474403.84000000003</v>
      </c>
      <c r="G484" s="13">
        <f t="shared" si="87"/>
        <v>474403.84000000003</v>
      </c>
      <c r="H484" s="13">
        <v>-474404</v>
      </c>
      <c r="I484" s="13">
        <v>0</v>
      </c>
      <c r="K484" s="14">
        <f t="shared" si="88"/>
        <v>-0.15999999997438863</v>
      </c>
      <c r="L484" s="12"/>
      <c r="M484" s="11"/>
      <c r="O484" s="15"/>
    </row>
    <row r="485" spans="1:15" outlineLevel="2">
      <c r="A485" s="11">
        <f t="shared" si="84"/>
        <v>481</v>
      </c>
      <c r="B485" s="11" t="s">
        <v>911</v>
      </c>
      <c r="C485" s="17" t="s">
        <v>935</v>
      </c>
      <c r="D485" s="12" t="s">
        <v>936</v>
      </c>
      <c r="E485" s="13">
        <v>318567.84999999998</v>
      </c>
      <c r="G485" s="13">
        <f t="shared" si="87"/>
        <v>318567.84999999998</v>
      </c>
      <c r="H485" s="13">
        <v>-318568</v>
      </c>
      <c r="I485" s="13">
        <v>0</v>
      </c>
      <c r="K485" s="14">
        <f t="shared" si="88"/>
        <v>-0.15000000002328306</v>
      </c>
      <c r="L485" s="495"/>
      <c r="M485" s="11"/>
      <c r="O485" s="15"/>
    </row>
    <row r="486" spans="1:15" outlineLevel="2">
      <c r="A486" s="11">
        <f t="shared" si="84"/>
        <v>482</v>
      </c>
      <c r="B486" s="11" t="s">
        <v>911</v>
      </c>
      <c r="C486" s="12" t="s">
        <v>937</v>
      </c>
      <c r="D486" s="12" t="s">
        <v>938</v>
      </c>
      <c r="E486" s="13">
        <v>216162.68</v>
      </c>
      <c r="G486" s="13">
        <f t="shared" si="87"/>
        <v>216162.68</v>
      </c>
      <c r="H486" s="13">
        <v>-216163</v>
      </c>
      <c r="I486" s="13">
        <v>0</v>
      </c>
      <c r="K486" s="14">
        <f t="shared" si="88"/>
        <v>-0.32000000000698492</v>
      </c>
      <c r="M486" s="11"/>
      <c r="O486" s="15"/>
    </row>
    <row r="487" spans="1:15" s="6" customFormat="1" ht="13.5" outlineLevel="1" thickBot="1">
      <c r="A487" s="11">
        <f t="shared" si="84"/>
        <v>483</v>
      </c>
      <c r="B487" s="18" t="s">
        <v>939</v>
      </c>
      <c r="C487" s="20"/>
      <c r="D487" s="20" t="s">
        <v>940</v>
      </c>
      <c r="E487" s="21">
        <f>SUBTOTAL(9,E470:E486)</f>
        <v>6695625.6799999988</v>
      </c>
      <c r="F487" s="21">
        <f t="shared" ref="F487:G487" si="89">SUBTOTAL(9,F470:F486)</f>
        <v>0</v>
      </c>
      <c r="G487" s="21">
        <f t="shared" si="89"/>
        <v>6695625.6799999988</v>
      </c>
      <c r="H487" s="21">
        <f>SUBTOTAL(9,H470:H486)</f>
        <v>-6695626</v>
      </c>
      <c r="I487" s="21">
        <f>SUBTOTAL(9,I470:I486)</f>
        <v>0</v>
      </c>
      <c r="J487" s="21"/>
      <c r="K487" s="22">
        <f>SUBTOTAL(9,K470:K486)</f>
        <v>-0.31999999992694939</v>
      </c>
      <c r="L487" s="23"/>
      <c r="M487" s="3"/>
      <c r="N487" s="3"/>
      <c r="O487" s="8"/>
    </row>
    <row r="488" spans="1:15" ht="13.5" customHeight="1" outlineLevel="2" thickTop="1">
      <c r="A488" s="11">
        <f t="shared" si="84"/>
        <v>484</v>
      </c>
      <c r="B488" s="11" t="s">
        <v>941</v>
      </c>
      <c r="C488" s="506" t="s">
        <v>2329</v>
      </c>
      <c r="D488" s="1" t="s">
        <v>942</v>
      </c>
      <c r="E488" s="13">
        <v>287835</v>
      </c>
      <c r="G488" s="13">
        <f>E488+F488</f>
        <v>287835</v>
      </c>
      <c r="H488" s="13">
        <v>0</v>
      </c>
      <c r="I488" s="13">
        <v>0</v>
      </c>
      <c r="K488" s="14">
        <f>SUM(G488:J488)</f>
        <v>287835</v>
      </c>
      <c r="L488" s="842"/>
      <c r="M488" s="11"/>
      <c r="O488" s="15"/>
    </row>
    <row r="489" spans="1:15" s="11" customFormat="1" ht="13.5" customHeight="1" outlineLevel="2">
      <c r="A489" s="11">
        <f t="shared" si="84"/>
        <v>485</v>
      </c>
      <c r="B489" s="11" t="s">
        <v>941</v>
      </c>
      <c r="C489" s="506" t="s">
        <v>2330</v>
      </c>
      <c r="D489" s="12" t="s">
        <v>943</v>
      </c>
      <c r="E489" s="13">
        <v>11422174</v>
      </c>
      <c r="F489" s="13"/>
      <c r="G489" s="13">
        <f t="shared" ref="G489:G495" si="90">E489+F489</f>
        <v>11422174</v>
      </c>
      <c r="H489" s="13">
        <v>-8728156</v>
      </c>
      <c r="I489" s="13">
        <v>0</v>
      </c>
      <c r="J489" s="13"/>
      <c r="K489" s="14">
        <f t="shared" ref="K489:K495" si="91">SUM(G489:J489)</f>
        <v>2694018</v>
      </c>
      <c r="L489" s="843"/>
      <c r="O489" s="15"/>
    </row>
    <row r="490" spans="1:15" s="11" customFormat="1" outlineLevel="2">
      <c r="A490" s="11">
        <f t="shared" si="84"/>
        <v>486</v>
      </c>
      <c r="B490" s="11" t="s">
        <v>941</v>
      </c>
      <c r="C490" s="506" t="s">
        <v>2333</v>
      </c>
      <c r="D490" s="12" t="s">
        <v>944</v>
      </c>
      <c r="E490" s="13">
        <v>2978205</v>
      </c>
      <c r="F490" s="13"/>
      <c r="G490" s="13">
        <f t="shared" si="90"/>
        <v>2978205</v>
      </c>
      <c r="H490" s="13">
        <v>0</v>
      </c>
      <c r="I490" s="13">
        <v>0</v>
      </c>
      <c r="J490" s="13"/>
      <c r="K490" s="14">
        <f t="shared" si="91"/>
        <v>2978205</v>
      </c>
      <c r="L490" s="843"/>
      <c r="O490" s="15"/>
    </row>
    <row r="491" spans="1:15" s="11" customFormat="1" outlineLevel="2">
      <c r="A491" s="11">
        <f t="shared" si="84"/>
        <v>487</v>
      </c>
      <c r="B491" s="11" t="s">
        <v>941</v>
      </c>
      <c r="C491" s="506" t="s">
        <v>2331</v>
      </c>
      <c r="D491" s="12" t="s">
        <v>892</v>
      </c>
      <c r="E491" s="13">
        <v>237296</v>
      </c>
      <c r="F491" s="13"/>
      <c r="G491" s="13">
        <f t="shared" si="90"/>
        <v>237296</v>
      </c>
      <c r="H491" s="13"/>
      <c r="I491" s="13"/>
      <c r="J491" s="13"/>
      <c r="K491" s="14">
        <f t="shared" si="91"/>
        <v>237296</v>
      </c>
      <c r="L491" s="843"/>
      <c r="O491" s="15"/>
    </row>
    <row r="492" spans="1:15" s="11" customFormat="1" outlineLevel="2">
      <c r="A492" s="11">
        <f t="shared" si="84"/>
        <v>488</v>
      </c>
      <c r="B492" s="11" t="s">
        <v>941</v>
      </c>
      <c r="C492" s="506" t="s">
        <v>2332</v>
      </c>
      <c r="D492" s="12" t="s">
        <v>2307</v>
      </c>
      <c r="E492" s="13">
        <v>121495</v>
      </c>
      <c r="F492" s="13"/>
      <c r="G492" s="13">
        <f t="shared" si="90"/>
        <v>121495</v>
      </c>
      <c r="H492" s="13">
        <f>-(E492*0.75)</f>
        <v>-91121.25</v>
      </c>
      <c r="I492" s="13"/>
      <c r="J492" s="13"/>
      <c r="K492" s="14">
        <f t="shared" si="91"/>
        <v>30373.75</v>
      </c>
      <c r="L492" s="843"/>
      <c r="O492" s="15"/>
    </row>
    <row r="493" spans="1:15" s="11" customFormat="1" outlineLevel="2">
      <c r="A493" s="11">
        <f t="shared" si="84"/>
        <v>489</v>
      </c>
      <c r="B493" s="11" t="s">
        <v>941</v>
      </c>
      <c r="C493" s="506" t="s">
        <v>1725</v>
      </c>
      <c r="D493" s="12" t="s">
        <v>2308</v>
      </c>
      <c r="E493" s="13">
        <v>692335</v>
      </c>
      <c r="F493" s="13"/>
      <c r="G493" s="13">
        <f t="shared" si="90"/>
        <v>692335</v>
      </c>
      <c r="H493" s="13">
        <f>-(E493*0.75)</f>
        <v>-519251.25</v>
      </c>
      <c r="I493" s="13"/>
      <c r="J493" s="13"/>
      <c r="K493" s="14">
        <f t="shared" si="91"/>
        <v>173083.75</v>
      </c>
      <c r="L493" s="843"/>
      <c r="O493" s="15"/>
    </row>
    <row r="494" spans="1:15" s="11" customFormat="1" outlineLevel="2">
      <c r="A494" s="11">
        <f t="shared" si="84"/>
        <v>490</v>
      </c>
      <c r="B494" s="11" t="s">
        <v>941</v>
      </c>
      <c r="C494" s="506" t="s">
        <v>2328</v>
      </c>
      <c r="D494" s="12" t="s">
        <v>945</v>
      </c>
      <c r="E494" s="13">
        <v>12752527</v>
      </c>
      <c r="F494" s="13"/>
      <c r="G494" s="13">
        <f t="shared" si="90"/>
        <v>12752527</v>
      </c>
      <c r="H494" s="13">
        <f>-(E494*0.75)</f>
        <v>-9564395.25</v>
      </c>
      <c r="I494" s="13">
        <v>0</v>
      </c>
      <c r="J494" s="13"/>
      <c r="K494" s="14">
        <f t="shared" si="91"/>
        <v>3188131.75</v>
      </c>
      <c r="L494" s="843"/>
      <c r="O494" s="15"/>
    </row>
    <row r="495" spans="1:15" s="11" customFormat="1" outlineLevel="2">
      <c r="A495" s="11">
        <f t="shared" si="84"/>
        <v>491</v>
      </c>
      <c r="B495" s="11" t="s">
        <v>941</v>
      </c>
      <c r="C495" s="506" t="s">
        <v>1508</v>
      </c>
      <c r="D495" s="12" t="s">
        <v>2309</v>
      </c>
      <c r="E495" s="13">
        <v>445483</v>
      </c>
      <c r="F495" s="13"/>
      <c r="G495" s="13">
        <f t="shared" si="90"/>
        <v>445483</v>
      </c>
      <c r="H495" s="13"/>
      <c r="I495" s="13"/>
      <c r="J495" s="13"/>
      <c r="K495" s="14">
        <f t="shared" si="91"/>
        <v>445483</v>
      </c>
      <c r="L495" s="496"/>
      <c r="O495" s="15"/>
    </row>
    <row r="496" spans="1:15" s="3" customFormat="1" ht="13.5" outlineLevel="1" thickBot="1">
      <c r="A496" s="11">
        <f t="shared" si="84"/>
        <v>492</v>
      </c>
      <c r="B496" s="18" t="s">
        <v>946</v>
      </c>
      <c r="C496" s="28"/>
      <c r="D496" s="20" t="s">
        <v>947</v>
      </c>
      <c r="E496" s="21">
        <f>SUBTOTAL(9,E488:E495)</f>
        <v>28937350</v>
      </c>
      <c r="F496" s="21">
        <f t="shared" ref="F496" si="92">SUBTOTAL(9,F488:F494)</f>
        <v>0</v>
      </c>
      <c r="G496" s="21">
        <f>SUBTOTAL(9,G488:G495)</f>
        <v>28937350</v>
      </c>
      <c r="H496" s="21">
        <f>SUBTOTAL(9,H488:H494)</f>
        <v>-18902923.75</v>
      </c>
      <c r="I496" s="21">
        <f>SUBTOTAL(9,I488:I494)</f>
        <v>0</v>
      </c>
      <c r="J496" s="21"/>
      <c r="K496" s="22">
        <f>SUBTOTAL(9,K488:K495)</f>
        <v>10034426.25</v>
      </c>
      <c r="L496" s="29"/>
      <c r="O496" s="8"/>
    </row>
    <row r="497" spans="1:18" s="11" customFormat="1" ht="13.5" outlineLevel="2" thickTop="1">
      <c r="A497" s="11">
        <f t="shared" si="84"/>
        <v>493</v>
      </c>
      <c r="B497" s="11" t="s">
        <v>948</v>
      </c>
      <c r="C497" s="15"/>
      <c r="D497" s="12" t="s">
        <v>616</v>
      </c>
      <c r="E497" s="13">
        <v>2370872.7999999998</v>
      </c>
      <c r="F497" s="13"/>
      <c r="G497" s="13">
        <f>E497+F497</f>
        <v>2370872.7999999998</v>
      </c>
      <c r="H497" s="13">
        <v>-1772523</v>
      </c>
      <c r="I497" s="13"/>
      <c r="J497" s="13"/>
      <c r="K497" s="14">
        <f>SUM(G497:J497)</f>
        <v>598349.79999999981</v>
      </c>
      <c r="O497" s="15"/>
    </row>
    <row r="498" spans="1:18" s="11" customFormat="1" outlineLevel="2">
      <c r="A498" s="11">
        <f t="shared" si="84"/>
        <v>494</v>
      </c>
      <c r="B498" s="11" t="s">
        <v>948</v>
      </c>
      <c r="C498" s="15"/>
      <c r="D498" s="12" t="s">
        <v>2426</v>
      </c>
      <c r="E498" s="13">
        <v>6186445.3200000003</v>
      </c>
      <c r="F498" s="13">
        <v>1273100</v>
      </c>
      <c r="G498" s="13">
        <f t="shared" ref="G498:G502" si="93">E498+F498</f>
        <v>7459545.3200000003</v>
      </c>
      <c r="H498" s="13">
        <v>-933623</v>
      </c>
      <c r="I498" s="13"/>
      <c r="J498" s="13"/>
      <c r="K498" s="14">
        <f t="shared" ref="K498:K502" si="94">SUM(G498:J498)</f>
        <v>6525922.3200000003</v>
      </c>
      <c r="O498" s="15"/>
    </row>
    <row r="499" spans="1:18" s="11" customFormat="1" outlineLevel="2">
      <c r="A499" s="11">
        <f t="shared" si="84"/>
        <v>495</v>
      </c>
      <c r="B499" s="11" t="s">
        <v>948</v>
      </c>
      <c r="C499" s="15"/>
      <c r="D499" s="12" t="s">
        <v>310</v>
      </c>
      <c r="E499" s="13">
        <v>10953005.529999999</v>
      </c>
      <c r="F499" s="13">
        <v>9187100</v>
      </c>
      <c r="G499" s="13">
        <f t="shared" si="93"/>
        <v>20140105.530000001</v>
      </c>
      <c r="H499" s="13">
        <v>-2565236</v>
      </c>
      <c r="I499" s="13"/>
      <c r="J499" s="13"/>
      <c r="K499" s="14">
        <f t="shared" si="94"/>
        <v>17574869.530000001</v>
      </c>
      <c r="O499" s="15"/>
    </row>
    <row r="500" spans="1:18" s="11" customFormat="1" outlineLevel="2">
      <c r="A500" s="11">
        <f t="shared" si="84"/>
        <v>496</v>
      </c>
      <c r="B500" s="11" t="s">
        <v>948</v>
      </c>
      <c r="C500" s="15"/>
      <c r="D500" s="12" t="s">
        <v>721</v>
      </c>
      <c r="E500" s="13">
        <v>85427858.540000007</v>
      </c>
      <c r="F500" s="13">
        <v>3851000</v>
      </c>
      <c r="G500" s="13">
        <f t="shared" si="93"/>
        <v>89278858.540000007</v>
      </c>
      <c r="H500" s="13">
        <v>-42372683</v>
      </c>
      <c r="I500" s="13"/>
      <c r="J500" s="13"/>
      <c r="K500" s="14">
        <f t="shared" si="94"/>
        <v>46906175.540000007</v>
      </c>
      <c r="O500" s="15"/>
    </row>
    <row r="501" spans="1:18" s="11" customFormat="1" outlineLevel="2">
      <c r="A501" s="11">
        <f t="shared" si="84"/>
        <v>497</v>
      </c>
      <c r="B501" s="11" t="s">
        <v>948</v>
      </c>
      <c r="C501" s="15"/>
      <c r="D501" s="12" t="s">
        <v>2427</v>
      </c>
      <c r="E501" s="13">
        <v>10079122.77</v>
      </c>
      <c r="F501" s="13">
        <v>1289400</v>
      </c>
      <c r="G501" s="13">
        <f t="shared" si="93"/>
        <v>11368522.77</v>
      </c>
      <c r="H501" s="13">
        <v>-7015929</v>
      </c>
      <c r="I501" s="13"/>
      <c r="J501" s="13"/>
      <c r="K501" s="14">
        <f t="shared" si="94"/>
        <v>4352593.7699999996</v>
      </c>
      <c r="O501" s="15"/>
    </row>
    <row r="502" spans="1:18" s="11" customFormat="1" outlineLevel="2">
      <c r="A502" s="11">
        <f t="shared" si="84"/>
        <v>498</v>
      </c>
      <c r="B502" s="11" t="s">
        <v>948</v>
      </c>
      <c r="C502" s="15"/>
      <c r="D502" s="12" t="s">
        <v>806</v>
      </c>
      <c r="E502" s="13">
        <v>10234030.529999999</v>
      </c>
      <c r="F502" s="13">
        <v>10665000</v>
      </c>
      <c r="G502" s="13">
        <f t="shared" si="93"/>
        <v>20899030.530000001</v>
      </c>
      <c r="H502" s="13">
        <v>-3344088</v>
      </c>
      <c r="I502" s="13"/>
      <c r="J502" s="13"/>
      <c r="K502" s="14">
        <f t="shared" si="94"/>
        <v>17554942.530000001</v>
      </c>
      <c r="O502" s="15"/>
    </row>
    <row r="503" spans="1:18" s="3" customFormat="1" ht="13.5" outlineLevel="1" thickBot="1">
      <c r="A503" s="11">
        <f t="shared" si="84"/>
        <v>499</v>
      </c>
      <c r="B503" s="18" t="s">
        <v>949</v>
      </c>
      <c r="C503" s="20"/>
      <c r="D503" s="20" t="s">
        <v>950</v>
      </c>
      <c r="E503" s="30">
        <f>SUBTOTAL(9,E497:E502)</f>
        <v>125251335.48999999</v>
      </c>
      <c r="F503" s="30">
        <f t="shared" ref="F503:I503" si="95">SUBTOTAL(9,F497:F502)</f>
        <v>26265600</v>
      </c>
      <c r="G503" s="30">
        <f t="shared" si="95"/>
        <v>151516935.49000001</v>
      </c>
      <c r="H503" s="30">
        <f t="shared" si="95"/>
        <v>-58004082</v>
      </c>
      <c r="I503" s="30">
        <f t="shared" si="95"/>
        <v>0</v>
      </c>
      <c r="J503" s="30"/>
      <c r="K503" s="30">
        <f>SUBTOTAL(9,K497:K502)</f>
        <v>93512853.49000001</v>
      </c>
      <c r="L503" s="8"/>
    </row>
    <row r="504" spans="1:18" s="3" customFormat="1" ht="14" thickTop="1" thickBot="1">
      <c r="A504" s="11">
        <f t="shared" si="84"/>
        <v>500</v>
      </c>
      <c r="B504" s="507" t="s">
        <v>951</v>
      </c>
      <c r="C504" s="508"/>
      <c r="D504" s="508" t="s">
        <v>952</v>
      </c>
      <c r="E504" s="509">
        <f>SUBTOTAL(9,E4:E502)</f>
        <v>1572665857.3599999</v>
      </c>
      <c r="F504" s="509">
        <f t="shared" ref="F504:J504" si="96">SUBTOTAL(9,F4:F502)</f>
        <v>100691014</v>
      </c>
      <c r="G504" s="509">
        <f t="shared" si="96"/>
        <v>1673356871.3600001</v>
      </c>
      <c r="H504" s="509">
        <f t="shared" si="96"/>
        <v>-124391892.75</v>
      </c>
      <c r="I504" s="509">
        <f t="shared" si="96"/>
        <v>-18736175.560470011</v>
      </c>
      <c r="J504" s="509">
        <f t="shared" si="96"/>
        <v>-7807000</v>
      </c>
      <c r="K504" s="509">
        <f>SUBTOTAL(9,K4:K502)</f>
        <v>1522421803.0495305</v>
      </c>
      <c r="L504" s="8"/>
    </row>
    <row r="505" spans="1:18" s="11" customFormat="1" ht="13.5" thickTop="1">
      <c r="A505" s="11">
        <f t="shared" si="84"/>
        <v>501</v>
      </c>
      <c r="C505" s="15"/>
      <c r="D505" s="1" t="s">
        <v>953</v>
      </c>
      <c r="E505" s="31">
        <f>E504-E503-E496</f>
        <v>1418477171.8699999</v>
      </c>
      <c r="F505" s="31">
        <f>F504-F503-F496</f>
        <v>74425414</v>
      </c>
      <c r="G505" s="31">
        <f>G504-G503-G496</f>
        <v>1492902585.8700001</v>
      </c>
      <c r="H505" s="31">
        <f>H504-H503-H496</f>
        <v>-47484887</v>
      </c>
      <c r="I505" s="32">
        <f>(I504-I503)*-1</f>
        <v>18736175.560470011</v>
      </c>
      <c r="J505" s="32">
        <f>(J504-J503)*-1</f>
        <v>7807000</v>
      </c>
      <c r="K505" s="14">
        <f>K504-K496-K503</f>
        <v>1418874523.3095305</v>
      </c>
      <c r="L505" s="12"/>
      <c r="P505" s="12"/>
      <c r="Q505" s="12"/>
    </row>
    <row r="506" spans="1:18" s="11" customFormat="1">
      <c r="A506" s="11">
        <f t="shared" si="84"/>
        <v>502</v>
      </c>
      <c r="C506" s="15"/>
      <c r="D506" s="1" t="s">
        <v>2320</v>
      </c>
      <c r="E506" s="31"/>
      <c r="F506" s="31"/>
      <c r="G506" s="31"/>
      <c r="H506" s="31"/>
      <c r="I506" s="32"/>
      <c r="J506" s="32"/>
      <c r="K506" s="14"/>
      <c r="L506" s="12"/>
      <c r="P506" s="12"/>
      <c r="Q506" s="12"/>
    </row>
    <row r="507" spans="1:18" s="11" customFormat="1">
      <c r="A507" s="11">
        <f t="shared" si="84"/>
        <v>503</v>
      </c>
      <c r="C507" s="15"/>
      <c r="D507" s="1" t="s">
        <v>2406</v>
      </c>
      <c r="E507" s="31"/>
      <c r="F507" s="31"/>
      <c r="G507" s="31"/>
      <c r="H507" s="31"/>
      <c r="I507" s="32"/>
      <c r="J507" s="32"/>
      <c r="K507" s="14"/>
      <c r="L507" s="12"/>
      <c r="P507" s="12"/>
      <c r="Q507" s="12"/>
    </row>
    <row r="508" spans="1:18" s="11" customFormat="1">
      <c r="C508" s="15"/>
      <c r="D508" s="1" t="s">
        <v>940</v>
      </c>
      <c r="E508" s="31"/>
      <c r="F508" s="31"/>
      <c r="G508" s="31"/>
      <c r="H508" s="31">
        <f>-(H505+H503)</f>
        <v>105488969</v>
      </c>
      <c r="I508" s="31"/>
      <c r="J508" s="31"/>
      <c r="K508" s="14">
        <f>K505+K503+K488+K489+K490</f>
        <v>1518347434.7995305</v>
      </c>
      <c r="L508" s="12"/>
      <c r="P508" s="12"/>
      <c r="Q508" s="12"/>
    </row>
    <row r="509" spans="1:18" s="11" customFormat="1">
      <c r="C509" s="15"/>
      <c r="D509" s="1"/>
      <c r="E509" s="32"/>
      <c r="F509" s="32"/>
      <c r="G509" s="32"/>
      <c r="H509" s="31"/>
      <c r="I509" s="31"/>
      <c r="J509" s="31"/>
      <c r="K509" s="14"/>
      <c r="L509" s="12"/>
      <c r="P509" s="12"/>
      <c r="Q509" s="12"/>
    </row>
    <row r="510" spans="1:18">
      <c r="C510" s="12"/>
      <c r="D510" s="1"/>
      <c r="E510" s="32"/>
      <c r="F510" s="32"/>
      <c r="G510" s="32"/>
      <c r="H510" s="31"/>
      <c r="L510" s="12"/>
      <c r="M510" s="11"/>
    </row>
    <row r="511" spans="1:18">
      <c r="C511" s="12"/>
      <c r="D511" s="1"/>
      <c r="E511" s="659"/>
      <c r="F511" s="659"/>
      <c r="G511" s="659"/>
      <c r="H511" s="659"/>
      <c r="I511" s="659"/>
      <c r="J511" s="659"/>
      <c r="K511" s="659"/>
      <c r="L511" s="1"/>
      <c r="M511" s="11"/>
      <c r="R511" s="13"/>
    </row>
    <row r="512" spans="1:18">
      <c r="C512" s="12"/>
      <c r="D512" s="1"/>
      <c r="E512" s="659"/>
      <c r="F512" s="659"/>
      <c r="G512" s="659"/>
      <c r="H512" s="659"/>
      <c r="I512" s="659"/>
      <c r="J512" s="659"/>
      <c r="K512" s="659"/>
      <c r="L512" s="1"/>
      <c r="M512" s="11"/>
    </row>
    <row r="513" spans="3:18">
      <c r="C513" s="12"/>
      <c r="E513" s="14"/>
      <c r="F513" s="14"/>
      <c r="G513" s="14"/>
      <c r="H513" s="14"/>
      <c r="I513" s="14"/>
      <c r="J513" s="14"/>
      <c r="L513" s="12"/>
      <c r="M513" s="11"/>
    </row>
    <row r="514" spans="3:18">
      <c r="C514" s="12"/>
      <c r="E514" s="14"/>
      <c r="F514" s="14"/>
      <c r="G514" s="14"/>
      <c r="H514" s="14"/>
      <c r="I514" s="14"/>
      <c r="J514" s="14"/>
      <c r="L514" s="12"/>
      <c r="M514" s="11"/>
    </row>
    <row r="515" spans="3:18">
      <c r="C515" s="12"/>
      <c r="E515" s="14"/>
      <c r="F515" s="14"/>
      <c r="G515" s="14"/>
      <c r="H515" s="14"/>
      <c r="I515" s="14"/>
      <c r="J515" s="14"/>
      <c r="L515" s="12"/>
      <c r="M515" s="11"/>
    </row>
    <row r="516" spans="3:18">
      <c r="C516" s="12"/>
      <c r="E516" s="14"/>
      <c r="F516" s="14"/>
      <c r="G516" s="14"/>
      <c r="H516" s="14"/>
      <c r="I516" s="14"/>
      <c r="J516" s="14"/>
      <c r="L516" s="12"/>
      <c r="M516" s="11"/>
    </row>
    <row r="517" spans="3:18">
      <c r="C517" s="12"/>
      <c r="E517" s="14"/>
      <c r="F517" s="14"/>
      <c r="G517" s="14"/>
      <c r="H517" s="14"/>
      <c r="I517" s="14"/>
      <c r="J517" s="14"/>
      <c r="L517" s="12"/>
      <c r="M517" s="11"/>
    </row>
    <row r="518" spans="3:18">
      <c r="C518" s="12"/>
      <c r="E518" s="14"/>
      <c r="F518" s="14"/>
      <c r="G518" s="14"/>
      <c r="H518" s="14"/>
      <c r="I518" s="14"/>
      <c r="J518" s="14"/>
      <c r="L518" s="12"/>
      <c r="M518" s="11"/>
    </row>
    <row r="519" spans="3:18">
      <c r="C519" s="12"/>
      <c r="E519" s="14"/>
      <c r="F519" s="14"/>
      <c r="G519" s="14"/>
      <c r="H519" s="14"/>
      <c r="I519" s="14"/>
      <c r="J519" s="14"/>
      <c r="L519" s="12"/>
      <c r="M519" s="11"/>
    </row>
    <row r="520" spans="3:18">
      <c r="C520" s="12"/>
      <c r="E520" s="14"/>
      <c r="F520" s="14"/>
      <c r="G520" s="14"/>
      <c r="H520" s="14"/>
      <c r="I520" s="14"/>
      <c r="J520" s="14"/>
      <c r="L520" s="12"/>
      <c r="M520" s="11"/>
    </row>
    <row r="521" spans="3:18">
      <c r="C521" s="12"/>
      <c r="E521" s="14"/>
      <c r="F521" s="14"/>
      <c r="G521" s="14"/>
      <c r="H521" s="14"/>
      <c r="I521" s="14"/>
      <c r="J521" s="14"/>
      <c r="L521" s="12"/>
      <c r="M521" s="11"/>
    </row>
    <row r="522" spans="3:18">
      <c r="C522" s="12"/>
      <c r="E522" s="14"/>
      <c r="F522" s="14"/>
      <c r="G522" s="14"/>
      <c r="H522" s="14"/>
      <c r="I522" s="14"/>
      <c r="J522" s="14"/>
      <c r="L522" s="12"/>
      <c r="M522" s="11"/>
    </row>
    <row r="523" spans="3:18">
      <c r="C523" s="12"/>
      <c r="E523" s="14"/>
      <c r="F523" s="14"/>
      <c r="G523" s="14"/>
      <c r="H523" s="14"/>
      <c r="I523" s="14"/>
      <c r="J523" s="14"/>
      <c r="L523" s="12"/>
      <c r="M523" s="11"/>
    </row>
    <row r="524" spans="3:18" s="11" customFormat="1">
      <c r="C524" s="12"/>
      <c r="D524" s="12"/>
      <c r="E524" s="13"/>
      <c r="F524" s="13"/>
      <c r="G524" s="13"/>
      <c r="H524" s="13"/>
      <c r="I524" s="13"/>
      <c r="J524" s="13"/>
      <c r="K524" s="14"/>
      <c r="L524" s="12"/>
      <c r="P524" s="12"/>
      <c r="Q524" s="12"/>
      <c r="R524" s="12"/>
    </row>
    <row r="525" spans="3:18" s="11" customFormat="1">
      <c r="C525" s="12"/>
      <c r="D525" s="12"/>
      <c r="E525" s="13"/>
      <c r="F525" s="13"/>
      <c r="G525" s="13"/>
      <c r="H525" s="13"/>
      <c r="I525" s="13"/>
      <c r="J525" s="13"/>
      <c r="K525" s="14"/>
      <c r="L525" s="12"/>
      <c r="P525" s="12"/>
      <c r="Q525" s="12"/>
      <c r="R525" s="12"/>
    </row>
    <row r="526" spans="3:18" s="11" customFormat="1">
      <c r="C526" s="12"/>
      <c r="D526" s="12"/>
      <c r="E526" s="13"/>
      <c r="F526" s="13"/>
      <c r="G526" s="13"/>
      <c r="H526" s="13"/>
      <c r="I526" s="13"/>
      <c r="J526" s="13"/>
      <c r="K526" s="14"/>
      <c r="L526" s="12"/>
      <c r="P526" s="12"/>
      <c r="Q526" s="12"/>
      <c r="R526" s="12"/>
    </row>
    <row r="527" spans="3:18" s="11" customFormat="1">
      <c r="C527" s="12"/>
      <c r="D527" s="12"/>
      <c r="E527" s="13"/>
      <c r="F527" s="13"/>
      <c r="G527" s="13"/>
      <c r="H527" s="13"/>
      <c r="I527" s="13"/>
      <c r="J527" s="13"/>
      <c r="K527" s="14"/>
      <c r="L527" s="12"/>
      <c r="P527" s="12"/>
      <c r="Q527" s="12"/>
      <c r="R527" s="12"/>
    </row>
    <row r="528" spans="3:18" s="11" customFormat="1">
      <c r="C528" s="12"/>
      <c r="D528" s="12"/>
      <c r="E528" s="13"/>
      <c r="F528" s="13"/>
      <c r="G528" s="13"/>
      <c r="H528" s="13"/>
      <c r="I528" s="13"/>
      <c r="J528" s="13"/>
      <c r="K528" s="14"/>
      <c r="L528" s="12"/>
      <c r="P528" s="12"/>
      <c r="Q528" s="12"/>
      <c r="R528" s="12"/>
    </row>
    <row r="529" spans="3:18" s="11" customFormat="1">
      <c r="C529" s="12"/>
      <c r="D529" s="12"/>
      <c r="E529" s="13"/>
      <c r="F529" s="13"/>
      <c r="G529" s="13"/>
      <c r="H529" s="13"/>
      <c r="I529" s="13"/>
      <c r="J529" s="13"/>
      <c r="K529" s="14"/>
      <c r="L529" s="12"/>
      <c r="P529" s="12"/>
      <c r="Q529" s="12"/>
      <c r="R529" s="12"/>
    </row>
    <row r="530" spans="3:18" s="11" customFormat="1">
      <c r="C530" s="12"/>
      <c r="D530" s="12"/>
      <c r="E530" s="13"/>
      <c r="F530" s="13"/>
      <c r="G530" s="13"/>
      <c r="H530" s="13"/>
      <c r="I530" s="13"/>
      <c r="J530" s="13"/>
      <c r="K530" s="14"/>
      <c r="L530" s="12"/>
      <c r="P530" s="12"/>
      <c r="Q530" s="12"/>
      <c r="R530" s="12"/>
    </row>
    <row r="531" spans="3:18" s="11" customFormat="1">
      <c r="C531" s="12"/>
      <c r="D531" s="12"/>
      <c r="E531" s="13"/>
      <c r="F531" s="13"/>
      <c r="G531" s="13"/>
      <c r="H531" s="13"/>
      <c r="I531" s="13"/>
      <c r="J531" s="13"/>
      <c r="K531" s="14"/>
      <c r="L531" s="12"/>
      <c r="P531" s="12"/>
      <c r="Q531" s="12"/>
      <c r="R531" s="12"/>
    </row>
    <row r="532" spans="3:18" s="11" customFormat="1">
      <c r="C532" s="12"/>
      <c r="D532" s="12"/>
      <c r="E532" s="13"/>
      <c r="F532" s="13"/>
      <c r="G532" s="13"/>
      <c r="H532" s="13"/>
      <c r="I532" s="13"/>
      <c r="J532" s="13"/>
      <c r="K532" s="14"/>
      <c r="L532" s="12"/>
      <c r="P532" s="12"/>
      <c r="Q532" s="12"/>
      <c r="R532" s="12"/>
    </row>
    <row r="533" spans="3:18" s="11" customFormat="1">
      <c r="C533" s="12"/>
      <c r="D533" s="12"/>
      <c r="E533" s="13"/>
      <c r="F533" s="13"/>
      <c r="G533" s="13"/>
      <c r="H533" s="13"/>
      <c r="I533" s="13"/>
      <c r="J533" s="13"/>
      <c r="K533" s="14"/>
      <c r="L533" s="12"/>
      <c r="P533" s="12"/>
      <c r="Q533" s="12"/>
      <c r="R533" s="12"/>
    </row>
    <row r="534" spans="3:18" s="11" customFormat="1">
      <c r="C534" s="12"/>
      <c r="D534" s="12"/>
      <c r="E534" s="13"/>
      <c r="F534" s="13"/>
      <c r="G534" s="13"/>
      <c r="H534" s="13"/>
      <c r="I534" s="13"/>
      <c r="J534" s="13"/>
      <c r="K534" s="14"/>
      <c r="L534" s="12"/>
      <c r="P534" s="12"/>
      <c r="Q534" s="12"/>
      <c r="R534" s="12"/>
    </row>
    <row r="535" spans="3:18" s="11" customFormat="1">
      <c r="C535" s="12"/>
      <c r="D535" s="12"/>
      <c r="E535" s="13"/>
      <c r="F535" s="13"/>
      <c r="G535" s="13"/>
      <c r="H535" s="13"/>
      <c r="I535" s="13"/>
      <c r="J535" s="13"/>
      <c r="K535" s="14"/>
      <c r="L535" s="12"/>
      <c r="P535" s="12"/>
      <c r="Q535" s="12"/>
      <c r="R535" s="12"/>
    </row>
    <row r="536" spans="3:18" s="11" customFormat="1">
      <c r="C536" s="12"/>
      <c r="D536" s="12"/>
      <c r="E536" s="13"/>
      <c r="F536" s="13"/>
      <c r="G536" s="13"/>
      <c r="H536" s="13"/>
      <c r="I536" s="13"/>
      <c r="J536" s="13"/>
      <c r="K536" s="14"/>
      <c r="L536" s="12"/>
      <c r="P536" s="12"/>
      <c r="Q536" s="12"/>
      <c r="R536" s="12"/>
    </row>
    <row r="537" spans="3:18" s="11" customFormat="1">
      <c r="C537" s="12"/>
      <c r="D537" s="12"/>
      <c r="E537" s="13"/>
      <c r="F537" s="13"/>
      <c r="G537" s="13"/>
      <c r="H537" s="13"/>
      <c r="I537" s="13"/>
      <c r="J537" s="13"/>
      <c r="K537" s="14"/>
      <c r="L537" s="12"/>
      <c r="P537" s="12"/>
      <c r="Q537" s="12"/>
      <c r="R537" s="12"/>
    </row>
    <row r="538" spans="3:18" s="11" customFormat="1">
      <c r="C538" s="12"/>
      <c r="D538" s="12"/>
      <c r="E538" s="13"/>
      <c r="F538" s="13"/>
      <c r="G538" s="13"/>
      <c r="H538" s="13"/>
      <c r="I538" s="13"/>
      <c r="J538" s="13"/>
      <c r="K538" s="14"/>
      <c r="L538" s="12"/>
      <c r="P538" s="12"/>
      <c r="Q538" s="12"/>
      <c r="R538" s="12"/>
    </row>
    <row r="539" spans="3:18" s="11" customFormat="1">
      <c r="C539" s="12"/>
      <c r="D539" s="12"/>
      <c r="E539" s="13"/>
      <c r="F539" s="13"/>
      <c r="G539" s="13"/>
      <c r="H539" s="13"/>
      <c r="I539" s="13"/>
      <c r="J539" s="13"/>
      <c r="K539" s="14"/>
      <c r="L539" s="12"/>
      <c r="P539" s="12"/>
      <c r="Q539" s="12"/>
      <c r="R539" s="12"/>
    </row>
    <row r="540" spans="3:18" s="11" customFormat="1">
      <c r="C540" s="12"/>
      <c r="D540" s="12"/>
      <c r="E540" s="13"/>
      <c r="F540" s="13"/>
      <c r="G540" s="13"/>
      <c r="H540" s="13"/>
      <c r="I540" s="13"/>
      <c r="J540" s="13"/>
      <c r="K540" s="14"/>
      <c r="L540" s="12"/>
      <c r="P540" s="12"/>
      <c r="Q540" s="12"/>
      <c r="R540" s="12"/>
    </row>
    <row r="541" spans="3:18" s="11" customFormat="1">
      <c r="C541" s="12"/>
      <c r="D541" s="12"/>
      <c r="E541" s="13"/>
      <c r="F541" s="13"/>
      <c r="G541" s="13"/>
      <c r="H541" s="13"/>
      <c r="I541" s="13"/>
      <c r="J541" s="13"/>
      <c r="K541" s="14"/>
      <c r="L541" s="12"/>
      <c r="P541" s="12"/>
      <c r="Q541" s="12"/>
      <c r="R541" s="12"/>
    </row>
    <row r="542" spans="3:18" s="11" customFormat="1">
      <c r="C542" s="12"/>
      <c r="D542" s="12"/>
      <c r="E542" s="13"/>
      <c r="F542" s="13"/>
      <c r="G542" s="13"/>
      <c r="H542" s="13"/>
      <c r="I542" s="13"/>
      <c r="J542" s="13"/>
      <c r="K542" s="14"/>
      <c r="L542" s="12"/>
      <c r="P542" s="12"/>
      <c r="Q542" s="12"/>
      <c r="R542" s="12"/>
    </row>
    <row r="543" spans="3:18" s="11" customFormat="1">
      <c r="C543" s="12"/>
      <c r="D543" s="12"/>
      <c r="E543" s="13"/>
      <c r="F543" s="13"/>
      <c r="G543" s="13"/>
      <c r="H543" s="13"/>
      <c r="I543" s="13"/>
      <c r="J543" s="13"/>
      <c r="K543" s="14"/>
      <c r="L543" s="12"/>
      <c r="P543" s="12"/>
      <c r="Q543" s="12"/>
      <c r="R543" s="12"/>
    </row>
    <row r="544" spans="3:18" s="11" customFormat="1">
      <c r="C544" s="12"/>
      <c r="D544" s="12"/>
      <c r="E544" s="13"/>
      <c r="F544" s="13"/>
      <c r="G544" s="13"/>
      <c r="H544" s="13"/>
      <c r="I544" s="13"/>
      <c r="J544" s="13"/>
      <c r="K544" s="14"/>
      <c r="L544" s="12"/>
      <c r="P544" s="12"/>
      <c r="Q544" s="12"/>
      <c r="R544" s="12"/>
    </row>
    <row r="545" spans="3:18" s="11" customFormat="1">
      <c r="C545" s="12"/>
      <c r="D545" s="12"/>
      <c r="E545" s="13"/>
      <c r="F545" s="13"/>
      <c r="G545" s="13"/>
      <c r="H545" s="13"/>
      <c r="I545" s="13"/>
      <c r="J545" s="13"/>
      <c r="K545" s="14"/>
      <c r="L545" s="12"/>
      <c r="P545" s="12"/>
      <c r="Q545" s="12"/>
      <c r="R545" s="12"/>
    </row>
    <row r="546" spans="3:18" s="11" customFormat="1">
      <c r="C546" s="12"/>
      <c r="D546" s="12"/>
      <c r="E546" s="13"/>
      <c r="F546" s="13"/>
      <c r="G546" s="13"/>
      <c r="H546" s="13"/>
      <c r="I546" s="13"/>
      <c r="J546" s="13"/>
      <c r="K546" s="14"/>
      <c r="L546" s="12"/>
      <c r="P546" s="12"/>
      <c r="Q546" s="12"/>
      <c r="R546" s="12"/>
    </row>
    <row r="547" spans="3:18" s="11" customFormat="1">
      <c r="C547" s="12"/>
      <c r="D547" s="12"/>
      <c r="E547" s="13"/>
      <c r="F547" s="13"/>
      <c r="G547" s="13"/>
      <c r="H547" s="13"/>
      <c r="I547" s="13"/>
      <c r="J547" s="13"/>
      <c r="K547" s="14"/>
      <c r="L547" s="12"/>
      <c r="P547" s="12"/>
      <c r="Q547" s="12"/>
      <c r="R547" s="12"/>
    </row>
    <row r="548" spans="3:18" s="11" customFormat="1">
      <c r="C548" s="12"/>
      <c r="D548" s="12"/>
      <c r="E548" s="13"/>
      <c r="F548" s="13"/>
      <c r="G548" s="13"/>
      <c r="H548" s="13"/>
      <c r="I548" s="13"/>
      <c r="J548" s="13"/>
      <c r="K548" s="14"/>
      <c r="L548" s="12"/>
      <c r="P548" s="12"/>
      <c r="Q548" s="12"/>
      <c r="R548" s="12"/>
    </row>
    <row r="549" spans="3:18" s="11" customFormat="1">
      <c r="C549" s="12"/>
      <c r="D549" s="12"/>
      <c r="E549" s="13"/>
      <c r="F549" s="13"/>
      <c r="G549" s="13"/>
      <c r="H549" s="13"/>
      <c r="I549" s="13"/>
      <c r="J549" s="13"/>
      <c r="K549" s="14"/>
      <c r="L549" s="12"/>
      <c r="P549" s="12"/>
      <c r="Q549" s="12"/>
      <c r="R549" s="12"/>
    </row>
    <row r="550" spans="3:18" s="11" customFormat="1">
      <c r="C550" s="12"/>
      <c r="D550" s="12"/>
      <c r="E550" s="13"/>
      <c r="F550" s="13"/>
      <c r="G550" s="13"/>
      <c r="H550" s="13"/>
      <c r="I550" s="13"/>
      <c r="J550" s="13"/>
      <c r="K550" s="14"/>
      <c r="L550" s="12"/>
      <c r="P550" s="12"/>
      <c r="Q550" s="12"/>
      <c r="R550" s="12"/>
    </row>
    <row r="551" spans="3:18" s="11" customFormat="1">
      <c r="C551" s="12"/>
      <c r="D551" s="12"/>
      <c r="E551" s="13"/>
      <c r="F551" s="13"/>
      <c r="G551" s="13"/>
      <c r="H551" s="13"/>
      <c r="I551" s="13"/>
      <c r="J551" s="13"/>
      <c r="K551" s="14"/>
      <c r="L551" s="12"/>
      <c r="P551" s="12"/>
      <c r="Q551" s="12"/>
      <c r="R551" s="12"/>
    </row>
    <row r="552" spans="3:18" s="11" customFormat="1">
      <c r="C552" s="12"/>
      <c r="D552" s="12"/>
      <c r="E552" s="13"/>
      <c r="F552" s="13"/>
      <c r="G552" s="13"/>
      <c r="H552" s="13"/>
      <c r="I552" s="13"/>
      <c r="J552" s="13"/>
      <c r="K552" s="14"/>
      <c r="L552" s="12"/>
      <c r="P552" s="12"/>
      <c r="Q552" s="12"/>
      <c r="R552" s="12"/>
    </row>
    <row r="553" spans="3:18" s="11" customFormat="1">
      <c r="C553" s="12"/>
      <c r="D553" s="12"/>
      <c r="E553" s="13"/>
      <c r="F553" s="13"/>
      <c r="G553" s="13"/>
      <c r="H553" s="13"/>
      <c r="I553" s="13"/>
      <c r="J553" s="13"/>
      <c r="K553" s="14"/>
      <c r="L553" s="12"/>
      <c r="P553" s="12"/>
      <c r="Q553" s="12"/>
      <c r="R553" s="12"/>
    </row>
    <row r="554" spans="3:18" s="11" customFormat="1">
      <c r="C554" s="12"/>
      <c r="D554" s="12"/>
      <c r="E554" s="13"/>
      <c r="F554" s="13"/>
      <c r="G554" s="13"/>
      <c r="H554" s="13"/>
      <c r="I554" s="13"/>
      <c r="J554" s="13"/>
      <c r="K554" s="14"/>
      <c r="L554" s="12"/>
      <c r="P554" s="12"/>
      <c r="Q554" s="12"/>
      <c r="R554" s="12"/>
    </row>
    <row r="555" spans="3:18" s="11" customFormat="1">
      <c r="C555" s="12"/>
      <c r="D555" s="12"/>
      <c r="E555" s="13"/>
      <c r="F555" s="13"/>
      <c r="G555" s="13"/>
      <c r="H555" s="13"/>
      <c r="I555" s="13"/>
      <c r="J555" s="13"/>
      <c r="K555" s="14"/>
      <c r="L555" s="12"/>
      <c r="P555" s="12"/>
      <c r="Q555" s="12"/>
      <c r="R555" s="12"/>
    </row>
    <row r="556" spans="3:18" s="11" customFormat="1">
      <c r="C556" s="12"/>
      <c r="D556" s="12"/>
      <c r="E556" s="13"/>
      <c r="F556" s="13"/>
      <c r="G556" s="13"/>
      <c r="H556" s="13"/>
      <c r="I556" s="13"/>
      <c r="J556" s="13"/>
      <c r="K556" s="14"/>
      <c r="L556" s="12"/>
      <c r="P556" s="12"/>
      <c r="Q556" s="12"/>
      <c r="R556" s="12"/>
    </row>
    <row r="557" spans="3:18" s="11" customFormat="1">
      <c r="C557" s="12"/>
      <c r="D557" s="12"/>
      <c r="E557" s="13"/>
      <c r="F557" s="13"/>
      <c r="G557" s="13"/>
      <c r="H557" s="13"/>
      <c r="I557" s="13"/>
      <c r="J557" s="13"/>
      <c r="K557" s="14"/>
      <c r="L557" s="12"/>
      <c r="P557" s="12"/>
      <c r="Q557" s="12"/>
      <c r="R557" s="12"/>
    </row>
    <row r="558" spans="3:18" s="11" customFormat="1">
      <c r="C558" s="12"/>
      <c r="D558" s="12"/>
      <c r="E558" s="13"/>
      <c r="F558" s="13"/>
      <c r="G558" s="13"/>
      <c r="H558" s="13"/>
      <c r="I558" s="13"/>
      <c r="J558" s="13"/>
      <c r="K558" s="14"/>
      <c r="L558" s="12"/>
      <c r="P558" s="12"/>
      <c r="Q558" s="12"/>
      <c r="R558" s="12"/>
    </row>
    <row r="559" spans="3:18" s="11" customFormat="1">
      <c r="C559" s="12"/>
      <c r="D559" s="12"/>
      <c r="E559" s="13"/>
      <c r="F559" s="13"/>
      <c r="G559" s="13"/>
      <c r="H559" s="13"/>
      <c r="I559" s="13"/>
      <c r="J559" s="13"/>
      <c r="K559" s="14"/>
      <c r="L559" s="12"/>
      <c r="P559" s="12"/>
      <c r="Q559" s="12"/>
      <c r="R559" s="12"/>
    </row>
    <row r="560" spans="3:18" s="11" customFormat="1">
      <c r="C560" s="12"/>
      <c r="D560" s="12"/>
      <c r="E560" s="13"/>
      <c r="F560" s="13"/>
      <c r="G560" s="13"/>
      <c r="H560" s="13"/>
      <c r="I560" s="13"/>
      <c r="J560" s="13"/>
      <c r="K560" s="14"/>
      <c r="L560" s="12"/>
      <c r="P560" s="12"/>
      <c r="Q560" s="12"/>
      <c r="R560" s="12"/>
    </row>
    <row r="561" spans="3:18" s="11" customFormat="1">
      <c r="C561" s="12"/>
      <c r="D561" s="12"/>
      <c r="E561" s="13"/>
      <c r="F561" s="13"/>
      <c r="G561" s="13"/>
      <c r="H561" s="13"/>
      <c r="I561" s="13"/>
      <c r="J561" s="13"/>
      <c r="K561" s="14"/>
      <c r="L561" s="12"/>
      <c r="P561" s="12"/>
      <c r="Q561" s="12"/>
      <c r="R561" s="12"/>
    </row>
    <row r="562" spans="3:18" s="11" customFormat="1">
      <c r="C562" s="12"/>
      <c r="D562" s="12"/>
      <c r="E562" s="13"/>
      <c r="F562" s="13"/>
      <c r="G562" s="13"/>
      <c r="H562" s="13"/>
      <c r="I562" s="13"/>
      <c r="J562" s="13"/>
      <c r="K562" s="14"/>
      <c r="L562" s="12"/>
      <c r="P562" s="12"/>
      <c r="Q562" s="12"/>
      <c r="R562" s="12"/>
    </row>
    <row r="563" spans="3:18" s="11" customFormat="1">
      <c r="C563" s="12"/>
      <c r="D563" s="12"/>
      <c r="E563" s="13"/>
      <c r="F563" s="13"/>
      <c r="G563" s="13"/>
      <c r="H563" s="13"/>
      <c r="I563" s="13"/>
      <c r="J563" s="13"/>
      <c r="K563" s="14"/>
      <c r="L563" s="12"/>
      <c r="P563" s="12"/>
      <c r="Q563" s="12"/>
      <c r="R563" s="12"/>
    </row>
    <row r="564" spans="3:18" s="11" customFormat="1">
      <c r="C564" s="12"/>
      <c r="D564" s="12"/>
      <c r="E564" s="13"/>
      <c r="F564" s="13"/>
      <c r="G564" s="13"/>
      <c r="H564" s="13"/>
      <c r="I564" s="13"/>
      <c r="J564" s="13"/>
      <c r="K564" s="14"/>
      <c r="L564" s="12"/>
      <c r="P564" s="12"/>
      <c r="Q564" s="12"/>
      <c r="R564" s="12"/>
    </row>
    <row r="565" spans="3:18" s="11" customFormat="1">
      <c r="C565" s="12"/>
      <c r="D565" s="12"/>
      <c r="E565" s="13"/>
      <c r="F565" s="13"/>
      <c r="G565" s="13"/>
      <c r="H565" s="13"/>
      <c r="I565" s="13"/>
      <c r="J565" s="13"/>
      <c r="K565" s="14"/>
      <c r="L565" s="12"/>
      <c r="P565" s="12"/>
      <c r="Q565" s="12"/>
      <c r="R565" s="12"/>
    </row>
    <row r="566" spans="3:18" s="11" customFormat="1">
      <c r="C566" s="12"/>
      <c r="D566" s="12"/>
      <c r="E566" s="13"/>
      <c r="F566" s="13"/>
      <c r="G566" s="13"/>
      <c r="H566" s="13"/>
      <c r="I566" s="13"/>
      <c r="J566" s="13"/>
      <c r="K566" s="14"/>
      <c r="L566" s="12"/>
      <c r="P566" s="12"/>
      <c r="Q566" s="12"/>
      <c r="R566" s="12"/>
    </row>
    <row r="567" spans="3:18" s="11" customFormat="1">
      <c r="C567" s="12"/>
      <c r="D567" s="12"/>
      <c r="E567" s="13"/>
      <c r="F567" s="13"/>
      <c r="G567" s="13"/>
      <c r="H567" s="13"/>
      <c r="I567" s="13"/>
      <c r="J567" s="13"/>
      <c r="K567" s="14"/>
      <c r="L567" s="12"/>
      <c r="P567" s="12"/>
      <c r="Q567" s="12"/>
      <c r="R567" s="12"/>
    </row>
    <row r="568" spans="3:18" s="11" customFormat="1">
      <c r="C568" s="12"/>
      <c r="D568" s="12"/>
      <c r="E568" s="13"/>
      <c r="F568" s="13"/>
      <c r="G568" s="13"/>
      <c r="H568" s="13"/>
      <c r="I568" s="13"/>
      <c r="J568" s="13"/>
      <c r="K568" s="14"/>
      <c r="L568" s="12"/>
      <c r="P568" s="12"/>
      <c r="Q568" s="12"/>
      <c r="R568" s="12"/>
    </row>
    <row r="569" spans="3:18" s="11" customFormat="1">
      <c r="C569" s="12"/>
      <c r="D569" s="12"/>
      <c r="E569" s="13"/>
      <c r="F569" s="13"/>
      <c r="G569" s="13"/>
      <c r="H569" s="13"/>
      <c r="I569" s="13"/>
      <c r="J569" s="13"/>
      <c r="K569" s="14"/>
      <c r="L569" s="12"/>
      <c r="P569" s="12"/>
      <c r="Q569" s="12"/>
      <c r="R569" s="12"/>
    </row>
    <row r="570" spans="3:18" s="11" customFormat="1">
      <c r="C570" s="12"/>
      <c r="D570" s="12"/>
      <c r="E570" s="13"/>
      <c r="F570" s="13"/>
      <c r="G570" s="13"/>
      <c r="H570" s="13"/>
      <c r="I570" s="13"/>
      <c r="J570" s="13"/>
      <c r="K570" s="14"/>
      <c r="L570" s="12"/>
      <c r="P570" s="12"/>
      <c r="Q570" s="12"/>
      <c r="R570" s="12"/>
    </row>
    <row r="571" spans="3:18" s="11" customFormat="1">
      <c r="C571" s="12"/>
      <c r="D571" s="12"/>
      <c r="E571" s="13"/>
      <c r="F571" s="13"/>
      <c r="G571" s="13"/>
      <c r="H571" s="13"/>
      <c r="I571" s="13"/>
      <c r="J571" s="13"/>
      <c r="K571" s="14"/>
      <c r="L571" s="12"/>
      <c r="P571" s="12"/>
      <c r="Q571" s="12"/>
      <c r="R571" s="12"/>
    </row>
    <row r="572" spans="3:18" s="11" customFormat="1">
      <c r="C572" s="12"/>
      <c r="D572" s="12"/>
      <c r="E572" s="13"/>
      <c r="F572" s="13"/>
      <c r="G572" s="13"/>
      <c r="H572" s="13"/>
      <c r="I572" s="13"/>
      <c r="J572" s="13"/>
      <c r="K572" s="14"/>
      <c r="L572" s="12"/>
      <c r="P572" s="12"/>
      <c r="Q572" s="12"/>
      <c r="R572" s="12"/>
    </row>
    <row r="573" spans="3:18" s="11" customFormat="1">
      <c r="C573" s="12"/>
      <c r="D573" s="12"/>
      <c r="E573" s="13"/>
      <c r="F573" s="13"/>
      <c r="G573" s="13"/>
      <c r="H573" s="13"/>
      <c r="I573" s="13"/>
      <c r="J573" s="13"/>
      <c r="K573" s="14"/>
      <c r="L573" s="12"/>
      <c r="P573" s="12"/>
      <c r="Q573" s="12"/>
      <c r="R573" s="12"/>
    </row>
    <row r="574" spans="3:18" s="11" customFormat="1">
      <c r="C574" s="12"/>
      <c r="D574" s="12"/>
      <c r="E574" s="13"/>
      <c r="F574" s="13"/>
      <c r="G574" s="13"/>
      <c r="H574" s="13"/>
      <c r="I574" s="13"/>
      <c r="J574" s="13"/>
      <c r="K574" s="14"/>
      <c r="L574" s="12"/>
      <c r="P574" s="12"/>
      <c r="Q574" s="12"/>
      <c r="R574" s="12"/>
    </row>
    <row r="575" spans="3:18" s="11" customFormat="1">
      <c r="C575" s="12"/>
      <c r="D575" s="12"/>
      <c r="E575" s="13"/>
      <c r="F575" s="13"/>
      <c r="G575" s="13"/>
      <c r="H575" s="13"/>
      <c r="I575" s="13"/>
      <c r="J575" s="13"/>
      <c r="K575" s="14"/>
      <c r="L575" s="12"/>
      <c r="P575" s="12"/>
      <c r="Q575" s="12"/>
      <c r="R575" s="12"/>
    </row>
    <row r="576" spans="3:18" s="11" customFormat="1">
      <c r="C576" s="12"/>
      <c r="D576" s="12"/>
      <c r="E576" s="13"/>
      <c r="F576" s="13"/>
      <c r="G576" s="13"/>
      <c r="H576" s="13"/>
      <c r="I576" s="13"/>
      <c r="J576" s="13"/>
      <c r="K576" s="14"/>
      <c r="L576" s="12"/>
      <c r="P576" s="12"/>
      <c r="Q576" s="12"/>
      <c r="R576" s="12"/>
    </row>
    <row r="577" spans="3:18" s="11" customFormat="1">
      <c r="C577" s="12"/>
      <c r="D577" s="12"/>
      <c r="E577" s="13"/>
      <c r="F577" s="13"/>
      <c r="G577" s="13"/>
      <c r="H577" s="13"/>
      <c r="I577" s="13"/>
      <c r="J577" s="13"/>
      <c r="K577" s="14"/>
      <c r="L577" s="12"/>
      <c r="P577" s="12"/>
      <c r="Q577" s="12"/>
      <c r="R577" s="12"/>
    </row>
    <row r="578" spans="3:18" s="11" customFormat="1">
      <c r="C578" s="12"/>
      <c r="D578" s="12"/>
      <c r="E578" s="13"/>
      <c r="F578" s="13"/>
      <c r="G578" s="13"/>
      <c r="H578" s="13"/>
      <c r="I578" s="13"/>
      <c r="J578" s="13"/>
      <c r="K578" s="14"/>
      <c r="L578" s="12"/>
      <c r="P578" s="12"/>
      <c r="Q578" s="12"/>
      <c r="R578" s="12"/>
    </row>
    <row r="579" spans="3:18" s="11" customFormat="1">
      <c r="C579" s="12"/>
      <c r="D579" s="12"/>
      <c r="E579" s="13"/>
      <c r="F579" s="13"/>
      <c r="G579" s="13"/>
      <c r="H579" s="13"/>
      <c r="I579" s="13"/>
      <c r="J579" s="13"/>
      <c r="K579" s="14"/>
      <c r="L579" s="12"/>
      <c r="P579" s="12"/>
      <c r="Q579" s="12"/>
      <c r="R579" s="12"/>
    </row>
    <row r="580" spans="3:18" s="11" customFormat="1">
      <c r="C580" s="12"/>
      <c r="D580" s="12"/>
      <c r="E580" s="13"/>
      <c r="F580" s="13"/>
      <c r="G580" s="13"/>
      <c r="H580" s="13"/>
      <c r="I580" s="13"/>
      <c r="J580" s="13"/>
      <c r="K580" s="14"/>
      <c r="L580" s="12"/>
      <c r="P580" s="12"/>
      <c r="Q580" s="12"/>
      <c r="R580" s="12"/>
    </row>
    <row r="581" spans="3:18" s="11" customFormat="1">
      <c r="C581" s="12"/>
      <c r="D581" s="12"/>
      <c r="E581" s="13"/>
      <c r="F581" s="13"/>
      <c r="G581" s="13"/>
      <c r="H581" s="13"/>
      <c r="I581" s="13"/>
      <c r="J581" s="13"/>
      <c r="K581" s="14"/>
      <c r="L581" s="12"/>
      <c r="P581" s="12"/>
      <c r="Q581" s="12"/>
      <c r="R581" s="12"/>
    </row>
    <row r="582" spans="3:18" s="11" customFormat="1">
      <c r="C582" s="12"/>
      <c r="D582" s="12"/>
      <c r="E582" s="13"/>
      <c r="F582" s="13"/>
      <c r="G582" s="13"/>
      <c r="H582" s="13"/>
      <c r="I582" s="13"/>
      <c r="J582" s="13"/>
      <c r="K582" s="14"/>
      <c r="L582" s="12"/>
      <c r="P582" s="12"/>
      <c r="Q582" s="12"/>
      <c r="R582" s="12"/>
    </row>
    <row r="583" spans="3:18" s="11" customFormat="1">
      <c r="C583" s="12"/>
      <c r="D583" s="12"/>
      <c r="E583" s="13"/>
      <c r="F583" s="13"/>
      <c r="G583" s="13"/>
      <c r="H583" s="13"/>
      <c r="I583" s="13"/>
      <c r="J583" s="13"/>
      <c r="K583" s="14"/>
      <c r="L583" s="12"/>
      <c r="P583" s="12"/>
      <c r="Q583" s="12"/>
      <c r="R583" s="12"/>
    </row>
    <row r="584" spans="3:18" s="11" customFormat="1">
      <c r="C584" s="12"/>
      <c r="D584" s="12"/>
      <c r="E584" s="13"/>
      <c r="F584" s="13"/>
      <c r="G584" s="13"/>
      <c r="H584" s="13"/>
      <c r="I584" s="13"/>
      <c r="J584" s="13"/>
      <c r="K584" s="14"/>
      <c r="L584" s="12"/>
      <c r="P584" s="12"/>
      <c r="Q584" s="12"/>
      <c r="R584" s="12"/>
    </row>
    <row r="585" spans="3:18" s="11" customFormat="1">
      <c r="C585" s="12"/>
      <c r="D585" s="12"/>
      <c r="E585" s="13"/>
      <c r="F585" s="13"/>
      <c r="G585" s="13"/>
      <c r="H585" s="13"/>
      <c r="I585" s="13"/>
      <c r="J585" s="13"/>
      <c r="K585" s="14"/>
      <c r="L585" s="12"/>
      <c r="P585" s="12"/>
      <c r="Q585" s="12"/>
      <c r="R585" s="12"/>
    </row>
    <row r="586" spans="3:18" s="11" customFormat="1">
      <c r="C586" s="12"/>
      <c r="D586" s="12"/>
      <c r="E586" s="13"/>
      <c r="F586" s="13"/>
      <c r="G586" s="13"/>
      <c r="H586" s="13"/>
      <c r="I586" s="13"/>
      <c r="J586" s="13"/>
      <c r="K586" s="14"/>
      <c r="L586" s="12"/>
      <c r="P586" s="12"/>
      <c r="Q586" s="12"/>
      <c r="R586" s="12"/>
    </row>
    <row r="587" spans="3:18" s="11" customFormat="1">
      <c r="C587" s="12"/>
      <c r="D587" s="12"/>
      <c r="E587" s="13"/>
      <c r="F587" s="13"/>
      <c r="G587" s="13"/>
      <c r="H587" s="13"/>
      <c r="I587" s="13"/>
      <c r="J587" s="13"/>
      <c r="K587" s="14"/>
      <c r="L587" s="12"/>
      <c r="P587" s="12"/>
      <c r="Q587" s="12"/>
      <c r="R587" s="12"/>
    </row>
    <row r="588" spans="3:18" s="11" customFormat="1">
      <c r="C588" s="12"/>
      <c r="D588" s="12"/>
      <c r="E588" s="13"/>
      <c r="F588" s="13"/>
      <c r="G588" s="13"/>
      <c r="H588" s="13"/>
      <c r="I588" s="13"/>
      <c r="J588" s="13"/>
      <c r="K588" s="14"/>
      <c r="L588" s="17"/>
      <c r="P588" s="12"/>
      <c r="Q588" s="12"/>
      <c r="R588" s="12"/>
    </row>
    <row r="589" spans="3:18" s="11" customFormat="1">
      <c r="C589" s="12"/>
      <c r="D589" s="12"/>
      <c r="E589" s="13"/>
      <c r="F589" s="13"/>
      <c r="G589" s="13"/>
      <c r="H589" s="13"/>
      <c r="I589" s="13"/>
      <c r="J589" s="13"/>
      <c r="K589" s="14"/>
      <c r="L589" s="17"/>
      <c r="P589" s="12"/>
      <c r="Q589" s="12"/>
      <c r="R589" s="12"/>
    </row>
    <row r="590" spans="3:18" s="11" customFormat="1">
      <c r="C590" s="12"/>
      <c r="D590" s="12"/>
      <c r="E590" s="13"/>
      <c r="F590" s="13"/>
      <c r="G590" s="13"/>
      <c r="H590" s="13"/>
      <c r="I590" s="13"/>
      <c r="J590" s="13"/>
      <c r="K590" s="14"/>
      <c r="L590" s="17"/>
      <c r="P590" s="12"/>
      <c r="Q590" s="12"/>
      <c r="R590" s="12"/>
    </row>
    <row r="591" spans="3:18" s="11" customFormat="1">
      <c r="C591" s="12"/>
      <c r="D591" s="12"/>
      <c r="E591" s="13"/>
      <c r="F591" s="13"/>
      <c r="G591" s="13"/>
      <c r="H591" s="13"/>
      <c r="I591" s="13"/>
      <c r="J591" s="13"/>
      <c r="K591" s="14"/>
      <c r="L591" s="17"/>
      <c r="P591" s="12"/>
      <c r="Q591" s="12"/>
      <c r="R591" s="12"/>
    </row>
    <row r="592" spans="3:18" s="11" customFormat="1">
      <c r="C592" s="17"/>
      <c r="D592" s="12"/>
      <c r="E592" s="13"/>
      <c r="F592" s="13"/>
      <c r="G592" s="13"/>
      <c r="H592" s="13"/>
      <c r="I592" s="13"/>
      <c r="J592" s="13"/>
      <c r="K592" s="14"/>
      <c r="L592" s="17"/>
      <c r="P592" s="12"/>
      <c r="Q592" s="12"/>
      <c r="R592" s="12"/>
    </row>
  </sheetData>
  <mergeCells count="4">
    <mergeCell ref="L283:L285"/>
    <mergeCell ref="L307:L309"/>
    <mergeCell ref="L470:L472"/>
    <mergeCell ref="L488:L494"/>
  </mergeCells>
  <printOptions horizontalCentered="1"/>
  <pageMargins left="0.75" right="0.75" top="0.75" bottom="0.75" header="0.5" footer="0.5"/>
  <pageSetup scale="81" fitToHeight="14" orientation="landscape" r:id="rId1"/>
  <headerFooter alignWithMargins="0">
    <oddFooter>&amp;R&amp;A</oddFooter>
  </headerFooter>
  <rowBreaks count="6" manualBreakCount="6">
    <brk id="195" max="10" man="1"/>
    <brk id="245" max="11" man="1"/>
    <brk id="286" max="11" man="1"/>
    <brk id="412" max="11" man="1"/>
    <brk id="455" max="11" man="1"/>
    <brk id="487" max="11" man="1"/>
  </row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03"/>
  <sheetViews>
    <sheetView topLeftCell="B1" workbookViewId="0">
      <selection activeCell="D3" sqref="D3"/>
    </sheetView>
  </sheetViews>
  <sheetFormatPr defaultColWidth="8.7265625" defaultRowHeight="14.5"/>
  <cols>
    <col min="1" max="1" width="6.81640625" style="638" hidden="1" customWidth="1"/>
    <col min="2" max="2" width="6.81640625" style="638" customWidth="1"/>
    <col min="3" max="3" width="25.81640625" style="608" customWidth="1"/>
    <col min="4" max="4" width="63.7265625" style="632" customWidth="1"/>
    <col min="5" max="5" width="9.7265625" style="610" hidden="1" customWidth="1"/>
    <col min="6" max="6" width="19.1796875" style="616" hidden="1" customWidth="1"/>
    <col min="7" max="13" width="4.453125" style="632" customWidth="1"/>
    <col min="14" max="14" width="69.26953125" style="632" customWidth="1"/>
    <col min="15" max="16384" width="8.7265625" style="632"/>
  </cols>
  <sheetData>
    <row r="1" spans="1:14">
      <c r="B1" s="796" t="s">
        <v>2592</v>
      </c>
      <c r="C1" s="587"/>
      <c r="D1" s="588"/>
      <c r="E1" s="589"/>
      <c r="F1" s="590"/>
      <c r="G1" s="588"/>
      <c r="H1" s="588"/>
      <c r="I1" s="588"/>
      <c r="J1" s="588"/>
      <c r="K1" s="588"/>
      <c r="L1" s="588"/>
      <c r="M1" s="588"/>
      <c r="N1" s="591"/>
    </row>
    <row r="2" spans="1:14">
      <c r="B2" s="820" t="s">
        <v>2622</v>
      </c>
      <c r="N2" s="639"/>
    </row>
    <row r="3" spans="1:14">
      <c r="B3" s="820" t="str">
        <f>'WS1-RateBase'!A4</f>
        <v>12 Months Ending 09/30/2020 ESTIMATE</v>
      </c>
      <c r="N3" s="639"/>
    </row>
    <row r="4" spans="1:14" ht="15" thickBot="1">
      <c r="B4" s="797"/>
      <c r="C4" s="798"/>
      <c r="D4" s="799"/>
      <c r="E4" s="800"/>
      <c r="F4" s="801"/>
      <c r="G4" s="844" t="s">
        <v>2079</v>
      </c>
      <c r="H4" s="845"/>
      <c r="I4" s="845"/>
      <c r="J4" s="845"/>
      <c r="K4" s="845"/>
      <c r="L4" s="845"/>
      <c r="M4" s="846"/>
      <c r="N4" s="802"/>
    </row>
    <row r="5" spans="1:14" s="595" customFormat="1" ht="29">
      <c r="A5" s="661" t="s">
        <v>1</v>
      </c>
      <c r="B5" s="593" t="s">
        <v>0</v>
      </c>
      <c r="C5" s="594" t="s">
        <v>2078</v>
      </c>
      <c r="D5" s="595" t="s">
        <v>2077</v>
      </c>
      <c r="E5" s="595" t="s">
        <v>2076</v>
      </c>
      <c r="F5" s="596" t="s">
        <v>2075</v>
      </c>
      <c r="G5" s="597" t="s">
        <v>2074</v>
      </c>
      <c r="H5" s="597" t="s">
        <v>2073</v>
      </c>
      <c r="I5" s="597" t="s">
        <v>2072</v>
      </c>
      <c r="J5" s="597" t="s">
        <v>2071</v>
      </c>
      <c r="K5" s="597" t="s">
        <v>2070</v>
      </c>
      <c r="L5" s="597" t="s">
        <v>2069</v>
      </c>
      <c r="M5" s="597" t="s">
        <v>2068</v>
      </c>
      <c r="N5" s="598" t="s">
        <v>2067</v>
      </c>
    </row>
    <row r="6" spans="1:14" s="662" customFormat="1">
      <c r="A6" s="640"/>
      <c r="B6" s="599">
        <v>1</v>
      </c>
      <c r="C6" s="600" t="s">
        <v>2066</v>
      </c>
      <c r="D6" s="601"/>
      <c r="E6" s="602"/>
      <c r="F6" s="603"/>
      <c r="G6" s="604"/>
      <c r="H6" s="604"/>
      <c r="I6" s="605"/>
      <c r="J6" s="605"/>
      <c r="K6" s="606"/>
      <c r="L6" s="605"/>
      <c r="M6" s="605"/>
      <c r="N6" s="607"/>
    </row>
    <row r="7" spans="1:14">
      <c r="A7" s="638" t="s">
        <v>232</v>
      </c>
      <c r="B7" s="599">
        <f t="shared" ref="B7:B70" si="0">B6+1</f>
        <v>2</v>
      </c>
      <c r="C7" s="608" t="s">
        <v>2065</v>
      </c>
      <c r="D7" s="609" t="s">
        <v>2064</v>
      </c>
      <c r="E7" s="610" t="s">
        <v>7</v>
      </c>
      <c r="F7" s="611">
        <v>5878984</v>
      </c>
      <c r="G7" s="612" t="s">
        <v>1495</v>
      </c>
      <c r="H7" s="613"/>
      <c r="I7" s="613"/>
      <c r="J7" s="613"/>
      <c r="K7" s="614"/>
      <c r="L7" s="613"/>
      <c r="M7" s="613"/>
      <c r="N7" s="615"/>
    </row>
    <row r="8" spans="1:14">
      <c r="B8" s="599">
        <f t="shared" si="0"/>
        <v>3</v>
      </c>
      <c r="D8" s="609" t="s">
        <v>2063</v>
      </c>
      <c r="E8" s="610" t="s">
        <v>7</v>
      </c>
      <c r="G8" s="612" t="s">
        <v>1495</v>
      </c>
      <c r="H8" s="613"/>
      <c r="I8" s="613"/>
      <c r="J8" s="613"/>
      <c r="K8" s="614"/>
      <c r="L8" s="613"/>
      <c r="M8" s="613"/>
      <c r="N8" s="615"/>
    </row>
    <row r="9" spans="1:14">
      <c r="A9" s="638" t="s">
        <v>234</v>
      </c>
      <c r="B9" s="599">
        <f t="shared" si="0"/>
        <v>4</v>
      </c>
      <c r="C9" s="608" t="s">
        <v>2062</v>
      </c>
      <c r="D9" s="609" t="s">
        <v>2061</v>
      </c>
      <c r="E9" s="610" t="s">
        <v>7</v>
      </c>
      <c r="F9" s="616">
        <v>1117933</v>
      </c>
      <c r="G9" s="613" t="s">
        <v>1495</v>
      </c>
      <c r="H9" s="613"/>
      <c r="I9" s="613"/>
      <c r="J9" s="613"/>
      <c r="K9" s="614"/>
      <c r="L9" s="613"/>
      <c r="M9" s="613"/>
      <c r="N9" s="615"/>
    </row>
    <row r="10" spans="1:14">
      <c r="B10" s="599">
        <f t="shared" si="0"/>
        <v>5</v>
      </c>
      <c r="D10" s="609" t="s">
        <v>2060</v>
      </c>
      <c r="E10" s="610" t="s">
        <v>7</v>
      </c>
      <c r="G10" s="613" t="s">
        <v>1495</v>
      </c>
      <c r="H10" s="613"/>
      <c r="I10" s="613"/>
      <c r="J10" s="613"/>
      <c r="K10" s="614"/>
      <c r="L10" s="613"/>
      <c r="M10" s="613"/>
      <c r="N10" s="615" t="s">
        <v>2059</v>
      </c>
    </row>
    <row r="11" spans="1:14">
      <c r="B11" s="599">
        <f t="shared" si="0"/>
        <v>6</v>
      </c>
      <c r="D11" s="609" t="s">
        <v>2058</v>
      </c>
      <c r="E11" s="610" t="s">
        <v>7</v>
      </c>
      <c r="G11" s="613" t="s">
        <v>1495</v>
      </c>
      <c r="H11" s="613"/>
      <c r="I11" s="613"/>
      <c r="J11" s="613"/>
      <c r="K11" s="614"/>
      <c r="L11" s="613"/>
      <c r="M11" s="613"/>
      <c r="N11" s="615"/>
    </row>
    <row r="12" spans="1:14" ht="29">
      <c r="B12" s="599">
        <f t="shared" si="0"/>
        <v>7</v>
      </c>
      <c r="D12" s="609" t="s">
        <v>1664</v>
      </c>
      <c r="E12" s="610" t="s">
        <v>7</v>
      </c>
      <c r="G12" s="613"/>
      <c r="H12" s="613" t="s">
        <v>1495</v>
      </c>
      <c r="I12" s="613"/>
      <c r="J12" s="613"/>
      <c r="K12" s="614"/>
      <c r="L12" s="613"/>
      <c r="M12" s="613"/>
      <c r="N12" s="617" t="s">
        <v>2057</v>
      </c>
    </row>
    <row r="13" spans="1:14" ht="19.5" customHeight="1">
      <c r="B13" s="599">
        <f t="shared" si="0"/>
        <v>8</v>
      </c>
      <c r="D13" s="609" t="s">
        <v>2056</v>
      </c>
      <c r="E13" s="610" t="s">
        <v>7</v>
      </c>
      <c r="G13" s="613"/>
      <c r="H13" s="613" t="s">
        <v>1495</v>
      </c>
      <c r="I13" s="613"/>
      <c r="J13" s="613"/>
      <c r="K13" s="614"/>
      <c r="L13" s="613"/>
      <c r="M13" s="613"/>
      <c r="N13" s="617" t="s">
        <v>2055</v>
      </c>
    </row>
    <row r="14" spans="1:14">
      <c r="A14" s="638" t="s">
        <v>2054</v>
      </c>
      <c r="B14" s="599">
        <f t="shared" si="0"/>
        <v>9</v>
      </c>
      <c r="C14" s="608" t="s">
        <v>2053</v>
      </c>
      <c r="D14" s="609" t="s">
        <v>2052</v>
      </c>
      <c r="E14" s="610" t="s">
        <v>7</v>
      </c>
      <c r="F14" s="616">
        <v>63325</v>
      </c>
      <c r="G14" s="612" t="s">
        <v>1495</v>
      </c>
      <c r="H14" s="612"/>
      <c r="I14" s="613"/>
      <c r="J14" s="613"/>
      <c r="K14" s="614"/>
      <c r="L14" s="613"/>
      <c r="M14" s="613"/>
      <c r="N14" s="615"/>
    </row>
    <row r="15" spans="1:14">
      <c r="A15" s="638" t="s">
        <v>239</v>
      </c>
      <c r="B15" s="599">
        <f t="shared" si="0"/>
        <v>10</v>
      </c>
      <c r="C15" s="608" t="s">
        <v>2051</v>
      </c>
      <c r="D15" s="609" t="s">
        <v>2407</v>
      </c>
      <c r="E15" s="610" t="s">
        <v>7</v>
      </c>
      <c r="F15" s="616">
        <v>2775537</v>
      </c>
      <c r="G15" s="613" t="s">
        <v>1495</v>
      </c>
      <c r="H15" s="613"/>
      <c r="I15" s="613"/>
      <c r="J15" s="613"/>
      <c r="K15" s="614"/>
      <c r="L15" s="613"/>
      <c r="M15" s="613"/>
      <c r="N15" s="615"/>
    </row>
    <row r="16" spans="1:14">
      <c r="B16" s="599">
        <f t="shared" si="0"/>
        <v>11</v>
      </c>
      <c r="D16" s="609" t="s">
        <v>2050</v>
      </c>
      <c r="E16" s="610" t="s">
        <v>7</v>
      </c>
      <c r="G16" s="613" t="s">
        <v>1495</v>
      </c>
      <c r="H16" s="613"/>
      <c r="I16" s="613"/>
      <c r="J16" s="613"/>
      <c r="K16" s="614"/>
      <c r="L16" s="613"/>
      <c r="M16" s="613"/>
      <c r="N16" s="615"/>
    </row>
    <row r="17" spans="1:14">
      <c r="B17" s="599">
        <f t="shared" si="0"/>
        <v>12</v>
      </c>
      <c r="D17" s="609" t="s">
        <v>2049</v>
      </c>
      <c r="E17" s="610" t="s">
        <v>7</v>
      </c>
      <c r="G17" s="613" t="s">
        <v>1495</v>
      </c>
      <c r="H17" s="613"/>
      <c r="I17" s="613"/>
      <c r="J17" s="613"/>
      <c r="K17" s="614"/>
      <c r="L17" s="613"/>
      <c r="M17" s="613"/>
      <c r="N17" s="615"/>
    </row>
    <row r="18" spans="1:14">
      <c r="A18" s="638" t="s">
        <v>241</v>
      </c>
      <c r="B18" s="599">
        <f t="shared" si="0"/>
        <v>13</v>
      </c>
      <c r="C18" s="608" t="s">
        <v>2048</v>
      </c>
      <c r="D18" s="609" t="s">
        <v>2047</v>
      </c>
      <c r="E18" s="610" t="s">
        <v>7</v>
      </c>
      <c r="F18" s="616">
        <v>164986</v>
      </c>
      <c r="G18" s="613" t="s">
        <v>1495</v>
      </c>
      <c r="H18" s="613"/>
      <c r="I18" s="613"/>
      <c r="J18" s="613"/>
      <c r="K18" s="614"/>
      <c r="L18" s="613"/>
      <c r="M18" s="613"/>
      <c r="N18" s="615"/>
    </row>
    <row r="19" spans="1:14">
      <c r="A19" s="638" t="s">
        <v>243</v>
      </c>
      <c r="B19" s="599">
        <f t="shared" si="0"/>
        <v>14</v>
      </c>
      <c r="C19" s="608" t="s">
        <v>2046</v>
      </c>
      <c r="D19" s="609" t="s">
        <v>2045</v>
      </c>
      <c r="E19" s="610" t="s">
        <v>7</v>
      </c>
      <c r="F19" s="616">
        <v>13937668</v>
      </c>
      <c r="G19" s="613" t="s">
        <v>1495</v>
      </c>
      <c r="H19" s="613"/>
      <c r="I19" s="613"/>
      <c r="J19" s="613"/>
      <c r="K19" s="614"/>
      <c r="L19" s="613"/>
      <c r="M19" s="613"/>
      <c r="N19" s="615"/>
    </row>
    <row r="20" spans="1:14">
      <c r="B20" s="599">
        <f t="shared" si="0"/>
        <v>15</v>
      </c>
      <c r="D20" s="609" t="s">
        <v>2044</v>
      </c>
      <c r="E20" s="610" t="s">
        <v>7</v>
      </c>
      <c r="G20" s="613" t="s">
        <v>1495</v>
      </c>
      <c r="H20" s="613"/>
      <c r="I20" s="613"/>
      <c r="J20" s="613"/>
      <c r="K20" s="614"/>
      <c r="L20" s="613"/>
      <c r="M20" s="613"/>
      <c r="N20" s="615"/>
    </row>
    <row r="21" spans="1:14">
      <c r="B21" s="599">
        <f t="shared" si="0"/>
        <v>16</v>
      </c>
      <c r="D21" s="609" t="s">
        <v>2043</v>
      </c>
      <c r="E21" s="610" t="s">
        <v>7</v>
      </c>
      <c r="G21" s="613" t="s">
        <v>1495</v>
      </c>
      <c r="H21" s="613"/>
      <c r="I21" s="613"/>
      <c r="J21" s="613"/>
      <c r="K21" s="614"/>
      <c r="L21" s="613"/>
      <c r="M21" s="613"/>
      <c r="N21" s="615"/>
    </row>
    <row r="22" spans="1:14">
      <c r="B22" s="599">
        <f t="shared" si="0"/>
        <v>17</v>
      </c>
      <c r="D22" s="609" t="s">
        <v>2042</v>
      </c>
      <c r="E22" s="610" t="s">
        <v>7</v>
      </c>
      <c r="G22" s="613" t="s">
        <v>1495</v>
      </c>
      <c r="H22" s="613"/>
      <c r="I22" s="613"/>
      <c r="J22" s="613"/>
      <c r="K22" s="613"/>
      <c r="L22" s="613"/>
      <c r="M22" s="613"/>
      <c r="N22" s="615"/>
    </row>
    <row r="23" spans="1:14">
      <c r="B23" s="599">
        <f t="shared" si="0"/>
        <v>18</v>
      </c>
      <c r="D23" s="609" t="s">
        <v>2041</v>
      </c>
      <c r="E23" s="610" t="s">
        <v>7</v>
      </c>
      <c r="G23" s="613" t="s">
        <v>1495</v>
      </c>
      <c r="H23" s="613"/>
      <c r="I23" s="613"/>
      <c r="J23" s="613"/>
      <c r="K23" s="613"/>
      <c r="L23" s="613"/>
      <c r="M23" s="613"/>
      <c r="N23" s="615"/>
    </row>
    <row r="24" spans="1:14">
      <c r="A24" s="638" t="s">
        <v>2040</v>
      </c>
      <c r="B24" s="599">
        <f t="shared" si="0"/>
        <v>19</v>
      </c>
      <c r="C24" s="608" t="s">
        <v>2039</v>
      </c>
      <c r="D24" s="609" t="s">
        <v>2038</v>
      </c>
      <c r="E24" s="610" t="s">
        <v>7</v>
      </c>
      <c r="F24" s="616">
        <v>3901175</v>
      </c>
      <c r="G24" s="613" t="s">
        <v>1495</v>
      </c>
      <c r="H24" s="613"/>
      <c r="I24" s="613"/>
      <c r="J24" s="613"/>
      <c r="K24" s="613"/>
      <c r="L24" s="613"/>
      <c r="M24" s="613"/>
      <c r="N24" s="615"/>
    </row>
    <row r="25" spans="1:14">
      <c r="B25" s="599">
        <f t="shared" si="0"/>
        <v>20</v>
      </c>
      <c r="D25" s="609" t="s">
        <v>1962</v>
      </c>
      <c r="E25" s="610" t="s">
        <v>7</v>
      </c>
      <c r="G25" s="613" t="s">
        <v>1495</v>
      </c>
      <c r="H25" s="613"/>
      <c r="I25" s="613"/>
      <c r="J25" s="613"/>
      <c r="K25" s="613"/>
      <c r="L25" s="613"/>
      <c r="M25" s="613"/>
      <c r="N25" s="615"/>
    </row>
    <row r="26" spans="1:14">
      <c r="B26" s="599">
        <f t="shared" si="0"/>
        <v>21</v>
      </c>
      <c r="D26" s="609" t="s">
        <v>2037</v>
      </c>
      <c r="E26" s="610" t="s">
        <v>7</v>
      </c>
      <c r="G26" s="613" t="s">
        <v>1495</v>
      </c>
      <c r="H26" s="613"/>
      <c r="I26" s="613"/>
      <c r="J26" s="613"/>
      <c r="K26" s="613"/>
      <c r="L26" s="613"/>
      <c r="M26" s="613"/>
      <c r="N26" s="615"/>
    </row>
    <row r="27" spans="1:14" ht="29">
      <c r="B27" s="599">
        <f t="shared" si="0"/>
        <v>22</v>
      </c>
      <c r="D27" s="609" t="s">
        <v>2012</v>
      </c>
      <c r="E27" s="610" t="s">
        <v>7</v>
      </c>
      <c r="G27" s="613"/>
      <c r="H27" s="613" t="s">
        <v>1495</v>
      </c>
      <c r="I27" s="613"/>
      <c r="J27" s="613"/>
      <c r="K27" s="613"/>
      <c r="L27" s="613"/>
      <c r="M27" s="613"/>
      <c r="N27" s="617" t="s">
        <v>2036</v>
      </c>
    </row>
    <row r="28" spans="1:14">
      <c r="B28" s="599">
        <f t="shared" si="0"/>
        <v>23</v>
      </c>
      <c r="D28" s="609" t="s">
        <v>2035</v>
      </c>
      <c r="E28" s="610" t="s">
        <v>7</v>
      </c>
      <c r="G28" s="613"/>
      <c r="H28" s="613" t="s">
        <v>1495</v>
      </c>
      <c r="I28" s="613"/>
      <c r="J28" s="613"/>
      <c r="K28" s="613"/>
      <c r="L28" s="613"/>
      <c r="M28" s="613"/>
      <c r="N28" s="615" t="s">
        <v>2034</v>
      </c>
    </row>
    <row r="29" spans="1:14">
      <c r="A29" s="638" t="s">
        <v>247</v>
      </c>
      <c r="B29" s="599">
        <f t="shared" si="0"/>
        <v>24</v>
      </c>
      <c r="C29" s="608" t="s">
        <v>2033</v>
      </c>
      <c r="D29" s="609" t="s">
        <v>2032</v>
      </c>
      <c r="E29" s="610" t="s">
        <v>7</v>
      </c>
      <c r="F29" s="616">
        <v>56597</v>
      </c>
      <c r="G29" s="613" t="s">
        <v>1495</v>
      </c>
      <c r="H29" s="613"/>
      <c r="I29" s="613"/>
      <c r="J29" s="613"/>
      <c r="K29" s="613"/>
      <c r="L29" s="613"/>
      <c r="M29" s="613"/>
      <c r="N29" s="615"/>
    </row>
    <row r="30" spans="1:14" ht="29">
      <c r="A30" s="638" t="s">
        <v>249</v>
      </c>
      <c r="B30" s="599">
        <f t="shared" si="0"/>
        <v>25</v>
      </c>
      <c r="C30" s="608" t="s">
        <v>2031</v>
      </c>
      <c r="D30" s="609" t="s">
        <v>2030</v>
      </c>
      <c r="E30" s="610" t="s">
        <v>7</v>
      </c>
      <c r="F30" s="616">
        <v>15065318</v>
      </c>
      <c r="G30" s="613" t="s">
        <v>1495</v>
      </c>
      <c r="H30" s="613"/>
      <c r="I30" s="613"/>
      <c r="J30" s="613"/>
      <c r="K30" s="613"/>
      <c r="L30" s="613"/>
      <c r="M30" s="613"/>
      <c r="N30" s="615"/>
    </row>
    <row r="31" spans="1:14">
      <c r="B31" s="599">
        <f t="shared" si="0"/>
        <v>26</v>
      </c>
      <c r="D31" s="609" t="s">
        <v>1850</v>
      </c>
      <c r="E31" s="610" t="s">
        <v>7</v>
      </c>
      <c r="G31" s="613" t="s">
        <v>1495</v>
      </c>
      <c r="H31" s="613"/>
      <c r="I31" s="613"/>
      <c r="J31" s="613"/>
      <c r="K31" s="613"/>
      <c r="L31" s="613"/>
      <c r="M31" s="613"/>
      <c r="N31" s="615"/>
    </row>
    <row r="32" spans="1:14">
      <c r="B32" s="599">
        <f t="shared" si="0"/>
        <v>27</v>
      </c>
      <c r="D32" s="618" t="s">
        <v>2029</v>
      </c>
      <c r="E32" s="610" t="s">
        <v>7</v>
      </c>
      <c r="F32" s="619"/>
      <c r="G32" s="613" t="s">
        <v>1495</v>
      </c>
      <c r="H32" s="613"/>
      <c r="I32" s="613"/>
      <c r="J32" s="613"/>
      <c r="K32" s="613"/>
      <c r="L32" s="613"/>
      <c r="M32" s="613"/>
      <c r="N32" s="615"/>
    </row>
    <row r="33" spans="1:15">
      <c r="B33" s="599">
        <f t="shared" si="0"/>
        <v>28</v>
      </c>
      <c r="D33" s="609" t="s">
        <v>2028</v>
      </c>
      <c r="E33" s="610" t="s">
        <v>7</v>
      </c>
      <c r="G33" s="613" t="s">
        <v>1495</v>
      </c>
      <c r="H33" s="613"/>
      <c r="I33" s="613"/>
      <c r="J33" s="613"/>
      <c r="K33" s="613"/>
      <c r="L33" s="613"/>
      <c r="M33" s="613"/>
      <c r="N33" s="615"/>
    </row>
    <row r="34" spans="1:15">
      <c r="B34" s="599">
        <f t="shared" si="0"/>
        <v>29</v>
      </c>
      <c r="D34" s="609" t="s">
        <v>2027</v>
      </c>
      <c r="E34" s="610" t="s">
        <v>7</v>
      </c>
      <c r="G34" s="613" t="s">
        <v>1495</v>
      </c>
      <c r="H34" s="613"/>
      <c r="I34" s="613"/>
      <c r="J34" s="613"/>
      <c r="K34" s="613"/>
      <c r="L34" s="613"/>
      <c r="M34" s="613"/>
      <c r="N34" s="615" t="s">
        <v>2026</v>
      </c>
    </row>
    <row r="35" spans="1:15">
      <c r="A35" s="638" t="s">
        <v>253</v>
      </c>
      <c r="B35" s="599">
        <f t="shared" si="0"/>
        <v>30</v>
      </c>
      <c r="C35" s="608" t="s">
        <v>2025</v>
      </c>
      <c r="D35" s="609" t="s">
        <v>2024</v>
      </c>
      <c r="E35" s="610" t="s">
        <v>32</v>
      </c>
      <c r="F35" s="616">
        <v>2316776</v>
      </c>
      <c r="G35" s="613" t="s">
        <v>1495</v>
      </c>
      <c r="H35" s="613"/>
      <c r="I35" s="613"/>
      <c r="J35" s="613"/>
      <c r="K35" s="613"/>
      <c r="L35" s="613"/>
      <c r="M35" s="613"/>
      <c r="N35" s="615"/>
    </row>
    <row r="36" spans="1:15">
      <c r="B36" s="599">
        <f t="shared" si="0"/>
        <v>31</v>
      </c>
      <c r="D36" s="609" t="s">
        <v>2023</v>
      </c>
      <c r="E36" s="610" t="s">
        <v>32</v>
      </c>
      <c r="G36" s="613" t="s">
        <v>1495</v>
      </c>
      <c r="H36" s="613"/>
      <c r="I36" s="613"/>
      <c r="J36" s="613"/>
      <c r="K36" s="613"/>
      <c r="L36" s="613"/>
      <c r="M36" s="613"/>
      <c r="N36" s="615"/>
    </row>
    <row r="37" spans="1:15">
      <c r="B37" s="599">
        <f t="shared" si="0"/>
        <v>32</v>
      </c>
      <c r="D37" s="609" t="s">
        <v>2022</v>
      </c>
      <c r="E37" s="610" t="s">
        <v>32</v>
      </c>
      <c r="G37" s="613" t="s">
        <v>1495</v>
      </c>
      <c r="H37" s="613"/>
      <c r="I37" s="613"/>
      <c r="J37" s="613"/>
      <c r="K37" s="613"/>
      <c r="L37" s="613"/>
      <c r="M37" s="613"/>
      <c r="N37" s="615"/>
    </row>
    <row r="38" spans="1:15">
      <c r="B38" s="599">
        <f t="shared" si="0"/>
        <v>33</v>
      </c>
      <c r="D38" s="609" t="s">
        <v>2021</v>
      </c>
      <c r="E38" s="610" t="s">
        <v>32</v>
      </c>
      <c r="G38" s="613" t="s">
        <v>1495</v>
      </c>
      <c r="H38" s="613"/>
      <c r="I38" s="613"/>
      <c r="J38" s="613"/>
      <c r="K38" s="613"/>
      <c r="L38" s="613"/>
      <c r="M38" s="613"/>
      <c r="N38" s="615"/>
    </row>
    <row r="39" spans="1:15">
      <c r="B39" s="599">
        <f t="shared" si="0"/>
        <v>34</v>
      </c>
      <c r="D39" s="609" t="s">
        <v>1825</v>
      </c>
      <c r="E39" s="610" t="s">
        <v>32</v>
      </c>
      <c r="G39" s="613"/>
      <c r="H39" s="613" t="s">
        <v>1495</v>
      </c>
      <c r="I39" s="613"/>
      <c r="J39" s="613"/>
      <c r="K39" s="613"/>
      <c r="L39" s="613"/>
      <c r="M39" s="613"/>
      <c r="N39" s="615" t="s">
        <v>2020</v>
      </c>
    </row>
    <row r="40" spans="1:15">
      <c r="A40" s="638" t="s">
        <v>2019</v>
      </c>
      <c r="B40" s="599">
        <f t="shared" si="0"/>
        <v>35</v>
      </c>
      <c r="C40" s="608" t="s">
        <v>2018</v>
      </c>
      <c r="D40" s="609" t="s">
        <v>2017</v>
      </c>
      <c r="E40" s="610" t="s">
        <v>7</v>
      </c>
      <c r="F40" s="616">
        <v>2216942</v>
      </c>
      <c r="G40" s="613" t="s">
        <v>1495</v>
      </c>
      <c r="H40" s="613"/>
      <c r="I40" s="613"/>
      <c r="J40" s="613"/>
      <c r="K40" s="613"/>
      <c r="L40" s="613"/>
      <c r="M40" s="613"/>
      <c r="N40" s="615"/>
    </row>
    <row r="41" spans="1:15">
      <c r="B41" s="599">
        <f t="shared" si="0"/>
        <v>36</v>
      </c>
      <c r="D41" s="609" t="s">
        <v>2016</v>
      </c>
      <c r="E41" s="610" t="s">
        <v>7</v>
      </c>
      <c r="G41" s="613" t="s">
        <v>1495</v>
      </c>
      <c r="H41" s="613"/>
      <c r="I41" s="613"/>
      <c r="J41" s="613"/>
      <c r="K41" s="613"/>
      <c r="L41" s="613"/>
      <c r="M41" s="613"/>
      <c r="N41" s="615"/>
      <c r="O41" s="663"/>
    </row>
    <row r="42" spans="1:15">
      <c r="B42" s="599">
        <f t="shared" si="0"/>
        <v>37</v>
      </c>
      <c r="D42" s="609" t="s">
        <v>2015</v>
      </c>
      <c r="E42" s="610" t="s">
        <v>7</v>
      </c>
      <c r="G42" s="613" t="s">
        <v>1495</v>
      </c>
      <c r="H42" s="613"/>
      <c r="I42" s="613"/>
      <c r="J42" s="613"/>
      <c r="K42" s="613"/>
      <c r="L42" s="613"/>
      <c r="M42" s="613"/>
      <c r="N42" s="615"/>
    </row>
    <row r="43" spans="1:15">
      <c r="B43" s="599">
        <f t="shared" si="0"/>
        <v>38</v>
      </c>
      <c r="D43" s="609" t="s">
        <v>2014</v>
      </c>
      <c r="E43" s="610" t="s">
        <v>7</v>
      </c>
      <c r="G43" s="613" t="s">
        <v>1495</v>
      </c>
      <c r="H43" s="613"/>
      <c r="I43" s="613"/>
      <c r="J43" s="613"/>
      <c r="K43" s="613"/>
      <c r="L43" s="613"/>
      <c r="M43" s="613"/>
      <c r="N43" s="615"/>
    </row>
    <row r="44" spans="1:15" ht="29">
      <c r="A44" s="638" t="s">
        <v>257</v>
      </c>
      <c r="B44" s="599">
        <f t="shared" si="0"/>
        <v>39</v>
      </c>
      <c r="C44" s="608" t="s">
        <v>2013</v>
      </c>
      <c r="D44" s="609" t="s">
        <v>2378</v>
      </c>
      <c r="E44" s="610" t="s">
        <v>7</v>
      </c>
      <c r="F44" s="616">
        <v>3573151</v>
      </c>
      <c r="G44" s="613" t="s">
        <v>1495</v>
      </c>
      <c r="H44" s="613"/>
      <c r="I44" s="613"/>
      <c r="J44" s="613"/>
      <c r="K44" s="613"/>
      <c r="L44" s="613"/>
      <c r="M44" s="613"/>
      <c r="N44" s="615"/>
    </row>
    <row r="45" spans="1:15">
      <c r="B45" s="599">
        <f t="shared" si="0"/>
        <v>40</v>
      </c>
      <c r="D45" s="609" t="s">
        <v>2379</v>
      </c>
      <c r="E45" s="610" t="s">
        <v>7</v>
      </c>
      <c r="G45" s="613" t="s">
        <v>1495</v>
      </c>
      <c r="H45" s="613"/>
      <c r="I45" s="613"/>
      <c r="J45" s="613"/>
      <c r="K45" s="613"/>
      <c r="L45" s="613"/>
      <c r="M45" s="613"/>
      <c r="N45" s="615"/>
    </row>
    <row r="46" spans="1:15">
      <c r="B46" s="599">
        <f t="shared" si="0"/>
        <v>41</v>
      </c>
      <c r="D46" s="609" t="s">
        <v>2334</v>
      </c>
      <c r="E46" s="610" t="s">
        <v>7</v>
      </c>
      <c r="G46" s="613" t="s">
        <v>1495</v>
      </c>
      <c r="H46" s="613"/>
      <c r="I46" s="613"/>
      <c r="J46" s="613"/>
      <c r="K46" s="613"/>
      <c r="L46" s="613"/>
      <c r="M46" s="613"/>
      <c r="N46" s="615"/>
    </row>
    <row r="47" spans="1:15" ht="29">
      <c r="B47" s="599">
        <f t="shared" si="0"/>
        <v>42</v>
      </c>
      <c r="D47" s="609" t="s">
        <v>2012</v>
      </c>
      <c r="E47" s="610" t="s">
        <v>7</v>
      </c>
      <c r="G47" s="613"/>
      <c r="H47" s="613" t="s">
        <v>1495</v>
      </c>
      <c r="I47" s="613"/>
      <c r="J47" s="613"/>
      <c r="K47" s="613"/>
      <c r="L47" s="613"/>
      <c r="M47" s="613"/>
      <c r="N47" s="615" t="s">
        <v>2010</v>
      </c>
    </row>
    <row r="48" spans="1:15" ht="29">
      <c r="B48" s="599">
        <f t="shared" si="0"/>
        <v>43</v>
      </c>
      <c r="D48" s="609" t="s">
        <v>2011</v>
      </c>
      <c r="E48" s="610" t="s">
        <v>7</v>
      </c>
      <c r="G48" s="613"/>
      <c r="H48" s="613" t="s">
        <v>1495</v>
      </c>
      <c r="I48" s="613"/>
      <c r="J48" s="613"/>
      <c r="K48" s="613"/>
      <c r="L48" s="613"/>
      <c r="M48" s="613"/>
      <c r="N48" s="615" t="s">
        <v>2010</v>
      </c>
    </row>
    <row r="49" spans="1:14" ht="29">
      <c r="B49" s="599">
        <f t="shared" si="0"/>
        <v>44</v>
      </c>
      <c r="D49" s="609" t="s">
        <v>2009</v>
      </c>
      <c r="E49" s="610" t="s">
        <v>7</v>
      </c>
      <c r="G49" s="613"/>
      <c r="H49" s="613" t="s">
        <v>1495</v>
      </c>
      <c r="I49" s="613"/>
      <c r="J49" s="613"/>
      <c r="K49" s="613"/>
      <c r="L49" s="613"/>
      <c r="M49" s="613"/>
      <c r="N49" s="615" t="s">
        <v>2008</v>
      </c>
    </row>
    <row r="50" spans="1:14">
      <c r="B50" s="599">
        <f t="shared" si="0"/>
        <v>45</v>
      </c>
      <c r="C50" s="608" t="s">
        <v>2335</v>
      </c>
      <c r="D50" s="609" t="s">
        <v>2336</v>
      </c>
      <c r="G50" s="613" t="s">
        <v>1495</v>
      </c>
      <c r="H50" s="613"/>
      <c r="I50" s="613"/>
      <c r="J50" s="613"/>
      <c r="K50" s="613"/>
      <c r="L50" s="613"/>
      <c r="M50" s="613"/>
      <c r="N50" s="615"/>
    </row>
    <row r="51" spans="1:14">
      <c r="A51" s="638" t="s">
        <v>2007</v>
      </c>
      <c r="B51" s="599">
        <f t="shared" si="0"/>
        <v>46</v>
      </c>
      <c r="C51" s="608" t="s">
        <v>2006</v>
      </c>
      <c r="D51" s="609" t="s">
        <v>2005</v>
      </c>
      <c r="E51" s="610" t="s">
        <v>7</v>
      </c>
      <c r="F51" s="616">
        <v>0</v>
      </c>
      <c r="G51" s="613" t="s">
        <v>1495</v>
      </c>
      <c r="H51" s="613"/>
      <c r="I51" s="613"/>
      <c r="J51" s="613"/>
      <c r="K51" s="613"/>
      <c r="L51" s="613"/>
      <c r="M51" s="613"/>
      <c r="N51" s="615"/>
    </row>
    <row r="52" spans="1:14">
      <c r="A52" s="638" t="s">
        <v>461</v>
      </c>
      <c r="B52" s="599">
        <f t="shared" si="0"/>
        <v>47</v>
      </c>
      <c r="C52" s="608" t="s">
        <v>2004</v>
      </c>
      <c r="D52" s="609" t="s">
        <v>2003</v>
      </c>
      <c r="G52" s="613" t="s">
        <v>1495</v>
      </c>
      <c r="H52" s="613"/>
      <c r="I52" s="613"/>
      <c r="J52" s="613"/>
      <c r="K52" s="613"/>
      <c r="L52" s="613"/>
      <c r="M52" s="613"/>
      <c r="N52" s="615"/>
    </row>
    <row r="53" spans="1:14">
      <c r="A53" s="638" t="s">
        <v>259</v>
      </c>
      <c r="B53" s="599">
        <f t="shared" si="0"/>
        <v>48</v>
      </c>
      <c r="C53" s="608" t="s">
        <v>2002</v>
      </c>
      <c r="D53" s="609" t="s">
        <v>2001</v>
      </c>
      <c r="E53" s="610" t="s">
        <v>7</v>
      </c>
      <c r="F53" s="616">
        <v>2463312</v>
      </c>
      <c r="G53" s="613" t="s">
        <v>1495</v>
      </c>
      <c r="H53" s="613" t="s">
        <v>1495</v>
      </c>
      <c r="I53" s="613"/>
      <c r="J53" s="613"/>
      <c r="K53" s="613"/>
      <c r="L53" s="613"/>
      <c r="M53" s="613"/>
      <c r="N53" s="615" t="s">
        <v>2000</v>
      </c>
    </row>
    <row r="54" spans="1:14">
      <c r="B54" s="599">
        <f t="shared" si="0"/>
        <v>49</v>
      </c>
      <c r="D54" s="609" t="s">
        <v>1999</v>
      </c>
      <c r="E54" s="610" t="s">
        <v>7</v>
      </c>
      <c r="G54" s="613" t="s">
        <v>1495</v>
      </c>
      <c r="H54" s="613"/>
      <c r="I54" s="613"/>
      <c r="J54" s="613"/>
      <c r="K54" s="613"/>
      <c r="L54" s="613"/>
      <c r="M54" s="613"/>
      <c r="N54" s="615"/>
    </row>
    <row r="55" spans="1:14">
      <c r="A55" s="638" t="s">
        <v>1998</v>
      </c>
      <c r="B55" s="599">
        <f t="shared" si="0"/>
        <v>50</v>
      </c>
      <c r="C55" s="608" t="s">
        <v>1997</v>
      </c>
      <c r="D55" s="609" t="s">
        <v>1996</v>
      </c>
      <c r="E55" s="610" t="s">
        <v>7</v>
      </c>
      <c r="F55" s="616">
        <v>3157165</v>
      </c>
      <c r="G55" s="613" t="s">
        <v>1495</v>
      </c>
      <c r="H55" s="613"/>
      <c r="I55" s="613"/>
      <c r="J55" s="613"/>
      <c r="K55" s="613"/>
      <c r="L55" s="613"/>
      <c r="M55" s="613"/>
      <c r="N55" s="615"/>
    </row>
    <row r="56" spans="1:14">
      <c r="B56" s="599">
        <f t="shared" si="0"/>
        <v>51</v>
      </c>
      <c r="D56" s="609" t="s">
        <v>1995</v>
      </c>
      <c r="E56" s="610" t="s">
        <v>7</v>
      </c>
      <c r="G56" s="613" t="s">
        <v>1495</v>
      </c>
      <c r="H56" s="613"/>
      <c r="I56" s="613"/>
      <c r="J56" s="613"/>
      <c r="K56" s="613"/>
      <c r="L56" s="613"/>
      <c r="M56" s="613"/>
      <c r="N56" s="615"/>
    </row>
    <row r="57" spans="1:14">
      <c r="B57" s="599">
        <f t="shared" si="0"/>
        <v>52</v>
      </c>
      <c r="D57" s="609" t="s">
        <v>1994</v>
      </c>
      <c r="E57" s="610" t="s">
        <v>7</v>
      </c>
      <c r="G57" s="613" t="s">
        <v>1495</v>
      </c>
      <c r="H57" s="613"/>
      <c r="I57" s="613"/>
      <c r="J57" s="613"/>
      <c r="K57" s="613"/>
      <c r="L57" s="613"/>
      <c r="M57" s="613"/>
      <c r="N57" s="615"/>
    </row>
    <row r="58" spans="1:14">
      <c r="B58" s="599">
        <f t="shared" si="0"/>
        <v>53</v>
      </c>
      <c r="C58" s="608" t="s">
        <v>1560</v>
      </c>
      <c r="D58" s="609" t="s">
        <v>1559</v>
      </c>
      <c r="E58" s="610" t="s">
        <v>7</v>
      </c>
      <c r="F58" s="616">
        <v>1286118</v>
      </c>
      <c r="G58" s="613" t="s">
        <v>1495</v>
      </c>
      <c r="H58" s="613"/>
      <c r="I58" s="613"/>
      <c r="J58" s="613"/>
      <c r="K58" s="613"/>
      <c r="L58" s="613"/>
      <c r="M58" s="613"/>
      <c r="N58" s="615"/>
    </row>
    <row r="59" spans="1:14">
      <c r="A59" s="638" t="s">
        <v>263</v>
      </c>
      <c r="B59" s="599">
        <f t="shared" si="0"/>
        <v>54</v>
      </c>
      <c r="C59" s="608" t="s">
        <v>1993</v>
      </c>
      <c r="D59" s="609" t="s">
        <v>1992</v>
      </c>
      <c r="E59" s="610" t="s">
        <v>7</v>
      </c>
      <c r="F59" s="620">
        <v>7760738</v>
      </c>
      <c r="G59" s="613" t="s">
        <v>1495</v>
      </c>
      <c r="H59" s="613"/>
      <c r="I59" s="613"/>
      <c r="J59" s="613"/>
      <c r="K59" s="613"/>
      <c r="L59" s="613"/>
      <c r="M59" s="613"/>
      <c r="N59" s="615"/>
    </row>
    <row r="60" spans="1:14">
      <c r="B60" s="599">
        <f t="shared" si="0"/>
        <v>55</v>
      </c>
      <c r="D60" s="609" t="s">
        <v>1991</v>
      </c>
      <c r="E60" s="610" t="s">
        <v>7</v>
      </c>
      <c r="G60" s="613" t="s">
        <v>1495</v>
      </c>
      <c r="H60" s="613"/>
      <c r="I60" s="613"/>
      <c r="J60" s="613"/>
      <c r="K60" s="613"/>
      <c r="L60" s="613"/>
      <c r="M60" s="613"/>
      <c r="N60" s="615"/>
    </row>
    <row r="61" spans="1:14">
      <c r="B61" s="599">
        <f t="shared" si="0"/>
        <v>56</v>
      </c>
      <c r="D61" s="609" t="s">
        <v>1990</v>
      </c>
      <c r="E61" s="610" t="s">
        <v>7</v>
      </c>
      <c r="G61" s="613" t="s">
        <v>1495</v>
      </c>
      <c r="H61" s="613"/>
      <c r="I61" s="613"/>
      <c r="J61" s="613"/>
      <c r="K61" s="613"/>
      <c r="L61" s="613"/>
      <c r="M61" s="613"/>
      <c r="N61" s="615"/>
    </row>
    <row r="62" spans="1:14">
      <c r="B62" s="599">
        <f t="shared" si="0"/>
        <v>57</v>
      </c>
      <c r="D62" s="609" t="s">
        <v>1989</v>
      </c>
      <c r="E62" s="610" t="s">
        <v>7</v>
      </c>
      <c r="G62" s="613" t="s">
        <v>1495</v>
      </c>
      <c r="H62" s="613"/>
      <c r="I62" s="613"/>
      <c r="J62" s="613"/>
      <c r="K62" s="613"/>
      <c r="L62" s="613"/>
      <c r="M62" s="613"/>
      <c r="N62" s="615"/>
    </row>
    <row r="63" spans="1:14">
      <c r="A63" s="638" t="s">
        <v>265</v>
      </c>
      <c r="B63" s="599">
        <f t="shared" si="0"/>
        <v>58</v>
      </c>
      <c r="C63" s="608" t="s">
        <v>1988</v>
      </c>
      <c r="D63" s="609" t="s">
        <v>1970</v>
      </c>
      <c r="E63" s="610" t="s">
        <v>32</v>
      </c>
      <c r="F63" s="616">
        <v>5320569</v>
      </c>
      <c r="G63" s="613" t="s">
        <v>1495</v>
      </c>
      <c r="H63" s="613"/>
      <c r="I63" s="613"/>
      <c r="J63" s="613"/>
      <c r="K63" s="613"/>
      <c r="L63" s="613"/>
      <c r="M63" s="613"/>
      <c r="N63" s="615"/>
    </row>
    <row r="64" spans="1:14">
      <c r="B64" s="599">
        <f t="shared" si="0"/>
        <v>59</v>
      </c>
      <c r="D64" s="609" t="s">
        <v>1750</v>
      </c>
      <c r="E64" s="610" t="s">
        <v>32</v>
      </c>
      <c r="G64" s="613" t="s">
        <v>1495</v>
      </c>
      <c r="H64" s="613"/>
      <c r="I64" s="613"/>
      <c r="J64" s="613"/>
      <c r="K64" s="613"/>
      <c r="L64" s="613"/>
      <c r="M64" s="613"/>
      <c r="N64" s="615"/>
    </row>
    <row r="65" spans="1:14">
      <c r="B65" s="599">
        <f t="shared" si="0"/>
        <v>60</v>
      </c>
      <c r="D65" s="609" t="s">
        <v>1987</v>
      </c>
      <c r="E65" s="610" t="s">
        <v>32</v>
      </c>
      <c r="G65" s="613" t="s">
        <v>1495</v>
      </c>
      <c r="H65" s="613"/>
      <c r="I65" s="613"/>
      <c r="J65" s="613"/>
      <c r="K65" s="613"/>
      <c r="L65" s="613"/>
      <c r="M65" s="613"/>
      <c r="N65" s="615"/>
    </row>
    <row r="66" spans="1:14" ht="29">
      <c r="B66" s="599">
        <f t="shared" si="0"/>
        <v>61</v>
      </c>
      <c r="D66" s="609" t="s">
        <v>1986</v>
      </c>
      <c r="E66" s="610" t="s">
        <v>32</v>
      </c>
      <c r="G66" s="613" t="s">
        <v>1495</v>
      </c>
      <c r="H66" s="613"/>
      <c r="I66" s="613"/>
      <c r="J66" s="613"/>
      <c r="K66" s="613"/>
      <c r="L66" s="613"/>
      <c r="M66" s="613"/>
      <c r="N66" s="615"/>
    </row>
    <row r="67" spans="1:14">
      <c r="B67" s="599">
        <f t="shared" si="0"/>
        <v>62</v>
      </c>
      <c r="D67" s="609" t="s">
        <v>1985</v>
      </c>
      <c r="E67" s="610" t="s">
        <v>32</v>
      </c>
      <c r="G67" s="613" t="s">
        <v>1495</v>
      </c>
      <c r="H67" s="613"/>
      <c r="I67" s="613"/>
      <c r="J67" s="613"/>
      <c r="K67" s="613"/>
      <c r="L67" s="613"/>
      <c r="M67" s="613"/>
      <c r="N67" s="615"/>
    </row>
    <row r="68" spans="1:14" ht="29">
      <c r="A68" s="638" t="s">
        <v>267</v>
      </c>
      <c r="B68" s="599">
        <f t="shared" si="0"/>
        <v>63</v>
      </c>
      <c r="C68" s="608" t="s">
        <v>1984</v>
      </c>
      <c r="D68" s="609" t="s">
        <v>1983</v>
      </c>
      <c r="E68" s="610" t="s">
        <v>7</v>
      </c>
      <c r="F68" s="616">
        <v>8549123</v>
      </c>
      <c r="G68" s="613" t="s">
        <v>1495</v>
      </c>
      <c r="H68" s="613"/>
      <c r="I68" s="613"/>
      <c r="J68" s="613"/>
      <c r="K68" s="613"/>
      <c r="L68" s="613"/>
      <c r="M68" s="613"/>
      <c r="N68" s="615"/>
    </row>
    <row r="69" spans="1:14">
      <c r="B69" s="599">
        <f t="shared" si="0"/>
        <v>64</v>
      </c>
      <c r="D69" s="609" t="s">
        <v>1982</v>
      </c>
      <c r="E69" s="610" t="s">
        <v>7</v>
      </c>
      <c r="G69" s="613" t="s">
        <v>1495</v>
      </c>
      <c r="H69" s="613"/>
      <c r="I69" s="613"/>
      <c r="J69" s="613"/>
      <c r="K69" s="613"/>
      <c r="L69" s="613"/>
      <c r="M69" s="613"/>
      <c r="N69" s="615"/>
    </row>
    <row r="70" spans="1:14">
      <c r="B70" s="599">
        <f t="shared" si="0"/>
        <v>65</v>
      </c>
      <c r="D70" s="609" t="s">
        <v>1981</v>
      </c>
      <c r="E70" s="610" t="s">
        <v>7</v>
      </c>
      <c r="G70" s="613" t="s">
        <v>1495</v>
      </c>
      <c r="H70" s="613"/>
      <c r="I70" s="613"/>
      <c r="J70" s="613"/>
      <c r="K70" s="613"/>
      <c r="L70" s="613"/>
      <c r="M70" s="613"/>
      <c r="N70" s="615"/>
    </row>
    <row r="71" spans="1:14">
      <c r="B71" s="599">
        <f t="shared" ref="B71:B134" si="1">B70+1</f>
        <v>66</v>
      </c>
      <c r="D71" s="609" t="s">
        <v>1980</v>
      </c>
      <c r="E71" s="610" t="s">
        <v>7</v>
      </c>
      <c r="G71" s="613" t="s">
        <v>1495</v>
      </c>
      <c r="H71" s="613"/>
      <c r="I71" s="613"/>
      <c r="J71" s="613"/>
      <c r="K71" s="613"/>
      <c r="L71" s="613"/>
      <c r="M71" s="613"/>
      <c r="N71" s="615"/>
    </row>
    <row r="72" spans="1:14">
      <c r="B72" s="599">
        <f t="shared" si="1"/>
        <v>67</v>
      </c>
      <c r="D72" s="609" t="s">
        <v>1979</v>
      </c>
      <c r="E72" s="610" t="s">
        <v>7</v>
      </c>
      <c r="G72" s="613" t="s">
        <v>1495</v>
      </c>
      <c r="H72" s="613"/>
      <c r="I72" s="613"/>
      <c r="J72" s="613"/>
      <c r="K72" s="613"/>
      <c r="L72" s="613"/>
      <c r="M72" s="613"/>
      <c r="N72" s="615"/>
    </row>
    <row r="73" spans="1:14">
      <c r="A73" s="638" t="s">
        <v>269</v>
      </c>
      <c r="B73" s="599">
        <f t="shared" si="1"/>
        <v>68</v>
      </c>
      <c r="C73" s="608" t="s">
        <v>1978</v>
      </c>
      <c r="D73" s="609" t="s">
        <v>1977</v>
      </c>
      <c r="E73" s="610" t="s">
        <v>32</v>
      </c>
      <c r="F73" s="616">
        <v>11177951</v>
      </c>
      <c r="G73" s="613"/>
      <c r="H73" s="613"/>
      <c r="I73" s="613" t="s">
        <v>1495</v>
      </c>
      <c r="J73" s="613"/>
      <c r="K73" s="613"/>
      <c r="L73" s="613"/>
      <c r="M73" s="613"/>
      <c r="N73" s="615" t="s">
        <v>1976</v>
      </c>
    </row>
    <row r="74" spans="1:14">
      <c r="B74" s="599">
        <f t="shared" si="1"/>
        <v>69</v>
      </c>
      <c r="D74" s="609" t="s">
        <v>1975</v>
      </c>
      <c r="E74" s="610" t="s">
        <v>32</v>
      </c>
      <c r="G74" s="613" t="s">
        <v>1495</v>
      </c>
      <c r="H74" s="613"/>
      <c r="I74" s="613"/>
      <c r="J74" s="613"/>
      <c r="K74" s="613"/>
      <c r="L74" s="613"/>
      <c r="M74" s="613"/>
      <c r="N74" s="615"/>
    </row>
    <row r="75" spans="1:14">
      <c r="B75" s="599">
        <f t="shared" si="1"/>
        <v>70</v>
      </c>
      <c r="D75" s="609" t="s">
        <v>1974</v>
      </c>
      <c r="E75" s="610" t="s">
        <v>32</v>
      </c>
      <c r="G75" s="613" t="s">
        <v>1495</v>
      </c>
      <c r="H75" s="613"/>
      <c r="I75" s="613"/>
      <c r="J75" s="613"/>
      <c r="K75" s="613"/>
      <c r="L75" s="613"/>
      <c r="M75" s="613"/>
      <c r="N75" s="615"/>
    </row>
    <row r="76" spans="1:14">
      <c r="A76" s="638" t="s">
        <v>271</v>
      </c>
      <c r="B76" s="599">
        <f t="shared" si="1"/>
        <v>71</v>
      </c>
      <c r="C76" s="608" t="s">
        <v>1973</v>
      </c>
      <c r="D76" s="609" t="s">
        <v>1542</v>
      </c>
      <c r="E76" s="610" t="s">
        <v>7</v>
      </c>
      <c r="F76" s="616">
        <v>2390851</v>
      </c>
      <c r="G76" s="613" t="s">
        <v>1495</v>
      </c>
      <c r="H76" s="613" t="s">
        <v>1495</v>
      </c>
      <c r="I76" s="613"/>
      <c r="J76" s="613"/>
      <c r="K76" s="613"/>
      <c r="L76" s="613"/>
      <c r="M76" s="613"/>
      <c r="N76" s="615" t="s">
        <v>1972</v>
      </c>
    </row>
    <row r="77" spans="1:14">
      <c r="A77" s="638" t="s">
        <v>273</v>
      </c>
      <c r="B77" s="599">
        <f t="shared" si="1"/>
        <v>72</v>
      </c>
      <c r="C77" s="608" t="s">
        <v>1971</v>
      </c>
      <c r="D77" s="609" t="s">
        <v>1970</v>
      </c>
      <c r="E77" s="610" t="s">
        <v>32</v>
      </c>
      <c r="F77" s="616">
        <v>2575384</v>
      </c>
      <c r="G77" s="613" t="s">
        <v>1495</v>
      </c>
      <c r="H77" s="613"/>
      <c r="I77" s="613"/>
      <c r="J77" s="613"/>
      <c r="K77" s="613"/>
      <c r="L77" s="613"/>
      <c r="M77" s="613"/>
      <c r="N77" s="615"/>
    </row>
    <row r="78" spans="1:14">
      <c r="B78" s="599">
        <f t="shared" si="1"/>
        <v>73</v>
      </c>
      <c r="D78" s="609" t="s">
        <v>1695</v>
      </c>
      <c r="E78" s="610" t="s">
        <v>32</v>
      </c>
      <c r="G78" s="613" t="s">
        <v>1495</v>
      </c>
      <c r="H78" s="613"/>
      <c r="I78" s="613"/>
      <c r="J78" s="613"/>
      <c r="K78" s="613"/>
      <c r="L78" s="613"/>
      <c r="M78" s="613"/>
      <c r="N78" s="615"/>
    </row>
    <row r="79" spans="1:14">
      <c r="B79" s="599">
        <f t="shared" si="1"/>
        <v>74</v>
      </c>
      <c r="D79" s="609" t="s">
        <v>1969</v>
      </c>
      <c r="E79" s="610" t="s">
        <v>32</v>
      </c>
      <c r="G79" s="613" t="s">
        <v>1495</v>
      </c>
      <c r="H79" s="613"/>
      <c r="I79" s="613"/>
      <c r="J79" s="613"/>
      <c r="K79" s="613"/>
      <c r="L79" s="613"/>
      <c r="M79" s="613"/>
      <c r="N79" s="615"/>
    </row>
    <row r="80" spans="1:14">
      <c r="B80" s="599">
        <f t="shared" si="1"/>
        <v>75</v>
      </c>
      <c r="D80" s="609" t="s">
        <v>1968</v>
      </c>
      <c r="E80" s="610" t="s">
        <v>32</v>
      </c>
      <c r="G80" s="613" t="s">
        <v>1495</v>
      </c>
      <c r="H80" s="613"/>
      <c r="I80" s="613"/>
      <c r="J80" s="613"/>
      <c r="K80" s="613"/>
      <c r="L80" s="613"/>
      <c r="M80" s="613"/>
      <c r="N80" s="615"/>
    </row>
    <row r="81" spans="1:14">
      <c r="B81" s="599">
        <f t="shared" si="1"/>
        <v>76</v>
      </c>
      <c r="D81" s="609" t="s">
        <v>1967</v>
      </c>
      <c r="E81" s="610" t="s">
        <v>32</v>
      </c>
      <c r="G81" s="613" t="s">
        <v>1495</v>
      </c>
      <c r="H81" s="613"/>
      <c r="I81" s="613"/>
      <c r="J81" s="613"/>
      <c r="K81" s="613"/>
      <c r="L81" s="613"/>
      <c r="M81" s="613"/>
      <c r="N81" s="615"/>
    </row>
    <row r="82" spans="1:14">
      <c r="A82" s="638" t="s">
        <v>277</v>
      </c>
      <c r="B82" s="599">
        <f t="shared" si="1"/>
        <v>77</v>
      </c>
      <c r="C82" s="608" t="s">
        <v>1966</v>
      </c>
      <c r="D82" s="609" t="s">
        <v>1965</v>
      </c>
      <c r="E82" s="610" t="s">
        <v>7</v>
      </c>
      <c r="F82" s="616">
        <v>10656664</v>
      </c>
      <c r="G82" s="613" t="s">
        <v>1495</v>
      </c>
      <c r="H82" s="613"/>
      <c r="I82" s="613"/>
      <c r="J82" s="613"/>
      <c r="K82" s="613"/>
      <c r="L82" s="613"/>
      <c r="M82" s="613"/>
      <c r="N82" s="615"/>
    </row>
    <row r="83" spans="1:14">
      <c r="B83" s="599">
        <f t="shared" si="1"/>
        <v>78</v>
      </c>
      <c r="D83" s="609" t="s">
        <v>1964</v>
      </c>
      <c r="E83" s="610" t="s">
        <v>7</v>
      </c>
      <c r="G83" s="613" t="s">
        <v>1495</v>
      </c>
      <c r="H83" s="613"/>
      <c r="I83" s="613"/>
      <c r="J83" s="613"/>
      <c r="K83" s="613"/>
      <c r="L83" s="613"/>
      <c r="M83" s="613"/>
      <c r="N83" s="615"/>
    </row>
    <row r="84" spans="1:14">
      <c r="B84" s="599">
        <f t="shared" si="1"/>
        <v>79</v>
      </c>
      <c r="D84" s="609" t="s">
        <v>1963</v>
      </c>
      <c r="E84" s="610" t="s">
        <v>7</v>
      </c>
      <c r="G84" s="613" t="s">
        <v>1495</v>
      </c>
      <c r="H84" s="613"/>
      <c r="I84" s="613"/>
      <c r="J84" s="613"/>
      <c r="K84" s="613"/>
      <c r="L84" s="613"/>
      <c r="M84" s="613"/>
      <c r="N84" s="615"/>
    </row>
    <row r="85" spans="1:14">
      <c r="B85" s="599">
        <f t="shared" si="1"/>
        <v>80</v>
      </c>
      <c r="D85" s="609" t="s">
        <v>1962</v>
      </c>
      <c r="E85" s="610" t="s">
        <v>7</v>
      </c>
      <c r="G85" s="613" t="s">
        <v>1495</v>
      </c>
      <c r="H85" s="613"/>
      <c r="I85" s="613"/>
      <c r="J85" s="613"/>
      <c r="K85" s="613"/>
      <c r="L85" s="613"/>
      <c r="M85" s="613"/>
      <c r="N85" s="615"/>
    </row>
    <row r="86" spans="1:14">
      <c r="B86" s="599">
        <f t="shared" si="1"/>
        <v>81</v>
      </c>
      <c r="D86" s="609" t="s">
        <v>1961</v>
      </c>
      <c r="E86" s="610" t="s">
        <v>7</v>
      </c>
      <c r="G86" s="613" t="s">
        <v>1495</v>
      </c>
      <c r="H86" s="613"/>
      <c r="I86" s="613"/>
      <c r="J86" s="613"/>
      <c r="K86" s="613"/>
      <c r="L86" s="613"/>
      <c r="M86" s="613"/>
      <c r="N86" s="615"/>
    </row>
    <row r="87" spans="1:14">
      <c r="B87" s="599">
        <f t="shared" si="1"/>
        <v>82</v>
      </c>
      <c r="D87" s="609" t="s">
        <v>1960</v>
      </c>
      <c r="E87" s="610" t="s">
        <v>7</v>
      </c>
      <c r="G87" s="613" t="s">
        <v>1495</v>
      </c>
      <c r="H87" s="613"/>
      <c r="I87" s="613"/>
      <c r="J87" s="613"/>
      <c r="K87" s="613"/>
      <c r="L87" s="613"/>
      <c r="M87" s="613"/>
      <c r="N87" s="615"/>
    </row>
    <row r="88" spans="1:14">
      <c r="B88" s="599">
        <f t="shared" si="1"/>
        <v>83</v>
      </c>
      <c r="D88" s="609" t="s">
        <v>1959</v>
      </c>
      <c r="E88" s="610" t="s">
        <v>7</v>
      </c>
      <c r="G88" s="613" t="s">
        <v>1495</v>
      </c>
      <c r="H88" s="613"/>
      <c r="I88" s="613"/>
      <c r="J88" s="613"/>
      <c r="K88" s="613"/>
      <c r="L88" s="613"/>
      <c r="M88" s="613"/>
      <c r="N88" s="615"/>
    </row>
    <row r="89" spans="1:14" ht="29">
      <c r="A89" s="638" t="s">
        <v>279</v>
      </c>
      <c r="B89" s="599">
        <f t="shared" si="1"/>
        <v>84</v>
      </c>
      <c r="C89" s="608" t="s">
        <v>1958</v>
      </c>
      <c r="D89" s="609" t="s">
        <v>1957</v>
      </c>
      <c r="E89" s="610" t="s">
        <v>7</v>
      </c>
      <c r="F89" s="616">
        <v>14743978</v>
      </c>
      <c r="G89" s="613" t="s">
        <v>1495</v>
      </c>
      <c r="H89" s="613"/>
      <c r="I89" s="613"/>
      <c r="J89" s="613"/>
      <c r="K89" s="613"/>
      <c r="L89" s="613"/>
      <c r="M89" s="613"/>
      <c r="N89" s="615"/>
    </row>
    <row r="90" spans="1:14">
      <c r="B90" s="599">
        <f t="shared" si="1"/>
        <v>85</v>
      </c>
      <c r="D90" s="609" t="s">
        <v>1956</v>
      </c>
      <c r="E90" s="610" t="s">
        <v>7</v>
      </c>
      <c r="G90" s="613" t="s">
        <v>1495</v>
      </c>
      <c r="H90" s="613"/>
      <c r="I90" s="613"/>
      <c r="J90" s="613"/>
      <c r="K90" s="613"/>
      <c r="L90" s="613"/>
      <c r="M90" s="613"/>
      <c r="N90" s="615"/>
    </row>
    <row r="91" spans="1:14">
      <c r="B91" s="599">
        <f t="shared" si="1"/>
        <v>86</v>
      </c>
      <c r="D91" s="609" t="s">
        <v>1838</v>
      </c>
      <c r="E91" s="610" t="s">
        <v>7</v>
      </c>
      <c r="G91" s="613" t="s">
        <v>1495</v>
      </c>
      <c r="H91" s="613"/>
      <c r="I91" s="613"/>
      <c r="J91" s="613"/>
      <c r="K91" s="613"/>
      <c r="L91" s="613"/>
      <c r="M91" s="613"/>
      <c r="N91" s="615"/>
    </row>
    <row r="92" spans="1:14">
      <c r="B92" s="599">
        <f t="shared" si="1"/>
        <v>87</v>
      </c>
      <c r="D92" s="609" t="s">
        <v>1955</v>
      </c>
      <c r="E92" s="610" t="s">
        <v>7</v>
      </c>
      <c r="G92" s="613" t="s">
        <v>1495</v>
      </c>
      <c r="H92" s="613"/>
      <c r="I92" s="613"/>
      <c r="J92" s="613"/>
      <c r="K92" s="613"/>
      <c r="L92" s="613"/>
      <c r="M92" s="613"/>
      <c r="N92" s="615"/>
    </row>
    <row r="93" spans="1:14">
      <c r="B93" s="599">
        <f t="shared" si="1"/>
        <v>88</v>
      </c>
      <c r="D93" s="609" t="s">
        <v>1954</v>
      </c>
      <c r="E93" s="610" t="s">
        <v>7</v>
      </c>
      <c r="G93" s="613" t="s">
        <v>1495</v>
      </c>
      <c r="H93" s="613"/>
      <c r="I93" s="613"/>
      <c r="J93" s="613"/>
      <c r="K93" s="613"/>
      <c r="L93" s="613"/>
      <c r="M93" s="613"/>
      <c r="N93" s="615"/>
    </row>
    <row r="94" spans="1:14" ht="29">
      <c r="B94" s="599">
        <f t="shared" si="1"/>
        <v>89</v>
      </c>
      <c r="D94" s="609" t="s">
        <v>1953</v>
      </c>
      <c r="E94" s="610" t="s">
        <v>7</v>
      </c>
      <c r="G94" s="613" t="s">
        <v>1495</v>
      </c>
      <c r="H94" s="613"/>
      <c r="I94" s="613"/>
      <c r="J94" s="613"/>
      <c r="K94" s="613"/>
      <c r="L94" s="613"/>
      <c r="M94" s="613"/>
      <c r="N94" s="615"/>
    </row>
    <row r="95" spans="1:14">
      <c r="B95" s="599">
        <f t="shared" si="1"/>
        <v>90</v>
      </c>
      <c r="D95" s="609" t="s">
        <v>1952</v>
      </c>
      <c r="E95" s="610" t="s">
        <v>7</v>
      </c>
      <c r="G95" s="613" t="s">
        <v>1495</v>
      </c>
      <c r="H95" s="613"/>
      <c r="I95" s="613"/>
      <c r="J95" s="613"/>
      <c r="K95" s="613"/>
      <c r="L95" s="613"/>
      <c r="M95" s="613"/>
      <c r="N95" s="615"/>
    </row>
    <row r="96" spans="1:14">
      <c r="B96" s="599">
        <f t="shared" si="1"/>
        <v>91</v>
      </c>
      <c r="D96" s="609" t="s">
        <v>1951</v>
      </c>
      <c r="E96" s="610" t="s">
        <v>7</v>
      </c>
      <c r="G96" s="613" t="s">
        <v>1495</v>
      </c>
      <c r="H96" s="613"/>
      <c r="I96" s="613"/>
      <c r="J96" s="613"/>
      <c r="K96" s="613"/>
      <c r="L96" s="613"/>
      <c r="M96" s="613"/>
      <c r="N96" s="615"/>
    </row>
    <row r="97" spans="1:14">
      <c r="B97" s="599">
        <f t="shared" si="1"/>
        <v>92</v>
      </c>
      <c r="D97" s="609" t="s">
        <v>1950</v>
      </c>
      <c r="E97" s="610" t="s">
        <v>7</v>
      </c>
      <c r="G97" s="613" t="s">
        <v>1495</v>
      </c>
      <c r="H97" s="613"/>
      <c r="I97" s="613"/>
      <c r="J97" s="613"/>
      <c r="K97" s="613"/>
      <c r="L97" s="613"/>
      <c r="M97" s="613"/>
      <c r="N97" s="615"/>
    </row>
    <row r="98" spans="1:14">
      <c r="A98" s="638" t="s">
        <v>283</v>
      </c>
      <c r="B98" s="599">
        <f t="shared" si="1"/>
        <v>93</v>
      </c>
      <c r="C98" s="608" t="s">
        <v>1949</v>
      </c>
      <c r="D98" s="609" t="s">
        <v>1948</v>
      </c>
      <c r="E98" s="610" t="s">
        <v>7</v>
      </c>
      <c r="F98" s="616">
        <v>2779274</v>
      </c>
      <c r="G98" s="613" t="s">
        <v>1495</v>
      </c>
      <c r="H98" s="613"/>
      <c r="I98" s="613"/>
      <c r="J98" s="613"/>
      <c r="K98" s="614"/>
      <c r="L98" s="613"/>
      <c r="M98" s="613"/>
      <c r="N98" s="615"/>
    </row>
    <row r="99" spans="1:14">
      <c r="B99" s="599">
        <f t="shared" si="1"/>
        <v>94</v>
      </c>
      <c r="D99" s="609" t="s">
        <v>1947</v>
      </c>
      <c r="E99" s="610" t="s">
        <v>7</v>
      </c>
      <c r="G99" s="613" t="s">
        <v>1495</v>
      </c>
      <c r="H99" s="613"/>
      <c r="I99" s="613"/>
      <c r="J99" s="613"/>
      <c r="K99" s="614"/>
      <c r="L99" s="613"/>
      <c r="M99" s="613"/>
      <c r="N99" s="615"/>
    </row>
    <row r="100" spans="1:14">
      <c r="B100" s="599">
        <f t="shared" si="1"/>
        <v>95</v>
      </c>
      <c r="D100" s="609" t="s">
        <v>1946</v>
      </c>
      <c r="E100" s="610" t="s">
        <v>7</v>
      </c>
      <c r="G100" s="613" t="s">
        <v>1495</v>
      </c>
      <c r="H100" s="613"/>
      <c r="I100" s="613"/>
      <c r="J100" s="613"/>
      <c r="K100" s="614"/>
      <c r="L100" s="613"/>
      <c r="M100" s="613"/>
      <c r="N100" s="615" t="s">
        <v>1945</v>
      </c>
    </row>
    <row r="101" spans="1:14">
      <c r="B101" s="599">
        <f t="shared" si="1"/>
        <v>96</v>
      </c>
      <c r="D101" s="609" t="s">
        <v>1944</v>
      </c>
      <c r="E101" s="610" t="s">
        <v>7</v>
      </c>
      <c r="G101" s="613" t="s">
        <v>1495</v>
      </c>
      <c r="H101" s="613"/>
      <c r="I101" s="613"/>
      <c r="J101" s="613"/>
      <c r="K101" s="614"/>
      <c r="L101" s="613"/>
      <c r="M101" s="613"/>
      <c r="N101" s="615"/>
    </row>
    <row r="102" spans="1:14">
      <c r="B102" s="599">
        <f t="shared" si="1"/>
        <v>97</v>
      </c>
      <c r="D102" s="609" t="s">
        <v>1943</v>
      </c>
      <c r="E102" s="610" t="s">
        <v>7</v>
      </c>
      <c r="G102" s="613" t="s">
        <v>1495</v>
      </c>
      <c r="H102" s="613"/>
      <c r="I102" s="613"/>
      <c r="J102" s="613"/>
      <c r="K102" s="614"/>
      <c r="L102" s="613"/>
      <c r="M102" s="613"/>
      <c r="N102" s="615"/>
    </row>
    <row r="103" spans="1:14">
      <c r="B103" s="599">
        <f t="shared" si="1"/>
        <v>98</v>
      </c>
      <c r="D103" s="609" t="s">
        <v>1942</v>
      </c>
      <c r="E103" s="610" t="s">
        <v>7</v>
      </c>
      <c r="G103" s="613" t="s">
        <v>1495</v>
      </c>
      <c r="H103" s="613"/>
      <c r="I103" s="613"/>
      <c r="J103" s="613"/>
      <c r="K103" s="614"/>
      <c r="L103" s="613"/>
      <c r="M103" s="613"/>
      <c r="N103" s="615"/>
    </row>
    <row r="104" spans="1:14">
      <c r="B104" s="599">
        <f t="shared" si="1"/>
        <v>99</v>
      </c>
      <c r="D104" s="609" t="s">
        <v>1941</v>
      </c>
      <c r="E104" s="610" t="s">
        <v>7</v>
      </c>
      <c r="G104" s="613" t="s">
        <v>1495</v>
      </c>
      <c r="H104" s="613"/>
      <c r="I104" s="613"/>
      <c r="J104" s="613"/>
      <c r="K104" s="614"/>
      <c r="L104" s="613"/>
      <c r="M104" s="613"/>
      <c r="N104" s="615" t="s">
        <v>1940</v>
      </c>
    </row>
    <row r="105" spans="1:14">
      <c r="A105" s="638" t="s">
        <v>285</v>
      </c>
      <c r="B105" s="599">
        <f t="shared" si="1"/>
        <v>100</v>
      </c>
      <c r="C105" s="608" t="s">
        <v>1939</v>
      </c>
      <c r="D105" s="609" t="s">
        <v>1938</v>
      </c>
      <c r="E105" s="610" t="s">
        <v>7</v>
      </c>
      <c r="F105" s="616">
        <v>950210</v>
      </c>
      <c r="G105" s="613" t="s">
        <v>1495</v>
      </c>
      <c r="H105" s="613"/>
      <c r="I105" s="613"/>
      <c r="J105" s="613"/>
      <c r="K105" s="614"/>
      <c r="L105" s="613"/>
      <c r="M105" s="613"/>
      <c r="N105" s="615"/>
    </row>
    <row r="106" spans="1:14">
      <c r="B106" s="599">
        <f t="shared" si="1"/>
        <v>101</v>
      </c>
      <c r="D106" s="609" t="s">
        <v>1937</v>
      </c>
      <c r="G106" s="613" t="s">
        <v>1495</v>
      </c>
      <c r="H106" s="613"/>
      <c r="I106" s="613"/>
      <c r="J106" s="613"/>
      <c r="K106" s="614"/>
      <c r="L106" s="613"/>
      <c r="M106" s="613"/>
      <c r="N106" s="615"/>
    </row>
    <row r="107" spans="1:14">
      <c r="A107" s="638" t="s">
        <v>287</v>
      </c>
      <c r="B107" s="599">
        <f t="shared" si="1"/>
        <v>102</v>
      </c>
      <c r="C107" s="608" t="s">
        <v>1936</v>
      </c>
      <c r="D107" s="609" t="s">
        <v>1935</v>
      </c>
      <c r="E107" s="610" t="s">
        <v>7</v>
      </c>
      <c r="F107" s="616">
        <v>5403827</v>
      </c>
      <c r="G107" s="613" t="s">
        <v>1495</v>
      </c>
      <c r="H107" s="613"/>
      <c r="I107" s="613"/>
      <c r="J107" s="613"/>
      <c r="K107" s="614"/>
      <c r="L107" s="613"/>
      <c r="M107" s="613"/>
      <c r="N107" s="615"/>
    </row>
    <row r="108" spans="1:14">
      <c r="B108" s="599">
        <f t="shared" si="1"/>
        <v>103</v>
      </c>
      <c r="D108" s="609" t="s">
        <v>1934</v>
      </c>
      <c r="E108" s="610" t="s">
        <v>7</v>
      </c>
      <c r="G108" s="613" t="s">
        <v>1495</v>
      </c>
      <c r="H108" s="613"/>
      <c r="I108" s="613"/>
      <c r="J108" s="613"/>
      <c r="K108" s="614"/>
      <c r="L108" s="613"/>
      <c r="M108" s="613"/>
      <c r="N108" s="615"/>
    </row>
    <row r="109" spans="1:14">
      <c r="B109" s="599">
        <f t="shared" si="1"/>
        <v>104</v>
      </c>
      <c r="D109" s="609" t="s">
        <v>1933</v>
      </c>
      <c r="E109" s="610" t="s">
        <v>7</v>
      </c>
      <c r="G109" s="613" t="s">
        <v>1495</v>
      </c>
      <c r="H109" s="613"/>
      <c r="I109" s="613"/>
      <c r="J109" s="613"/>
      <c r="K109" s="614"/>
      <c r="L109" s="613"/>
      <c r="M109" s="613"/>
      <c r="N109" s="615"/>
    </row>
    <row r="110" spans="1:14">
      <c r="B110" s="599">
        <f t="shared" si="1"/>
        <v>105</v>
      </c>
      <c r="D110" s="609" t="s">
        <v>1932</v>
      </c>
      <c r="E110" s="610" t="s">
        <v>7</v>
      </c>
      <c r="G110" s="613" t="s">
        <v>1495</v>
      </c>
      <c r="H110" s="613"/>
      <c r="I110" s="613"/>
      <c r="J110" s="613"/>
      <c r="K110" s="614"/>
      <c r="L110" s="613"/>
      <c r="M110" s="613"/>
      <c r="N110" s="615"/>
    </row>
    <row r="111" spans="1:14">
      <c r="A111" s="638" t="s">
        <v>289</v>
      </c>
      <c r="B111" s="599">
        <f t="shared" si="1"/>
        <v>106</v>
      </c>
      <c r="C111" s="608" t="s">
        <v>1931</v>
      </c>
      <c r="D111" s="609" t="s">
        <v>1930</v>
      </c>
      <c r="E111" s="610" t="s">
        <v>7</v>
      </c>
      <c r="F111" s="616">
        <v>2086660</v>
      </c>
      <c r="G111" s="613" t="s">
        <v>1495</v>
      </c>
      <c r="H111" s="613"/>
      <c r="I111" s="613"/>
      <c r="J111" s="613"/>
      <c r="K111" s="614"/>
      <c r="L111" s="613"/>
      <c r="M111" s="613"/>
      <c r="N111" s="615"/>
    </row>
    <row r="112" spans="1:14">
      <c r="B112" s="599">
        <f t="shared" si="1"/>
        <v>107</v>
      </c>
      <c r="D112" s="609" t="s">
        <v>1929</v>
      </c>
      <c r="E112" s="610" t="s">
        <v>7</v>
      </c>
      <c r="G112" s="613" t="s">
        <v>1495</v>
      </c>
      <c r="H112" s="613"/>
      <c r="I112" s="613"/>
      <c r="J112" s="613"/>
      <c r="K112" s="614"/>
      <c r="L112" s="613"/>
      <c r="M112" s="613"/>
      <c r="N112" s="615"/>
    </row>
    <row r="113" spans="1:14">
      <c r="A113" s="638" t="s">
        <v>293</v>
      </c>
      <c r="B113" s="599">
        <f t="shared" si="1"/>
        <v>108</v>
      </c>
      <c r="C113" s="608" t="s">
        <v>1928</v>
      </c>
      <c r="D113" s="609" t="s">
        <v>1927</v>
      </c>
      <c r="E113" s="610" t="s">
        <v>7</v>
      </c>
      <c r="F113" s="616">
        <v>3121488</v>
      </c>
      <c r="G113" s="613" t="s">
        <v>1495</v>
      </c>
      <c r="H113" s="613"/>
      <c r="I113" s="613"/>
      <c r="J113" s="613"/>
      <c r="K113" s="614"/>
      <c r="L113" s="613"/>
      <c r="M113" s="613"/>
      <c r="N113" s="615"/>
    </row>
    <row r="114" spans="1:14">
      <c r="A114" s="638" t="s">
        <v>295</v>
      </c>
      <c r="B114" s="599">
        <f t="shared" si="1"/>
        <v>109</v>
      </c>
      <c r="C114" s="608" t="s">
        <v>1926</v>
      </c>
      <c r="D114" s="609" t="s">
        <v>1553</v>
      </c>
      <c r="E114" s="610" t="s">
        <v>7</v>
      </c>
      <c r="F114" s="616">
        <v>749768</v>
      </c>
      <c r="G114" s="613" t="s">
        <v>1495</v>
      </c>
      <c r="H114" s="613"/>
      <c r="I114" s="613"/>
      <c r="J114" s="613"/>
      <c r="K114" s="614"/>
      <c r="L114" s="613"/>
      <c r="M114" s="613"/>
      <c r="N114" s="615"/>
    </row>
    <row r="115" spans="1:14">
      <c r="A115" s="638" t="s">
        <v>297</v>
      </c>
      <c r="B115" s="599">
        <f t="shared" si="1"/>
        <v>110</v>
      </c>
      <c r="C115" s="608" t="s">
        <v>1925</v>
      </c>
      <c r="D115" s="609" t="s">
        <v>1924</v>
      </c>
      <c r="E115" s="610" t="s">
        <v>7</v>
      </c>
      <c r="F115" s="616">
        <v>4679262</v>
      </c>
      <c r="G115" s="613" t="s">
        <v>1495</v>
      </c>
      <c r="H115" s="613"/>
      <c r="I115" s="613"/>
      <c r="J115" s="613"/>
      <c r="K115" s="614"/>
      <c r="L115" s="613"/>
      <c r="M115" s="613"/>
      <c r="N115" s="615"/>
    </row>
    <row r="116" spans="1:14">
      <c r="B116" s="599">
        <f t="shared" si="1"/>
        <v>111</v>
      </c>
      <c r="D116" s="609" t="s">
        <v>1923</v>
      </c>
      <c r="E116" s="610" t="s">
        <v>7</v>
      </c>
      <c r="G116" s="613" t="s">
        <v>1495</v>
      </c>
      <c r="H116" s="613"/>
      <c r="I116" s="613"/>
      <c r="J116" s="613"/>
      <c r="K116" s="614"/>
      <c r="L116" s="613"/>
      <c r="M116" s="613"/>
      <c r="N116" s="615"/>
    </row>
    <row r="117" spans="1:14">
      <c r="A117" s="638" t="s">
        <v>299</v>
      </c>
      <c r="B117" s="599">
        <f t="shared" si="1"/>
        <v>112</v>
      </c>
      <c r="C117" s="608" t="s">
        <v>1922</v>
      </c>
      <c r="D117" s="609" t="s">
        <v>1921</v>
      </c>
      <c r="E117" s="610" t="s">
        <v>7</v>
      </c>
      <c r="F117" s="616">
        <v>4296873</v>
      </c>
      <c r="G117" s="613" t="s">
        <v>1495</v>
      </c>
      <c r="H117" s="613"/>
      <c r="I117" s="613"/>
      <c r="J117" s="613"/>
      <c r="K117" s="614"/>
      <c r="L117" s="613"/>
      <c r="M117" s="613"/>
      <c r="N117" s="615"/>
    </row>
    <row r="118" spans="1:14">
      <c r="B118" s="599">
        <f t="shared" si="1"/>
        <v>113</v>
      </c>
      <c r="D118" s="609" t="s">
        <v>1920</v>
      </c>
      <c r="E118" s="610" t="s">
        <v>7</v>
      </c>
      <c r="G118" s="613" t="s">
        <v>1495</v>
      </c>
      <c r="H118" s="613"/>
      <c r="I118" s="613"/>
      <c r="J118" s="613"/>
      <c r="K118" s="614"/>
      <c r="L118" s="613"/>
      <c r="M118" s="613"/>
      <c r="N118" s="615"/>
    </row>
    <row r="119" spans="1:14">
      <c r="A119" s="638" t="s">
        <v>301</v>
      </c>
      <c r="B119" s="599">
        <f t="shared" si="1"/>
        <v>114</v>
      </c>
      <c r="C119" s="608" t="s">
        <v>1919</v>
      </c>
      <c r="D119" s="609" t="s">
        <v>1918</v>
      </c>
      <c r="E119" s="610" t="s">
        <v>7</v>
      </c>
      <c r="F119" s="616">
        <v>757992</v>
      </c>
      <c r="G119" s="613" t="s">
        <v>1495</v>
      </c>
      <c r="H119" s="613"/>
      <c r="I119" s="613"/>
      <c r="J119" s="613"/>
      <c r="K119" s="614"/>
      <c r="L119" s="613"/>
      <c r="M119" s="613"/>
      <c r="N119" s="615"/>
    </row>
    <row r="120" spans="1:14" ht="29">
      <c r="A120" s="638" t="s">
        <v>303</v>
      </c>
      <c r="B120" s="599">
        <f t="shared" si="1"/>
        <v>115</v>
      </c>
      <c r="C120" s="608" t="s">
        <v>1917</v>
      </c>
      <c r="D120" s="609" t="s">
        <v>1916</v>
      </c>
      <c r="E120" s="610" t="s">
        <v>7</v>
      </c>
      <c r="F120" s="616">
        <v>20373151</v>
      </c>
      <c r="G120" s="613" t="s">
        <v>1495</v>
      </c>
      <c r="H120" s="613"/>
      <c r="I120" s="613"/>
      <c r="J120" s="613"/>
      <c r="K120" s="614"/>
      <c r="L120" s="613"/>
      <c r="M120" s="613"/>
      <c r="N120" s="615"/>
    </row>
    <row r="121" spans="1:14" ht="29">
      <c r="B121" s="599">
        <f t="shared" si="1"/>
        <v>116</v>
      </c>
      <c r="D121" s="609" t="s">
        <v>1915</v>
      </c>
      <c r="E121" s="610" t="s">
        <v>7</v>
      </c>
      <c r="G121" s="613" t="s">
        <v>1495</v>
      </c>
      <c r="H121" s="613"/>
      <c r="I121" s="613"/>
      <c r="J121" s="613"/>
      <c r="K121" s="614"/>
      <c r="L121" s="613"/>
      <c r="M121" s="613"/>
      <c r="N121" s="615"/>
    </row>
    <row r="122" spans="1:14">
      <c r="B122" s="599">
        <f t="shared" si="1"/>
        <v>117</v>
      </c>
      <c r="D122" s="609" t="s">
        <v>1914</v>
      </c>
      <c r="E122" s="610" t="s">
        <v>7</v>
      </c>
      <c r="G122" s="613" t="s">
        <v>1495</v>
      </c>
      <c r="H122" s="613"/>
      <c r="I122" s="613"/>
      <c r="J122" s="613"/>
      <c r="K122" s="613"/>
      <c r="L122" s="613"/>
      <c r="M122" s="613"/>
      <c r="N122" s="615"/>
    </row>
    <row r="123" spans="1:14">
      <c r="B123" s="599">
        <f t="shared" si="1"/>
        <v>118</v>
      </c>
      <c r="D123" s="609" t="s">
        <v>1913</v>
      </c>
      <c r="E123" s="610" t="s">
        <v>7</v>
      </c>
      <c r="G123" s="613" t="s">
        <v>1495</v>
      </c>
      <c r="H123" s="613"/>
      <c r="I123" s="613"/>
      <c r="J123" s="613"/>
      <c r="K123" s="613"/>
      <c r="L123" s="613"/>
      <c r="M123" s="613"/>
      <c r="N123" s="615"/>
    </row>
    <row r="124" spans="1:14">
      <c r="B124" s="599">
        <f t="shared" si="1"/>
        <v>119</v>
      </c>
      <c r="D124" s="609" t="s">
        <v>1912</v>
      </c>
      <c r="E124" s="610" t="s">
        <v>7</v>
      </c>
      <c r="G124" s="613" t="s">
        <v>1495</v>
      </c>
      <c r="H124" s="613"/>
      <c r="I124" s="613"/>
      <c r="J124" s="613"/>
      <c r="K124" s="613"/>
      <c r="L124" s="613"/>
      <c r="M124" s="613"/>
      <c r="N124" s="615"/>
    </row>
    <row r="125" spans="1:14">
      <c r="B125" s="599">
        <f t="shared" si="1"/>
        <v>120</v>
      </c>
      <c r="D125" s="609" t="s">
        <v>1911</v>
      </c>
      <c r="E125" s="610" t="s">
        <v>7</v>
      </c>
      <c r="G125" s="613"/>
      <c r="H125" s="613"/>
      <c r="I125" s="613" t="s">
        <v>1495</v>
      </c>
      <c r="J125" s="613"/>
      <c r="K125" s="613"/>
      <c r="L125" s="613"/>
      <c r="M125" s="613"/>
      <c r="N125" s="615" t="s">
        <v>1908</v>
      </c>
    </row>
    <row r="126" spans="1:14">
      <c r="B126" s="599">
        <f t="shared" si="1"/>
        <v>121</v>
      </c>
      <c r="D126" s="609" t="s">
        <v>1910</v>
      </c>
      <c r="E126" s="610" t="s">
        <v>7</v>
      </c>
      <c r="G126" s="613"/>
      <c r="H126" s="613"/>
      <c r="I126" s="613" t="s">
        <v>1495</v>
      </c>
      <c r="J126" s="613"/>
      <c r="K126" s="613"/>
      <c r="L126" s="613"/>
      <c r="M126" s="613"/>
      <c r="N126" s="615" t="s">
        <v>1908</v>
      </c>
    </row>
    <row r="127" spans="1:14">
      <c r="B127" s="599">
        <f t="shared" si="1"/>
        <v>122</v>
      </c>
      <c r="D127" s="609" t="s">
        <v>1909</v>
      </c>
      <c r="E127" s="610" t="s">
        <v>7</v>
      </c>
      <c r="G127" s="613"/>
      <c r="H127" s="613"/>
      <c r="I127" s="613" t="s">
        <v>1495</v>
      </c>
      <c r="J127" s="613"/>
      <c r="K127" s="613"/>
      <c r="L127" s="613"/>
      <c r="M127" s="613"/>
      <c r="N127" s="615" t="s">
        <v>1908</v>
      </c>
    </row>
    <row r="128" spans="1:14">
      <c r="B128" s="599">
        <f t="shared" si="1"/>
        <v>123</v>
      </c>
      <c r="D128" s="609" t="s">
        <v>1907</v>
      </c>
      <c r="E128" s="610" t="s">
        <v>7</v>
      </c>
      <c r="G128" s="613" t="s">
        <v>1495</v>
      </c>
      <c r="H128" s="613"/>
      <c r="I128" s="613"/>
      <c r="J128" s="613"/>
      <c r="K128" s="613"/>
      <c r="L128" s="613"/>
      <c r="M128" s="613"/>
      <c r="N128" s="615"/>
    </row>
    <row r="129" spans="1:14">
      <c r="B129" s="599">
        <f t="shared" si="1"/>
        <v>124</v>
      </c>
      <c r="D129" s="609" t="s">
        <v>1906</v>
      </c>
      <c r="E129" s="610" t="s">
        <v>7</v>
      </c>
      <c r="G129" s="613" t="s">
        <v>1495</v>
      </c>
      <c r="H129" s="613"/>
      <c r="I129" s="613"/>
      <c r="J129" s="613"/>
      <c r="K129" s="613"/>
      <c r="L129" s="613"/>
      <c r="M129" s="613"/>
      <c r="N129" s="615"/>
    </row>
    <row r="130" spans="1:14">
      <c r="B130" s="599">
        <f t="shared" si="1"/>
        <v>125</v>
      </c>
      <c r="D130" s="609" t="s">
        <v>1905</v>
      </c>
      <c r="E130" s="610" t="s">
        <v>7</v>
      </c>
      <c r="G130" s="613" t="s">
        <v>1495</v>
      </c>
      <c r="H130" s="613"/>
      <c r="I130" s="613"/>
      <c r="J130" s="613"/>
      <c r="K130" s="613"/>
      <c r="L130" s="613"/>
      <c r="M130" s="613"/>
      <c r="N130" s="615"/>
    </row>
    <row r="131" spans="1:14">
      <c r="B131" s="599">
        <f t="shared" si="1"/>
        <v>126</v>
      </c>
      <c r="D131" s="609" t="s">
        <v>1904</v>
      </c>
      <c r="E131" s="610" t="s">
        <v>7</v>
      </c>
      <c r="G131" s="613" t="s">
        <v>1495</v>
      </c>
      <c r="H131" s="613"/>
      <c r="I131" s="613"/>
      <c r="J131" s="613"/>
      <c r="K131" s="613"/>
      <c r="L131" s="613"/>
      <c r="M131" s="613"/>
      <c r="N131" s="615"/>
    </row>
    <row r="132" spans="1:14">
      <c r="A132" s="638" t="s">
        <v>305</v>
      </c>
      <c r="B132" s="599">
        <f t="shared" si="1"/>
        <v>127</v>
      </c>
      <c r="C132" s="608" t="s">
        <v>1903</v>
      </c>
      <c r="D132" s="609" t="s">
        <v>1902</v>
      </c>
      <c r="E132" s="610" t="s">
        <v>7</v>
      </c>
      <c r="F132" s="616">
        <v>4222330</v>
      </c>
      <c r="G132" s="613" t="s">
        <v>1495</v>
      </c>
      <c r="H132" s="613"/>
      <c r="I132" s="613"/>
      <c r="J132" s="613"/>
      <c r="K132" s="613"/>
      <c r="L132" s="613"/>
      <c r="M132" s="613"/>
      <c r="N132" s="615"/>
    </row>
    <row r="133" spans="1:14">
      <c r="B133" s="599">
        <f t="shared" si="1"/>
        <v>128</v>
      </c>
      <c r="D133" s="609" t="s">
        <v>1901</v>
      </c>
      <c r="E133" s="610" t="s">
        <v>7</v>
      </c>
      <c r="G133" s="613" t="s">
        <v>1495</v>
      </c>
      <c r="H133" s="613"/>
      <c r="I133" s="613"/>
      <c r="J133" s="613"/>
      <c r="K133" s="613"/>
      <c r="L133" s="613"/>
      <c r="M133" s="613"/>
      <c r="N133" s="615"/>
    </row>
    <row r="134" spans="1:14">
      <c r="B134" s="599">
        <f t="shared" si="1"/>
        <v>129</v>
      </c>
      <c r="D134" s="609" t="s">
        <v>1900</v>
      </c>
      <c r="E134" s="610" t="s">
        <v>7</v>
      </c>
      <c r="G134" s="613" t="s">
        <v>1495</v>
      </c>
      <c r="H134" s="613"/>
      <c r="I134" s="613"/>
      <c r="J134" s="613"/>
      <c r="K134" s="613"/>
      <c r="L134" s="613"/>
      <c r="M134" s="613"/>
      <c r="N134" s="615"/>
    </row>
    <row r="135" spans="1:14" ht="27" customHeight="1">
      <c r="B135" s="599">
        <f t="shared" ref="B135:B198" si="2">B134+1</f>
        <v>130</v>
      </c>
      <c r="D135" s="609" t="s">
        <v>1647</v>
      </c>
      <c r="E135" s="610" t="s">
        <v>7</v>
      </c>
      <c r="G135" s="613"/>
      <c r="H135" s="613" t="s">
        <v>1495</v>
      </c>
      <c r="I135" s="613"/>
      <c r="J135" s="613"/>
      <c r="K135" s="613"/>
      <c r="L135" s="613"/>
      <c r="M135" s="613"/>
      <c r="N135" s="615" t="s">
        <v>1899</v>
      </c>
    </row>
    <row r="136" spans="1:14" ht="27" customHeight="1">
      <c r="B136" s="599">
        <f t="shared" si="2"/>
        <v>131</v>
      </c>
      <c r="D136" s="609" t="s">
        <v>1898</v>
      </c>
      <c r="E136" s="610" t="s">
        <v>7</v>
      </c>
      <c r="G136" s="613"/>
      <c r="H136" s="613" t="s">
        <v>1495</v>
      </c>
      <c r="I136" s="613"/>
      <c r="J136" s="613"/>
      <c r="K136" s="613"/>
      <c r="L136" s="613"/>
      <c r="M136" s="613"/>
      <c r="N136" s="615" t="s">
        <v>1897</v>
      </c>
    </row>
    <row r="137" spans="1:14">
      <c r="A137" s="638" t="s">
        <v>307</v>
      </c>
      <c r="B137" s="599">
        <f t="shared" si="2"/>
        <v>132</v>
      </c>
      <c r="C137" s="608" t="s">
        <v>1896</v>
      </c>
      <c r="D137" s="618" t="s">
        <v>1895</v>
      </c>
      <c r="E137" s="610" t="s">
        <v>7</v>
      </c>
      <c r="F137" s="616">
        <v>5313905</v>
      </c>
      <c r="G137" s="613" t="s">
        <v>1495</v>
      </c>
      <c r="H137" s="613"/>
      <c r="I137" s="613"/>
      <c r="J137" s="613"/>
      <c r="K137" s="613"/>
      <c r="L137" s="613"/>
      <c r="M137" s="613"/>
      <c r="N137" s="615"/>
    </row>
    <row r="138" spans="1:14">
      <c r="B138" s="599">
        <f t="shared" si="2"/>
        <v>133</v>
      </c>
      <c r="D138" s="609" t="s">
        <v>1894</v>
      </c>
      <c r="E138" s="610" t="s">
        <v>7</v>
      </c>
      <c r="G138" s="613" t="s">
        <v>1495</v>
      </c>
      <c r="H138" s="613"/>
      <c r="I138" s="613"/>
      <c r="J138" s="613"/>
      <c r="K138" s="613"/>
      <c r="L138" s="613"/>
      <c r="M138" s="613"/>
      <c r="N138" s="615"/>
    </row>
    <row r="139" spans="1:14">
      <c r="B139" s="599">
        <f t="shared" si="2"/>
        <v>134</v>
      </c>
      <c r="D139" s="609" t="s">
        <v>1893</v>
      </c>
      <c r="E139" s="610" t="s">
        <v>7</v>
      </c>
      <c r="G139" s="613" t="s">
        <v>1495</v>
      </c>
      <c r="H139" s="613"/>
      <c r="I139" s="613"/>
      <c r="J139" s="613"/>
      <c r="K139" s="613"/>
      <c r="L139" s="613"/>
      <c r="M139" s="613"/>
      <c r="N139" s="615"/>
    </row>
    <row r="140" spans="1:14">
      <c r="B140" s="599">
        <f t="shared" si="2"/>
        <v>135</v>
      </c>
      <c r="D140" s="609" t="s">
        <v>1892</v>
      </c>
      <c r="E140" s="610" t="s">
        <v>7</v>
      </c>
      <c r="G140" s="613" t="s">
        <v>1495</v>
      </c>
      <c r="H140" s="613"/>
      <c r="I140" s="613"/>
      <c r="J140" s="613"/>
      <c r="K140" s="613"/>
      <c r="L140" s="613"/>
      <c r="M140" s="613"/>
      <c r="N140" s="615"/>
    </row>
    <row r="141" spans="1:14">
      <c r="B141" s="599">
        <f t="shared" si="2"/>
        <v>136</v>
      </c>
      <c r="D141" s="609" t="s">
        <v>2337</v>
      </c>
      <c r="E141" s="610" t="s">
        <v>7</v>
      </c>
      <c r="G141" s="613" t="s">
        <v>1495</v>
      </c>
      <c r="H141" s="613"/>
      <c r="I141" s="613"/>
      <c r="J141" s="613"/>
      <c r="K141" s="613"/>
      <c r="L141" s="613"/>
      <c r="M141" s="613"/>
      <c r="N141" s="615"/>
    </row>
    <row r="142" spans="1:14">
      <c r="B142" s="599">
        <f t="shared" si="2"/>
        <v>137</v>
      </c>
      <c r="D142" s="609" t="s">
        <v>1891</v>
      </c>
      <c r="E142" s="610" t="s">
        <v>7</v>
      </c>
      <c r="G142" s="613" t="s">
        <v>1495</v>
      </c>
      <c r="H142" s="613"/>
      <c r="I142" s="613"/>
      <c r="J142" s="613"/>
      <c r="K142" s="613"/>
      <c r="L142" s="613"/>
      <c r="M142" s="613"/>
      <c r="N142" s="615"/>
    </row>
    <row r="143" spans="1:14" ht="43.5">
      <c r="A143" s="638" t="s">
        <v>313</v>
      </c>
      <c r="B143" s="599">
        <f t="shared" si="2"/>
        <v>138</v>
      </c>
      <c r="C143" s="608" t="s">
        <v>1890</v>
      </c>
      <c r="D143" s="609" t="s">
        <v>1889</v>
      </c>
      <c r="E143" s="610" t="s">
        <v>7</v>
      </c>
      <c r="F143" s="616">
        <v>15371304</v>
      </c>
      <c r="G143" s="613" t="s">
        <v>1495</v>
      </c>
      <c r="H143" s="613"/>
      <c r="I143" s="613"/>
      <c r="J143" s="613"/>
      <c r="K143" s="613"/>
      <c r="L143" s="613"/>
      <c r="M143" s="613"/>
      <c r="N143" s="615"/>
    </row>
    <row r="144" spans="1:14">
      <c r="B144" s="599">
        <f t="shared" si="2"/>
        <v>139</v>
      </c>
      <c r="D144" s="609" t="s">
        <v>1888</v>
      </c>
      <c r="E144" s="610" t="s">
        <v>7</v>
      </c>
      <c r="G144" s="613" t="s">
        <v>1495</v>
      </c>
      <c r="H144" s="613"/>
      <c r="I144" s="613"/>
      <c r="J144" s="613"/>
      <c r="K144" s="613"/>
      <c r="L144" s="613"/>
      <c r="M144" s="613"/>
      <c r="N144" s="615"/>
    </row>
    <row r="145" spans="1:14">
      <c r="B145" s="599">
        <f t="shared" si="2"/>
        <v>140</v>
      </c>
      <c r="D145" s="609" t="s">
        <v>1887</v>
      </c>
      <c r="E145" s="610" t="s">
        <v>7</v>
      </c>
      <c r="G145" s="613" t="s">
        <v>1495</v>
      </c>
      <c r="H145" s="613"/>
      <c r="I145" s="613"/>
      <c r="J145" s="613"/>
      <c r="K145" s="613"/>
      <c r="L145" s="613"/>
      <c r="M145" s="613"/>
      <c r="N145" s="615"/>
    </row>
    <row r="146" spans="1:14">
      <c r="B146" s="599">
        <f t="shared" si="2"/>
        <v>141</v>
      </c>
      <c r="D146" s="609" t="s">
        <v>1886</v>
      </c>
      <c r="E146" s="610" t="s">
        <v>7</v>
      </c>
      <c r="G146" s="613" t="s">
        <v>1495</v>
      </c>
      <c r="H146" s="613"/>
      <c r="I146" s="613"/>
      <c r="J146" s="613"/>
      <c r="K146" s="613"/>
      <c r="L146" s="613"/>
      <c r="M146" s="613"/>
      <c r="N146" s="615"/>
    </row>
    <row r="147" spans="1:14">
      <c r="B147" s="599">
        <f t="shared" si="2"/>
        <v>142</v>
      </c>
      <c r="D147" s="609" t="s">
        <v>1735</v>
      </c>
      <c r="E147" s="610" t="s">
        <v>7</v>
      </c>
      <c r="G147" s="613" t="s">
        <v>1495</v>
      </c>
      <c r="H147" s="613"/>
      <c r="I147" s="613"/>
      <c r="J147" s="613"/>
      <c r="K147" s="613"/>
      <c r="L147" s="613"/>
      <c r="M147" s="613"/>
      <c r="N147" s="615"/>
    </row>
    <row r="148" spans="1:14">
      <c r="B148" s="599">
        <f t="shared" si="2"/>
        <v>143</v>
      </c>
      <c r="D148" s="609" t="s">
        <v>1885</v>
      </c>
      <c r="E148" s="610" t="s">
        <v>7</v>
      </c>
      <c r="G148" s="613" t="s">
        <v>1495</v>
      </c>
      <c r="H148" s="613"/>
      <c r="I148" s="613"/>
      <c r="J148" s="613"/>
      <c r="K148" s="613"/>
      <c r="L148" s="613"/>
      <c r="M148" s="613"/>
      <c r="N148" s="615"/>
    </row>
    <row r="149" spans="1:14">
      <c r="A149" s="638" t="s">
        <v>311</v>
      </c>
      <c r="B149" s="599">
        <f t="shared" si="2"/>
        <v>144</v>
      </c>
      <c r="C149" s="608" t="s">
        <v>1884</v>
      </c>
      <c r="D149" s="609" t="s">
        <v>1883</v>
      </c>
      <c r="E149" s="610" t="s">
        <v>7</v>
      </c>
      <c r="F149" s="616">
        <v>10761312</v>
      </c>
      <c r="G149" s="613" t="s">
        <v>1495</v>
      </c>
      <c r="H149" s="613"/>
      <c r="I149" s="613"/>
      <c r="J149" s="613"/>
      <c r="K149" s="613"/>
      <c r="L149" s="613"/>
      <c r="M149" s="613"/>
      <c r="N149" s="615"/>
    </row>
    <row r="150" spans="1:14">
      <c r="B150" s="599">
        <f t="shared" si="2"/>
        <v>145</v>
      </c>
      <c r="D150" s="609" t="s">
        <v>1882</v>
      </c>
      <c r="E150" s="610" t="s">
        <v>7</v>
      </c>
      <c r="G150" s="613" t="s">
        <v>1495</v>
      </c>
      <c r="H150" s="613"/>
      <c r="I150" s="613"/>
      <c r="J150" s="613"/>
      <c r="K150" s="613"/>
      <c r="L150" s="613"/>
      <c r="M150" s="613"/>
      <c r="N150" s="615"/>
    </row>
    <row r="151" spans="1:14">
      <c r="B151" s="599">
        <f t="shared" si="2"/>
        <v>146</v>
      </c>
      <c r="D151" s="609" t="s">
        <v>1881</v>
      </c>
      <c r="E151" s="610" t="s">
        <v>7</v>
      </c>
      <c r="G151" s="613" t="s">
        <v>1495</v>
      </c>
      <c r="H151" s="613"/>
      <c r="I151" s="613"/>
      <c r="J151" s="613"/>
      <c r="K151" s="613"/>
      <c r="L151" s="613"/>
      <c r="M151" s="613"/>
      <c r="N151" s="615"/>
    </row>
    <row r="152" spans="1:14">
      <c r="B152" s="599">
        <f t="shared" si="2"/>
        <v>147</v>
      </c>
      <c r="D152" s="609" t="s">
        <v>1880</v>
      </c>
      <c r="E152" s="610" t="s">
        <v>7</v>
      </c>
      <c r="G152" s="613" t="s">
        <v>1495</v>
      </c>
      <c r="H152" s="613"/>
      <c r="I152" s="613"/>
      <c r="J152" s="613"/>
      <c r="K152" s="613"/>
      <c r="L152" s="613"/>
      <c r="M152" s="613"/>
      <c r="N152" s="615"/>
    </row>
    <row r="153" spans="1:14">
      <c r="B153" s="599">
        <f t="shared" si="2"/>
        <v>148</v>
      </c>
      <c r="D153" s="609" t="s">
        <v>1879</v>
      </c>
      <c r="E153" s="610" t="s">
        <v>7</v>
      </c>
      <c r="G153" s="613" t="s">
        <v>1495</v>
      </c>
      <c r="H153" s="613"/>
      <c r="I153" s="613"/>
      <c r="J153" s="613"/>
      <c r="K153" s="613"/>
      <c r="L153" s="613"/>
      <c r="M153" s="613"/>
      <c r="N153" s="615"/>
    </row>
    <row r="154" spans="1:14">
      <c r="B154" s="599">
        <f t="shared" si="2"/>
        <v>149</v>
      </c>
      <c r="D154" s="609" t="s">
        <v>1878</v>
      </c>
      <c r="E154" s="610" t="s">
        <v>7</v>
      </c>
      <c r="G154" s="613" t="s">
        <v>1495</v>
      </c>
      <c r="H154" s="613"/>
      <c r="I154" s="613"/>
      <c r="J154" s="613"/>
      <c r="K154" s="613"/>
      <c r="L154" s="613"/>
      <c r="M154" s="613"/>
      <c r="N154" s="615"/>
    </row>
    <row r="155" spans="1:14">
      <c r="B155" s="599">
        <f t="shared" si="2"/>
        <v>150</v>
      </c>
      <c r="D155" s="609" t="s">
        <v>1877</v>
      </c>
      <c r="E155" s="610" t="s">
        <v>7</v>
      </c>
      <c r="G155" s="613" t="s">
        <v>1495</v>
      </c>
      <c r="H155" s="613"/>
      <c r="I155" s="613"/>
      <c r="J155" s="613"/>
      <c r="K155" s="613"/>
      <c r="L155" s="613"/>
      <c r="M155" s="613"/>
      <c r="N155" s="615"/>
    </row>
    <row r="156" spans="1:14">
      <c r="B156" s="599">
        <f t="shared" si="2"/>
        <v>151</v>
      </c>
      <c r="D156" s="609" t="s">
        <v>1876</v>
      </c>
      <c r="E156" s="610" t="s">
        <v>7</v>
      </c>
      <c r="G156" s="613" t="s">
        <v>1495</v>
      </c>
      <c r="H156" s="613"/>
      <c r="I156" s="613"/>
      <c r="J156" s="613"/>
      <c r="K156" s="613"/>
      <c r="L156" s="613"/>
      <c r="M156" s="613"/>
      <c r="N156" s="615"/>
    </row>
    <row r="157" spans="1:14">
      <c r="A157" s="638" t="s">
        <v>315</v>
      </c>
      <c r="B157" s="599">
        <f t="shared" si="2"/>
        <v>152</v>
      </c>
      <c r="C157" s="608" t="s">
        <v>1875</v>
      </c>
      <c r="D157" s="609" t="s">
        <v>1874</v>
      </c>
      <c r="E157" s="610" t="s">
        <v>7</v>
      </c>
      <c r="F157" s="616">
        <v>1725310</v>
      </c>
      <c r="G157" s="613" t="s">
        <v>1495</v>
      </c>
      <c r="H157" s="613"/>
      <c r="I157" s="613"/>
      <c r="J157" s="613"/>
      <c r="K157" s="613"/>
      <c r="L157" s="613"/>
      <c r="M157" s="613"/>
      <c r="N157" s="615"/>
    </row>
    <row r="158" spans="1:14">
      <c r="B158" s="599">
        <f t="shared" si="2"/>
        <v>153</v>
      </c>
      <c r="D158" s="609" t="s">
        <v>1873</v>
      </c>
      <c r="E158" s="610" t="s">
        <v>7</v>
      </c>
      <c r="G158" s="613"/>
      <c r="H158" s="613" t="s">
        <v>1495</v>
      </c>
      <c r="I158" s="613"/>
      <c r="J158" s="613"/>
      <c r="K158" s="613"/>
      <c r="L158" s="613"/>
      <c r="M158" s="613"/>
      <c r="N158" s="615" t="s">
        <v>1871</v>
      </c>
    </row>
    <row r="159" spans="1:14">
      <c r="B159" s="599">
        <f t="shared" si="2"/>
        <v>154</v>
      </c>
      <c r="D159" s="609" t="s">
        <v>1872</v>
      </c>
      <c r="E159" s="610" t="s">
        <v>7</v>
      </c>
      <c r="G159" s="613"/>
      <c r="H159" s="613" t="s">
        <v>1495</v>
      </c>
      <c r="I159" s="613"/>
      <c r="J159" s="613"/>
      <c r="K159" s="613"/>
      <c r="L159" s="613"/>
      <c r="M159" s="613"/>
      <c r="N159" s="615" t="s">
        <v>1871</v>
      </c>
    </row>
    <row r="160" spans="1:14" ht="29">
      <c r="A160" s="638" t="s">
        <v>317</v>
      </c>
      <c r="B160" s="599">
        <f t="shared" si="2"/>
        <v>155</v>
      </c>
      <c r="C160" s="608" t="s">
        <v>1870</v>
      </c>
      <c r="D160" s="609" t="s">
        <v>1869</v>
      </c>
      <c r="E160" s="610" t="s">
        <v>7</v>
      </c>
      <c r="F160" s="616">
        <v>10146043</v>
      </c>
      <c r="G160" s="613" t="s">
        <v>1495</v>
      </c>
      <c r="H160" s="613"/>
      <c r="I160" s="613"/>
      <c r="J160" s="613"/>
      <c r="K160" s="613"/>
      <c r="L160" s="613"/>
      <c r="M160" s="613"/>
      <c r="N160" s="615"/>
    </row>
    <row r="161" spans="1:14">
      <c r="B161" s="599">
        <f t="shared" si="2"/>
        <v>156</v>
      </c>
      <c r="D161" s="609" t="s">
        <v>1750</v>
      </c>
      <c r="E161" s="610" t="s">
        <v>7</v>
      </c>
      <c r="G161" s="613" t="s">
        <v>1495</v>
      </c>
      <c r="H161" s="613"/>
      <c r="I161" s="613"/>
      <c r="J161" s="613"/>
      <c r="K161" s="613"/>
      <c r="L161" s="613"/>
      <c r="M161" s="613"/>
      <c r="N161" s="615"/>
    </row>
    <row r="162" spans="1:14">
      <c r="B162" s="599">
        <f t="shared" si="2"/>
        <v>157</v>
      </c>
      <c r="D162" s="609" t="s">
        <v>1868</v>
      </c>
      <c r="E162" s="610" t="s">
        <v>7</v>
      </c>
      <c r="G162" s="613" t="s">
        <v>1495</v>
      </c>
      <c r="H162" s="613"/>
      <c r="I162" s="613"/>
      <c r="J162" s="613"/>
      <c r="K162" s="613"/>
      <c r="L162" s="613"/>
      <c r="M162" s="613"/>
      <c r="N162" s="615"/>
    </row>
    <row r="163" spans="1:14">
      <c r="B163" s="599">
        <f t="shared" si="2"/>
        <v>158</v>
      </c>
      <c r="D163" s="609" t="s">
        <v>1867</v>
      </c>
      <c r="E163" s="610" t="s">
        <v>7</v>
      </c>
      <c r="G163" s="613" t="s">
        <v>1495</v>
      </c>
      <c r="H163" s="613"/>
      <c r="I163" s="613"/>
      <c r="J163" s="613"/>
      <c r="K163" s="613"/>
      <c r="L163" s="613"/>
      <c r="M163" s="613"/>
      <c r="N163" s="615"/>
    </row>
    <row r="164" spans="1:14">
      <c r="B164" s="599">
        <f t="shared" si="2"/>
        <v>159</v>
      </c>
      <c r="D164" s="609" t="s">
        <v>1866</v>
      </c>
      <c r="E164" s="610" t="s">
        <v>7</v>
      </c>
      <c r="G164" s="613" t="s">
        <v>1495</v>
      </c>
      <c r="H164" s="613"/>
      <c r="I164" s="613"/>
      <c r="J164" s="613"/>
      <c r="K164" s="613"/>
      <c r="L164" s="613"/>
      <c r="M164" s="613"/>
      <c r="N164" s="615"/>
    </row>
    <row r="165" spans="1:14">
      <c r="B165" s="599">
        <f t="shared" si="2"/>
        <v>160</v>
      </c>
      <c r="D165" s="609" t="s">
        <v>1865</v>
      </c>
      <c r="E165" s="610" t="s">
        <v>7</v>
      </c>
      <c r="G165" s="613" t="s">
        <v>1495</v>
      </c>
      <c r="H165" s="613"/>
      <c r="I165" s="613"/>
      <c r="J165" s="613"/>
      <c r="K165" s="613"/>
      <c r="L165" s="613"/>
      <c r="M165" s="613"/>
      <c r="N165" s="615"/>
    </row>
    <row r="166" spans="1:14" ht="29">
      <c r="B166" s="599">
        <f t="shared" si="2"/>
        <v>161</v>
      </c>
      <c r="D166" s="609" t="s">
        <v>1864</v>
      </c>
      <c r="E166" s="610" t="s">
        <v>7</v>
      </c>
      <c r="G166" s="613"/>
      <c r="H166" s="613"/>
      <c r="I166" s="613" t="s">
        <v>1495</v>
      </c>
      <c r="J166" s="613"/>
      <c r="K166" s="613"/>
      <c r="L166" s="613"/>
      <c r="M166" s="613"/>
      <c r="N166" s="615" t="s">
        <v>1863</v>
      </c>
    </row>
    <row r="167" spans="1:14">
      <c r="B167" s="599">
        <f t="shared" si="2"/>
        <v>162</v>
      </c>
      <c r="D167" s="609" t="s">
        <v>1862</v>
      </c>
      <c r="E167" s="610" t="s">
        <v>7</v>
      </c>
      <c r="G167" s="613" t="s">
        <v>1495</v>
      </c>
      <c r="H167" s="613"/>
      <c r="I167" s="613"/>
      <c r="J167" s="613"/>
      <c r="K167" s="613"/>
      <c r="L167" s="613"/>
      <c r="M167" s="613"/>
      <c r="N167" s="615"/>
    </row>
    <row r="168" spans="1:14" ht="29">
      <c r="A168" s="638" t="s">
        <v>319</v>
      </c>
      <c r="B168" s="599">
        <f t="shared" si="2"/>
        <v>163</v>
      </c>
      <c r="C168" s="608" t="s">
        <v>1861</v>
      </c>
      <c r="D168" s="609" t="s">
        <v>1860</v>
      </c>
      <c r="E168" s="610" t="s">
        <v>7</v>
      </c>
      <c r="F168" s="616">
        <v>12342545</v>
      </c>
      <c r="G168" s="613" t="s">
        <v>1495</v>
      </c>
      <c r="H168" s="613"/>
      <c r="I168" s="613"/>
      <c r="J168" s="613"/>
      <c r="K168" s="613"/>
      <c r="L168" s="613"/>
      <c r="M168" s="613"/>
      <c r="N168" s="615"/>
    </row>
    <row r="169" spans="1:14">
      <c r="B169" s="599">
        <f t="shared" si="2"/>
        <v>164</v>
      </c>
      <c r="D169" s="609" t="s">
        <v>1859</v>
      </c>
      <c r="E169" s="610" t="s">
        <v>7</v>
      </c>
      <c r="G169" s="613" t="s">
        <v>1495</v>
      </c>
      <c r="H169" s="613"/>
      <c r="I169" s="613"/>
      <c r="J169" s="613"/>
      <c r="K169" s="614"/>
      <c r="L169" s="613"/>
      <c r="M169" s="613"/>
      <c r="N169" s="615"/>
    </row>
    <row r="170" spans="1:14">
      <c r="B170" s="599">
        <f t="shared" si="2"/>
        <v>165</v>
      </c>
      <c r="D170" s="609" t="s">
        <v>1858</v>
      </c>
      <c r="E170" s="610" t="s">
        <v>7</v>
      </c>
      <c r="G170" s="613" t="s">
        <v>1495</v>
      </c>
      <c r="H170" s="613"/>
      <c r="I170" s="613"/>
      <c r="J170" s="613"/>
      <c r="K170" s="614"/>
      <c r="L170" s="613"/>
      <c r="M170" s="613"/>
      <c r="N170" s="615"/>
    </row>
    <row r="171" spans="1:14">
      <c r="B171" s="599">
        <f t="shared" si="2"/>
        <v>166</v>
      </c>
      <c r="D171" s="609" t="s">
        <v>1857</v>
      </c>
      <c r="E171" s="610" t="s">
        <v>7</v>
      </c>
      <c r="G171" s="613" t="s">
        <v>1495</v>
      </c>
      <c r="H171" s="613"/>
      <c r="I171" s="613"/>
      <c r="J171" s="613"/>
      <c r="K171" s="614"/>
      <c r="L171" s="613"/>
      <c r="M171" s="613"/>
      <c r="N171" s="615"/>
    </row>
    <row r="172" spans="1:14">
      <c r="B172" s="599">
        <f t="shared" si="2"/>
        <v>167</v>
      </c>
      <c r="D172" s="609" t="s">
        <v>1856</v>
      </c>
      <c r="E172" s="610" t="s">
        <v>7</v>
      </c>
      <c r="G172" s="613" t="s">
        <v>1495</v>
      </c>
      <c r="H172" s="613"/>
      <c r="I172" s="613"/>
      <c r="J172" s="613"/>
      <c r="K172" s="614"/>
      <c r="L172" s="613"/>
      <c r="M172" s="613"/>
      <c r="N172" s="615"/>
    </row>
    <row r="173" spans="1:14">
      <c r="B173" s="599">
        <f t="shared" si="2"/>
        <v>168</v>
      </c>
      <c r="D173" s="609" t="s">
        <v>1855</v>
      </c>
      <c r="E173" s="610" t="s">
        <v>7</v>
      </c>
      <c r="G173" s="613" t="s">
        <v>1495</v>
      </c>
      <c r="H173" s="613"/>
      <c r="I173" s="613"/>
      <c r="J173" s="613"/>
      <c r="K173" s="614"/>
      <c r="L173" s="613"/>
      <c r="M173" s="613"/>
      <c r="N173" s="615"/>
    </row>
    <row r="174" spans="1:14">
      <c r="B174" s="599">
        <f t="shared" si="2"/>
        <v>169</v>
      </c>
      <c r="C174" s="608" t="s">
        <v>2338</v>
      </c>
      <c r="D174" s="609" t="s">
        <v>2339</v>
      </c>
      <c r="G174" s="613" t="s">
        <v>1495</v>
      </c>
      <c r="H174" s="613"/>
      <c r="I174" s="613"/>
      <c r="J174" s="613"/>
      <c r="K174" s="614"/>
      <c r="L174" s="613"/>
      <c r="M174" s="613"/>
      <c r="N174" s="615"/>
    </row>
    <row r="175" spans="1:14">
      <c r="B175" s="599">
        <f t="shared" si="2"/>
        <v>170</v>
      </c>
      <c r="D175" s="609" t="s">
        <v>2340</v>
      </c>
      <c r="G175" s="613" t="s">
        <v>1495</v>
      </c>
      <c r="H175" s="613"/>
      <c r="I175" s="613"/>
      <c r="J175" s="613"/>
      <c r="K175" s="614"/>
      <c r="L175" s="613"/>
      <c r="M175" s="613"/>
      <c r="N175" s="615"/>
    </row>
    <row r="176" spans="1:14" ht="29">
      <c r="A176" s="638" t="s">
        <v>321</v>
      </c>
      <c r="B176" s="599">
        <f t="shared" si="2"/>
        <v>171</v>
      </c>
      <c r="C176" s="608" t="s">
        <v>1854</v>
      </c>
      <c r="D176" s="609" t="s">
        <v>1853</v>
      </c>
      <c r="E176" s="610" t="s">
        <v>7</v>
      </c>
      <c r="F176" s="616">
        <v>19532694</v>
      </c>
      <c r="G176" s="613" t="s">
        <v>1495</v>
      </c>
      <c r="H176" s="613"/>
      <c r="I176" s="613"/>
      <c r="J176" s="613"/>
      <c r="K176" s="614"/>
      <c r="L176" s="613"/>
      <c r="M176" s="613"/>
      <c r="N176" s="615"/>
    </row>
    <row r="177" spans="1:14">
      <c r="B177" s="599">
        <f t="shared" si="2"/>
        <v>172</v>
      </c>
      <c r="D177" s="609" t="s">
        <v>1852</v>
      </c>
      <c r="E177" s="610" t="s">
        <v>7</v>
      </c>
      <c r="G177" s="613" t="s">
        <v>1495</v>
      </c>
      <c r="H177" s="613"/>
      <c r="I177" s="613"/>
      <c r="J177" s="613"/>
      <c r="K177" s="614"/>
      <c r="L177" s="613"/>
      <c r="M177" s="613"/>
      <c r="N177" s="615"/>
    </row>
    <row r="178" spans="1:14">
      <c r="B178" s="599">
        <f t="shared" si="2"/>
        <v>173</v>
      </c>
      <c r="D178" s="609" t="s">
        <v>1851</v>
      </c>
      <c r="E178" s="610" t="s">
        <v>7</v>
      </c>
      <c r="G178" s="613" t="s">
        <v>1495</v>
      </c>
      <c r="H178" s="613"/>
      <c r="I178" s="613"/>
      <c r="J178" s="613"/>
      <c r="K178" s="614"/>
      <c r="L178" s="613"/>
      <c r="M178" s="613"/>
      <c r="N178" s="615"/>
    </row>
    <row r="179" spans="1:14">
      <c r="B179" s="599">
        <f t="shared" si="2"/>
        <v>174</v>
      </c>
      <c r="D179" s="609" t="s">
        <v>1850</v>
      </c>
      <c r="E179" s="610" t="s">
        <v>7</v>
      </c>
      <c r="G179" s="613" t="s">
        <v>1495</v>
      </c>
      <c r="H179" s="613"/>
      <c r="I179" s="613"/>
      <c r="J179" s="613"/>
      <c r="K179" s="614"/>
      <c r="L179" s="613"/>
      <c r="M179" s="613"/>
      <c r="N179" s="615"/>
    </row>
    <row r="180" spans="1:14">
      <c r="B180" s="599">
        <f t="shared" si="2"/>
        <v>175</v>
      </c>
      <c r="D180" s="609" t="s">
        <v>1849</v>
      </c>
      <c r="E180" s="610" t="s">
        <v>7</v>
      </c>
      <c r="G180" s="613" t="s">
        <v>1495</v>
      </c>
      <c r="H180" s="613"/>
      <c r="I180" s="613"/>
      <c r="J180" s="613"/>
      <c r="K180" s="614"/>
      <c r="L180" s="613"/>
      <c r="M180" s="613"/>
      <c r="N180" s="615"/>
    </row>
    <row r="181" spans="1:14" ht="29">
      <c r="B181" s="599">
        <f t="shared" si="2"/>
        <v>176</v>
      </c>
      <c r="D181" s="609" t="s">
        <v>1848</v>
      </c>
      <c r="E181" s="610" t="s">
        <v>7</v>
      </c>
      <c r="G181" s="613" t="s">
        <v>1495</v>
      </c>
      <c r="H181" s="613"/>
      <c r="I181" s="613"/>
      <c r="J181" s="613"/>
      <c r="K181" s="613"/>
      <c r="L181" s="613"/>
      <c r="M181" s="613"/>
      <c r="N181" s="615"/>
    </row>
    <row r="182" spans="1:14">
      <c r="B182" s="599">
        <f t="shared" si="2"/>
        <v>177</v>
      </c>
      <c r="D182" s="609" t="s">
        <v>1847</v>
      </c>
      <c r="E182" s="610" t="s">
        <v>7</v>
      </c>
      <c r="G182" s="613" t="s">
        <v>1495</v>
      </c>
      <c r="H182" s="613"/>
      <c r="I182" s="613"/>
      <c r="J182" s="613"/>
      <c r="K182" s="613"/>
      <c r="L182" s="613"/>
      <c r="M182" s="613"/>
      <c r="N182" s="615"/>
    </row>
    <row r="183" spans="1:14">
      <c r="B183" s="599">
        <f t="shared" si="2"/>
        <v>178</v>
      </c>
      <c r="D183" s="609" t="s">
        <v>1846</v>
      </c>
      <c r="E183" s="610" t="s">
        <v>7</v>
      </c>
      <c r="G183" s="613" t="s">
        <v>1495</v>
      </c>
      <c r="H183" s="613"/>
      <c r="I183" s="613"/>
      <c r="J183" s="613"/>
      <c r="K183" s="613"/>
      <c r="L183" s="613"/>
      <c r="M183" s="613"/>
      <c r="N183" s="615"/>
    </row>
    <row r="184" spans="1:14">
      <c r="B184" s="599">
        <f t="shared" si="2"/>
        <v>179</v>
      </c>
      <c r="D184" s="609" t="s">
        <v>1845</v>
      </c>
      <c r="E184" s="610" t="s">
        <v>7</v>
      </c>
      <c r="G184" s="613" t="s">
        <v>1495</v>
      </c>
      <c r="H184" s="613"/>
      <c r="I184" s="613"/>
      <c r="J184" s="613"/>
      <c r="K184" s="613"/>
      <c r="L184" s="613"/>
      <c r="M184" s="613"/>
      <c r="N184" s="615"/>
    </row>
    <row r="185" spans="1:14">
      <c r="B185" s="599">
        <f t="shared" si="2"/>
        <v>180</v>
      </c>
      <c r="D185" s="609" t="s">
        <v>1844</v>
      </c>
      <c r="E185" s="610" t="s">
        <v>7</v>
      </c>
      <c r="G185" s="613" t="s">
        <v>1495</v>
      </c>
      <c r="H185" s="613"/>
      <c r="I185" s="613"/>
      <c r="J185" s="613"/>
      <c r="K185" s="613"/>
      <c r="L185" s="613"/>
      <c r="M185" s="613"/>
      <c r="N185" s="615"/>
    </row>
    <row r="186" spans="1:14">
      <c r="B186" s="599">
        <f t="shared" si="2"/>
        <v>181</v>
      </c>
      <c r="D186" s="609" t="s">
        <v>1843</v>
      </c>
      <c r="E186" s="610" t="s">
        <v>7</v>
      </c>
      <c r="G186" s="613" t="s">
        <v>1495</v>
      </c>
      <c r="H186" s="613"/>
      <c r="I186" s="613"/>
      <c r="J186" s="613"/>
      <c r="K186" s="613"/>
      <c r="L186" s="613"/>
      <c r="M186" s="613"/>
      <c r="N186" s="615"/>
    </row>
    <row r="187" spans="1:14">
      <c r="A187" s="638" t="s">
        <v>323</v>
      </c>
      <c r="B187" s="599">
        <f t="shared" si="2"/>
        <v>182</v>
      </c>
      <c r="C187" s="608" t="s">
        <v>1842</v>
      </c>
      <c r="D187" s="609" t="s">
        <v>1841</v>
      </c>
      <c r="E187" s="610" t="s">
        <v>32</v>
      </c>
      <c r="F187" s="616">
        <v>8188497</v>
      </c>
      <c r="G187" s="613"/>
      <c r="H187" s="613"/>
      <c r="I187" s="613" t="s">
        <v>1495</v>
      </c>
      <c r="J187" s="613"/>
      <c r="K187" s="613"/>
      <c r="L187" s="613"/>
      <c r="M187" s="613"/>
      <c r="N187" s="615" t="s">
        <v>1839</v>
      </c>
    </row>
    <row r="188" spans="1:14">
      <c r="B188" s="599">
        <f t="shared" si="2"/>
        <v>183</v>
      </c>
      <c r="D188" s="609" t="s">
        <v>1840</v>
      </c>
      <c r="E188" s="610" t="s">
        <v>32</v>
      </c>
      <c r="G188" s="613"/>
      <c r="H188" s="613"/>
      <c r="I188" s="613" t="s">
        <v>1495</v>
      </c>
      <c r="J188" s="613"/>
      <c r="K188" s="613"/>
      <c r="L188" s="613"/>
      <c r="M188" s="613"/>
      <c r="N188" s="615" t="s">
        <v>1839</v>
      </c>
    </row>
    <row r="189" spans="1:14">
      <c r="B189" s="599">
        <f t="shared" si="2"/>
        <v>184</v>
      </c>
      <c r="D189" s="609" t="s">
        <v>1838</v>
      </c>
      <c r="E189" s="610" t="s">
        <v>32</v>
      </c>
      <c r="G189" s="613" t="s">
        <v>1495</v>
      </c>
      <c r="H189" s="613"/>
      <c r="I189" s="613"/>
      <c r="J189" s="613"/>
      <c r="K189" s="613"/>
      <c r="L189" s="613"/>
      <c r="M189" s="613"/>
      <c r="N189" s="615"/>
    </row>
    <row r="190" spans="1:14">
      <c r="B190" s="599">
        <f t="shared" si="2"/>
        <v>185</v>
      </c>
      <c r="D190" s="609" t="s">
        <v>1837</v>
      </c>
      <c r="E190" s="610" t="s">
        <v>32</v>
      </c>
      <c r="G190" s="613" t="s">
        <v>1495</v>
      </c>
      <c r="H190" s="613"/>
      <c r="I190" s="613"/>
      <c r="J190" s="613"/>
      <c r="K190" s="613"/>
      <c r="L190" s="613"/>
      <c r="M190" s="613"/>
      <c r="N190" s="615"/>
    </row>
    <row r="191" spans="1:14">
      <c r="B191" s="599">
        <f t="shared" si="2"/>
        <v>186</v>
      </c>
      <c r="D191" s="609" t="s">
        <v>1836</v>
      </c>
      <c r="E191" s="610" t="s">
        <v>32</v>
      </c>
      <c r="G191" s="613" t="s">
        <v>1495</v>
      </c>
      <c r="H191" s="613"/>
      <c r="I191" s="613"/>
      <c r="J191" s="613"/>
      <c r="K191" s="613"/>
      <c r="L191" s="613"/>
      <c r="M191" s="613"/>
      <c r="N191" s="615"/>
    </row>
    <row r="192" spans="1:14">
      <c r="A192" s="638" t="s">
        <v>325</v>
      </c>
      <c r="B192" s="599">
        <f t="shared" si="2"/>
        <v>187</v>
      </c>
      <c r="C192" s="608" t="s">
        <v>1835</v>
      </c>
      <c r="D192" s="609" t="s">
        <v>1834</v>
      </c>
      <c r="E192" s="610" t="s">
        <v>7</v>
      </c>
      <c r="F192" s="616">
        <v>1506124</v>
      </c>
      <c r="G192" s="613" t="s">
        <v>1495</v>
      </c>
      <c r="H192" s="613"/>
      <c r="I192" s="613"/>
      <c r="J192" s="613"/>
      <c r="K192" s="613"/>
      <c r="L192" s="613"/>
      <c r="M192" s="613"/>
      <c r="N192" s="615"/>
    </row>
    <row r="193" spans="1:14">
      <c r="B193" s="599">
        <f t="shared" si="2"/>
        <v>188</v>
      </c>
      <c r="D193" s="609" t="s">
        <v>1833</v>
      </c>
      <c r="E193" s="610" t="s">
        <v>7</v>
      </c>
      <c r="G193" s="613" t="s">
        <v>1495</v>
      </c>
      <c r="H193" s="613"/>
      <c r="I193" s="613"/>
      <c r="J193" s="613"/>
      <c r="K193" s="613"/>
      <c r="L193" s="613"/>
      <c r="M193" s="613"/>
      <c r="N193" s="615"/>
    </row>
    <row r="194" spans="1:14" ht="29">
      <c r="A194" s="638" t="s">
        <v>327</v>
      </c>
      <c r="B194" s="599">
        <f t="shared" si="2"/>
        <v>189</v>
      </c>
      <c r="C194" s="608" t="s">
        <v>1832</v>
      </c>
      <c r="D194" s="609" t="s">
        <v>1831</v>
      </c>
      <c r="E194" s="610" t="s">
        <v>7</v>
      </c>
      <c r="F194" s="616">
        <v>4239318</v>
      </c>
      <c r="G194" s="613" t="s">
        <v>1495</v>
      </c>
      <c r="H194" s="613"/>
      <c r="I194" s="613"/>
      <c r="J194" s="613"/>
      <c r="K194" s="613"/>
      <c r="L194" s="613"/>
      <c r="M194" s="613"/>
      <c r="N194" s="615" t="s">
        <v>2341</v>
      </c>
    </row>
    <row r="195" spans="1:14">
      <c r="B195" s="599">
        <f t="shared" si="2"/>
        <v>190</v>
      </c>
      <c r="D195" s="609" t="s">
        <v>1830</v>
      </c>
      <c r="E195" s="610" t="s">
        <v>7</v>
      </c>
      <c r="G195" s="613" t="s">
        <v>1495</v>
      </c>
      <c r="H195" s="613"/>
      <c r="I195" s="613"/>
      <c r="J195" s="613"/>
      <c r="K195" s="613"/>
      <c r="L195" s="613"/>
      <c r="M195" s="613"/>
      <c r="N195" s="615"/>
    </row>
    <row r="196" spans="1:14">
      <c r="B196" s="599">
        <f t="shared" si="2"/>
        <v>191</v>
      </c>
      <c r="D196" s="609" t="s">
        <v>1829</v>
      </c>
      <c r="E196" s="610" t="s">
        <v>7</v>
      </c>
      <c r="G196" s="613"/>
      <c r="H196" s="613" t="s">
        <v>1495</v>
      </c>
      <c r="I196" s="613"/>
      <c r="J196" s="613"/>
      <c r="K196" s="613"/>
      <c r="L196" s="613"/>
      <c r="M196" s="613"/>
      <c r="N196" s="615" t="s">
        <v>1828</v>
      </c>
    </row>
    <row r="197" spans="1:14">
      <c r="B197" s="599">
        <f t="shared" si="2"/>
        <v>192</v>
      </c>
      <c r="D197" s="609" t="s">
        <v>1827</v>
      </c>
      <c r="G197" s="613" t="s">
        <v>1495</v>
      </c>
      <c r="H197" s="613"/>
      <c r="I197" s="613"/>
      <c r="J197" s="613"/>
      <c r="K197" s="613"/>
      <c r="L197" s="613"/>
      <c r="M197" s="613"/>
      <c r="N197" s="615"/>
    </row>
    <row r="198" spans="1:14">
      <c r="B198" s="599">
        <f t="shared" si="2"/>
        <v>193</v>
      </c>
      <c r="D198" s="609" t="s">
        <v>1826</v>
      </c>
      <c r="G198" s="613" t="s">
        <v>1495</v>
      </c>
      <c r="H198" s="613"/>
      <c r="I198" s="613"/>
      <c r="J198" s="613"/>
      <c r="K198" s="613"/>
      <c r="L198" s="613"/>
      <c r="M198" s="613"/>
      <c r="N198" s="615" t="s">
        <v>1824</v>
      </c>
    </row>
    <row r="199" spans="1:14">
      <c r="B199" s="599">
        <f t="shared" ref="B199:B262" si="3">B198+1</f>
        <v>194</v>
      </c>
      <c r="D199" s="609" t="s">
        <v>2321</v>
      </c>
      <c r="G199" s="613" t="s">
        <v>1495</v>
      </c>
      <c r="H199" s="613"/>
      <c r="I199" s="613"/>
      <c r="J199" s="613"/>
      <c r="K199" s="613"/>
      <c r="L199" s="613"/>
      <c r="M199" s="613"/>
      <c r="N199" s="615" t="s">
        <v>2322</v>
      </c>
    </row>
    <row r="200" spans="1:14" ht="29">
      <c r="B200" s="599">
        <f t="shared" si="3"/>
        <v>195</v>
      </c>
      <c r="C200" s="608" t="s">
        <v>2311</v>
      </c>
      <c r="D200" s="609" t="s">
        <v>2349</v>
      </c>
      <c r="G200" s="613" t="s">
        <v>1495</v>
      </c>
      <c r="H200" s="613"/>
      <c r="I200" s="613"/>
      <c r="J200" s="613"/>
      <c r="K200" s="613"/>
      <c r="L200" s="613"/>
      <c r="M200" s="613"/>
      <c r="N200" s="615"/>
    </row>
    <row r="201" spans="1:14">
      <c r="A201" s="638" t="s">
        <v>329</v>
      </c>
      <c r="B201" s="599">
        <f t="shared" si="3"/>
        <v>196</v>
      </c>
      <c r="C201" s="608" t="s">
        <v>1823</v>
      </c>
      <c r="D201" s="609" t="s">
        <v>1822</v>
      </c>
      <c r="E201" s="610" t="s">
        <v>32</v>
      </c>
      <c r="F201" s="616">
        <v>10685663</v>
      </c>
      <c r="G201" s="613" t="s">
        <v>1495</v>
      </c>
      <c r="H201" s="613"/>
      <c r="I201" s="613"/>
      <c r="J201" s="613"/>
      <c r="K201" s="613"/>
      <c r="L201" s="613"/>
      <c r="M201" s="613"/>
      <c r="N201" s="615"/>
    </row>
    <row r="202" spans="1:14">
      <c r="B202" s="599">
        <f t="shared" si="3"/>
        <v>197</v>
      </c>
      <c r="D202" s="609" t="s">
        <v>1821</v>
      </c>
      <c r="E202" s="610" t="s">
        <v>32</v>
      </c>
      <c r="G202" s="613"/>
      <c r="H202" s="613" t="s">
        <v>1495</v>
      </c>
      <c r="I202" s="613"/>
      <c r="J202" s="613"/>
      <c r="K202" s="613"/>
      <c r="L202" s="613"/>
      <c r="M202" s="613"/>
      <c r="N202" s="615" t="s">
        <v>1820</v>
      </c>
    </row>
    <row r="203" spans="1:14">
      <c r="B203" s="599">
        <f t="shared" si="3"/>
        <v>198</v>
      </c>
      <c r="D203" s="609" t="s">
        <v>1819</v>
      </c>
      <c r="E203" s="610" t="s">
        <v>32</v>
      </c>
      <c r="G203" s="613" t="s">
        <v>1495</v>
      </c>
      <c r="H203" s="613"/>
      <c r="I203" s="613"/>
      <c r="J203" s="613"/>
      <c r="K203" s="613"/>
      <c r="L203" s="613"/>
      <c r="M203" s="613"/>
      <c r="N203" s="615"/>
    </row>
    <row r="204" spans="1:14">
      <c r="B204" s="599">
        <f t="shared" si="3"/>
        <v>199</v>
      </c>
      <c r="D204" s="609" t="s">
        <v>1818</v>
      </c>
      <c r="E204" s="610" t="s">
        <v>32</v>
      </c>
      <c r="G204" s="613" t="s">
        <v>1495</v>
      </c>
      <c r="H204" s="613"/>
      <c r="I204" s="613"/>
      <c r="J204" s="613"/>
      <c r="K204" s="613"/>
      <c r="L204" s="613"/>
      <c r="M204" s="613"/>
      <c r="N204" s="615"/>
    </row>
    <row r="205" spans="1:14">
      <c r="B205" s="599">
        <f t="shared" si="3"/>
        <v>200</v>
      </c>
      <c r="D205" s="609" t="s">
        <v>1817</v>
      </c>
      <c r="E205" s="610" t="s">
        <v>32</v>
      </c>
      <c r="G205" s="613" t="s">
        <v>1495</v>
      </c>
      <c r="H205" s="613"/>
      <c r="I205" s="613"/>
      <c r="J205" s="613"/>
      <c r="K205" s="613"/>
      <c r="L205" s="613"/>
      <c r="M205" s="613"/>
      <c r="N205" s="615"/>
    </row>
    <row r="206" spans="1:14">
      <c r="B206" s="599">
        <f t="shared" si="3"/>
        <v>201</v>
      </c>
      <c r="D206" s="609" t="s">
        <v>1816</v>
      </c>
      <c r="E206" s="610" t="s">
        <v>32</v>
      </c>
      <c r="G206" s="613" t="s">
        <v>1495</v>
      </c>
      <c r="H206" s="613"/>
      <c r="I206" s="613"/>
      <c r="J206" s="613"/>
      <c r="K206" s="613"/>
      <c r="L206" s="613"/>
      <c r="M206" s="613"/>
      <c r="N206" s="615"/>
    </row>
    <row r="207" spans="1:14">
      <c r="B207" s="599">
        <f t="shared" si="3"/>
        <v>202</v>
      </c>
      <c r="C207" s="608" t="s">
        <v>2342</v>
      </c>
      <c r="D207" s="609" t="s">
        <v>2343</v>
      </c>
      <c r="G207" s="613" t="s">
        <v>1495</v>
      </c>
      <c r="H207" s="613"/>
      <c r="I207" s="613"/>
      <c r="J207" s="613"/>
      <c r="K207" s="613"/>
      <c r="L207" s="613"/>
      <c r="M207" s="613"/>
      <c r="N207" s="615"/>
    </row>
    <row r="208" spans="1:14">
      <c r="A208" s="638" t="s">
        <v>331</v>
      </c>
      <c r="B208" s="599">
        <f t="shared" si="3"/>
        <v>203</v>
      </c>
      <c r="C208" s="608" t="s">
        <v>1815</v>
      </c>
      <c r="D208" s="609" t="s">
        <v>1814</v>
      </c>
      <c r="E208" s="610" t="s">
        <v>7</v>
      </c>
      <c r="F208" s="616">
        <v>3684814</v>
      </c>
      <c r="G208" s="613" t="s">
        <v>1495</v>
      </c>
      <c r="H208" s="613"/>
      <c r="I208" s="613"/>
      <c r="J208" s="613"/>
      <c r="K208" s="613"/>
      <c r="L208" s="613"/>
      <c r="M208" s="613"/>
      <c r="N208" s="621"/>
    </row>
    <row r="209" spans="1:14" ht="29">
      <c r="A209" s="638" t="s">
        <v>333</v>
      </c>
      <c r="B209" s="599">
        <f t="shared" si="3"/>
        <v>204</v>
      </c>
      <c r="C209" s="608" t="s">
        <v>1813</v>
      </c>
      <c r="D209" s="609" t="s">
        <v>1812</v>
      </c>
      <c r="E209" s="610" t="s">
        <v>7</v>
      </c>
      <c r="F209" s="616">
        <v>10553364</v>
      </c>
      <c r="G209" s="613" t="s">
        <v>1495</v>
      </c>
      <c r="H209" s="613"/>
      <c r="I209" s="613"/>
      <c r="J209" s="613"/>
      <c r="K209" s="613"/>
      <c r="L209" s="613"/>
      <c r="M209" s="613"/>
      <c r="N209" s="615"/>
    </row>
    <row r="210" spans="1:14">
      <c r="B210" s="599">
        <f t="shared" si="3"/>
        <v>205</v>
      </c>
      <c r="D210" s="609" t="s">
        <v>1811</v>
      </c>
      <c r="E210" s="610" t="s">
        <v>7</v>
      </c>
      <c r="G210" s="613" t="s">
        <v>1495</v>
      </c>
      <c r="H210" s="613"/>
      <c r="I210" s="613"/>
      <c r="J210" s="613"/>
      <c r="K210" s="613"/>
      <c r="L210" s="613"/>
      <c r="M210" s="613"/>
      <c r="N210" s="615"/>
    </row>
    <row r="211" spans="1:14">
      <c r="B211" s="599">
        <f t="shared" si="3"/>
        <v>206</v>
      </c>
      <c r="D211" s="609" t="s">
        <v>1810</v>
      </c>
      <c r="E211" s="610" t="s">
        <v>7</v>
      </c>
      <c r="G211" s="613" t="s">
        <v>1495</v>
      </c>
      <c r="H211" s="613"/>
      <c r="I211" s="613"/>
      <c r="J211" s="613"/>
      <c r="K211" s="613"/>
      <c r="L211" s="613"/>
      <c r="M211" s="613"/>
      <c r="N211" s="615"/>
    </row>
    <row r="212" spans="1:14">
      <c r="B212" s="599">
        <f t="shared" si="3"/>
        <v>207</v>
      </c>
      <c r="D212" s="609" t="s">
        <v>1809</v>
      </c>
      <c r="E212" s="610" t="s">
        <v>7</v>
      </c>
      <c r="G212" s="613" t="s">
        <v>1495</v>
      </c>
      <c r="H212" s="613"/>
      <c r="I212" s="613"/>
      <c r="J212" s="613"/>
      <c r="K212" s="613"/>
      <c r="L212" s="613"/>
      <c r="M212" s="613"/>
      <c r="N212" s="615"/>
    </row>
    <row r="213" spans="1:14" ht="29">
      <c r="B213" s="599">
        <f t="shared" si="3"/>
        <v>208</v>
      </c>
      <c r="D213" s="609" t="s">
        <v>2368</v>
      </c>
      <c r="E213" s="610" t="s">
        <v>7</v>
      </c>
      <c r="G213" s="613" t="s">
        <v>1495</v>
      </c>
      <c r="H213" s="613"/>
      <c r="I213" s="613"/>
      <c r="J213" s="613"/>
      <c r="K213" s="613"/>
      <c r="L213" s="613"/>
      <c r="M213" s="613"/>
      <c r="N213" s="615"/>
    </row>
    <row r="214" spans="1:14" ht="29">
      <c r="A214" s="638" t="s">
        <v>335</v>
      </c>
      <c r="B214" s="599">
        <f t="shared" si="3"/>
        <v>209</v>
      </c>
      <c r="C214" s="608" t="s">
        <v>1808</v>
      </c>
      <c r="D214" s="609" t="s">
        <v>1807</v>
      </c>
      <c r="E214" s="610" t="s">
        <v>7</v>
      </c>
      <c r="F214" s="616">
        <v>17106123</v>
      </c>
      <c r="G214" s="613" t="s">
        <v>1495</v>
      </c>
      <c r="H214" s="613"/>
      <c r="I214" s="613"/>
      <c r="J214" s="613"/>
      <c r="K214" s="613"/>
      <c r="L214" s="613"/>
      <c r="M214" s="613"/>
      <c r="N214" s="615"/>
    </row>
    <row r="215" spans="1:14" ht="29">
      <c r="B215" s="599">
        <f t="shared" si="3"/>
        <v>210</v>
      </c>
      <c r="D215" s="609" t="s">
        <v>1806</v>
      </c>
      <c r="E215" s="610" t="s">
        <v>7</v>
      </c>
      <c r="G215" s="613" t="s">
        <v>1495</v>
      </c>
      <c r="H215" s="613"/>
      <c r="I215" s="613"/>
      <c r="J215" s="613"/>
      <c r="K215" s="613"/>
      <c r="L215" s="613"/>
      <c r="M215" s="613"/>
      <c r="N215" s="615" t="s">
        <v>1805</v>
      </c>
    </row>
    <row r="216" spans="1:14">
      <c r="B216" s="599">
        <f t="shared" si="3"/>
        <v>211</v>
      </c>
      <c r="D216" s="609" t="s">
        <v>1804</v>
      </c>
      <c r="E216" s="610" t="s">
        <v>7</v>
      </c>
      <c r="G216" s="613" t="s">
        <v>1495</v>
      </c>
      <c r="H216" s="613"/>
      <c r="I216" s="613"/>
      <c r="J216" s="613"/>
      <c r="K216" s="613"/>
      <c r="L216" s="613"/>
      <c r="M216" s="613"/>
      <c r="N216" s="615"/>
    </row>
    <row r="217" spans="1:14">
      <c r="B217" s="599">
        <f t="shared" si="3"/>
        <v>212</v>
      </c>
      <c r="D217" s="609" t="s">
        <v>1803</v>
      </c>
      <c r="E217" s="610" t="s">
        <v>7</v>
      </c>
      <c r="G217" s="613" t="s">
        <v>1495</v>
      </c>
      <c r="H217" s="613"/>
      <c r="I217" s="613"/>
      <c r="J217" s="613"/>
      <c r="K217" s="613"/>
      <c r="L217" s="613"/>
      <c r="M217" s="613"/>
      <c r="N217" s="615"/>
    </row>
    <row r="218" spans="1:14">
      <c r="B218" s="599">
        <f t="shared" si="3"/>
        <v>213</v>
      </c>
      <c r="D218" s="609" t="s">
        <v>1802</v>
      </c>
      <c r="E218" s="610" t="s">
        <v>7</v>
      </c>
      <c r="G218" s="613" t="s">
        <v>1495</v>
      </c>
      <c r="H218" s="613"/>
      <c r="I218" s="613"/>
      <c r="J218" s="613"/>
      <c r="K218" s="613"/>
      <c r="L218" s="613"/>
      <c r="M218" s="613"/>
      <c r="N218" s="615"/>
    </row>
    <row r="219" spans="1:14">
      <c r="B219" s="599">
        <f t="shared" si="3"/>
        <v>214</v>
      </c>
      <c r="D219" s="609" t="s">
        <v>1801</v>
      </c>
      <c r="E219" s="610" t="s">
        <v>7</v>
      </c>
      <c r="G219" s="613" t="s">
        <v>1495</v>
      </c>
      <c r="H219" s="613"/>
      <c r="I219" s="613"/>
      <c r="J219" s="613"/>
      <c r="K219" s="613"/>
      <c r="L219" s="613"/>
      <c r="M219" s="613"/>
      <c r="N219" s="615"/>
    </row>
    <row r="220" spans="1:14">
      <c r="B220" s="599">
        <f t="shared" si="3"/>
        <v>215</v>
      </c>
      <c r="D220" s="609" t="s">
        <v>1800</v>
      </c>
      <c r="E220" s="610" t="s">
        <v>7</v>
      </c>
      <c r="G220" s="613" t="s">
        <v>1495</v>
      </c>
      <c r="H220" s="613"/>
      <c r="I220" s="613"/>
      <c r="J220" s="613"/>
      <c r="K220" s="613"/>
      <c r="L220" s="613"/>
      <c r="M220" s="613"/>
      <c r="N220" s="615"/>
    </row>
    <row r="221" spans="1:14">
      <c r="B221" s="599">
        <f t="shared" si="3"/>
        <v>216</v>
      </c>
      <c r="D221" s="609" t="s">
        <v>1799</v>
      </c>
      <c r="E221" s="610" t="s">
        <v>7</v>
      </c>
      <c r="G221" s="613" t="s">
        <v>1495</v>
      </c>
      <c r="H221" s="613"/>
      <c r="I221" s="613"/>
      <c r="J221" s="613"/>
      <c r="K221" s="613"/>
      <c r="L221" s="613"/>
      <c r="M221" s="613"/>
      <c r="N221" s="615"/>
    </row>
    <row r="222" spans="1:14">
      <c r="B222" s="599">
        <f t="shared" si="3"/>
        <v>217</v>
      </c>
      <c r="D222" s="609" t="s">
        <v>1798</v>
      </c>
      <c r="E222" s="610" t="s">
        <v>7</v>
      </c>
      <c r="G222" s="613" t="s">
        <v>1495</v>
      </c>
      <c r="H222" s="613"/>
      <c r="I222" s="613"/>
      <c r="J222" s="613"/>
      <c r="K222" s="613"/>
      <c r="L222" s="613"/>
      <c r="M222" s="613"/>
      <c r="N222" s="615"/>
    </row>
    <row r="223" spans="1:14">
      <c r="A223" s="638" t="s">
        <v>337</v>
      </c>
      <c r="B223" s="599">
        <f t="shared" si="3"/>
        <v>218</v>
      </c>
      <c r="C223" s="608" t="s">
        <v>1797</v>
      </c>
      <c r="D223" s="609" t="s">
        <v>1796</v>
      </c>
      <c r="E223" s="610" t="s">
        <v>7</v>
      </c>
      <c r="F223" s="616">
        <v>6032465</v>
      </c>
      <c r="G223" s="613" t="s">
        <v>1495</v>
      </c>
      <c r="H223" s="613"/>
      <c r="I223" s="613"/>
      <c r="J223" s="613"/>
      <c r="K223" s="613"/>
      <c r="L223" s="613"/>
      <c r="M223" s="613"/>
      <c r="N223" s="615"/>
    </row>
    <row r="224" spans="1:14">
      <c r="B224" s="599">
        <f t="shared" si="3"/>
        <v>219</v>
      </c>
      <c r="D224" s="609" t="s">
        <v>1795</v>
      </c>
      <c r="G224" s="613" t="s">
        <v>1495</v>
      </c>
      <c r="H224" s="613"/>
      <c r="I224" s="613"/>
      <c r="J224" s="613"/>
      <c r="K224" s="613"/>
      <c r="L224" s="613"/>
      <c r="M224" s="613"/>
      <c r="N224" s="615"/>
    </row>
    <row r="225" spans="1:14">
      <c r="B225" s="599">
        <f t="shared" si="3"/>
        <v>220</v>
      </c>
      <c r="D225" s="609" t="s">
        <v>1794</v>
      </c>
      <c r="E225" s="610" t="s">
        <v>7</v>
      </c>
      <c r="G225" s="613" t="s">
        <v>1495</v>
      </c>
      <c r="H225" s="613"/>
      <c r="I225" s="613"/>
      <c r="J225" s="613"/>
      <c r="K225" s="613"/>
      <c r="L225" s="613"/>
      <c r="M225" s="613"/>
      <c r="N225" s="615"/>
    </row>
    <row r="226" spans="1:14">
      <c r="A226" s="638" t="s">
        <v>339</v>
      </c>
      <c r="B226" s="599">
        <f t="shared" si="3"/>
        <v>221</v>
      </c>
      <c r="C226" s="608" t="s">
        <v>1793</v>
      </c>
      <c r="D226" s="609" t="s">
        <v>1792</v>
      </c>
      <c r="E226" s="610" t="s">
        <v>7</v>
      </c>
      <c r="F226" s="616">
        <v>2709424</v>
      </c>
      <c r="G226" s="613" t="s">
        <v>1495</v>
      </c>
      <c r="H226" s="613"/>
      <c r="I226" s="613"/>
      <c r="J226" s="613"/>
      <c r="K226" s="613"/>
      <c r="L226" s="613"/>
      <c r="M226" s="613"/>
      <c r="N226" s="615"/>
    </row>
    <row r="227" spans="1:14">
      <c r="B227" s="599">
        <f t="shared" si="3"/>
        <v>222</v>
      </c>
      <c r="D227" s="609" t="s">
        <v>1790</v>
      </c>
      <c r="E227" s="610" t="s">
        <v>7</v>
      </c>
      <c r="G227" s="613" t="s">
        <v>1495</v>
      </c>
      <c r="H227" s="613"/>
      <c r="I227" s="613"/>
      <c r="J227" s="613"/>
      <c r="K227" s="613"/>
      <c r="L227" s="613"/>
      <c r="M227" s="613"/>
      <c r="N227" s="615"/>
    </row>
    <row r="228" spans="1:14">
      <c r="A228" s="638" t="s">
        <v>341</v>
      </c>
      <c r="B228" s="599">
        <f t="shared" si="3"/>
        <v>223</v>
      </c>
      <c r="C228" s="608" t="s">
        <v>1789</v>
      </c>
      <c r="D228" s="609" t="s">
        <v>1788</v>
      </c>
      <c r="E228" s="610" t="s">
        <v>7</v>
      </c>
      <c r="F228" s="616">
        <v>3760923</v>
      </c>
      <c r="G228" s="613" t="s">
        <v>1495</v>
      </c>
      <c r="H228" s="613"/>
      <c r="I228" s="613"/>
      <c r="J228" s="613"/>
      <c r="K228" s="613"/>
      <c r="L228" s="613"/>
      <c r="M228" s="613"/>
      <c r="N228" s="615"/>
    </row>
    <row r="229" spans="1:14">
      <c r="B229" s="599">
        <f t="shared" si="3"/>
        <v>224</v>
      </c>
      <c r="D229" s="609" t="s">
        <v>1787</v>
      </c>
      <c r="E229" s="610" t="s">
        <v>7</v>
      </c>
      <c r="G229" s="613" t="s">
        <v>1495</v>
      </c>
      <c r="H229" s="613"/>
      <c r="I229" s="613"/>
      <c r="J229" s="613"/>
      <c r="K229" s="613"/>
      <c r="L229" s="613"/>
      <c r="M229" s="613"/>
      <c r="N229" s="615"/>
    </row>
    <row r="230" spans="1:14">
      <c r="B230" s="599">
        <f t="shared" si="3"/>
        <v>225</v>
      </c>
      <c r="D230" s="609" t="s">
        <v>1786</v>
      </c>
      <c r="E230" s="610" t="s">
        <v>7</v>
      </c>
      <c r="G230" s="613" t="s">
        <v>1495</v>
      </c>
      <c r="H230" s="613"/>
      <c r="I230" s="613"/>
      <c r="J230" s="613"/>
      <c r="K230" s="613"/>
      <c r="L230" s="613"/>
      <c r="M230" s="613"/>
      <c r="N230" s="615"/>
    </row>
    <row r="231" spans="1:14">
      <c r="B231" s="599">
        <f t="shared" si="3"/>
        <v>226</v>
      </c>
      <c r="D231" s="609" t="s">
        <v>1785</v>
      </c>
      <c r="E231" s="610" t="s">
        <v>7</v>
      </c>
      <c r="G231" s="613" t="s">
        <v>1495</v>
      </c>
      <c r="H231" s="613"/>
      <c r="I231" s="613"/>
      <c r="J231" s="613"/>
      <c r="K231" s="613"/>
      <c r="L231" s="613"/>
      <c r="M231" s="613"/>
      <c r="N231" s="615"/>
    </row>
    <row r="232" spans="1:14">
      <c r="B232" s="599">
        <f t="shared" si="3"/>
        <v>227</v>
      </c>
      <c r="D232" s="609" t="s">
        <v>1784</v>
      </c>
      <c r="E232" s="610" t="s">
        <v>7</v>
      </c>
      <c r="G232" s="613" t="s">
        <v>1495</v>
      </c>
      <c r="H232" s="613"/>
      <c r="I232" s="613"/>
      <c r="J232" s="613"/>
      <c r="K232" s="613"/>
      <c r="L232" s="613"/>
      <c r="M232" s="613"/>
      <c r="N232" s="615"/>
    </row>
    <row r="233" spans="1:14">
      <c r="A233" s="638" t="s">
        <v>343</v>
      </c>
      <c r="B233" s="599">
        <f t="shared" si="3"/>
        <v>228</v>
      </c>
      <c r="C233" s="608" t="s">
        <v>1783</v>
      </c>
      <c r="D233" s="609" t="s">
        <v>1782</v>
      </c>
      <c r="E233" s="610" t="s">
        <v>7</v>
      </c>
      <c r="F233" s="616">
        <v>10852062</v>
      </c>
      <c r="G233" s="613" t="s">
        <v>1495</v>
      </c>
      <c r="H233" s="613"/>
      <c r="I233" s="613"/>
      <c r="J233" s="613"/>
      <c r="K233" s="613"/>
      <c r="L233" s="613"/>
      <c r="M233" s="613"/>
      <c r="N233" s="615" t="s">
        <v>1781</v>
      </c>
    </row>
    <row r="234" spans="1:14">
      <c r="B234" s="599">
        <f t="shared" si="3"/>
        <v>229</v>
      </c>
      <c r="D234" s="609" t="s">
        <v>1652</v>
      </c>
      <c r="E234" s="610" t="s">
        <v>7</v>
      </c>
      <c r="G234" s="613" t="s">
        <v>1495</v>
      </c>
      <c r="H234" s="613"/>
      <c r="I234" s="613"/>
      <c r="J234" s="613"/>
      <c r="K234" s="613"/>
      <c r="L234" s="613"/>
      <c r="M234" s="613"/>
      <c r="N234" s="615"/>
    </row>
    <row r="235" spans="1:14">
      <c r="B235" s="599">
        <f t="shared" si="3"/>
        <v>230</v>
      </c>
      <c r="D235" s="609" t="s">
        <v>1780</v>
      </c>
      <c r="E235" s="610" t="s">
        <v>7</v>
      </c>
      <c r="G235" s="613" t="s">
        <v>1495</v>
      </c>
      <c r="H235" s="613"/>
      <c r="I235" s="613"/>
      <c r="J235" s="613"/>
      <c r="K235" s="613"/>
      <c r="L235" s="613"/>
      <c r="M235" s="613"/>
      <c r="N235" s="615"/>
    </row>
    <row r="236" spans="1:14">
      <c r="B236" s="599">
        <f t="shared" si="3"/>
        <v>231</v>
      </c>
      <c r="D236" s="609" t="s">
        <v>1779</v>
      </c>
      <c r="E236" s="610" t="s">
        <v>7</v>
      </c>
      <c r="G236" s="613" t="s">
        <v>1495</v>
      </c>
      <c r="H236" s="613"/>
      <c r="I236" s="613"/>
      <c r="J236" s="613"/>
      <c r="K236" s="613"/>
      <c r="L236" s="613"/>
      <c r="M236" s="613"/>
      <c r="N236" s="615"/>
    </row>
    <row r="237" spans="1:14">
      <c r="A237" s="638" t="s">
        <v>347</v>
      </c>
      <c r="B237" s="599">
        <f t="shared" si="3"/>
        <v>232</v>
      </c>
      <c r="C237" s="608" t="s">
        <v>1778</v>
      </c>
      <c r="D237" s="609" t="s">
        <v>2380</v>
      </c>
      <c r="E237" s="610" t="s">
        <v>7</v>
      </c>
      <c r="F237" s="616">
        <v>845694</v>
      </c>
      <c r="G237" s="613" t="s">
        <v>1495</v>
      </c>
      <c r="H237" s="613"/>
      <c r="I237" s="613"/>
      <c r="J237" s="613"/>
      <c r="K237" s="613"/>
      <c r="L237" s="613"/>
      <c r="M237" s="613"/>
      <c r="N237" s="615"/>
    </row>
    <row r="238" spans="1:14">
      <c r="B238" s="599">
        <f t="shared" si="3"/>
        <v>233</v>
      </c>
      <c r="D238" s="609" t="s">
        <v>1777</v>
      </c>
      <c r="E238" s="610" t="s">
        <v>7</v>
      </c>
      <c r="G238" s="613" t="s">
        <v>1495</v>
      </c>
      <c r="H238" s="613"/>
      <c r="I238" s="613"/>
      <c r="J238" s="613"/>
      <c r="K238" s="613"/>
      <c r="L238" s="613"/>
      <c r="M238" s="613"/>
      <c r="N238" s="615"/>
    </row>
    <row r="239" spans="1:14">
      <c r="A239" s="638" t="s">
        <v>349</v>
      </c>
      <c r="B239" s="599">
        <f t="shared" si="3"/>
        <v>234</v>
      </c>
      <c r="C239" s="608" t="s">
        <v>1776</v>
      </c>
      <c r="D239" s="609" t="s">
        <v>1775</v>
      </c>
      <c r="E239" s="610" t="s">
        <v>7</v>
      </c>
      <c r="F239" s="616">
        <v>7737533</v>
      </c>
      <c r="G239" s="613" t="s">
        <v>1495</v>
      </c>
      <c r="H239" s="613"/>
      <c r="I239" s="613"/>
      <c r="J239" s="613"/>
      <c r="K239" s="613"/>
      <c r="L239" s="613"/>
      <c r="M239" s="613"/>
      <c r="N239" s="615"/>
    </row>
    <row r="240" spans="1:14">
      <c r="B240" s="599">
        <f t="shared" si="3"/>
        <v>235</v>
      </c>
      <c r="D240" s="609" t="s">
        <v>1750</v>
      </c>
      <c r="E240" s="610" t="s">
        <v>7</v>
      </c>
      <c r="G240" s="613" t="s">
        <v>1495</v>
      </c>
      <c r="H240" s="613"/>
      <c r="I240" s="613"/>
      <c r="J240" s="613"/>
      <c r="K240" s="613"/>
      <c r="L240" s="613"/>
      <c r="M240" s="613"/>
      <c r="N240" s="615"/>
    </row>
    <row r="241" spans="1:14">
      <c r="B241" s="599">
        <f t="shared" si="3"/>
        <v>236</v>
      </c>
      <c r="D241" s="609" t="s">
        <v>2451</v>
      </c>
      <c r="G241" s="613" t="s">
        <v>1495</v>
      </c>
      <c r="H241" s="613"/>
      <c r="I241" s="613"/>
      <c r="J241" s="613"/>
      <c r="K241" s="613"/>
      <c r="L241" s="613"/>
      <c r="M241" s="613"/>
      <c r="N241" s="615"/>
    </row>
    <row r="242" spans="1:14">
      <c r="B242" s="599">
        <f t="shared" si="3"/>
        <v>237</v>
      </c>
      <c r="D242" s="609" t="s">
        <v>1774</v>
      </c>
      <c r="E242" s="610" t="s">
        <v>7</v>
      </c>
      <c r="G242" s="613" t="s">
        <v>1495</v>
      </c>
      <c r="H242" s="613"/>
      <c r="I242" s="613"/>
      <c r="J242" s="613"/>
      <c r="K242" s="613"/>
      <c r="L242" s="613"/>
      <c r="M242" s="613"/>
      <c r="N242" s="615"/>
    </row>
    <row r="243" spans="1:14">
      <c r="B243" s="599">
        <f t="shared" si="3"/>
        <v>238</v>
      </c>
      <c r="D243" s="609" t="s">
        <v>1773</v>
      </c>
      <c r="E243" s="610" t="s">
        <v>7</v>
      </c>
      <c r="G243" s="613" t="s">
        <v>1495</v>
      </c>
      <c r="H243" s="613"/>
      <c r="I243" s="613"/>
      <c r="J243" s="613"/>
      <c r="K243" s="613"/>
      <c r="L243" s="613"/>
      <c r="M243" s="613"/>
      <c r="N243" s="615"/>
    </row>
    <row r="244" spans="1:14">
      <c r="B244" s="599">
        <f t="shared" si="3"/>
        <v>239</v>
      </c>
      <c r="D244" s="609" t="s">
        <v>1595</v>
      </c>
      <c r="E244" s="610" t="s">
        <v>7</v>
      </c>
      <c r="G244" s="613" t="s">
        <v>1495</v>
      </c>
      <c r="H244" s="613"/>
      <c r="I244" s="613"/>
      <c r="J244" s="613"/>
      <c r="K244" s="613"/>
      <c r="L244" s="613"/>
      <c r="M244" s="613"/>
      <c r="N244" s="615"/>
    </row>
    <row r="245" spans="1:14">
      <c r="B245" s="599">
        <f t="shared" si="3"/>
        <v>240</v>
      </c>
      <c r="D245" s="609" t="s">
        <v>1772</v>
      </c>
      <c r="E245" s="610" t="s">
        <v>7</v>
      </c>
      <c r="G245" s="613" t="s">
        <v>1495</v>
      </c>
      <c r="H245" s="613"/>
      <c r="I245" s="613"/>
      <c r="J245" s="613"/>
      <c r="K245" s="613"/>
      <c r="L245" s="613"/>
      <c r="M245" s="613"/>
      <c r="N245" s="615"/>
    </row>
    <row r="246" spans="1:14">
      <c r="A246" s="638" t="s">
        <v>351</v>
      </c>
      <c r="B246" s="599">
        <f t="shared" si="3"/>
        <v>241</v>
      </c>
      <c r="C246" s="608" t="s">
        <v>1771</v>
      </c>
      <c r="D246" s="609" t="s">
        <v>1770</v>
      </c>
      <c r="E246" s="610" t="s">
        <v>7</v>
      </c>
      <c r="F246" s="616">
        <v>689069</v>
      </c>
      <c r="G246" s="613" t="s">
        <v>1495</v>
      </c>
      <c r="H246" s="613"/>
      <c r="I246" s="613"/>
      <c r="J246" s="613"/>
      <c r="K246" s="613"/>
      <c r="L246" s="613"/>
      <c r="M246" s="613"/>
      <c r="N246" s="615"/>
    </row>
    <row r="247" spans="1:14">
      <c r="B247" s="599">
        <f t="shared" si="3"/>
        <v>242</v>
      </c>
      <c r="D247" s="609" t="s">
        <v>1769</v>
      </c>
      <c r="E247" s="610" t="s">
        <v>7</v>
      </c>
      <c r="G247" s="613" t="s">
        <v>1495</v>
      </c>
      <c r="H247" s="613"/>
      <c r="I247" s="613"/>
      <c r="J247" s="613"/>
      <c r="K247" s="613"/>
      <c r="L247" s="613"/>
      <c r="M247" s="613"/>
      <c r="N247" s="615"/>
    </row>
    <row r="248" spans="1:14">
      <c r="A248" s="638" t="s">
        <v>357</v>
      </c>
      <c r="B248" s="599">
        <f t="shared" si="3"/>
        <v>243</v>
      </c>
      <c r="C248" s="608" t="s">
        <v>1768</v>
      </c>
      <c r="D248" s="609" t="s">
        <v>1767</v>
      </c>
      <c r="E248" s="610" t="s">
        <v>7</v>
      </c>
      <c r="F248" s="616">
        <v>875329</v>
      </c>
      <c r="G248" s="613"/>
      <c r="H248" s="613" t="s">
        <v>1495</v>
      </c>
      <c r="I248" s="613" t="s">
        <v>1495</v>
      </c>
      <c r="J248" s="613"/>
      <c r="K248" s="613"/>
      <c r="L248" s="613"/>
      <c r="M248" s="613"/>
      <c r="N248" s="615" t="s">
        <v>1766</v>
      </c>
    </row>
    <row r="249" spans="1:14">
      <c r="A249" s="638" t="s">
        <v>353</v>
      </c>
      <c r="B249" s="599">
        <f t="shared" si="3"/>
        <v>244</v>
      </c>
      <c r="C249" s="608" t="s">
        <v>1765</v>
      </c>
      <c r="D249" s="609" t="s">
        <v>1764</v>
      </c>
      <c r="E249" s="610" t="s">
        <v>7</v>
      </c>
      <c r="F249" s="616">
        <v>6387656</v>
      </c>
      <c r="G249" s="613" t="s">
        <v>1495</v>
      </c>
      <c r="H249" s="613"/>
      <c r="I249" s="613"/>
      <c r="J249" s="613"/>
      <c r="K249" s="613"/>
      <c r="L249" s="613"/>
      <c r="M249" s="613"/>
      <c r="N249" s="615"/>
    </row>
    <row r="250" spans="1:14">
      <c r="B250" s="599">
        <f t="shared" si="3"/>
        <v>245</v>
      </c>
      <c r="D250" s="609" t="s">
        <v>1750</v>
      </c>
      <c r="E250" s="610" t="s">
        <v>7</v>
      </c>
      <c r="G250" s="613" t="s">
        <v>1495</v>
      </c>
      <c r="H250" s="613"/>
      <c r="I250" s="613"/>
      <c r="J250" s="613"/>
      <c r="K250" s="613"/>
      <c r="L250" s="613"/>
      <c r="M250" s="613"/>
      <c r="N250" s="615"/>
    </row>
    <row r="251" spans="1:14" ht="29">
      <c r="B251" s="599">
        <f t="shared" si="3"/>
        <v>246</v>
      </c>
      <c r="D251" s="609" t="s">
        <v>1763</v>
      </c>
      <c r="E251" s="610" t="s">
        <v>7</v>
      </c>
      <c r="G251" s="613" t="s">
        <v>1495</v>
      </c>
      <c r="H251" s="613"/>
      <c r="I251" s="613"/>
      <c r="J251" s="613"/>
      <c r="K251" s="613"/>
      <c r="L251" s="613"/>
      <c r="M251" s="613"/>
      <c r="N251" s="615"/>
    </row>
    <row r="252" spans="1:14">
      <c r="B252" s="599">
        <f t="shared" si="3"/>
        <v>247</v>
      </c>
      <c r="D252" s="609" t="s">
        <v>1762</v>
      </c>
      <c r="E252" s="610" t="s">
        <v>7</v>
      </c>
      <c r="G252" s="613" t="s">
        <v>1495</v>
      </c>
      <c r="H252" s="613"/>
      <c r="I252" s="613"/>
      <c r="J252" s="613"/>
      <c r="K252" s="613"/>
      <c r="L252" s="613"/>
      <c r="M252" s="613"/>
      <c r="N252" s="615"/>
    </row>
    <row r="253" spans="1:14">
      <c r="B253" s="599">
        <f t="shared" si="3"/>
        <v>248</v>
      </c>
      <c r="D253" s="609" t="s">
        <v>1761</v>
      </c>
      <c r="E253" s="610" t="s">
        <v>7</v>
      </c>
      <c r="G253" s="613" t="s">
        <v>1495</v>
      </c>
      <c r="H253" s="613"/>
      <c r="I253" s="613"/>
      <c r="J253" s="613"/>
      <c r="K253" s="613"/>
      <c r="L253" s="613"/>
      <c r="M253" s="613"/>
      <c r="N253" s="615"/>
    </row>
    <row r="254" spans="1:14">
      <c r="B254" s="599">
        <f t="shared" si="3"/>
        <v>249</v>
      </c>
      <c r="D254" s="609" t="s">
        <v>1760</v>
      </c>
      <c r="E254" s="610" t="s">
        <v>7</v>
      </c>
      <c r="G254" s="613" t="s">
        <v>1495</v>
      </c>
      <c r="H254" s="613"/>
      <c r="I254" s="613"/>
      <c r="J254" s="613"/>
      <c r="K254" s="613"/>
      <c r="L254" s="613"/>
      <c r="M254" s="613"/>
      <c r="N254" s="615"/>
    </row>
    <row r="255" spans="1:14">
      <c r="A255" s="638" t="s">
        <v>355</v>
      </c>
      <c r="B255" s="599">
        <f t="shared" si="3"/>
        <v>250</v>
      </c>
      <c r="C255" s="608" t="s">
        <v>1759</v>
      </c>
      <c r="D255" s="609" t="s">
        <v>1616</v>
      </c>
      <c r="E255" s="610" t="s">
        <v>32</v>
      </c>
      <c r="F255" s="616">
        <v>1895702</v>
      </c>
      <c r="G255" s="613" t="s">
        <v>1495</v>
      </c>
      <c r="H255" s="613"/>
      <c r="I255" s="613"/>
      <c r="J255" s="613"/>
      <c r="K255" s="613"/>
      <c r="L255" s="613"/>
      <c r="M255" s="613"/>
      <c r="N255" s="615"/>
    </row>
    <row r="256" spans="1:14">
      <c r="B256" s="599">
        <f t="shared" si="3"/>
        <v>251</v>
      </c>
      <c r="C256" s="608" t="s">
        <v>2312</v>
      </c>
      <c r="D256" s="609" t="s">
        <v>2350</v>
      </c>
      <c r="G256" s="613" t="s">
        <v>1495</v>
      </c>
      <c r="H256" s="613"/>
      <c r="I256" s="613"/>
      <c r="J256" s="613"/>
      <c r="K256" s="613"/>
      <c r="L256" s="613"/>
      <c r="M256" s="613"/>
      <c r="N256" s="615"/>
    </row>
    <row r="257" spans="1:14">
      <c r="B257" s="599">
        <f t="shared" si="3"/>
        <v>252</v>
      </c>
      <c r="D257" s="609" t="s">
        <v>2351</v>
      </c>
      <c r="F257" s="611"/>
      <c r="G257" s="622" t="s">
        <v>1495</v>
      </c>
      <c r="H257" s="622"/>
      <c r="I257" s="623"/>
      <c r="J257" s="623"/>
      <c r="K257" s="622"/>
      <c r="L257" s="624"/>
      <c r="M257" s="625"/>
      <c r="N257" s="615"/>
    </row>
    <row r="258" spans="1:14">
      <c r="A258" s="638" t="s">
        <v>359</v>
      </c>
      <c r="B258" s="599">
        <f t="shared" si="3"/>
        <v>253</v>
      </c>
      <c r="C258" s="608" t="s">
        <v>1758</v>
      </c>
      <c r="D258" s="609" t="s">
        <v>1757</v>
      </c>
      <c r="E258" s="610" t="s">
        <v>7</v>
      </c>
      <c r="F258" s="616">
        <v>2888367</v>
      </c>
      <c r="G258" s="613" t="s">
        <v>1495</v>
      </c>
      <c r="H258" s="613"/>
      <c r="I258" s="613"/>
      <c r="J258" s="613"/>
      <c r="K258" s="613"/>
      <c r="L258" s="613"/>
      <c r="M258" s="613"/>
      <c r="N258" s="615"/>
    </row>
    <row r="259" spans="1:14">
      <c r="B259" s="599">
        <f t="shared" si="3"/>
        <v>254</v>
      </c>
      <c r="D259" s="609" t="s">
        <v>1756</v>
      </c>
      <c r="E259" s="610" t="s">
        <v>7</v>
      </c>
      <c r="G259" s="613" t="s">
        <v>1495</v>
      </c>
      <c r="H259" s="613"/>
      <c r="I259" s="613"/>
      <c r="J259" s="613"/>
      <c r="K259" s="613"/>
      <c r="L259" s="613"/>
      <c r="M259" s="613"/>
      <c r="N259" s="615"/>
    </row>
    <row r="260" spans="1:14">
      <c r="B260" s="599">
        <f t="shared" si="3"/>
        <v>255</v>
      </c>
      <c r="D260" s="609" t="s">
        <v>1755</v>
      </c>
      <c r="E260" s="610" t="s">
        <v>7</v>
      </c>
      <c r="G260" s="613" t="s">
        <v>1495</v>
      </c>
      <c r="H260" s="613"/>
      <c r="I260" s="613"/>
      <c r="J260" s="613"/>
      <c r="K260" s="614"/>
      <c r="L260" s="613"/>
      <c r="M260" s="613"/>
      <c r="N260" s="615"/>
    </row>
    <row r="261" spans="1:14">
      <c r="B261" s="599">
        <f t="shared" si="3"/>
        <v>256</v>
      </c>
      <c r="D261" s="609" t="s">
        <v>1754</v>
      </c>
      <c r="E261" s="610" t="s">
        <v>7</v>
      </c>
      <c r="G261" s="613" t="s">
        <v>1495</v>
      </c>
      <c r="H261" s="613"/>
      <c r="I261" s="613"/>
      <c r="J261" s="613"/>
      <c r="K261" s="614"/>
      <c r="L261" s="613"/>
      <c r="M261" s="613"/>
      <c r="N261" s="615"/>
    </row>
    <row r="262" spans="1:14">
      <c r="B262" s="599">
        <f t="shared" si="3"/>
        <v>257</v>
      </c>
      <c r="D262" s="609" t="s">
        <v>1753</v>
      </c>
      <c r="E262" s="610" t="s">
        <v>7</v>
      </c>
      <c r="G262" s="613" t="s">
        <v>1495</v>
      </c>
      <c r="H262" s="613"/>
      <c r="I262" s="613"/>
      <c r="J262" s="613"/>
      <c r="K262" s="614"/>
      <c r="L262" s="613"/>
      <c r="M262" s="613"/>
      <c r="N262" s="615"/>
    </row>
    <row r="263" spans="1:14">
      <c r="A263" s="638" t="s">
        <v>361</v>
      </c>
      <c r="B263" s="599">
        <f t="shared" ref="B263:B326" si="4">B262+1</f>
        <v>258</v>
      </c>
      <c r="C263" s="608" t="s">
        <v>1752</v>
      </c>
      <c r="D263" s="609" t="s">
        <v>1751</v>
      </c>
      <c r="E263" s="610" t="s">
        <v>7</v>
      </c>
      <c r="F263" s="616">
        <v>7229447</v>
      </c>
      <c r="G263" s="613" t="s">
        <v>1495</v>
      </c>
      <c r="H263" s="613"/>
      <c r="I263" s="613"/>
      <c r="J263" s="613"/>
      <c r="K263" s="614"/>
      <c r="L263" s="613"/>
      <c r="M263" s="613"/>
      <c r="N263" s="615"/>
    </row>
    <row r="264" spans="1:14">
      <c r="B264" s="599">
        <f t="shared" si="4"/>
        <v>259</v>
      </c>
      <c r="D264" s="609" t="s">
        <v>1750</v>
      </c>
      <c r="E264" s="610" t="s">
        <v>7</v>
      </c>
      <c r="G264" s="613" t="s">
        <v>1495</v>
      </c>
      <c r="H264" s="613"/>
      <c r="I264" s="613"/>
      <c r="J264" s="613"/>
      <c r="K264" s="614"/>
      <c r="L264" s="613"/>
      <c r="M264" s="613"/>
      <c r="N264" s="615"/>
    </row>
    <row r="265" spans="1:14">
      <c r="B265" s="599">
        <f t="shared" si="4"/>
        <v>260</v>
      </c>
      <c r="D265" s="609" t="s">
        <v>1749</v>
      </c>
      <c r="E265" s="610" t="s">
        <v>7</v>
      </c>
      <c r="G265" s="613" t="s">
        <v>1495</v>
      </c>
      <c r="H265" s="613"/>
      <c r="I265" s="613"/>
      <c r="J265" s="613"/>
      <c r="K265" s="614"/>
      <c r="L265" s="613"/>
      <c r="M265" s="613"/>
      <c r="N265" s="615"/>
    </row>
    <row r="266" spans="1:14">
      <c r="B266" s="599">
        <f t="shared" si="4"/>
        <v>261</v>
      </c>
      <c r="D266" s="609" t="s">
        <v>1748</v>
      </c>
      <c r="E266" s="610" t="s">
        <v>7</v>
      </c>
      <c r="G266" s="613" t="s">
        <v>1495</v>
      </c>
      <c r="H266" s="613"/>
      <c r="I266" s="613"/>
      <c r="J266" s="613"/>
      <c r="K266" s="626"/>
      <c r="L266" s="613"/>
      <c r="M266" s="613"/>
      <c r="N266" s="615"/>
    </row>
    <row r="267" spans="1:14">
      <c r="A267" s="638" t="s">
        <v>363</v>
      </c>
      <c r="B267" s="599">
        <f t="shared" si="4"/>
        <v>262</v>
      </c>
      <c r="C267" s="608" t="s">
        <v>1747</v>
      </c>
      <c r="D267" s="609" t="s">
        <v>1746</v>
      </c>
      <c r="E267" s="610" t="s">
        <v>7</v>
      </c>
      <c r="F267" s="616">
        <v>1769604</v>
      </c>
      <c r="G267" s="613" t="s">
        <v>1495</v>
      </c>
      <c r="H267" s="613"/>
      <c r="I267" s="613"/>
      <c r="J267" s="613"/>
      <c r="K267" s="626"/>
      <c r="L267" s="613"/>
      <c r="M267" s="613"/>
      <c r="N267" s="615"/>
    </row>
    <row r="268" spans="1:14">
      <c r="B268" s="599">
        <f t="shared" si="4"/>
        <v>263</v>
      </c>
      <c r="D268" s="609" t="s">
        <v>1745</v>
      </c>
      <c r="E268" s="610" t="s">
        <v>7</v>
      </c>
      <c r="G268" s="613" t="s">
        <v>1495</v>
      </c>
      <c r="H268" s="613"/>
      <c r="I268" s="613"/>
      <c r="J268" s="613"/>
      <c r="K268" s="614"/>
      <c r="L268" s="613"/>
      <c r="M268" s="613"/>
      <c r="N268" s="615"/>
    </row>
    <row r="269" spans="1:14" ht="29">
      <c r="B269" s="599">
        <f t="shared" si="4"/>
        <v>264</v>
      </c>
      <c r="D269" s="609" t="s">
        <v>1664</v>
      </c>
      <c r="E269" s="610" t="s">
        <v>7</v>
      </c>
      <c r="G269" s="613"/>
      <c r="H269" s="613" t="s">
        <v>1495</v>
      </c>
      <c r="I269" s="613"/>
      <c r="J269" s="613"/>
      <c r="K269" s="614"/>
      <c r="L269" s="613"/>
      <c r="M269" s="613"/>
      <c r="N269" s="615" t="s">
        <v>1744</v>
      </c>
    </row>
    <row r="270" spans="1:14">
      <c r="A270" s="638" t="s">
        <v>365</v>
      </c>
      <c r="B270" s="599">
        <f t="shared" si="4"/>
        <v>265</v>
      </c>
      <c r="C270" s="608" t="s">
        <v>1743</v>
      </c>
      <c r="D270" s="609" t="s">
        <v>1553</v>
      </c>
      <c r="E270" s="610" t="s">
        <v>7</v>
      </c>
      <c r="F270" s="616">
        <v>1910050</v>
      </c>
      <c r="G270" s="613" t="s">
        <v>1495</v>
      </c>
      <c r="H270" s="613"/>
      <c r="I270" s="613"/>
      <c r="J270" s="613"/>
      <c r="K270" s="614"/>
      <c r="L270" s="613"/>
      <c r="M270" s="613"/>
      <c r="N270" s="615"/>
    </row>
    <row r="271" spans="1:14" ht="29">
      <c r="A271" s="638" t="s">
        <v>367</v>
      </c>
      <c r="B271" s="599">
        <f t="shared" si="4"/>
        <v>266</v>
      </c>
      <c r="C271" s="608" t="s">
        <v>1742</v>
      </c>
      <c r="D271" s="609" t="s">
        <v>1741</v>
      </c>
      <c r="E271" s="610" t="s">
        <v>7</v>
      </c>
      <c r="F271" s="616">
        <v>16311512</v>
      </c>
      <c r="G271" s="613" t="s">
        <v>1495</v>
      </c>
      <c r="H271" s="613"/>
      <c r="I271" s="613"/>
      <c r="J271" s="613"/>
      <c r="K271" s="614"/>
      <c r="L271" s="613"/>
      <c r="M271" s="613"/>
      <c r="N271" s="615"/>
    </row>
    <row r="272" spans="1:14">
      <c r="B272" s="599">
        <f t="shared" si="4"/>
        <v>267</v>
      </c>
      <c r="D272" s="609" t="s">
        <v>1740</v>
      </c>
      <c r="E272" s="610" t="s">
        <v>7</v>
      </c>
      <c r="G272" s="613" t="s">
        <v>1495</v>
      </c>
      <c r="H272" s="613"/>
      <c r="I272" s="613"/>
      <c r="J272" s="613"/>
      <c r="K272" s="614"/>
      <c r="L272" s="613"/>
      <c r="M272" s="613"/>
      <c r="N272" s="615"/>
    </row>
    <row r="273" spans="1:14">
      <c r="B273" s="599">
        <f t="shared" si="4"/>
        <v>268</v>
      </c>
      <c r="D273" s="609" t="s">
        <v>1739</v>
      </c>
      <c r="E273" s="610" t="s">
        <v>7</v>
      </c>
      <c r="G273" s="613" t="s">
        <v>1495</v>
      </c>
      <c r="H273" s="613"/>
      <c r="I273" s="613"/>
      <c r="J273" s="613"/>
      <c r="K273" s="614"/>
      <c r="L273" s="613"/>
      <c r="M273" s="613"/>
      <c r="N273" s="615"/>
    </row>
    <row r="274" spans="1:14" ht="29">
      <c r="B274" s="599">
        <f t="shared" si="4"/>
        <v>269</v>
      </c>
      <c r="D274" s="609" t="s">
        <v>1738</v>
      </c>
      <c r="E274" s="610" t="s">
        <v>7</v>
      </c>
      <c r="G274" s="613" t="s">
        <v>1495</v>
      </c>
      <c r="H274" s="613"/>
      <c r="I274" s="613"/>
      <c r="J274" s="613"/>
      <c r="K274" s="614"/>
      <c r="L274" s="613"/>
      <c r="M274" s="613"/>
      <c r="N274" s="615"/>
    </row>
    <row r="275" spans="1:14">
      <c r="B275" s="599">
        <f t="shared" si="4"/>
        <v>270</v>
      </c>
      <c r="D275" s="609" t="s">
        <v>1737</v>
      </c>
      <c r="E275" s="610" t="s">
        <v>7</v>
      </c>
      <c r="G275" s="613" t="s">
        <v>1495</v>
      </c>
      <c r="H275" s="613"/>
      <c r="I275" s="613"/>
      <c r="J275" s="613"/>
      <c r="K275" s="614"/>
      <c r="L275" s="613"/>
      <c r="M275" s="613"/>
      <c r="N275" s="615"/>
    </row>
    <row r="276" spans="1:14">
      <c r="B276" s="599">
        <f t="shared" si="4"/>
        <v>271</v>
      </c>
      <c r="D276" s="609" t="s">
        <v>1736</v>
      </c>
      <c r="E276" s="610" t="s">
        <v>7</v>
      </c>
      <c r="G276" s="613" t="s">
        <v>1495</v>
      </c>
      <c r="H276" s="613"/>
      <c r="I276" s="613"/>
      <c r="J276" s="613"/>
      <c r="K276" s="614"/>
      <c r="L276" s="613"/>
      <c r="M276" s="613"/>
      <c r="N276" s="615"/>
    </row>
    <row r="277" spans="1:14">
      <c r="B277" s="599">
        <f t="shared" si="4"/>
        <v>272</v>
      </c>
      <c r="D277" s="609" t="s">
        <v>1735</v>
      </c>
      <c r="E277" s="610" t="s">
        <v>7</v>
      </c>
      <c r="G277" s="613" t="s">
        <v>1495</v>
      </c>
      <c r="H277" s="613"/>
      <c r="I277" s="613"/>
      <c r="J277" s="613"/>
      <c r="K277" s="614"/>
      <c r="L277" s="613"/>
      <c r="M277" s="613"/>
      <c r="N277" s="615"/>
    </row>
    <row r="278" spans="1:14">
      <c r="A278" s="638" t="s">
        <v>369</v>
      </c>
      <c r="B278" s="599">
        <f t="shared" si="4"/>
        <v>273</v>
      </c>
      <c r="C278" s="608" t="s">
        <v>1734</v>
      </c>
      <c r="D278" s="609" t="s">
        <v>1733</v>
      </c>
      <c r="E278" s="610" t="s">
        <v>7</v>
      </c>
      <c r="F278" s="616">
        <v>722677</v>
      </c>
      <c r="G278" s="613" t="s">
        <v>1495</v>
      </c>
      <c r="H278" s="613"/>
      <c r="I278" s="613"/>
      <c r="J278" s="613"/>
      <c r="K278" s="614"/>
      <c r="L278" s="613"/>
      <c r="M278" s="613"/>
      <c r="N278" s="615"/>
    </row>
    <row r="279" spans="1:14">
      <c r="B279" s="599">
        <f t="shared" si="4"/>
        <v>274</v>
      </c>
      <c r="D279" s="609" t="s">
        <v>1647</v>
      </c>
      <c r="E279" s="610" t="s">
        <v>7</v>
      </c>
      <c r="G279" s="613"/>
      <c r="H279" s="613" t="s">
        <v>1495</v>
      </c>
      <c r="I279" s="613"/>
      <c r="J279" s="613"/>
      <c r="K279" s="614"/>
      <c r="L279" s="613"/>
      <c r="M279" s="613"/>
      <c r="N279" s="615" t="s">
        <v>1732</v>
      </c>
    </row>
    <row r="280" spans="1:14">
      <c r="B280" s="599">
        <f t="shared" si="4"/>
        <v>275</v>
      </c>
      <c r="D280" s="609" t="s">
        <v>1731</v>
      </c>
      <c r="G280" s="613" t="s">
        <v>1495</v>
      </c>
      <c r="H280" s="613"/>
      <c r="I280" s="613"/>
      <c r="J280" s="613"/>
      <c r="K280" s="614"/>
      <c r="L280" s="613"/>
      <c r="M280" s="613"/>
      <c r="N280" s="615"/>
    </row>
    <row r="281" spans="1:14">
      <c r="A281" s="638" t="s">
        <v>371</v>
      </c>
      <c r="B281" s="599">
        <f t="shared" si="4"/>
        <v>276</v>
      </c>
      <c r="C281" s="608" t="s">
        <v>1730</v>
      </c>
      <c r="D281" s="609" t="s">
        <v>1729</v>
      </c>
      <c r="E281" s="610" t="s">
        <v>7</v>
      </c>
      <c r="F281" s="616">
        <v>1673183</v>
      </c>
      <c r="G281" s="613" t="s">
        <v>1495</v>
      </c>
      <c r="H281" s="613"/>
      <c r="I281" s="613"/>
      <c r="J281" s="613"/>
      <c r="K281" s="614"/>
      <c r="L281" s="613"/>
      <c r="M281" s="613"/>
      <c r="N281" s="615"/>
    </row>
    <row r="282" spans="1:14">
      <c r="B282" s="599">
        <f t="shared" si="4"/>
        <v>277</v>
      </c>
      <c r="D282" s="609" t="s">
        <v>1647</v>
      </c>
      <c r="E282" s="610" t="s">
        <v>7</v>
      </c>
      <c r="G282" s="613"/>
      <c r="H282" s="613" t="s">
        <v>1495</v>
      </c>
      <c r="I282" s="613"/>
      <c r="J282" s="613"/>
      <c r="K282" s="614"/>
      <c r="L282" s="613"/>
      <c r="M282" s="613"/>
      <c r="N282" s="615" t="s">
        <v>1727</v>
      </c>
    </row>
    <row r="283" spans="1:14">
      <c r="B283" s="599">
        <f t="shared" si="4"/>
        <v>278</v>
      </c>
      <c r="D283" s="609" t="s">
        <v>1728</v>
      </c>
      <c r="E283" s="610" t="s">
        <v>7</v>
      </c>
      <c r="G283" s="613"/>
      <c r="H283" s="613" t="s">
        <v>1495</v>
      </c>
      <c r="I283" s="613"/>
      <c r="J283" s="613"/>
      <c r="K283" s="614"/>
      <c r="L283" s="613"/>
      <c r="M283" s="613"/>
      <c r="N283" s="615" t="s">
        <v>1727</v>
      </c>
    </row>
    <row r="284" spans="1:14">
      <c r="B284" s="599">
        <f t="shared" si="4"/>
        <v>279</v>
      </c>
      <c r="D284" s="609" t="s">
        <v>1726</v>
      </c>
      <c r="G284" s="613" t="s">
        <v>1495</v>
      </c>
      <c r="H284" s="613"/>
      <c r="I284" s="613"/>
      <c r="J284" s="613"/>
      <c r="K284" s="614"/>
      <c r="L284" s="613"/>
      <c r="M284" s="613"/>
      <c r="N284" s="615"/>
    </row>
    <row r="285" spans="1:14">
      <c r="A285" s="638" t="s">
        <v>1725</v>
      </c>
      <c r="B285" s="599">
        <f t="shared" si="4"/>
        <v>280</v>
      </c>
      <c r="C285" s="608" t="s">
        <v>1724</v>
      </c>
      <c r="D285" s="609" t="s">
        <v>1723</v>
      </c>
      <c r="E285" s="610" t="s">
        <v>32</v>
      </c>
      <c r="G285" s="613" t="s">
        <v>1495</v>
      </c>
      <c r="H285" s="613"/>
      <c r="I285" s="613"/>
      <c r="J285" s="613"/>
      <c r="K285" s="614"/>
      <c r="L285" s="613"/>
      <c r="M285" s="613"/>
      <c r="N285" s="615"/>
    </row>
    <row r="286" spans="1:14">
      <c r="A286" s="638" t="s">
        <v>373</v>
      </c>
      <c r="B286" s="599">
        <f t="shared" si="4"/>
        <v>281</v>
      </c>
      <c r="C286" s="608" t="s">
        <v>1722</v>
      </c>
      <c r="D286" s="609" t="s">
        <v>1721</v>
      </c>
      <c r="E286" s="610" t="s">
        <v>7</v>
      </c>
      <c r="F286" s="616">
        <v>1663692</v>
      </c>
      <c r="G286" s="613" t="s">
        <v>1495</v>
      </c>
      <c r="H286" s="613"/>
      <c r="I286" s="613"/>
      <c r="J286" s="613"/>
      <c r="K286" s="614"/>
      <c r="L286" s="613"/>
      <c r="M286" s="613"/>
      <c r="N286" s="615"/>
    </row>
    <row r="287" spans="1:14">
      <c r="B287" s="599">
        <f t="shared" si="4"/>
        <v>282</v>
      </c>
      <c r="D287" s="609" t="s">
        <v>1720</v>
      </c>
      <c r="E287" s="610" t="s">
        <v>7</v>
      </c>
      <c r="G287" s="613" t="s">
        <v>1495</v>
      </c>
      <c r="H287" s="613"/>
      <c r="I287" s="613"/>
      <c r="J287" s="613"/>
      <c r="K287" s="614"/>
      <c r="L287" s="613"/>
      <c r="M287" s="613"/>
      <c r="N287" s="615"/>
    </row>
    <row r="288" spans="1:14">
      <c r="A288" s="638" t="s">
        <v>375</v>
      </c>
      <c r="B288" s="599">
        <f t="shared" si="4"/>
        <v>283</v>
      </c>
      <c r="C288" s="608" t="s">
        <v>1719</v>
      </c>
      <c r="D288" s="609" t="s">
        <v>1718</v>
      </c>
      <c r="E288" s="610" t="s">
        <v>7</v>
      </c>
      <c r="F288" s="616">
        <v>3881526</v>
      </c>
      <c r="G288" s="613" t="s">
        <v>1495</v>
      </c>
      <c r="H288" s="613"/>
      <c r="I288" s="613"/>
      <c r="J288" s="613"/>
      <c r="K288" s="614"/>
      <c r="L288" s="613"/>
      <c r="M288" s="613"/>
      <c r="N288" s="615"/>
    </row>
    <row r="289" spans="1:14">
      <c r="B289" s="599">
        <f t="shared" si="4"/>
        <v>284</v>
      </c>
      <c r="D289" s="609" t="s">
        <v>1717</v>
      </c>
      <c r="E289" s="610" t="s">
        <v>7</v>
      </c>
      <c r="G289" s="613" t="s">
        <v>1495</v>
      </c>
      <c r="H289" s="613"/>
      <c r="I289" s="613"/>
      <c r="J289" s="613"/>
      <c r="K289" s="614"/>
      <c r="L289" s="613"/>
      <c r="M289" s="613"/>
      <c r="N289" s="615"/>
    </row>
    <row r="290" spans="1:14">
      <c r="B290" s="599">
        <f t="shared" si="4"/>
        <v>285</v>
      </c>
      <c r="D290" s="609" t="s">
        <v>1716</v>
      </c>
      <c r="E290" s="610" t="s">
        <v>7</v>
      </c>
      <c r="G290" s="613" t="s">
        <v>1495</v>
      </c>
      <c r="H290" s="613"/>
      <c r="I290" s="613"/>
      <c r="J290" s="613"/>
      <c r="K290" s="614"/>
      <c r="L290" s="613"/>
      <c r="M290" s="613"/>
      <c r="N290" s="615"/>
    </row>
    <row r="291" spans="1:14" ht="29">
      <c r="B291" s="599">
        <f t="shared" si="4"/>
        <v>286</v>
      </c>
      <c r="D291" s="609" t="s">
        <v>1715</v>
      </c>
      <c r="E291" s="610" t="s">
        <v>7</v>
      </c>
      <c r="G291" s="613"/>
      <c r="H291" s="613" t="s">
        <v>1495</v>
      </c>
      <c r="I291" s="613"/>
      <c r="J291" s="613"/>
      <c r="K291" s="614"/>
      <c r="L291" s="613"/>
      <c r="M291" s="613"/>
      <c r="N291" s="615" t="s">
        <v>1714</v>
      </c>
    </row>
    <row r="292" spans="1:14">
      <c r="B292" s="599">
        <f t="shared" si="4"/>
        <v>287</v>
      </c>
      <c r="D292" s="609" t="s">
        <v>1713</v>
      </c>
      <c r="G292" s="613" t="s">
        <v>1495</v>
      </c>
      <c r="H292" s="613"/>
      <c r="I292" s="613"/>
      <c r="J292" s="613"/>
      <c r="K292" s="614"/>
      <c r="L292" s="613"/>
      <c r="M292" s="613"/>
      <c r="N292" s="615"/>
    </row>
    <row r="293" spans="1:14" ht="29">
      <c r="A293" s="638" t="s">
        <v>379</v>
      </c>
      <c r="B293" s="599">
        <f t="shared" si="4"/>
        <v>288</v>
      </c>
      <c r="C293" s="608" t="s">
        <v>1712</v>
      </c>
      <c r="D293" s="609" t="s">
        <v>1711</v>
      </c>
      <c r="E293" s="610" t="s">
        <v>7</v>
      </c>
      <c r="F293" s="616">
        <v>4281555</v>
      </c>
      <c r="G293" s="613" t="s">
        <v>1495</v>
      </c>
      <c r="H293" s="613"/>
      <c r="I293" s="613"/>
      <c r="J293" s="613"/>
      <c r="K293" s="613"/>
      <c r="L293" s="613"/>
      <c r="M293" s="613"/>
      <c r="N293" s="615"/>
    </row>
    <row r="294" spans="1:14">
      <c r="B294" s="599">
        <f t="shared" si="4"/>
        <v>289</v>
      </c>
      <c r="D294" s="609" t="s">
        <v>1710</v>
      </c>
      <c r="E294" s="610" t="s">
        <v>7</v>
      </c>
      <c r="G294" s="613" t="s">
        <v>1495</v>
      </c>
      <c r="H294" s="613"/>
      <c r="I294" s="613"/>
      <c r="J294" s="613"/>
      <c r="K294" s="613"/>
      <c r="L294" s="613"/>
      <c r="M294" s="613"/>
      <c r="N294" s="615"/>
    </row>
    <row r="295" spans="1:14">
      <c r="B295" s="599">
        <f t="shared" si="4"/>
        <v>290</v>
      </c>
      <c r="D295" s="609" t="s">
        <v>1709</v>
      </c>
      <c r="E295" s="610" t="s">
        <v>7</v>
      </c>
      <c r="G295" s="613" t="s">
        <v>1495</v>
      </c>
      <c r="H295" s="613"/>
      <c r="I295" s="613"/>
      <c r="J295" s="613"/>
      <c r="K295" s="613"/>
      <c r="L295" s="613"/>
      <c r="M295" s="613"/>
      <c r="N295" s="615"/>
    </row>
    <row r="296" spans="1:14">
      <c r="B296" s="599">
        <f>B295+1</f>
        <v>291</v>
      </c>
      <c r="D296" s="609" t="s">
        <v>1708</v>
      </c>
      <c r="E296" s="610" t="s">
        <v>7</v>
      </c>
      <c r="G296" s="613" t="s">
        <v>1495</v>
      </c>
      <c r="H296" s="613"/>
      <c r="I296" s="613"/>
      <c r="J296" s="613"/>
      <c r="K296" s="613"/>
      <c r="L296" s="613"/>
      <c r="M296" s="613"/>
      <c r="N296" s="615"/>
    </row>
    <row r="297" spans="1:14">
      <c r="B297" s="599"/>
      <c r="C297" s="608" t="s">
        <v>2452</v>
      </c>
      <c r="D297" s="609" t="s">
        <v>2453</v>
      </c>
      <c r="G297" s="613" t="s">
        <v>1495</v>
      </c>
      <c r="H297" s="613"/>
      <c r="I297" s="613"/>
      <c r="J297" s="613"/>
      <c r="K297" s="613"/>
      <c r="L297" s="613"/>
      <c r="M297" s="613"/>
      <c r="N297" s="615"/>
    </row>
    <row r="298" spans="1:14">
      <c r="B298" s="599"/>
      <c r="D298" s="609" t="s">
        <v>2454</v>
      </c>
      <c r="G298" s="613" t="s">
        <v>1495</v>
      </c>
      <c r="H298" s="613"/>
      <c r="I298" s="613"/>
      <c r="J298" s="613"/>
      <c r="K298" s="613"/>
      <c r="L298" s="613"/>
      <c r="M298" s="613"/>
      <c r="N298" s="615"/>
    </row>
    <row r="299" spans="1:14">
      <c r="B299" s="599"/>
      <c r="D299" s="609" t="s">
        <v>2455</v>
      </c>
      <c r="G299" s="613" t="s">
        <v>1495</v>
      </c>
      <c r="H299" s="613"/>
      <c r="I299" s="613"/>
      <c r="J299" s="613"/>
      <c r="K299" s="613"/>
      <c r="L299" s="613"/>
      <c r="M299" s="613"/>
      <c r="N299" s="615"/>
    </row>
    <row r="300" spans="1:14">
      <c r="A300" s="638" t="s">
        <v>383</v>
      </c>
      <c r="B300" s="599">
        <f>B296+1</f>
        <v>292</v>
      </c>
      <c r="C300" s="608" t="s">
        <v>1707</v>
      </c>
      <c r="D300" s="609" t="s">
        <v>1706</v>
      </c>
      <c r="E300" s="610" t="s">
        <v>7</v>
      </c>
      <c r="F300" s="616">
        <v>623513</v>
      </c>
      <c r="G300" s="613" t="s">
        <v>1495</v>
      </c>
      <c r="H300" s="613"/>
      <c r="I300" s="613"/>
      <c r="J300" s="613"/>
      <c r="K300" s="613"/>
      <c r="L300" s="613"/>
      <c r="M300" s="613"/>
      <c r="N300" s="615"/>
    </row>
    <row r="301" spans="1:14">
      <c r="A301" s="638" t="s">
        <v>385</v>
      </c>
      <c r="B301" s="599">
        <f t="shared" si="4"/>
        <v>293</v>
      </c>
      <c r="C301" s="608" t="s">
        <v>1705</v>
      </c>
      <c r="D301" s="609" t="s">
        <v>1704</v>
      </c>
      <c r="E301" s="610" t="s">
        <v>32</v>
      </c>
      <c r="F301" s="616">
        <v>1147874</v>
      </c>
      <c r="G301" s="613" t="s">
        <v>1495</v>
      </c>
      <c r="H301" s="613"/>
      <c r="I301" s="613"/>
      <c r="J301" s="613"/>
      <c r="K301" s="613"/>
      <c r="L301" s="613"/>
      <c r="M301" s="613"/>
      <c r="N301" s="615"/>
    </row>
    <row r="302" spans="1:14">
      <c r="B302" s="599">
        <f t="shared" si="4"/>
        <v>294</v>
      </c>
      <c r="D302" s="609" t="s">
        <v>1703</v>
      </c>
      <c r="E302" s="610" t="s">
        <v>32</v>
      </c>
      <c r="G302" s="613" t="s">
        <v>1495</v>
      </c>
      <c r="H302" s="613"/>
      <c r="I302" s="613"/>
      <c r="J302" s="613"/>
      <c r="K302" s="613"/>
      <c r="L302" s="613"/>
      <c r="M302" s="613"/>
      <c r="N302" s="615"/>
    </row>
    <row r="303" spans="1:14" ht="29">
      <c r="A303" s="638" t="s">
        <v>387</v>
      </c>
      <c r="B303" s="599">
        <f t="shared" si="4"/>
        <v>295</v>
      </c>
      <c r="C303" s="608" t="s">
        <v>1702</v>
      </c>
      <c r="D303" s="609" t="s">
        <v>2369</v>
      </c>
      <c r="E303" s="610" t="s">
        <v>7</v>
      </c>
      <c r="F303" s="616">
        <v>5686832</v>
      </c>
      <c r="G303" s="613" t="s">
        <v>1495</v>
      </c>
      <c r="H303" s="613"/>
      <c r="I303" s="613"/>
      <c r="J303" s="613"/>
      <c r="K303" s="613"/>
      <c r="L303" s="613"/>
      <c r="M303" s="613"/>
      <c r="N303" s="615"/>
    </row>
    <row r="304" spans="1:14">
      <c r="B304" s="599">
        <f t="shared" si="4"/>
        <v>296</v>
      </c>
      <c r="D304" s="609" t="s">
        <v>1701</v>
      </c>
      <c r="E304" s="610" t="s">
        <v>7</v>
      </c>
      <c r="G304" s="613" t="s">
        <v>1495</v>
      </c>
      <c r="H304" s="613"/>
      <c r="I304" s="613"/>
      <c r="J304" s="613"/>
      <c r="K304" s="613"/>
      <c r="L304" s="613"/>
      <c r="M304" s="613"/>
      <c r="N304" s="615"/>
    </row>
    <row r="305" spans="1:14">
      <c r="B305" s="599">
        <f t="shared" si="4"/>
        <v>297</v>
      </c>
      <c r="D305" s="609" t="s">
        <v>1700</v>
      </c>
      <c r="E305" s="610" t="s">
        <v>7</v>
      </c>
      <c r="G305" s="613" t="s">
        <v>1495</v>
      </c>
      <c r="H305" s="613"/>
      <c r="I305" s="613"/>
      <c r="J305" s="613"/>
      <c r="K305" s="613"/>
      <c r="L305" s="613"/>
      <c r="M305" s="613"/>
      <c r="N305" s="615"/>
    </row>
    <row r="306" spans="1:14">
      <c r="B306" s="599">
        <f t="shared" si="4"/>
        <v>298</v>
      </c>
      <c r="D306" s="609" t="s">
        <v>1699</v>
      </c>
      <c r="G306" s="613" t="s">
        <v>1495</v>
      </c>
      <c r="H306" s="613"/>
      <c r="I306" s="613"/>
      <c r="J306" s="613"/>
      <c r="K306" s="613"/>
      <c r="L306" s="613"/>
      <c r="M306" s="613"/>
      <c r="N306" s="615"/>
    </row>
    <row r="307" spans="1:14">
      <c r="A307" s="638" t="s">
        <v>393</v>
      </c>
      <c r="B307" s="599">
        <f t="shared" si="4"/>
        <v>299</v>
      </c>
      <c r="C307" s="608" t="s">
        <v>1698</v>
      </c>
      <c r="D307" s="609" t="s">
        <v>1697</v>
      </c>
      <c r="E307" s="610" t="s">
        <v>32</v>
      </c>
      <c r="F307" s="616">
        <v>5035255</v>
      </c>
      <c r="G307" s="613" t="s">
        <v>1495</v>
      </c>
      <c r="H307" s="613"/>
      <c r="I307" s="613"/>
      <c r="J307" s="613"/>
      <c r="K307" s="613"/>
      <c r="L307" s="613"/>
      <c r="M307" s="613"/>
      <c r="N307" s="615"/>
    </row>
    <row r="308" spans="1:14">
      <c r="B308" s="599">
        <f t="shared" si="4"/>
        <v>300</v>
      </c>
      <c r="D308" s="609" t="s">
        <v>1652</v>
      </c>
      <c r="E308" s="610" t="s">
        <v>32</v>
      </c>
      <c r="G308" s="613" t="s">
        <v>1495</v>
      </c>
      <c r="H308" s="613"/>
      <c r="I308" s="613"/>
      <c r="J308" s="613"/>
      <c r="K308" s="613"/>
      <c r="L308" s="613"/>
      <c r="M308" s="613"/>
      <c r="N308" s="615"/>
    </row>
    <row r="309" spans="1:14">
      <c r="B309" s="599">
        <f t="shared" si="4"/>
        <v>301</v>
      </c>
      <c r="D309" s="609" t="s">
        <v>1696</v>
      </c>
      <c r="E309" s="610" t="s">
        <v>32</v>
      </c>
      <c r="G309" s="613" t="s">
        <v>1495</v>
      </c>
      <c r="H309" s="613"/>
      <c r="I309" s="613"/>
      <c r="J309" s="613"/>
      <c r="K309" s="613"/>
      <c r="L309" s="613"/>
      <c r="M309" s="613"/>
      <c r="N309" s="615"/>
    </row>
    <row r="310" spans="1:14">
      <c r="B310" s="599">
        <f t="shared" si="4"/>
        <v>302</v>
      </c>
      <c r="D310" s="609" t="s">
        <v>1695</v>
      </c>
      <c r="E310" s="610" t="s">
        <v>32</v>
      </c>
      <c r="G310" s="613" t="s">
        <v>1495</v>
      </c>
      <c r="H310" s="613"/>
      <c r="I310" s="613"/>
      <c r="J310" s="613"/>
      <c r="K310" s="613"/>
      <c r="L310" s="613"/>
      <c r="M310" s="613"/>
      <c r="N310" s="615"/>
    </row>
    <row r="311" spans="1:14">
      <c r="B311" s="599">
        <f t="shared" si="4"/>
        <v>303</v>
      </c>
      <c r="D311" s="609" t="s">
        <v>1694</v>
      </c>
      <c r="E311" s="610" t="s">
        <v>32</v>
      </c>
      <c r="G311" s="613" t="s">
        <v>1495</v>
      </c>
      <c r="H311" s="613"/>
      <c r="I311" s="613"/>
      <c r="J311" s="613"/>
      <c r="K311" s="613"/>
      <c r="L311" s="613"/>
      <c r="M311" s="613"/>
      <c r="N311" s="615"/>
    </row>
    <row r="312" spans="1:14" ht="29">
      <c r="A312" s="638" t="s">
        <v>1693</v>
      </c>
      <c r="B312" s="599">
        <f t="shared" si="4"/>
        <v>304</v>
      </c>
      <c r="C312" s="608" t="s">
        <v>1692</v>
      </c>
      <c r="D312" s="609" t="s">
        <v>1691</v>
      </c>
      <c r="E312" s="610" t="s">
        <v>7</v>
      </c>
      <c r="F312" s="616">
        <v>16733099</v>
      </c>
      <c r="G312" s="613" t="s">
        <v>1495</v>
      </c>
      <c r="H312" s="613"/>
      <c r="I312" s="613"/>
      <c r="J312" s="613"/>
      <c r="K312" s="613"/>
      <c r="L312" s="613"/>
      <c r="M312" s="613"/>
      <c r="N312" s="615"/>
    </row>
    <row r="313" spans="1:14">
      <c r="B313" s="599">
        <f t="shared" si="4"/>
        <v>305</v>
      </c>
      <c r="D313" s="609" t="s">
        <v>1690</v>
      </c>
      <c r="E313" s="610" t="s">
        <v>7</v>
      </c>
      <c r="G313" s="613" t="s">
        <v>1495</v>
      </c>
      <c r="H313" s="613"/>
      <c r="I313" s="613"/>
      <c r="J313" s="613"/>
      <c r="K313" s="613"/>
      <c r="L313" s="613"/>
      <c r="M313" s="613"/>
      <c r="N313" s="615"/>
    </row>
    <row r="314" spans="1:14">
      <c r="B314" s="599">
        <f t="shared" si="4"/>
        <v>306</v>
      </c>
      <c r="D314" s="609" t="s">
        <v>1689</v>
      </c>
      <c r="E314" s="610" t="s">
        <v>7</v>
      </c>
      <c r="G314" s="613" t="s">
        <v>1495</v>
      </c>
      <c r="H314" s="613"/>
      <c r="I314" s="613"/>
      <c r="J314" s="613"/>
      <c r="K314" s="613"/>
      <c r="L314" s="613"/>
      <c r="M314" s="613"/>
      <c r="N314" s="615"/>
    </row>
    <row r="315" spans="1:14">
      <c r="B315" s="599">
        <f t="shared" si="4"/>
        <v>307</v>
      </c>
      <c r="D315" s="609" t="s">
        <v>1688</v>
      </c>
      <c r="E315" s="610" t="s">
        <v>7</v>
      </c>
      <c r="G315" s="613" t="s">
        <v>1495</v>
      </c>
      <c r="H315" s="613"/>
      <c r="I315" s="613"/>
      <c r="J315" s="613"/>
      <c r="K315" s="613"/>
      <c r="L315" s="613"/>
      <c r="M315" s="613"/>
      <c r="N315" s="615"/>
    </row>
    <row r="316" spans="1:14">
      <c r="B316" s="599">
        <f t="shared" si="4"/>
        <v>308</v>
      </c>
      <c r="D316" s="609" t="s">
        <v>1687</v>
      </c>
      <c r="E316" s="610" t="s">
        <v>7</v>
      </c>
      <c r="G316" s="613" t="s">
        <v>1495</v>
      </c>
      <c r="H316" s="613"/>
      <c r="I316" s="613"/>
      <c r="J316" s="613"/>
      <c r="K316" s="613"/>
      <c r="L316" s="613"/>
      <c r="M316" s="613"/>
      <c r="N316" s="615"/>
    </row>
    <row r="317" spans="1:14">
      <c r="B317" s="599">
        <f t="shared" si="4"/>
        <v>309</v>
      </c>
      <c r="D317" s="609" t="s">
        <v>1686</v>
      </c>
      <c r="E317" s="610" t="s">
        <v>7</v>
      </c>
      <c r="G317" s="613" t="s">
        <v>1495</v>
      </c>
      <c r="H317" s="613" t="s">
        <v>1495</v>
      </c>
      <c r="I317" s="613"/>
      <c r="J317" s="613"/>
      <c r="K317" s="613"/>
      <c r="L317" s="613"/>
      <c r="M317" s="613"/>
      <c r="N317" s="615" t="s">
        <v>1685</v>
      </c>
    </row>
    <row r="318" spans="1:14">
      <c r="A318" s="638" t="s">
        <v>395</v>
      </c>
      <c r="B318" s="599">
        <f t="shared" si="4"/>
        <v>310</v>
      </c>
      <c r="C318" s="608" t="s">
        <v>1684</v>
      </c>
      <c r="D318" s="609" t="s">
        <v>1683</v>
      </c>
      <c r="E318" s="610" t="s">
        <v>7</v>
      </c>
      <c r="F318" s="616">
        <v>11004091</v>
      </c>
      <c r="G318" s="613" t="s">
        <v>1495</v>
      </c>
      <c r="H318" s="613"/>
      <c r="I318" s="613"/>
      <c r="J318" s="613"/>
      <c r="K318" s="613"/>
      <c r="L318" s="613"/>
      <c r="M318" s="613"/>
      <c r="N318" s="615"/>
    </row>
    <row r="319" spans="1:14">
      <c r="B319" s="599">
        <f t="shared" si="4"/>
        <v>311</v>
      </c>
      <c r="D319" s="609" t="s">
        <v>1682</v>
      </c>
      <c r="E319" s="610" t="s">
        <v>7</v>
      </c>
      <c r="G319" s="613" t="s">
        <v>1495</v>
      </c>
      <c r="H319" s="613"/>
      <c r="I319" s="613"/>
      <c r="J319" s="613"/>
      <c r="K319" s="613"/>
      <c r="L319" s="613"/>
      <c r="M319" s="613"/>
      <c r="N319" s="615"/>
    </row>
    <row r="320" spans="1:14">
      <c r="B320" s="599">
        <f t="shared" si="4"/>
        <v>312</v>
      </c>
      <c r="D320" s="609" t="s">
        <v>1681</v>
      </c>
      <c r="E320" s="610" t="s">
        <v>7</v>
      </c>
      <c r="G320" s="613" t="s">
        <v>1495</v>
      </c>
      <c r="H320" s="613"/>
      <c r="I320" s="613"/>
      <c r="J320" s="613"/>
      <c r="K320" s="613"/>
      <c r="L320" s="613"/>
      <c r="M320" s="613"/>
      <c r="N320" s="615"/>
    </row>
    <row r="321" spans="1:14">
      <c r="B321" s="599">
        <f t="shared" si="4"/>
        <v>313</v>
      </c>
      <c r="D321" s="609" t="s">
        <v>1680</v>
      </c>
      <c r="E321" s="610" t="s">
        <v>7</v>
      </c>
      <c r="G321" s="613" t="s">
        <v>1495</v>
      </c>
      <c r="H321" s="613"/>
      <c r="I321" s="613"/>
      <c r="J321" s="613"/>
      <c r="K321" s="613"/>
      <c r="L321" s="613"/>
      <c r="M321" s="613"/>
      <c r="N321" s="615"/>
    </row>
    <row r="322" spans="1:14">
      <c r="B322" s="599">
        <f t="shared" si="4"/>
        <v>314</v>
      </c>
      <c r="D322" s="609" t="s">
        <v>1679</v>
      </c>
      <c r="E322" s="610" t="s">
        <v>7</v>
      </c>
      <c r="G322" s="613" t="s">
        <v>1495</v>
      </c>
      <c r="H322" s="613"/>
      <c r="I322" s="613"/>
      <c r="J322" s="613"/>
      <c r="K322" s="613"/>
      <c r="L322" s="613"/>
      <c r="M322" s="613"/>
      <c r="N322" s="615"/>
    </row>
    <row r="323" spans="1:14">
      <c r="B323" s="599">
        <f t="shared" si="4"/>
        <v>315</v>
      </c>
      <c r="D323" s="609" t="s">
        <v>1678</v>
      </c>
      <c r="E323" s="610" t="s">
        <v>7</v>
      </c>
      <c r="G323" s="613" t="s">
        <v>1495</v>
      </c>
      <c r="H323" s="613"/>
      <c r="I323" s="613"/>
      <c r="J323" s="613"/>
      <c r="K323" s="613"/>
      <c r="L323" s="613"/>
      <c r="M323" s="613"/>
      <c r="N323" s="615"/>
    </row>
    <row r="324" spans="1:14" ht="29">
      <c r="A324" s="638" t="s">
        <v>399</v>
      </c>
      <c r="B324" s="599">
        <f t="shared" si="4"/>
        <v>316</v>
      </c>
      <c r="C324" s="608" t="s">
        <v>1677</v>
      </c>
      <c r="D324" s="609" t="s">
        <v>1676</v>
      </c>
      <c r="E324" s="610" t="s">
        <v>7</v>
      </c>
      <c r="F324" s="616">
        <v>12916958</v>
      </c>
      <c r="G324" s="613" t="s">
        <v>1495</v>
      </c>
      <c r="H324" s="613"/>
      <c r="I324" s="613"/>
      <c r="J324" s="613"/>
      <c r="K324" s="613"/>
      <c r="L324" s="613"/>
      <c r="M324" s="613"/>
      <c r="N324" s="615"/>
    </row>
    <row r="325" spans="1:14">
      <c r="B325" s="599">
        <f t="shared" si="4"/>
        <v>317</v>
      </c>
      <c r="D325" s="609" t="s">
        <v>1675</v>
      </c>
      <c r="E325" s="610" t="s">
        <v>7</v>
      </c>
      <c r="G325" s="613" t="s">
        <v>1495</v>
      </c>
      <c r="H325" s="613"/>
      <c r="I325" s="613"/>
      <c r="J325" s="613"/>
      <c r="K325" s="613"/>
      <c r="L325" s="613"/>
      <c r="M325" s="613"/>
      <c r="N325" s="615"/>
    </row>
    <row r="326" spans="1:14">
      <c r="B326" s="599">
        <f t="shared" si="4"/>
        <v>318</v>
      </c>
      <c r="D326" s="609" t="s">
        <v>1674</v>
      </c>
      <c r="E326" s="610" t="s">
        <v>7</v>
      </c>
      <c r="G326" s="613" t="s">
        <v>1495</v>
      </c>
      <c r="H326" s="613"/>
      <c r="I326" s="613"/>
      <c r="J326" s="613"/>
      <c r="K326" s="613"/>
      <c r="L326" s="613"/>
      <c r="M326" s="613"/>
      <c r="N326" s="615"/>
    </row>
    <row r="327" spans="1:14">
      <c r="B327" s="599">
        <f t="shared" ref="B327:B390" si="5">B326+1</f>
        <v>319</v>
      </c>
      <c r="D327" s="609" t="s">
        <v>1673</v>
      </c>
      <c r="E327" s="610" t="s">
        <v>7</v>
      </c>
      <c r="G327" s="613" t="s">
        <v>1495</v>
      </c>
      <c r="H327" s="613"/>
      <c r="I327" s="613"/>
      <c r="J327" s="613"/>
      <c r="K327" s="613"/>
      <c r="L327" s="613"/>
      <c r="M327" s="613"/>
      <c r="N327" s="615"/>
    </row>
    <row r="328" spans="1:14">
      <c r="B328" s="599">
        <f t="shared" si="5"/>
        <v>320</v>
      </c>
      <c r="D328" s="609" t="s">
        <v>1672</v>
      </c>
      <c r="E328" s="610" t="s">
        <v>7</v>
      </c>
      <c r="G328" s="613" t="s">
        <v>1495</v>
      </c>
      <c r="H328" s="613"/>
      <c r="I328" s="613"/>
      <c r="J328" s="613"/>
      <c r="K328" s="613"/>
      <c r="L328" s="613"/>
      <c r="M328" s="613"/>
      <c r="N328" s="615"/>
    </row>
    <row r="329" spans="1:14" ht="29">
      <c r="B329" s="599">
        <f t="shared" si="5"/>
        <v>321</v>
      </c>
      <c r="D329" s="609" t="s">
        <v>2408</v>
      </c>
      <c r="E329" s="610" t="s">
        <v>7</v>
      </c>
      <c r="G329" s="613" t="s">
        <v>1495</v>
      </c>
      <c r="H329" s="613"/>
      <c r="I329" s="613"/>
      <c r="J329" s="613"/>
      <c r="K329" s="613"/>
      <c r="L329" s="613"/>
      <c r="M329" s="613"/>
      <c r="N329" s="615"/>
    </row>
    <row r="330" spans="1:14">
      <c r="A330" s="638" t="s">
        <v>401</v>
      </c>
      <c r="B330" s="599">
        <f t="shared" si="5"/>
        <v>322</v>
      </c>
      <c r="C330" s="608" t="s">
        <v>1671</v>
      </c>
      <c r="D330" s="609" t="s">
        <v>2360</v>
      </c>
      <c r="E330" s="610" t="s">
        <v>7</v>
      </c>
      <c r="F330" s="616">
        <v>2518646</v>
      </c>
      <c r="G330" s="613" t="s">
        <v>1495</v>
      </c>
      <c r="H330" s="613"/>
      <c r="I330" s="613"/>
      <c r="J330" s="613"/>
      <c r="K330" s="613"/>
      <c r="L330" s="613"/>
      <c r="M330" s="613"/>
      <c r="N330" s="615"/>
    </row>
    <row r="331" spans="1:14">
      <c r="B331" s="599">
        <f t="shared" si="5"/>
        <v>323</v>
      </c>
      <c r="D331" s="609" t="s">
        <v>2361</v>
      </c>
      <c r="E331" s="610" t="s">
        <v>7</v>
      </c>
      <c r="G331" s="613" t="s">
        <v>1495</v>
      </c>
      <c r="H331" s="613"/>
      <c r="I331" s="613"/>
      <c r="J331" s="613"/>
      <c r="K331" s="613"/>
      <c r="L331" s="613"/>
      <c r="M331" s="613"/>
      <c r="N331" s="615"/>
    </row>
    <row r="332" spans="1:14">
      <c r="B332" s="599">
        <f t="shared" si="5"/>
        <v>324</v>
      </c>
      <c r="D332" s="609" t="s">
        <v>2352</v>
      </c>
      <c r="E332" s="610" t="s">
        <v>7</v>
      </c>
      <c r="G332" s="613" t="s">
        <v>1495</v>
      </c>
      <c r="H332" s="613"/>
      <c r="I332" s="613"/>
      <c r="J332" s="613"/>
      <c r="K332" s="613"/>
      <c r="L332" s="613"/>
      <c r="M332" s="613"/>
      <c r="N332" s="615"/>
    </row>
    <row r="333" spans="1:14">
      <c r="B333" s="599">
        <f t="shared" si="5"/>
        <v>325</v>
      </c>
      <c r="D333" s="609" t="s">
        <v>2362</v>
      </c>
      <c r="E333" s="610" t="s">
        <v>7</v>
      </c>
      <c r="G333" s="613" t="s">
        <v>1495</v>
      </c>
      <c r="H333" s="613" t="s">
        <v>1495</v>
      </c>
      <c r="I333" s="613"/>
      <c r="J333" s="613"/>
      <c r="K333" s="613"/>
      <c r="L333" s="613"/>
      <c r="M333" s="613"/>
      <c r="N333" s="615" t="s">
        <v>1670</v>
      </c>
    </row>
    <row r="334" spans="1:14">
      <c r="B334" s="599">
        <f t="shared" si="5"/>
        <v>326</v>
      </c>
      <c r="D334" s="609" t="s">
        <v>2363</v>
      </c>
      <c r="E334" s="610" t="s">
        <v>7</v>
      </c>
      <c r="G334" s="613" t="s">
        <v>1495</v>
      </c>
      <c r="H334" s="613"/>
      <c r="I334" s="613"/>
      <c r="J334" s="613"/>
      <c r="K334" s="613"/>
      <c r="L334" s="613"/>
      <c r="M334" s="613"/>
      <c r="N334" s="615"/>
    </row>
    <row r="335" spans="1:14">
      <c r="B335" s="599">
        <f t="shared" si="5"/>
        <v>327</v>
      </c>
      <c r="C335" s="608" t="s">
        <v>1669</v>
      </c>
      <c r="D335" s="627" t="s">
        <v>2344</v>
      </c>
      <c r="G335" s="613" t="s">
        <v>1495</v>
      </c>
      <c r="H335" s="613"/>
      <c r="I335" s="613"/>
      <c r="J335" s="613"/>
      <c r="K335" s="613"/>
      <c r="L335" s="613"/>
      <c r="M335" s="613"/>
      <c r="N335" s="615"/>
    </row>
    <row r="336" spans="1:14">
      <c r="B336" s="599">
        <f t="shared" si="5"/>
        <v>328</v>
      </c>
      <c r="D336" s="627" t="s">
        <v>1668</v>
      </c>
      <c r="G336" s="613" t="s">
        <v>1495</v>
      </c>
      <c r="H336" s="613"/>
      <c r="I336" s="613"/>
      <c r="J336" s="613"/>
      <c r="K336" s="613"/>
      <c r="L336" s="613"/>
      <c r="M336" s="613"/>
      <c r="N336" s="615"/>
    </row>
    <row r="337" spans="1:14">
      <c r="A337" s="638" t="s">
        <v>405</v>
      </c>
      <c r="B337" s="599">
        <f t="shared" si="5"/>
        <v>329</v>
      </c>
      <c r="C337" s="608" t="s">
        <v>1667</v>
      </c>
      <c r="D337" s="609" t="s">
        <v>1666</v>
      </c>
      <c r="E337" s="610" t="s">
        <v>7</v>
      </c>
      <c r="F337" s="616">
        <v>2344448</v>
      </c>
      <c r="G337" s="613" t="s">
        <v>1495</v>
      </c>
      <c r="H337" s="613"/>
      <c r="I337" s="613"/>
      <c r="J337" s="613"/>
      <c r="K337" s="613"/>
      <c r="L337" s="613"/>
      <c r="M337" s="613"/>
      <c r="N337" s="615"/>
    </row>
    <row r="338" spans="1:14">
      <c r="B338" s="599">
        <f t="shared" si="5"/>
        <v>330</v>
      </c>
      <c r="D338" s="609" t="s">
        <v>1665</v>
      </c>
      <c r="E338" s="610" t="s">
        <v>7</v>
      </c>
      <c r="G338" s="613" t="s">
        <v>1495</v>
      </c>
      <c r="H338" s="613"/>
      <c r="I338" s="613"/>
      <c r="J338" s="613"/>
      <c r="K338" s="613"/>
      <c r="L338" s="613"/>
      <c r="M338" s="613"/>
      <c r="N338" s="615"/>
    </row>
    <row r="339" spans="1:14" ht="29">
      <c r="B339" s="599">
        <f t="shared" si="5"/>
        <v>331</v>
      </c>
      <c r="D339" s="609" t="s">
        <v>1664</v>
      </c>
      <c r="E339" s="610" t="s">
        <v>7</v>
      </c>
      <c r="G339" s="613"/>
      <c r="H339" s="613" t="s">
        <v>1495</v>
      </c>
      <c r="I339" s="613"/>
      <c r="J339" s="613"/>
      <c r="K339" s="613"/>
      <c r="L339" s="613"/>
      <c r="M339" s="613"/>
      <c r="N339" s="615" t="s">
        <v>1663</v>
      </c>
    </row>
    <row r="340" spans="1:14" ht="29">
      <c r="B340" s="599">
        <f t="shared" si="5"/>
        <v>332</v>
      </c>
      <c r="D340" s="609" t="s">
        <v>1662</v>
      </c>
      <c r="E340" s="610" t="s">
        <v>7</v>
      </c>
      <c r="G340" s="613"/>
      <c r="H340" s="613" t="s">
        <v>1495</v>
      </c>
      <c r="I340" s="613"/>
      <c r="J340" s="613"/>
      <c r="K340" s="613"/>
      <c r="L340" s="613"/>
      <c r="M340" s="613"/>
      <c r="N340" s="615" t="s">
        <v>1661</v>
      </c>
    </row>
    <row r="341" spans="1:14">
      <c r="A341" s="638" t="s">
        <v>935</v>
      </c>
      <c r="B341" s="599">
        <f t="shared" si="5"/>
        <v>333</v>
      </c>
      <c r="C341" s="608" t="s">
        <v>1660</v>
      </c>
      <c r="D341" s="609" t="s">
        <v>1659</v>
      </c>
      <c r="E341" s="610" t="s">
        <v>32</v>
      </c>
      <c r="G341" s="613"/>
      <c r="H341" s="613" t="s">
        <v>1495</v>
      </c>
      <c r="I341" s="613"/>
      <c r="J341" s="613"/>
      <c r="K341" s="613"/>
      <c r="L341" s="613"/>
      <c r="M341" s="613"/>
      <c r="N341" s="615" t="s">
        <v>1658</v>
      </c>
    </row>
    <row r="342" spans="1:14">
      <c r="B342" s="599">
        <f t="shared" si="5"/>
        <v>334</v>
      </c>
      <c r="C342" s="608" t="s">
        <v>2313</v>
      </c>
      <c r="D342" s="609" t="s">
        <v>2456</v>
      </c>
      <c r="G342" s="613" t="s">
        <v>1495</v>
      </c>
      <c r="H342" s="613"/>
      <c r="I342" s="613"/>
      <c r="J342" s="613"/>
      <c r="K342" s="613"/>
      <c r="L342" s="613"/>
      <c r="M342" s="613"/>
      <c r="N342" s="615"/>
    </row>
    <row r="343" spans="1:14">
      <c r="B343" s="599"/>
      <c r="D343" s="609" t="s">
        <v>2457</v>
      </c>
      <c r="G343" s="613" t="s">
        <v>1495</v>
      </c>
      <c r="H343" s="613"/>
      <c r="I343" s="613"/>
      <c r="J343" s="613"/>
      <c r="K343" s="613"/>
      <c r="L343" s="613"/>
      <c r="M343" s="613"/>
      <c r="N343" s="615"/>
    </row>
    <row r="344" spans="1:14">
      <c r="A344" s="638" t="s">
        <v>407</v>
      </c>
      <c r="B344" s="599">
        <f>B342+1</f>
        <v>335</v>
      </c>
      <c r="C344" s="608" t="s">
        <v>1657</v>
      </c>
      <c r="D344" s="609" t="s">
        <v>1656</v>
      </c>
      <c r="E344" s="610" t="s">
        <v>7</v>
      </c>
      <c r="F344" s="616">
        <v>882074</v>
      </c>
      <c r="G344" s="613" t="s">
        <v>1495</v>
      </c>
      <c r="H344" s="613"/>
      <c r="I344" s="613"/>
      <c r="J344" s="613"/>
      <c r="K344" s="613"/>
      <c r="L344" s="613"/>
      <c r="M344" s="613"/>
      <c r="N344" s="615"/>
    </row>
    <row r="345" spans="1:14">
      <c r="B345" s="599">
        <f t="shared" si="5"/>
        <v>336</v>
      </c>
      <c r="D345" s="609" t="s">
        <v>1655</v>
      </c>
      <c r="E345" s="610" t="s">
        <v>7</v>
      </c>
      <c r="G345" s="613" t="s">
        <v>1495</v>
      </c>
      <c r="H345" s="613"/>
      <c r="I345" s="613"/>
      <c r="J345" s="613"/>
      <c r="K345" s="613"/>
      <c r="L345" s="613"/>
      <c r="M345" s="613"/>
      <c r="N345" s="615"/>
    </row>
    <row r="346" spans="1:14">
      <c r="A346" s="638" t="s">
        <v>409</v>
      </c>
      <c r="B346" s="599">
        <f t="shared" si="5"/>
        <v>337</v>
      </c>
      <c r="C346" s="608" t="s">
        <v>1654</v>
      </c>
      <c r="D346" s="609" t="s">
        <v>1653</v>
      </c>
      <c r="E346" s="610" t="s">
        <v>7</v>
      </c>
      <c r="F346" s="616">
        <v>12863876</v>
      </c>
      <c r="G346" s="613" t="s">
        <v>1495</v>
      </c>
      <c r="H346" s="613"/>
      <c r="I346" s="613"/>
      <c r="J346" s="613"/>
      <c r="K346" s="613"/>
      <c r="L346" s="613"/>
      <c r="M346" s="613"/>
      <c r="N346" s="615"/>
    </row>
    <row r="347" spans="1:14">
      <c r="B347" s="599">
        <f t="shared" si="5"/>
        <v>338</v>
      </c>
      <c r="D347" s="609" t="s">
        <v>1652</v>
      </c>
      <c r="E347" s="610" t="s">
        <v>7</v>
      </c>
      <c r="G347" s="613" t="s">
        <v>1495</v>
      </c>
      <c r="H347" s="613"/>
      <c r="I347" s="613"/>
      <c r="J347" s="613"/>
      <c r="K347" s="613"/>
      <c r="L347" s="613"/>
      <c r="M347" s="613"/>
      <c r="N347" s="615"/>
    </row>
    <row r="348" spans="1:14">
      <c r="B348" s="599">
        <f t="shared" si="5"/>
        <v>339</v>
      </c>
      <c r="D348" s="609" t="s">
        <v>1651</v>
      </c>
      <c r="E348" s="610" t="s">
        <v>7</v>
      </c>
      <c r="G348" s="613" t="s">
        <v>1495</v>
      </c>
      <c r="H348" s="613"/>
      <c r="I348" s="613"/>
      <c r="J348" s="613"/>
      <c r="K348" s="613"/>
      <c r="L348" s="613"/>
      <c r="M348" s="613"/>
      <c r="N348" s="615"/>
    </row>
    <row r="349" spans="1:14">
      <c r="B349" s="599">
        <f t="shared" si="5"/>
        <v>340</v>
      </c>
      <c r="D349" s="609" t="s">
        <v>1650</v>
      </c>
      <c r="E349" s="610" t="s">
        <v>7</v>
      </c>
      <c r="G349" s="613" t="s">
        <v>1495</v>
      </c>
      <c r="H349" s="613"/>
      <c r="I349" s="613"/>
      <c r="J349" s="613"/>
      <c r="K349" s="613"/>
      <c r="L349" s="613"/>
      <c r="M349" s="613"/>
      <c r="N349" s="615"/>
    </row>
    <row r="350" spans="1:14">
      <c r="A350" s="638" t="s">
        <v>411</v>
      </c>
      <c r="B350" s="599">
        <f t="shared" si="5"/>
        <v>341</v>
      </c>
      <c r="C350" s="608" t="s">
        <v>1649</v>
      </c>
      <c r="D350" s="609" t="s">
        <v>1648</v>
      </c>
      <c r="E350" s="610" t="s">
        <v>7</v>
      </c>
      <c r="F350" s="616">
        <v>3786849</v>
      </c>
      <c r="G350" s="613" t="s">
        <v>1495</v>
      </c>
      <c r="H350" s="613"/>
      <c r="I350" s="613"/>
      <c r="J350" s="613"/>
      <c r="K350" s="613"/>
      <c r="L350" s="613"/>
      <c r="M350" s="613"/>
      <c r="N350" s="615"/>
    </row>
    <row r="351" spans="1:14">
      <c r="B351" s="599">
        <f t="shared" si="5"/>
        <v>342</v>
      </c>
      <c r="D351" s="609" t="s">
        <v>1647</v>
      </c>
      <c r="E351" s="610" t="s">
        <v>7</v>
      </c>
      <c r="G351" s="613"/>
      <c r="H351" s="613" t="s">
        <v>1495</v>
      </c>
      <c r="I351" s="613" t="s">
        <v>1495</v>
      </c>
      <c r="J351" s="613"/>
      <c r="K351" s="613"/>
      <c r="L351" s="613"/>
      <c r="M351" s="613"/>
      <c r="N351" s="615" t="s">
        <v>1646</v>
      </c>
    </row>
    <row r="352" spans="1:14">
      <c r="B352" s="599">
        <f t="shared" si="5"/>
        <v>343</v>
      </c>
      <c r="D352" s="609" t="s">
        <v>1645</v>
      </c>
      <c r="E352" s="610" t="s">
        <v>7</v>
      </c>
      <c r="G352" s="613" t="s">
        <v>1495</v>
      </c>
      <c r="H352" s="613"/>
      <c r="I352" s="613"/>
      <c r="J352" s="613"/>
      <c r="K352" s="613"/>
      <c r="L352" s="613"/>
      <c r="M352" s="613"/>
      <c r="N352" s="615"/>
    </row>
    <row r="353" spans="1:14">
      <c r="A353" s="638" t="s">
        <v>415</v>
      </c>
      <c r="B353" s="599">
        <f t="shared" si="5"/>
        <v>344</v>
      </c>
      <c r="C353" s="608" t="s">
        <v>1644</v>
      </c>
      <c r="D353" s="609" t="s">
        <v>1643</v>
      </c>
      <c r="E353" s="610" t="s">
        <v>7</v>
      </c>
      <c r="F353" s="616">
        <v>3206763</v>
      </c>
      <c r="G353" s="613" t="s">
        <v>1495</v>
      </c>
      <c r="H353" s="613"/>
      <c r="I353" s="613"/>
      <c r="J353" s="613"/>
      <c r="K353" s="613"/>
      <c r="L353" s="613"/>
      <c r="M353" s="613"/>
      <c r="N353" s="615"/>
    </row>
    <row r="354" spans="1:14">
      <c r="B354" s="599">
        <f t="shared" si="5"/>
        <v>345</v>
      </c>
      <c r="D354" s="609" t="s">
        <v>1642</v>
      </c>
      <c r="G354" s="613" t="s">
        <v>1495</v>
      </c>
      <c r="H354" s="613"/>
      <c r="I354" s="613"/>
      <c r="J354" s="613"/>
      <c r="K354" s="613"/>
      <c r="L354" s="613"/>
      <c r="M354" s="613"/>
      <c r="N354" s="615"/>
    </row>
    <row r="355" spans="1:14">
      <c r="B355" s="599">
        <f t="shared" si="5"/>
        <v>346</v>
      </c>
      <c r="C355" s="608" t="s">
        <v>2314</v>
      </c>
      <c r="D355" s="609" t="s">
        <v>2458</v>
      </c>
      <c r="G355" s="613" t="s">
        <v>1495</v>
      </c>
      <c r="H355" s="613"/>
      <c r="I355" s="613"/>
      <c r="J355" s="613"/>
      <c r="K355" s="613"/>
      <c r="L355" s="613"/>
      <c r="M355" s="613"/>
      <c r="N355" s="615"/>
    </row>
    <row r="356" spans="1:14">
      <c r="B356" s="599"/>
      <c r="D356" s="609" t="s">
        <v>2459</v>
      </c>
      <c r="G356" s="613" t="s">
        <v>1495</v>
      </c>
      <c r="H356" s="613"/>
      <c r="I356" s="613"/>
      <c r="J356" s="613"/>
      <c r="K356" s="613"/>
      <c r="L356" s="613"/>
      <c r="M356" s="613"/>
      <c r="N356" s="615"/>
    </row>
    <row r="357" spans="1:14">
      <c r="B357" s="599"/>
      <c r="D357" s="609" t="s">
        <v>2460</v>
      </c>
      <c r="G357" s="613" t="s">
        <v>1495</v>
      </c>
      <c r="H357" s="613"/>
      <c r="I357" s="613"/>
      <c r="J357" s="613"/>
      <c r="K357" s="613"/>
      <c r="L357" s="613"/>
      <c r="M357" s="613"/>
      <c r="N357" s="615"/>
    </row>
    <row r="358" spans="1:14">
      <c r="B358" s="599"/>
      <c r="D358" s="609" t="s">
        <v>2461</v>
      </c>
      <c r="G358" s="613" t="s">
        <v>1495</v>
      </c>
      <c r="H358" s="613"/>
      <c r="I358" s="613"/>
      <c r="J358" s="613"/>
      <c r="K358" s="613"/>
      <c r="L358" s="613"/>
      <c r="M358" s="613"/>
      <c r="N358" s="615"/>
    </row>
    <row r="359" spans="1:14">
      <c r="A359" s="638" t="s">
        <v>417</v>
      </c>
      <c r="B359" s="599">
        <f>B355+1</f>
        <v>347</v>
      </c>
      <c r="C359" s="608" t="s">
        <v>1641</v>
      </c>
      <c r="D359" s="609" t="s">
        <v>1640</v>
      </c>
      <c r="E359" s="610" t="s">
        <v>7</v>
      </c>
      <c r="F359" s="616">
        <v>770265</v>
      </c>
      <c r="G359" s="613" t="s">
        <v>1495</v>
      </c>
      <c r="H359" s="613"/>
      <c r="I359" s="613"/>
      <c r="J359" s="613"/>
      <c r="K359" s="613"/>
      <c r="L359" s="613"/>
      <c r="M359" s="613"/>
      <c r="N359" s="615"/>
    </row>
    <row r="360" spans="1:14">
      <c r="B360" s="599">
        <f t="shared" si="5"/>
        <v>348</v>
      </c>
      <c r="D360" s="609" t="s">
        <v>1639</v>
      </c>
      <c r="E360" s="610" t="s">
        <v>7</v>
      </c>
      <c r="G360" s="613" t="s">
        <v>1495</v>
      </c>
      <c r="H360" s="613"/>
      <c r="I360" s="613"/>
      <c r="J360" s="613"/>
      <c r="K360" s="613"/>
      <c r="L360" s="613"/>
      <c r="M360" s="613"/>
      <c r="N360" s="615"/>
    </row>
    <row r="361" spans="1:14">
      <c r="B361" s="599">
        <f t="shared" si="5"/>
        <v>349</v>
      </c>
      <c r="C361" s="608" t="s">
        <v>2353</v>
      </c>
      <c r="D361" s="609" t="s">
        <v>2354</v>
      </c>
      <c r="F361" s="611"/>
      <c r="G361" s="622" t="s">
        <v>1495</v>
      </c>
      <c r="H361" s="622"/>
      <c r="I361" s="623"/>
      <c r="J361" s="623"/>
      <c r="K361" s="622"/>
      <c r="L361" s="624"/>
      <c r="M361" s="628"/>
      <c r="N361" s="629" t="s">
        <v>2355</v>
      </c>
    </row>
    <row r="362" spans="1:14">
      <c r="A362" s="638" t="s">
        <v>419</v>
      </c>
      <c r="B362" s="599">
        <f t="shared" si="5"/>
        <v>350</v>
      </c>
      <c r="C362" s="608" t="s">
        <v>1638</v>
      </c>
      <c r="D362" s="609" t="s">
        <v>1637</v>
      </c>
      <c r="E362" s="610" t="s">
        <v>7</v>
      </c>
      <c r="F362" s="616">
        <v>3111719</v>
      </c>
      <c r="G362" s="622" t="s">
        <v>1495</v>
      </c>
      <c r="H362" s="622"/>
      <c r="I362" s="622"/>
      <c r="J362" s="622"/>
      <c r="K362" s="630"/>
      <c r="L362" s="622"/>
      <c r="M362" s="622"/>
      <c r="N362" s="631"/>
    </row>
    <row r="363" spans="1:14">
      <c r="B363" s="599">
        <f t="shared" si="5"/>
        <v>351</v>
      </c>
      <c r="D363" s="609" t="s">
        <v>2356</v>
      </c>
      <c r="F363" s="611"/>
      <c r="G363" s="622" t="s">
        <v>1495</v>
      </c>
      <c r="H363" s="622"/>
      <c r="I363" s="623"/>
      <c r="J363" s="623"/>
      <c r="K363" s="630"/>
      <c r="L363" s="624"/>
      <c r="M363" s="628"/>
      <c r="N363" s="631" t="s">
        <v>2355</v>
      </c>
    </row>
    <row r="364" spans="1:14">
      <c r="A364" s="638" t="s">
        <v>421</v>
      </c>
      <c r="B364" s="599">
        <f t="shared" si="5"/>
        <v>352</v>
      </c>
      <c r="C364" s="608" t="s">
        <v>1636</v>
      </c>
      <c r="D364" s="609" t="s">
        <v>1635</v>
      </c>
      <c r="E364" s="610" t="s">
        <v>7</v>
      </c>
      <c r="F364" s="616">
        <v>1115828</v>
      </c>
      <c r="G364" s="613" t="s">
        <v>1495</v>
      </c>
      <c r="H364" s="613"/>
      <c r="I364" s="613"/>
      <c r="J364" s="622"/>
      <c r="K364" s="614"/>
      <c r="L364" s="622"/>
      <c r="M364" s="613"/>
      <c r="N364" s="615"/>
    </row>
    <row r="365" spans="1:14">
      <c r="B365" s="599">
        <f t="shared" si="5"/>
        <v>353</v>
      </c>
      <c r="D365" s="609" t="s">
        <v>1634</v>
      </c>
      <c r="E365" s="610" t="s">
        <v>7</v>
      </c>
      <c r="G365" s="613" t="s">
        <v>1495</v>
      </c>
      <c r="H365" s="613"/>
      <c r="I365" s="613"/>
      <c r="J365" s="613"/>
      <c r="K365" s="614"/>
      <c r="L365" s="613"/>
      <c r="M365" s="613"/>
      <c r="N365" s="615"/>
    </row>
    <row r="366" spans="1:14" ht="29">
      <c r="A366" s="638" t="s">
        <v>427</v>
      </c>
      <c r="B366" s="599">
        <f t="shared" si="5"/>
        <v>354</v>
      </c>
      <c r="C366" s="608" t="s">
        <v>1633</v>
      </c>
      <c r="D366" s="609" t="s">
        <v>1632</v>
      </c>
      <c r="E366" s="610" t="s">
        <v>7</v>
      </c>
      <c r="F366" s="616">
        <v>14589532</v>
      </c>
      <c r="G366" s="613" t="s">
        <v>1495</v>
      </c>
      <c r="H366" s="613"/>
      <c r="I366" s="613"/>
      <c r="J366" s="613"/>
      <c r="K366" s="614"/>
      <c r="L366" s="613"/>
      <c r="M366" s="613"/>
      <c r="N366" s="615"/>
    </row>
    <row r="367" spans="1:14">
      <c r="B367" s="599">
        <f t="shared" si="5"/>
        <v>355</v>
      </c>
      <c r="D367" s="609" t="s">
        <v>1631</v>
      </c>
      <c r="E367" s="610" t="s">
        <v>7</v>
      </c>
      <c r="G367" s="613" t="s">
        <v>1495</v>
      </c>
      <c r="H367" s="613"/>
      <c r="I367" s="613"/>
      <c r="J367" s="613"/>
      <c r="K367" s="614"/>
      <c r="L367" s="613"/>
      <c r="M367" s="613"/>
      <c r="N367" s="615"/>
    </row>
    <row r="368" spans="1:14">
      <c r="B368" s="599">
        <f t="shared" si="5"/>
        <v>356</v>
      </c>
      <c r="D368" s="609" t="s">
        <v>1630</v>
      </c>
      <c r="E368" s="610" t="s">
        <v>7</v>
      </c>
      <c r="G368" s="613" t="s">
        <v>1495</v>
      </c>
      <c r="H368" s="613"/>
      <c r="I368" s="613"/>
      <c r="J368" s="613"/>
      <c r="K368" s="614"/>
      <c r="L368" s="613"/>
      <c r="M368" s="613"/>
      <c r="N368" s="615"/>
    </row>
    <row r="369" spans="1:14">
      <c r="B369" s="599">
        <f t="shared" si="5"/>
        <v>357</v>
      </c>
      <c r="D369" s="609" t="s">
        <v>1629</v>
      </c>
      <c r="E369" s="610" t="s">
        <v>7</v>
      </c>
      <c r="G369" s="613" t="s">
        <v>1495</v>
      </c>
      <c r="H369" s="613"/>
      <c r="I369" s="613"/>
      <c r="J369" s="613"/>
      <c r="K369" s="614"/>
      <c r="L369" s="613"/>
      <c r="M369" s="613"/>
      <c r="N369" s="615"/>
    </row>
    <row r="370" spans="1:14" ht="29">
      <c r="B370" s="599">
        <f t="shared" si="5"/>
        <v>358</v>
      </c>
      <c r="D370" s="609" t="s">
        <v>2345</v>
      </c>
      <c r="E370" s="610" t="s">
        <v>7</v>
      </c>
      <c r="G370" s="613" t="s">
        <v>1495</v>
      </c>
      <c r="H370" s="613" t="s">
        <v>1495</v>
      </c>
      <c r="I370" s="613"/>
      <c r="J370" s="613"/>
      <c r="K370" s="614"/>
      <c r="L370" s="613"/>
      <c r="M370" s="613"/>
      <c r="N370" s="615" t="s">
        <v>1628</v>
      </c>
    </row>
    <row r="371" spans="1:14">
      <c r="B371" s="599">
        <f t="shared" si="5"/>
        <v>359</v>
      </c>
      <c r="D371" s="609" t="s">
        <v>1627</v>
      </c>
      <c r="E371" s="610" t="s">
        <v>7</v>
      </c>
      <c r="G371" s="613" t="s">
        <v>1495</v>
      </c>
      <c r="H371" s="613"/>
      <c r="I371" s="613"/>
      <c r="J371" s="613"/>
      <c r="K371" s="614"/>
      <c r="L371" s="613"/>
      <c r="M371" s="613"/>
      <c r="N371" s="615"/>
    </row>
    <row r="372" spans="1:14">
      <c r="B372" s="599">
        <f t="shared" si="5"/>
        <v>360</v>
      </c>
      <c r="D372" s="609" t="s">
        <v>1626</v>
      </c>
      <c r="E372" s="610" t="s">
        <v>7</v>
      </c>
      <c r="G372" s="613" t="s">
        <v>1495</v>
      </c>
      <c r="H372" s="613"/>
      <c r="I372" s="613"/>
      <c r="J372" s="613"/>
      <c r="K372" s="614"/>
      <c r="L372" s="613"/>
      <c r="M372" s="613"/>
      <c r="N372" s="615"/>
    </row>
    <row r="373" spans="1:14">
      <c r="B373" s="599">
        <f t="shared" si="5"/>
        <v>361</v>
      </c>
      <c r="D373" s="609" t="s">
        <v>1625</v>
      </c>
      <c r="E373" s="610" t="s">
        <v>7</v>
      </c>
      <c r="G373" s="613" t="s">
        <v>1495</v>
      </c>
      <c r="H373" s="613"/>
      <c r="I373" s="613"/>
      <c r="J373" s="613"/>
      <c r="K373" s="614"/>
      <c r="L373" s="613"/>
      <c r="M373" s="613"/>
      <c r="N373" s="615"/>
    </row>
    <row r="374" spans="1:14" ht="17.25" customHeight="1">
      <c r="B374" s="599">
        <f t="shared" si="5"/>
        <v>362</v>
      </c>
      <c r="D374" s="609" t="s">
        <v>1624</v>
      </c>
      <c r="E374" s="610" t="s">
        <v>7</v>
      </c>
      <c r="G374" s="613"/>
      <c r="H374" s="613" t="s">
        <v>1495</v>
      </c>
      <c r="I374" s="613"/>
      <c r="J374" s="613"/>
      <c r="K374" s="614"/>
      <c r="L374" s="613"/>
      <c r="M374" s="613"/>
      <c r="N374" s="617" t="s">
        <v>1623</v>
      </c>
    </row>
    <row r="375" spans="1:14">
      <c r="B375" s="599">
        <f t="shared" si="5"/>
        <v>363</v>
      </c>
      <c r="D375" s="609" t="s">
        <v>1622</v>
      </c>
      <c r="E375" s="610" t="s">
        <v>7</v>
      </c>
      <c r="G375" s="613"/>
      <c r="H375" s="613" t="s">
        <v>1495</v>
      </c>
      <c r="I375" s="613"/>
      <c r="J375" s="613"/>
      <c r="K375" s="614"/>
      <c r="L375" s="613"/>
      <c r="M375" s="613"/>
      <c r="N375" s="615" t="s">
        <v>1621</v>
      </c>
    </row>
    <row r="376" spans="1:14">
      <c r="A376" s="638" t="s">
        <v>423</v>
      </c>
      <c r="B376" s="599">
        <f t="shared" si="5"/>
        <v>364</v>
      </c>
      <c r="C376" s="608" t="s">
        <v>1620</v>
      </c>
      <c r="D376" s="609" t="s">
        <v>1619</v>
      </c>
      <c r="E376" s="610" t="s">
        <v>7</v>
      </c>
      <c r="F376" s="616">
        <v>2900981</v>
      </c>
      <c r="G376" s="613" t="s">
        <v>1495</v>
      </c>
      <c r="H376" s="613"/>
      <c r="I376" s="613"/>
      <c r="J376" s="613"/>
      <c r="K376" s="614"/>
      <c r="L376" s="613"/>
      <c r="M376" s="613"/>
      <c r="N376" s="615"/>
    </row>
    <row r="377" spans="1:14">
      <c r="B377" s="599">
        <f t="shared" si="5"/>
        <v>365</v>
      </c>
      <c r="D377" s="609" t="s">
        <v>1618</v>
      </c>
      <c r="E377" s="610" t="s">
        <v>7</v>
      </c>
      <c r="G377" s="613" t="s">
        <v>1495</v>
      </c>
      <c r="H377" s="613"/>
      <c r="I377" s="613"/>
      <c r="J377" s="613"/>
      <c r="K377" s="614"/>
      <c r="L377" s="613"/>
      <c r="M377" s="613"/>
      <c r="N377" s="615"/>
    </row>
    <row r="378" spans="1:14">
      <c r="A378" s="638" t="s">
        <v>425</v>
      </c>
      <c r="B378" s="599">
        <f t="shared" si="5"/>
        <v>366</v>
      </c>
      <c r="C378" s="608" t="s">
        <v>1617</v>
      </c>
      <c r="D378" s="609" t="s">
        <v>1616</v>
      </c>
      <c r="E378" s="610" t="s">
        <v>7</v>
      </c>
      <c r="F378" s="616">
        <v>11751835</v>
      </c>
      <c r="G378" s="613" t="s">
        <v>1495</v>
      </c>
      <c r="H378" s="613"/>
      <c r="I378" s="613"/>
      <c r="J378" s="613"/>
      <c r="K378" s="614"/>
      <c r="L378" s="613"/>
      <c r="M378" s="613"/>
      <c r="N378" s="615"/>
    </row>
    <row r="379" spans="1:14">
      <c r="A379" s="638" t="s">
        <v>429</v>
      </c>
      <c r="B379" s="599">
        <f t="shared" si="5"/>
        <v>367</v>
      </c>
      <c r="C379" s="608" t="s">
        <v>1615</v>
      </c>
      <c r="D379" s="609" t="s">
        <v>1614</v>
      </c>
      <c r="E379" s="610" t="s">
        <v>7</v>
      </c>
      <c r="F379" s="616">
        <v>7130269</v>
      </c>
      <c r="G379" s="613" t="s">
        <v>1495</v>
      </c>
      <c r="H379" s="613"/>
      <c r="I379" s="613"/>
      <c r="J379" s="613"/>
      <c r="K379" s="614"/>
      <c r="L379" s="613"/>
      <c r="M379" s="613"/>
      <c r="N379" s="615"/>
    </row>
    <row r="380" spans="1:14">
      <c r="B380" s="599">
        <f t="shared" si="5"/>
        <v>368</v>
      </c>
      <c r="D380" s="609" t="s">
        <v>1613</v>
      </c>
      <c r="E380" s="610" t="s">
        <v>7</v>
      </c>
      <c r="G380" s="613" t="s">
        <v>1495</v>
      </c>
      <c r="H380" s="613"/>
      <c r="I380" s="613"/>
      <c r="J380" s="613"/>
      <c r="K380" s="614"/>
      <c r="L380" s="613"/>
      <c r="M380" s="613"/>
      <c r="N380" s="615"/>
    </row>
    <row r="381" spans="1:14">
      <c r="B381" s="599">
        <f t="shared" si="5"/>
        <v>369</v>
      </c>
      <c r="D381" s="609" t="s">
        <v>1612</v>
      </c>
      <c r="E381" s="610" t="s">
        <v>7</v>
      </c>
      <c r="G381" s="613" t="s">
        <v>1495</v>
      </c>
      <c r="H381" s="613"/>
      <c r="I381" s="613"/>
      <c r="J381" s="613"/>
      <c r="K381" s="614"/>
      <c r="L381" s="613"/>
      <c r="M381" s="613"/>
      <c r="N381" s="615"/>
    </row>
    <row r="382" spans="1:14">
      <c r="B382" s="599">
        <f t="shared" si="5"/>
        <v>370</v>
      </c>
      <c r="D382" s="609" t="s">
        <v>1611</v>
      </c>
      <c r="E382" s="610" t="s">
        <v>7</v>
      </c>
      <c r="G382" s="613" t="s">
        <v>1495</v>
      </c>
      <c r="H382" s="613"/>
      <c r="I382" s="613"/>
      <c r="J382" s="613"/>
      <c r="K382" s="614"/>
      <c r="L382" s="613"/>
      <c r="M382" s="613"/>
      <c r="N382" s="615"/>
    </row>
    <row r="383" spans="1:14">
      <c r="B383" s="599">
        <f t="shared" si="5"/>
        <v>371</v>
      </c>
      <c r="D383" s="609" t="s">
        <v>1610</v>
      </c>
      <c r="E383" s="610" t="s">
        <v>7</v>
      </c>
      <c r="G383" s="613" t="s">
        <v>1495</v>
      </c>
      <c r="H383" s="613"/>
      <c r="I383" s="613"/>
      <c r="J383" s="613"/>
      <c r="K383" s="614"/>
      <c r="L383" s="613"/>
      <c r="M383" s="613"/>
      <c r="N383" s="615"/>
    </row>
    <row r="384" spans="1:14">
      <c r="B384" s="599">
        <f t="shared" si="5"/>
        <v>372</v>
      </c>
      <c r="D384" s="609" t="s">
        <v>1609</v>
      </c>
      <c r="E384" s="610" t="s">
        <v>7</v>
      </c>
      <c r="G384" s="613" t="s">
        <v>1495</v>
      </c>
      <c r="H384" s="613"/>
      <c r="I384" s="613"/>
      <c r="J384" s="613"/>
      <c r="K384" s="614"/>
      <c r="L384" s="613"/>
      <c r="M384" s="613"/>
      <c r="N384" s="615"/>
    </row>
    <row r="385" spans="1:14">
      <c r="B385" s="599">
        <f t="shared" si="5"/>
        <v>373</v>
      </c>
      <c r="D385" s="609" t="s">
        <v>1608</v>
      </c>
      <c r="E385" s="610" t="s">
        <v>7</v>
      </c>
      <c r="G385" s="613" t="s">
        <v>1495</v>
      </c>
      <c r="H385" s="613"/>
      <c r="I385" s="613"/>
      <c r="J385" s="613"/>
      <c r="K385" s="614"/>
      <c r="L385" s="613"/>
      <c r="M385" s="613"/>
      <c r="N385" s="615"/>
    </row>
    <row r="386" spans="1:14">
      <c r="B386" s="599">
        <f t="shared" si="5"/>
        <v>374</v>
      </c>
      <c r="D386" s="609" t="s">
        <v>1607</v>
      </c>
      <c r="E386" s="610" t="s">
        <v>7</v>
      </c>
      <c r="G386" s="613" t="s">
        <v>1495</v>
      </c>
      <c r="H386" s="613"/>
      <c r="I386" s="613"/>
      <c r="J386" s="613"/>
      <c r="K386" s="614"/>
      <c r="L386" s="613"/>
      <c r="M386" s="613"/>
      <c r="N386" s="615"/>
    </row>
    <row r="387" spans="1:14">
      <c r="B387" s="599">
        <f t="shared" si="5"/>
        <v>375</v>
      </c>
      <c r="D387" s="609" t="s">
        <v>2357</v>
      </c>
      <c r="F387" s="611"/>
      <c r="G387" s="622"/>
      <c r="H387" s="622"/>
      <c r="I387" s="623" t="s">
        <v>1495</v>
      </c>
      <c r="J387" s="623"/>
      <c r="K387" s="630"/>
      <c r="L387" s="624"/>
      <c r="M387" s="628"/>
      <c r="N387" s="629" t="s">
        <v>2358</v>
      </c>
    </row>
    <row r="388" spans="1:14">
      <c r="A388" s="638" t="s">
        <v>431</v>
      </c>
      <c r="B388" s="599">
        <f t="shared" si="5"/>
        <v>376</v>
      </c>
      <c r="C388" s="608" t="s">
        <v>1606</v>
      </c>
      <c r="D388" s="609" t="s">
        <v>1605</v>
      </c>
      <c r="E388" s="610" t="s">
        <v>7</v>
      </c>
      <c r="F388" s="616">
        <v>5041642</v>
      </c>
      <c r="G388" s="613" t="s">
        <v>1495</v>
      </c>
      <c r="H388" s="613"/>
      <c r="I388" s="613"/>
      <c r="J388" s="613"/>
      <c r="K388" s="613"/>
      <c r="L388" s="613"/>
      <c r="M388" s="613"/>
      <c r="N388" s="615"/>
    </row>
    <row r="389" spans="1:14">
      <c r="B389" s="599">
        <f t="shared" si="5"/>
        <v>377</v>
      </c>
      <c r="D389" s="609" t="s">
        <v>1604</v>
      </c>
      <c r="G389" s="613" t="s">
        <v>1495</v>
      </c>
      <c r="H389" s="613"/>
      <c r="I389" s="613"/>
      <c r="J389" s="613"/>
      <c r="K389" s="613"/>
      <c r="L389" s="613"/>
      <c r="M389" s="613"/>
      <c r="N389" s="615"/>
    </row>
    <row r="390" spans="1:14">
      <c r="A390" s="638" t="s">
        <v>1603</v>
      </c>
      <c r="B390" s="599">
        <f t="shared" si="5"/>
        <v>378</v>
      </c>
      <c r="C390" s="608" t="s">
        <v>1602</v>
      </c>
      <c r="D390" s="632" t="s">
        <v>1601</v>
      </c>
      <c r="E390" s="610" t="s">
        <v>32</v>
      </c>
      <c r="F390" s="616">
        <v>55663</v>
      </c>
      <c r="G390" s="613" t="s">
        <v>1495</v>
      </c>
      <c r="H390" s="613"/>
      <c r="I390" s="613"/>
      <c r="J390" s="613"/>
      <c r="K390" s="613"/>
      <c r="L390" s="613"/>
      <c r="M390" s="613"/>
      <c r="N390" s="615"/>
    </row>
    <row r="391" spans="1:14">
      <c r="A391" s="638" t="s">
        <v>437</v>
      </c>
      <c r="B391" s="599">
        <f t="shared" ref="B391:B454" si="6">B390+1</f>
        <v>379</v>
      </c>
      <c r="C391" s="608" t="s">
        <v>1600</v>
      </c>
      <c r="D391" s="609" t="s">
        <v>1599</v>
      </c>
      <c r="E391" s="610" t="s">
        <v>7</v>
      </c>
      <c r="F391" s="616">
        <v>10936510</v>
      </c>
      <c r="G391" s="613" t="s">
        <v>1495</v>
      </c>
      <c r="H391" s="613"/>
      <c r="I391" s="613"/>
      <c r="J391" s="613"/>
      <c r="K391" s="613"/>
      <c r="L391" s="613"/>
      <c r="M391" s="613"/>
      <c r="N391" s="615"/>
    </row>
    <row r="392" spans="1:14">
      <c r="B392" s="599">
        <f t="shared" si="6"/>
        <v>380</v>
      </c>
      <c r="D392" s="609" t="s">
        <v>1598</v>
      </c>
      <c r="E392" s="610" t="s">
        <v>7</v>
      </c>
      <c r="G392" s="613" t="s">
        <v>1495</v>
      </c>
      <c r="H392" s="613"/>
      <c r="I392" s="613"/>
      <c r="J392" s="613"/>
      <c r="K392" s="613"/>
      <c r="L392" s="613"/>
      <c r="M392" s="613"/>
      <c r="N392" s="615"/>
    </row>
    <row r="393" spans="1:14">
      <c r="B393" s="599">
        <f t="shared" si="6"/>
        <v>381</v>
      </c>
      <c r="D393" s="609" t="s">
        <v>1597</v>
      </c>
      <c r="E393" s="610" t="s">
        <v>7</v>
      </c>
      <c r="G393" s="613" t="s">
        <v>1495</v>
      </c>
      <c r="H393" s="613"/>
      <c r="I393" s="613"/>
      <c r="J393" s="613"/>
      <c r="K393" s="613"/>
      <c r="L393" s="613"/>
      <c r="M393" s="613"/>
      <c r="N393" s="615"/>
    </row>
    <row r="394" spans="1:14">
      <c r="B394" s="599">
        <f t="shared" si="6"/>
        <v>382</v>
      </c>
      <c r="D394" s="609" t="s">
        <v>1596</v>
      </c>
      <c r="E394" s="610" t="s">
        <v>7</v>
      </c>
      <c r="G394" s="613" t="s">
        <v>1495</v>
      </c>
      <c r="H394" s="613"/>
      <c r="I394" s="613"/>
      <c r="J394" s="613"/>
      <c r="K394" s="613"/>
      <c r="L394" s="613"/>
      <c r="M394" s="613"/>
      <c r="N394" s="615"/>
    </row>
    <row r="395" spans="1:14">
      <c r="B395" s="599">
        <f t="shared" si="6"/>
        <v>383</v>
      </c>
      <c r="D395" s="609" t="s">
        <v>1595</v>
      </c>
      <c r="E395" s="610" t="s">
        <v>7</v>
      </c>
      <c r="G395" s="613" t="s">
        <v>1495</v>
      </c>
      <c r="H395" s="613"/>
      <c r="I395" s="613"/>
      <c r="J395" s="613"/>
      <c r="K395" s="613"/>
      <c r="L395" s="613"/>
      <c r="M395" s="613"/>
      <c r="N395" s="615"/>
    </row>
    <row r="396" spans="1:14">
      <c r="A396" s="638" t="s">
        <v>439</v>
      </c>
      <c r="B396" s="599">
        <f t="shared" si="6"/>
        <v>384</v>
      </c>
      <c r="C396" s="608" t="s">
        <v>1594</v>
      </c>
      <c r="D396" s="609" t="s">
        <v>1593</v>
      </c>
      <c r="E396" s="610" t="s">
        <v>7</v>
      </c>
      <c r="F396" s="616">
        <v>613605</v>
      </c>
      <c r="G396" s="613" t="s">
        <v>1495</v>
      </c>
      <c r="H396" s="613"/>
      <c r="I396" s="613"/>
      <c r="J396" s="613"/>
      <c r="K396" s="613"/>
      <c r="L396" s="613"/>
      <c r="M396" s="613"/>
      <c r="N396" s="615"/>
    </row>
    <row r="397" spans="1:14" ht="29">
      <c r="A397" s="638" t="s">
        <v>443</v>
      </c>
      <c r="B397" s="599">
        <f t="shared" si="6"/>
        <v>385</v>
      </c>
      <c r="C397" s="608" t="s">
        <v>1592</v>
      </c>
      <c r="D397" s="609" t="s">
        <v>1591</v>
      </c>
      <c r="E397" s="610" t="s">
        <v>7</v>
      </c>
      <c r="F397" s="616">
        <v>7852641</v>
      </c>
      <c r="G397" s="613" t="s">
        <v>1495</v>
      </c>
      <c r="H397" s="613"/>
      <c r="I397" s="613"/>
      <c r="J397" s="613"/>
      <c r="K397" s="613"/>
      <c r="L397" s="613"/>
      <c r="M397" s="613"/>
      <c r="N397" s="615"/>
    </row>
    <row r="398" spans="1:14">
      <c r="B398" s="599">
        <f t="shared" si="6"/>
        <v>386</v>
      </c>
      <c r="D398" s="609" t="s">
        <v>1590</v>
      </c>
      <c r="E398" s="610" t="s">
        <v>7</v>
      </c>
      <c r="G398" s="613"/>
      <c r="H398" s="613"/>
      <c r="I398" s="613" t="s">
        <v>1495</v>
      </c>
      <c r="J398" s="613"/>
      <c r="K398" s="613"/>
      <c r="L398" s="613"/>
      <c r="M398" s="613"/>
      <c r="N398" s="615" t="s">
        <v>1588</v>
      </c>
    </row>
    <row r="399" spans="1:14">
      <c r="B399" s="599">
        <f t="shared" si="6"/>
        <v>387</v>
      </c>
      <c r="D399" s="609" t="s">
        <v>1589</v>
      </c>
      <c r="E399" s="610" t="s">
        <v>7</v>
      </c>
      <c r="G399" s="613"/>
      <c r="H399" s="613"/>
      <c r="I399" s="613" t="s">
        <v>1495</v>
      </c>
      <c r="J399" s="613"/>
      <c r="K399" s="613"/>
      <c r="L399" s="613"/>
      <c r="M399" s="613"/>
      <c r="N399" s="615" t="s">
        <v>1588</v>
      </c>
    </row>
    <row r="400" spans="1:14">
      <c r="A400" s="638" t="s">
        <v>441</v>
      </c>
      <c r="B400" s="599">
        <f t="shared" si="6"/>
        <v>388</v>
      </c>
      <c r="C400" s="608" t="s">
        <v>1587</v>
      </c>
      <c r="D400" s="609" t="s">
        <v>1586</v>
      </c>
      <c r="E400" s="610" t="s">
        <v>7</v>
      </c>
      <c r="F400" s="616">
        <v>15292177</v>
      </c>
      <c r="G400" s="613" t="s">
        <v>1495</v>
      </c>
      <c r="H400" s="613"/>
      <c r="I400" s="613"/>
      <c r="J400" s="613"/>
      <c r="K400" s="613"/>
      <c r="L400" s="613"/>
      <c r="M400" s="613"/>
      <c r="N400" s="615"/>
    </row>
    <row r="401" spans="1:14" ht="29">
      <c r="B401" s="599">
        <f t="shared" si="6"/>
        <v>389</v>
      </c>
      <c r="D401" s="609" t="s">
        <v>2346</v>
      </c>
      <c r="E401" s="610" t="s">
        <v>7</v>
      </c>
      <c r="G401" s="613" t="s">
        <v>1495</v>
      </c>
      <c r="H401" s="613"/>
      <c r="I401" s="613"/>
      <c r="J401" s="613"/>
      <c r="K401" s="613"/>
      <c r="L401" s="613"/>
      <c r="M401" s="613"/>
      <c r="N401" s="615"/>
    </row>
    <row r="402" spans="1:14" ht="29">
      <c r="B402" s="599"/>
      <c r="D402" s="609" t="s">
        <v>2370</v>
      </c>
      <c r="G402" s="613" t="s">
        <v>1495</v>
      </c>
      <c r="H402" s="613"/>
      <c r="I402" s="613"/>
      <c r="J402" s="613"/>
      <c r="K402" s="613"/>
      <c r="L402" s="613"/>
      <c r="M402" s="613"/>
      <c r="N402" s="615"/>
    </row>
    <row r="403" spans="1:14">
      <c r="B403" s="599">
        <f>B401+1</f>
        <v>390</v>
      </c>
      <c r="D403" s="609" t="s">
        <v>1585</v>
      </c>
      <c r="E403" s="610" t="s">
        <v>7</v>
      </c>
      <c r="G403" s="613" t="s">
        <v>1495</v>
      </c>
      <c r="H403" s="613"/>
      <c r="I403" s="613"/>
      <c r="J403" s="613"/>
      <c r="K403" s="613"/>
      <c r="L403" s="613"/>
      <c r="M403" s="613"/>
      <c r="N403" s="615"/>
    </row>
    <row r="404" spans="1:14" ht="29">
      <c r="A404" s="664" t="s">
        <v>445</v>
      </c>
      <c r="B404" s="599">
        <f t="shared" si="6"/>
        <v>391</v>
      </c>
      <c r="C404" s="608" t="s">
        <v>1584</v>
      </c>
      <c r="D404" s="609" t="s">
        <v>1583</v>
      </c>
      <c r="E404" s="610" t="s">
        <v>7</v>
      </c>
      <c r="F404" s="616">
        <v>3120406</v>
      </c>
      <c r="G404" s="613" t="s">
        <v>1495</v>
      </c>
      <c r="H404" s="613"/>
      <c r="I404" s="613"/>
      <c r="J404" s="613"/>
      <c r="K404" s="613"/>
      <c r="L404" s="613"/>
      <c r="M404" s="613"/>
      <c r="N404" s="615"/>
    </row>
    <row r="405" spans="1:14">
      <c r="A405" s="664"/>
      <c r="B405" s="599">
        <f t="shared" si="6"/>
        <v>392</v>
      </c>
      <c r="D405" s="609" t="s">
        <v>1582</v>
      </c>
      <c r="E405" s="610" t="s">
        <v>7</v>
      </c>
      <c r="G405" s="613" t="s">
        <v>1495</v>
      </c>
      <c r="H405" s="613"/>
      <c r="I405" s="613"/>
      <c r="J405" s="613"/>
      <c r="K405" s="613"/>
      <c r="L405" s="613"/>
      <c r="M405" s="613"/>
      <c r="N405" s="615"/>
    </row>
    <row r="406" spans="1:14">
      <c r="A406" s="664"/>
      <c r="B406" s="599">
        <f t="shared" si="6"/>
        <v>393</v>
      </c>
      <c r="D406" s="609" t="s">
        <v>1581</v>
      </c>
      <c r="E406" s="610" t="s">
        <v>7</v>
      </c>
      <c r="G406" s="613" t="s">
        <v>1495</v>
      </c>
      <c r="H406" s="613"/>
      <c r="I406" s="613"/>
      <c r="J406" s="613"/>
      <c r="K406" s="613"/>
      <c r="L406" s="613"/>
      <c r="M406" s="613"/>
      <c r="N406" s="615"/>
    </row>
    <row r="407" spans="1:14" ht="29">
      <c r="A407" s="638" t="s">
        <v>447</v>
      </c>
      <c r="B407" s="599">
        <f t="shared" si="6"/>
        <v>394</v>
      </c>
      <c r="C407" s="608" t="s">
        <v>1580</v>
      </c>
      <c r="D407" s="609" t="s">
        <v>1579</v>
      </c>
      <c r="E407" s="610" t="s">
        <v>7</v>
      </c>
      <c r="F407" s="616">
        <v>6003327</v>
      </c>
      <c r="G407" s="613" t="s">
        <v>1495</v>
      </c>
      <c r="H407" s="613"/>
      <c r="I407" s="613"/>
      <c r="J407" s="613"/>
      <c r="K407" s="613"/>
      <c r="L407" s="613"/>
      <c r="M407" s="613"/>
      <c r="N407" s="615"/>
    </row>
    <row r="408" spans="1:14">
      <c r="B408" s="599">
        <f t="shared" si="6"/>
        <v>395</v>
      </c>
      <c r="D408" s="609" t="s">
        <v>1578</v>
      </c>
      <c r="E408" s="610" t="s">
        <v>7</v>
      </c>
      <c r="G408" s="613" t="s">
        <v>1495</v>
      </c>
      <c r="H408" s="613"/>
      <c r="I408" s="613"/>
      <c r="J408" s="613"/>
      <c r="K408" s="613"/>
      <c r="L408" s="613"/>
      <c r="M408" s="613"/>
      <c r="N408" s="615"/>
    </row>
    <row r="409" spans="1:14">
      <c r="A409" s="638" t="s">
        <v>449</v>
      </c>
      <c r="B409" s="599">
        <f t="shared" si="6"/>
        <v>396</v>
      </c>
      <c r="C409" s="608" t="s">
        <v>1577</v>
      </c>
      <c r="D409" s="609" t="s">
        <v>1576</v>
      </c>
      <c r="E409" s="610" t="s">
        <v>7</v>
      </c>
      <c r="F409" s="616">
        <v>1315661</v>
      </c>
      <c r="G409" s="613" t="s">
        <v>1495</v>
      </c>
      <c r="H409" s="613"/>
      <c r="I409" s="613"/>
      <c r="J409" s="613"/>
      <c r="K409" s="613"/>
      <c r="L409" s="613"/>
      <c r="M409" s="613"/>
      <c r="N409" s="615"/>
    </row>
    <row r="410" spans="1:14">
      <c r="B410" s="599">
        <f t="shared" si="6"/>
        <v>397</v>
      </c>
      <c r="D410" s="609" t="s">
        <v>1575</v>
      </c>
      <c r="E410" s="610" t="s">
        <v>7</v>
      </c>
      <c r="G410" s="613" t="s">
        <v>1495</v>
      </c>
      <c r="H410" s="613"/>
      <c r="I410" s="613"/>
      <c r="J410" s="613"/>
      <c r="K410" s="613"/>
      <c r="L410" s="613"/>
      <c r="M410" s="613"/>
      <c r="N410" s="615"/>
    </row>
    <row r="411" spans="1:14">
      <c r="B411" s="599">
        <f t="shared" si="6"/>
        <v>398</v>
      </c>
      <c r="D411" s="609"/>
      <c r="G411" s="613"/>
      <c r="H411" s="613"/>
      <c r="I411" s="613"/>
      <c r="J411" s="613"/>
      <c r="K411" s="613"/>
      <c r="L411" s="613"/>
      <c r="M411" s="613"/>
      <c r="N411" s="615"/>
    </row>
    <row r="412" spans="1:14">
      <c r="B412" s="599">
        <f t="shared" si="6"/>
        <v>399</v>
      </c>
      <c r="C412" s="633" t="s">
        <v>1574</v>
      </c>
      <c r="D412" s="609"/>
      <c r="G412" s="613"/>
      <c r="H412" s="613"/>
      <c r="I412" s="613"/>
      <c r="J412" s="613"/>
      <c r="K412" s="613"/>
      <c r="L412" s="613"/>
      <c r="M412" s="613"/>
      <c r="N412" s="615"/>
    </row>
    <row r="413" spans="1:14" ht="29">
      <c r="B413" s="599">
        <f t="shared" si="6"/>
        <v>400</v>
      </c>
      <c r="C413" s="634" t="s">
        <v>6</v>
      </c>
      <c r="D413" s="609"/>
      <c r="E413" s="610" t="s">
        <v>7</v>
      </c>
      <c r="F413" s="616">
        <v>133158</v>
      </c>
      <c r="G413" s="613" t="s">
        <v>1495</v>
      </c>
      <c r="H413" s="613"/>
      <c r="I413" s="613"/>
      <c r="J413" s="613"/>
      <c r="K413" s="613"/>
      <c r="L413" s="613"/>
      <c r="M413" s="613"/>
      <c r="N413" s="615"/>
    </row>
    <row r="414" spans="1:14" ht="29">
      <c r="B414" s="599">
        <f t="shared" si="6"/>
        <v>401</v>
      </c>
      <c r="C414" s="634" t="s">
        <v>9</v>
      </c>
      <c r="D414" s="609"/>
      <c r="E414" s="610" t="s">
        <v>7</v>
      </c>
      <c r="F414" s="616">
        <v>96623</v>
      </c>
      <c r="G414" s="613" t="s">
        <v>1495</v>
      </c>
      <c r="H414" s="613"/>
      <c r="I414" s="613"/>
      <c r="J414" s="613"/>
      <c r="K414" s="613"/>
      <c r="L414" s="613"/>
      <c r="M414" s="613"/>
      <c r="N414" s="615"/>
    </row>
    <row r="415" spans="1:14">
      <c r="B415" s="599">
        <f t="shared" si="6"/>
        <v>402</v>
      </c>
      <c r="C415" s="634" t="s">
        <v>11</v>
      </c>
      <c r="D415" s="609"/>
      <c r="E415" s="610" t="s">
        <v>7</v>
      </c>
      <c r="F415" s="616">
        <v>459778</v>
      </c>
      <c r="G415" s="613" t="s">
        <v>1495</v>
      </c>
      <c r="H415" s="613"/>
      <c r="I415" s="613"/>
      <c r="J415" s="613"/>
      <c r="K415" s="613"/>
      <c r="L415" s="613"/>
      <c r="M415" s="613"/>
      <c r="N415" s="615"/>
    </row>
    <row r="416" spans="1:14">
      <c r="B416" s="599">
        <f t="shared" si="6"/>
        <v>403</v>
      </c>
      <c r="C416" s="634" t="s">
        <v>13</v>
      </c>
      <c r="D416" s="609"/>
      <c r="E416" s="610" t="s">
        <v>7</v>
      </c>
      <c r="F416" s="616">
        <v>351685</v>
      </c>
      <c r="G416" s="613" t="s">
        <v>1495</v>
      </c>
      <c r="H416" s="613"/>
      <c r="I416" s="613"/>
      <c r="J416" s="613"/>
      <c r="K416" s="613"/>
      <c r="L416" s="613"/>
      <c r="M416" s="613"/>
      <c r="N416" s="615"/>
    </row>
    <row r="417" spans="2:14">
      <c r="B417" s="599">
        <f t="shared" si="6"/>
        <v>404</v>
      </c>
      <c r="C417" s="634" t="s">
        <v>15</v>
      </c>
      <c r="D417" s="609"/>
      <c r="E417" s="610" t="s">
        <v>7</v>
      </c>
      <c r="F417" s="616">
        <v>5000750</v>
      </c>
      <c r="G417" s="613" t="s">
        <v>1495</v>
      </c>
      <c r="H417" s="613"/>
      <c r="I417" s="613"/>
      <c r="J417" s="613"/>
      <c r="K417" s="613"/>
      <c r="L417" s="613"/>
      <c r="M417" s="613"/>
      <c r="N417" s="615"/>
    </row>
    <row r="418" spans="2:14" ht="29">
      <c r="B418" s="599">
        <f t="shared" si="6"/>
        <v>405</v>
      </c>
      <c r="C418" s="634" t="s">
        <v>17</v>
      </c>
      <c r="D418" s="609"/>
      <c r="E418" s="610" t="s">
        <v>7</v>
      </c>
      <c r="F418" s="616">
        <v>5697945</v>
      </c>
      <c r="G418" s="613" t="s">
        <v>1495</v>
      </c>
      <c r="H418" s="613"/>
      <c r="I418" s="613"/>
      <c r="J418" s="613"/>
      <c r="K418" s="613"/>
      <c r="L418" s="613"/>
      <c r="M418" s="613"/>
      <c r="N418" s="615"/>
    </row>
    <row r="419" spans="2:14" ht="29">
      <c r="B419" s="599">
        <f t="shared" si="6"/>
        <v>406</v>
      </c>
      <c r="C419" s="634" t="s">
        <v>19</v>
      </c>
      <c r="D419" s="609"/>
      <c r="E419" s="610" t="s">
        <v>7</v>
      </c>
      <c r="F419" s="616">
        <v>4229572</v>
      </c>
      <c r="G419" s="613" t="s">
        <v>1495</v>
      </c>
      <c r="H419" s="613"/>
      <c r="I419" s="613"/>
      <c r="J419" s="613"/>
      <c r="K419" s="613"/>
      <c r="L419" s="613"/>
      <c r="M419" s="613"/>
      <c r="N419" s="615"/>
    </row>
    <row r="420" spans="2:14">
      <c r="B420" s="599">
        <f t="shared" si="6"/>
        <v>407</v>
      </c>
      <c r="C420" s="634" t="s">
        <v>21</v>
      </c>
      <c r="D420" s="618"/>
      <c r="E420" s="610" t="s">
        <v>7</v>
      </c>
      <c r="F420" s="619">
        <v>7763675</v>
      </c>
      <c r="G420" s="613" t="s">
        <v>1495</v>
      </c>
      <c r="H420" s="613"/>
      <c r="I420" s="613"/>
      <c r="J420" s="613"/>
      <c r="K420" s="613"/>
      <c r="L420" s="613"/>
      <c r="M420" s="613"/>
      <c r="N420" s="615"/>
    </row>
    <row r="421" spans="2:14">
      <c r="B421" s="599">
        <f t="shared" si="6"/>
        <v>408</v>
      </c>
      <c r="C421" s="634" t="s">
        <v>23</v>
      </c>
      <c r="D421" s="618"/>
      <c r="E421" s="610" t="s">
        <v>7</v>
      </c>
      <c r="F421" s="619">
        <v>1954466</v>
      </c>
      <c r="G421" s="613" t="s">
        <v>1495</v>
      </c>
      <c r="H421" s="613"/>
      <c r="I421" s="613"/>
      <c r="J421" s="613"/>
      <c r="K421" s="613"/>
      <c r="L421" s="613"/>
      <c r="M421" s="613"/>
      <c r="N421" s="615"/>
    </row>
    <row r="422" spans="2:14" ht="29">
      <c r="B422" s="599">
        <f t="shared" si="6"/>
        <v>409</v>
      </c>
      <c r="C422" s="634" t="s">
        <v>25</v>
      </c>
      <c r="D422" s="618"/>
      <c r="E422" s="610" t="s">
        <v>7</v>
      </c>
      <c r="F422" s="619">
        <v>1718240</v>
      </c>
      <c r="G422" s="613" t="s">
        <v>1495</v>
      </c>
      <c r="H422" s="613"/>
      <c r="I422" s="613"/>
      <c r="J422" s="613"/>
      <c r="K422" s="613"/>
      <c r="L422" s="613"/>
      <c r="M422" s="613"/>
      <c r="N422" s="615"/>
    </row>
    <row r="423" spans="2:14" ht="29">
      <c r="B423" s="599">
        <f t="shared" si="6"/>
        <v>410</v>
      </c>
      <c r="C423" s="634" t="s">
        <v>27</v>
      </c>
      <c r="D423" s="618"/>
      <c r="E423" s="610" t="s">
        <v>7</v>
      </c>
      <c r="F423" s="619">
        <v>3318558</v>
      </c>
      <c r="G423" s="613" t="s">
        <v>1495</v>
      </c>
      <c r="H423" s="613"/>
      <c r="I423" s="613"/>
      <c r="J423" s="613"/>
      <c r="K423" s="613"/>
      <c r="L423" s="613"/>
      <c r="M423" s="613"/>
      <c r="N423" s="615"/>
    </row>
    <row r="424" spans="2:14" ht="29">
      <c r="B424" s="599">
        <f t="shared" si="6"/>
        <v>411</v>
      </c>
      <c r="C424" s="634" t="s">
        <v>29</v>
      </c>
      <c r="D424" s="618"/>
      <c r="E424" s="610" t="s">
        <v>7</v>
      </c>
      <c r="F424" s="619">
        <v>2952237</v>
      </c>
      <c r="G424" s="613" t="s">
        <v>1495</v>
      </c>
      <c r="H424" s="613"/>
      <c r="I424" s="613"/>
      <c r="J424" s="613"/>
      <c r="K424" s="613"/>
      <c r="L424" s="613"/>
      <c r="M424" s="613"/>
      <c r="N424" s="615"/>
    </row>
    <row r="425" spans="2:14" ht="29">
      <c r="B425" s="599">
        <f t="shared" si="6"/>
        <v>412</v>
      </c>
      <c r="C425" s="634" t="s">
        <v>1573</v>
      </c>
      <c r="D425" s="618"/>
      <c r="E425" s="610" t="s">
        <v>32</v>
      </c>
      <c r="F425" s="619"/>
      <c r="G425" s="613" t="s">
        <v>1495</v>
      </c>
      <c r="H425" s="613"/>
      <c r="I425" s="613"/>
      <c r="J425" s="613"/>
      <c r="K425" s="613"/>
      <c r="L425" s="613"/>
      <c r="M425" s="613"/>
      <c r="N425" s="615"/>
    </row>
    <row r="426" spans="2:14">
      <c r="B426" s="599">
        <f t="shared" si="6"/>
        <v>413</v>
      </c>
      <c r="C426" s="634" t="s">
        <v>36</v>
      </c>
      <c r="D426" s="618"/>
      <c r="E426" s="610" t="s">
        <v>7</v>
      </c>
      <c r="F426" s="619">
        <v>1259668</v>
      </c>
      <c r="G426" s="613" t="s">
        <v>1495</v>
      </c>
      <c r="H426" s="613"/>
      <c r="I426" s="613"/>
      <c r="J426" s="613"/>
      <c r="K426" s="613"/>
      <c r="L426" s="613"/>
      <c r="M426" s="613"/>
      <c r="N426" s="615"/>
    </row>
    <row r="427" spans="2:14" ht="29">
      <c r="B427" s="599">
        <f t="shared" si="6"/>
        <v>414</v>
      </c>
      <c r="C427" s="634" t="s">
        <v>38</v>
      </c>
      <c r="D427" s="618"/>
      <c r="E427" s="610" t="s">
        <v>7</v>
      </c>
      <c r="F427" s="619">
        <v>7750195</v>
      </c>
      <c r="G427" s="613" t="s">
        <v>1495</v>
      </c>
      <c r="H427" s="613"/>
      <c r="I427" s="613"/>
      <c r="J427" s="613"/>
      <c r="K427" s="613"/>
      <c r="L427" s="613"/>
      <c r="M427" s="613"/>
      <c r="N427" s="615"/>
    </row>
    <row r="428" spans="2:14">
      <c r="B428" s="599">
        <f t="shared" si="6"/>
        <v>415</v>
      </c>
      <c r="C428" s="634" t="s">
        <v>40</v>
      </c>
      <c r="D428" s="618"/>
      <c r="E428" s="610" t="s">
        <v>7</v>
      </c>
      <c r="F428" s="619">
        <v>14513308</v>
      </c>
      <c r="G428" s="613" t="s">
        <v>1495</v>
      </c>
      <c r="H428" s="613"/>
      <c r="I428" s="613"/>
      <c r="J428" s="613"/>
      <c r="K428" s="613"/>
      <c r="L428" s="613"/>
      <c r="M428" s="613"/>
      <c r="N428" s="615"/>
    </row>
    <row r="429" spans="2:14">
      <c r="B429" s="599">
        <f t="shared" si="6"/>
        <v>416</v>
      </c>
      <c r="C429" s="634" t="s">
        <v>1572</v>
      </c>
      <c r="D429" s="618"/>
      <c r="E429" s="610" t="s">
        <v>7</v>
      </c>
      <c r="F429" s="619">
        <v>4705536</v>
      </c>
      <c r="G429" s="613" t="s">
        <v>1495</v>
      </c>
      <c r="H429" s="613"/>
      <c r="I429" s="613"/>
      <c r="J429" s="613"/>
      <c r="K429" s="613"/>
      <c r="L429" s="613"/>
      <c r="M429" s="613"/>
      <c r="N429" s="615"/>
    </row>
    <row r="430" spans="2:14">
      <c r="B430" s="599">
        <f t="shared" si="6"/>
        <v>417</v>
      </c>
      <c r="C430" s="634" t="s">
        <v>42</v>
      </c>
      <c r="D430" s="609" t="s">
        <v>1563</v>
      </c>
      <c r="E430" s="610" t="s">
        <v>32</v>
      </c>
      <c r="F430" s="616">
        <v>5804318</v>
      </c>
      <c r="G430" s="613" t="s">
        <v>1495</v>
      </c>
      <c r="H430" s="613"/>
      <c r="I430" s="613"/>
      <c r="J430" s="613"/>
      <c r="K430" s="613"/>
      <c r="L430" s="613"/>
      <c r="M430" s="613"/>
      <c r="N430" s="615"/>
    </row>
    <row r="431" spans="2:14">
      <c r="B431" s="599">
        <f t="shared" si="6"/>
        <v>418</v>
      </c>
      <c r="C431" s="634" t="s">
        <v>44</v>
      </c>
      <c r="D431" s="609"/>
      <c r="E431" s="610" t="s">
        <v>7</v>
      </c>
      <c r="F431" s="616">
        <v>1366481</v>
      </c>
      <c r="G431" s="613" t="s">
        <v>1495</v>
      </c>
      <c r="H431" s="613"/>
      <c r="I431" s="613"/>
      <c r="J431" s="613"/>
      <c r="K431" s="613"/>
      <c r="L431" s="613"/>
      <c r="M431" s="613"/>
      <c r="N431" s="615"/>
    </row>
    <row r="432" spans="2:14" ht="29">
      <c r="B432" s="599">
        <f t="shared" si="6"/>
        <v>419</v>
      </c>
      <c r="C432" s="634" t="s">
        <v>46</v>
      </c>
      <c r="D432" s="609"/>
      <c r="E432" s="610" t="s">
        <v>7</v>
      </c>
      <c r="F432" s="616">
        <v>2605678</v>
      </c>
      <c r="G432" s="613" t="s">
        <v>1495</v>
      </c>
      <c r="H432" s="613"/>
      <c r="I432" s="613"/>
      <c r="J432" s="613"/>
      <c r="K432" s="613"/>
      <c r="L432" s="613"/>
      <c r="M432" s="613"/>
      <c r="N432" s="615"/>
    </row>
    <row r="433" spans="2:14">
      <c r="B433" s="599">
        <f t="shared" si="6"/>
        <v>420</v>
      </c>
      <c r="C433" s="634" t="s">
        <v>48</v>
      </c>
      <c r="D433" s="609"/>
      <c r="E433" s="610" t="s">
        <v>7</v>
      </c>
      <c r="F433" s="616">
        <v>553800</v>
      </c>
      <c r="G433" s="613" t="s">
        <v>1495</v>
      </c>
      <c r="H433" s="613"/>
      <c r="I433" s="613"/>
      <c r="J433" s="613"/>
      <c r="K433" s="613"/>
      <c r="L433" s="613"/>
      <c r="M433" s="613"/>
      <c r="N433" s="615"/>
    </row>
    <row r="434" spans="2:14">
      <c r="B434" s="599">
        <f t="shared" si="6"/>
        <v>421</v>
      </c>
      <c r="C434" s="634" t="s">
        <v>50</v>
      </c>
      <c r="D434" s="609"/>
      <c r="E434" s="610" t="s">
        <v>7</v>
      </c>
      <c r="F434" s="616">
        <v>2867800</v>
      </c>
      <c r="G434" s="613" t="s">
        <v>1495</v>
      </c>
      <c r="H434" s="613"/>
      <c r="I434" s="613"/>
      <c r="J434" s="613"/>
      <c r="K434" s="613"/>
      <c r="L434" s="613"/>
      <c r="M434" s="613"/>
      <c r="N434" s="615"/>
    </row>
    <row r="435" spans="2:14">
      <c r="B435" s="599">
        <f t="shared" si="6"/>
        <v>422</v>
      </c>
      <c r="C435" s="634" t="s">
        <v>52</v>
      </c>
      <c r="D435" s="609"/>
      <c r="E435" s="610" t="s">
        <v>7</v>
      </c>
      <c r="F435" s="616">
        <v>918676</v>
      </c>
      <c r="G435" s="613" t="s">
        <v>1495</v>
      </c>
      <c r="H435" s="613"/>
      <c r="I435" s="613"/>
      <c r="J435" s="613"/>
      <c r="K435" s="613"/>
      <c r="L435" s="613"/>
      <c r="M435" s="613"/>
      <c r="N435" s="615"/>
    </row>
    <row r="436" spans="2:14">
      <c r="B436" s="599">
        <f t="shared" si="6"/>
        <v>423</v>
      </c>
      <c r="C436" s="634" t="s">
        <v>54</v>
      </c>
      <c r="D436" s="609"/>
      <c r="E436" s="610" t="s">
        <v>7</v>
      </c>
      <c r="F436" s="616">
        <v>1258900</v>
      </c>
      <c r="G436" s="613" t="s">
        <v>1495</v>
      </c>
      <c r="H436" s="613"/>
      <c r="I436" s="613"/>
      <c r="J436" s="613"/>
      <c r="K436" s="613"/>
      <c r="L436" s="613"/>
      <c r="M436" s="613"/>
      <c r="N436" s="615"/>
    </row>
    <row r="437" spans="2:14">
      <c r="B437" s="599">
        <f t="shared" si="6"/>
        <v>424</v>
      </c>
      <c r="C437" s="634" t="s">
        <v>56</v>
      </c>
      <c r="D437" s="609"/>
      <c r="E437" s="610" t="s">
        <v>7</v>
      </c>
      <c r="F437" s="616">
        <v>21014624</v>
      </c>
      <c r="G437" s="613" t="s">
        <v>1495</v>
      </c>
      <c r="H437" s="613"/>
      <c r="I437" s="613"/>
      <c r="J437" s="613"/>
      <c r="K437" s="613"/>
      <c r="L437" s="613"/>
      <c r="M437" s="613"/>
      <c r="N437" s="615"/>
    </row>
    <row r="438" spans="2:14">
      <c r="B438" s="599">
        <f t="shared" si="6"/>
        <v>425</v>
      </c>
      <c r="C438" s="634" t="s">
        <v>58</v>
      </c>
      <c r="D438" s="609"/>
      <c r="E438" s="610" t="s">
        <v>7</v>
      </c>
      <c r="F438" s="616">
        <v>8311002</v>
      </c>
      <c r="G438" s="613" t="s">
        <v>1495</v>
      </c>
      <c r="H438" s="613"/>
      <c r="I438" s="613"/>
      <c r="J438" s="613"/>
      <c r="K438" s="613"/>
      <c r="L438" s="613"/>
      <c r="M438" s="613"/>
      <c r="N438" s="615"/>
    </row>
    <row r="439" spans="2:14">
      <c r="B439" s="599">
        <f t="shared" si="6"/>
        <v>426</v>
      </c>
      <c r="C439" s="634" t="s">
        <v>60</v>
      </c>
      <c r="D439" s="609"/>
      <c r="E439" s="610" t="s">
        <v>7</v>
      </c>
      <c r="F439" s="616">
        <v>1872142</v>
      </c>
      <c r="G439" s="613" t="s">
        <v>1495</v>
      </c>
      <c r="H439" s="613"/>
      <c r="I439" s="613"/>
      <c r="J439" s="613"/>
      <c r="K439" s="613"/>
      <c r="L439" s="613"/>
      <c r="M439" s="613"/>
      <c r="N439" s="615"/>
    </row>
    <row r="440" spans="2:14">
      <c r="B440" s="599">
        <f t="shared" si="6"/>
        <v>427</v>
      </c>
      <c r="C440" s="634" t="s">
        <v>62</v>
      </c>
      <c r="D440" s="609"/>
      <c r="E440" s="610" t="s">
        <v>7</v>
      </c>
      <c r="F440" s="616">
        <v>375316</v>
      </c>
      <c r="G440" s="613" t="s">
        <v>1495</v>
      </c>
      <c r="H440" s="613"/>
      <c r="I440" s="613"/>
      <c r="J440" s="613"/>
      <c r="K440" s="613"/>
      <c r="L440" s="613"/>
      <c r="M440" s="613"/>
      <c r="N440" s="615"/>
    </row>
    <row r="441" spans="2:14">
      <c r="B441" s="599">
        <f t="shared" si="6"/>
        <v>428</v>
      </c>
      <c r="C441" s="634" t="s">
        <v>64</v>
      </c>
      <c r="D441" s="609"/>
      <c r="E441" s="610" t="s">
        <v>7</v>
      </c>
      <c r="F441" s="616">
        <v>771572</v>
      </c>
      <c r="G441" s="613" t="s">
        <v>1495</v>
      </c>
      <c r="H441" s="613"/>
      <c r="I441" s="613"/>
      <c r="J441" s="613"/>
      <c r="K441" s="613"/>
      <c r="L441" s="613"/>
      <c r="M441" s="613"/>
      <c r="N441" s="615"/>
    </row>
    <row r="442" spans="2:14" ht="29">
      <c r="B442" s="599">
        <f t="shared" si="6"/>
        <v>429</v>
      </c>
      <c r="C442" s="634" t="s">
        <v>66</v>
      </c>
      <c r="D442" s="609"/>
      <c r="E442" s="610" t="s">
        <v>7</v>
      </c>
      <c r="F442" s="616">
        <v>60704</v>
      </c>
      <c r="G442" s="613" t="s">
        <v>1495</v>
      </c>
      <c r="H442" s="613"/>
      <c r="I442" s="613"/>
      <c r="J442" s="613"/>
      <c r="K442" s="613"/>
      <c r="L442" s="613"/>
      <c r="M442" s="613"/>
      <c r="N442" s="615"/>
    </row>
    <row r="443" spans="2:14">
      <c r="B443" s="599">
        <f t="shared" si="6"/>
        <v>430</v>
      </c>
      <c r="C443" s="634" t="s">
        <v>68</v>
      </c>
      <c r="D443" s="609"/>
      <c r="E443" s="610" t="s">
        <v>7</v>
      </c>
      <c r="F443" s="616">
        <v>2369098</v>
      </c>
      <c r="G443" s="613" t="s">
        <v>1495</v>
      </c>
      <c r="H443" s="613"/>
      <c r="I443" s="613"/>
      <c r="J443" s="613"/>
      <c r="K443" s="613"/>
      <c r="L443" s="613"/>
      <c r="M443" s="613"/>
      <c r="N443" s="615"/>
    </row>
    <row r="444" spans="2:14">
      <c r="B444" s="599">
        <f t="shared" si="6"/>
        <v>431</v>
      </c>
      <c r="C444" s="634" t="s">
        <v>70</v>
      </c>
      <c r="D444" s="609"/>
      <c r="E444" s="610" t="s">
        <v>7</v>
      </c>
      <c r="F444" s="616">
        <v>7305877</v>
      </c>
      <c r="G444" s="613" t="s">
        <v>1495</v>
      </c>
      <c r="H444" s="613"/>
      <c r="I444" s="613"/>
      <c r="J444" s="613"/>
      <c r="K444" s="613"/>
      <c r="L444" s="613"/>
      <c r="M444" s="613"/>
      <c r="N444" s="615"/>
    </row>
    <row r="445" spans="2:14" ht="29">
      <c r="B445" s="599">
        <f t="shared" si="6"/>
        <v>432</v>
      </c>
      <c r="C445" s="634" t="s">
        <v>72</v>
      </c>
      <c r="D445" s="609"/>
      <c r="E445" s="610" t="s">
        <v>7</v>
      </c>
      <c r="F445" s="616">
        <v>922098</v>
      </c>
      <c r="G445" s="613" t="s">
        <v>1495</v>
      </c>
      <c r="H445" s="613"/>
      <c r="I445" s="613"/>
      <c r="J445" s="613"/>
      <c r="K445" s="613"/>
      <c r="L445" s="613"/>
      <c r="M445" s="613"/>
      <c r="N445" s="615"/>
    </row>
    <row r="446" spans="2:14">
      <c r="B446" s="599">
        <f t="shared" si="6"/>
        <v>433</v>
      </c>
      <c r="C446" s="634" t="s">
        <v>74</v>
      </c>
      <c r="D446" s="609"/>
      <c r="E446" s="610" t="s">
        <v>7</v>
      </c>
      <c r="F446" s="616">
        <v>3440115</v>
      </c>
      <c r="G446" s="613" t="s">
        <v>1495</v>
      </c>
      <c r="H446" s="613"/>
      <c r="I446" s="613"/>
      <c r="J446" s="613"/>
      <c r="K446" s="613"/>
      <c r="L446" s="613"/>
      <c r="M446" s="613"/>
      <c r="N446" s="615"/>
    </row>
    <row r="447" spans="2:14">
      <c r="B447" s="599">
        <f t="shared" si="6"/>
        <v>434</v>
      </c>
      <c r="C447" s="634" t="s">
        <v>1571</v>
      </c>
      <c r="D447" s="609"/>
      <c r="E447" s="610" t="s">
        <v>7</v>
      </c>
      <c r="F447" s="616">
        <v>444780</v>
      </c>
      <c r="G447" s="613" t="s">
        <v>1495</v>
      </c>
      <c r="H447" s="613"/>
      <c r="I447" s="613"/>
      <c r="J447" s="613"/>
      <c r="K447" s="613"/>
      <c r="L447" s="613"/>
      <c r="M447" s="613"/>
      <c r="N447" s="615"/>
    </row>
    <row r="448" spans="2:14">
      <c r="B448" s="599">
        <f t="shared" si="6"/>
        <v>435</v>
      </c>
      <c r="C448" s="634" t="s">
        <v>1570</v>
      </c>
      <c r="D448" s="609"/>
      <c r="E448" s="610" t="s">
        <v>7</v>
      </c>
      <c r="F448" s="616">
        <v>7919832</v>
      </c>
      <c r="G448" s="613" t="s">
        <v>1495</v>
      </c>
      <c r="H448" s="613"/>
      <c r="I448" s="613"/>
      <c r="J448" s="613"/>
      <c r="K448" s="613"/>
      <c r="L448" s="613"/>
      <c r="M448" s="613"/>
      <c r="N448" s="615"/>
    </row>
    <row r="449" spans="2:14">
      <c r="B449" s="599">
        <f t="shared" si="6"/>
        <v>436</v>
      </c>
      <c r="C449" s="634" t="s">
        <v>80</v>
      </c>
      <c r="D449" s="609" t="s">
        <v>1564</v>
      </c>
      <c r="E449" s="610" t="s">
        <v>32</v>
      </c>
      <c r="F449" s="616">
        <v>28806330</v>
      </c>
      <c r="G449" s="613" t="s">
        <v>1495</v>
      </c>
      <c r="H449" s="613"/>
      <c r="I449" s="613"/>
      <c r="J449" s="613"/>
      <c r="K449" s="613"/>
      <c r="L449" s="613"/>
      <c r="M449" s="613"/>
      <c r="N449" s="615"/>
    </row>
    <row r="450" spans="2:14">
      <c r="B450" s="599">
        <f t="shared" si="6"/>
        <v>437</v>
      </c>
      <c r="C450" s="634" t="s">
        <v>82</v>
      </c>
      <c r="D450" s="609" t="s">
        <v>1569</v>
      </c>
      <c r="E450" s="610" t="s">
        <v>32</v>
      </c>
      <c r="F450" s="616">
        <v>157876</v>
      </c>
      <c r="G450" s="613" t="s">
        <v>1495</v>
      </c>
      <c r="H450" s="613"/>
      <c r="I450" s="613"/>
      <c r="J450" s="613"/>
      <c r="K450" s="613"/>
      <c r="L450" s="613"/>
      <c r="M450" s="613"/>
      <c r="N450" s="615"/>
    </row>
    <row r="451" spans="2:14">
      <c r="B451" s="599">
        <f t="shared" si="6"/>
        <v>438</v>
      </c>
      <c r="C451" s="634" t="s">
        <v>84</v>
      </c>
      <c r="D451" s="609"/>
      <c r="E451" s="610" t="s">
        <v>7</v>
      </c>
      <c r="F451" s="616">
        <v>10096097</v>
      </c>
      <c r="G451" s="613" t="s">
        <v>1495</v>
      </c>
      <c r="H451" s="613"/>
      <c r="I451" s="613"/>
      <c r="J451" s="613"/>
      <c r="K451" s="613"/>
      <c r="L451" s="613"/>
      <c r="M451" s="613"/>
      <c r="N451" s="615"/>
    </row>
    <row r="452" spans="2:14">
      <c r="B452" s="599">
        <f t="shared" si="6"/>
        <v>439</v>
      </c>
      <c r="C452" s="634" t="s">
        <v>86</v>
      </c>
      <c r="D452" s="609"/>
      <c r="E452" s="610" t="s">
        <v>7</v>
      </c>
      <c r="F452" s="616">
        <v>7554492</v>
      </c>
      <c r="G452" s="613" t="s">
        <v>1495</v>
      </c>
      <c r="H452" s="613"/>
      <c r="I452" s="613"/>
      <c r="J452" s="613"/>
      <c r="K452" s="613"/>
      <c r="L452" s="613"/>
      <c r="M452" s="613"/>
      <c r="N452" s="615"/>
    </row>
    <row r="453" spans="2:14" ht="29">
      <c r="B453" s="599">
        <f t="shared" si="6"/>
        <v>440</v>
      </c>
      <c r="C453" s="634" t="s">
        <v>88</v>
      </c>
      <c r="D453" s="609"/>
      <c r="E453" s="610" t="s">
        <v>7</v>
      </c>
      <c r="F453" s="616">
        <v>7326839</v>
      </c>
      <c r="G453" s="613" t="s">
        <v>1495</v>
      </c>
      <c r="H453" s="613"/>
      <c r="I453" s="613"/>
      <c r="J453" s="613"/>
      <c r="K453" s="613"/>
      <c r="L453" s="613"/>
      <c r="M453" s="613"/>
      <c r="N453" s="615"/>
    </row>
    <row r="454" spans="2:14" ht="29">
      <c r="B454" s="599">
        <f t="shared" si="6"/>
        <v>441</v>
      </c>
      <c r="C454" s="634" t="s">
        <v>90</v>
      </c>
      <c r="D454" s="609"/>
      <c r="E454" s="610" t="s">
        <v>7</v>
      </c>
      <c r="F454" s="616">
        <v>2262949</v>
      </c>
      <c r="G454" s="613" t="s">
        <v>1495</v>
      </c>
      <c r="H454" s="613"/>
      <c r="I454" s="613"/>
      <c r="J454" s="613"/>
      <c r="K454" s="613"/>
      <c r="L454" s="613"/>
      <c r="M454" s="613"/>
      <c r="N454" s="615"/>
    </row>
    <row r="455" spans="2:14">
      <c r="B455" s="599">
        <f t="shared" ref="B455:B518" si="7">B454+1</f>
        <v>442</v>
      </c>
      <c r="C455" s="634" t="s">
        <v>92</v>
      </c>
      <c r="D455" s="609"/>
      <c r="E455" s="610" t="s">
        <v>7</v>
      </c>
      <c r="F455" s="616">
        <v>777327</v>
      </c>
      <c r="G455" s="613" t="s">
        <v>1495</v>
      </c>
      <c r="H455" s="613"/>
      <c r="I455" s="613"/>
      <c r="J455" s="613"/>
      <c r="K455" s="613"/>
      <c r="L455" s="613"/>
      <c r="M455" s="613"/>
      <c r="N455" s="615"/>
    </row>
    <row r="456" spans="2:14">
      <c r="B456" s="599">
        <f t="shared" si="7"/>
        <v>443</v>
      </c>
      <c r="C456" s="634" t="s">
        <v>94</v>
      </c>
      <c r="D456" s="609"/>
      <c r="E456" s="610" t="s">
        <v>7</v>
      </c>
      <c r="F456" s="616">
        <v>967828</v>
      </c>
      <c r="G456" s="613" t="s">
        <v>1495</v>
      </c>
      <c r="H456" s="613"/>
      <c r="I456" s="613"/>
      <c r="J456" s="613"/>
      <c r="K456" s="613"/>
      <c r="L456" s="613"/>
      <c r="M456" s="613"/>
      <c r="N456" s="615"/>
    </row>
    <row r="457" spans="2:14">
      <c r="B457" s="599">
        <f t="shared" si="7"/>
        <v>444</v>
      </c>
      <c r="C457" s="634" t="s">
        <v>96</v>
      </c>
      <c r="D457" s="609"/>
      <c r="E457" s="610" t="s">
        <v>7</v>
      </c>
      <c r="F457" s="616">
        <v>679540</v>
      </c>
      <c r="G457" s="613" t="s">
        <v>1495</v>
      </c>
      <c r="H457" s="613"/>
      <c r="I457" s="613"/>
      <c r="J457" s="613"/>
      <c r="K457" s="613"/>
      <c r="L457" s="613"/>
      <c r="M457" s="613"/>
      <c r="N457" s="615"/>
    </row>
    <row r="458" spans="2:14" ht="29">
      <c r="B458" s="599">
        <f t="shared" si="7"/>
        <v>445</v>
      </c>
      <c r="C458" s="634" t="s">
        <v>98</v>
      </c>
      <c r="D458" s="609"/>
      <c r="E458" s="610" t="s">
        <v>7</v>
      </c>
      <c r="F458" s="616">
        <v>10230863</v>
      </c>
      <c r="G458" s="613" t="s">
        <v>1495</v>
      </c>
      <c r="H458" s="613"/>
      <c r="I458" s="613"/>
      <c r="J458" s="613"/>
      <c r="K458" s="613"/>
      <c r="L458" s="613"/>
      <c r="M458" s="613"/>
      <c r="N458" s="615"/>
    </row>
    <row r="459" spans="2:14" ht="29">
      <c r="B459" s="599">
        <f t="shared" si="7"/>
        <v>446</v>
      </c>
      <c r="C459" s="634" t="s">
        <v>100</v>
      </c>
      <c r="D459" s="609"/>
      <c r="E459" s="610" t="s">
        <v>7</v>
      </c>
      <c r="F459" s="616">
        <v>16397505</v>
      </c>
      <c r="G459" s="613" t="s">
        <v>1495</v>
      </c>
      <c r="H459" s="613"/>
      <c r="I459" s="613"/>
      <c r="J459" s="613"/>
      <c r="K459" s="613"/>
      <c r="L459" s="613"/>
      <c r="M459" s="613"/>
      <c r="N459" s="615"/>
    </row>
    <row r="460" spans="2:14" ht="29">
      <c r="B460" s="599">
        <f t="shared" si="7"/>
        <v>447</v>
      </c>
      <c r="C460" s="634" t="s">
        <v>102</v>
      </c>
      <c r="D460" s="609"/>
      <c r="E460" s="610" t="s">
        <v>7</v>
      </c>
      <c r="F460" s="616">
        <v>5033030</v>
      </c>
      <c r="G460" s="613" t="s">
        <v>1495</v>
      </c>
      <c r="H460" s="613"/>
      <c r="I460" s="613"/>
      <c r="J460" s="613"/>
      <c r="K460" s="613"/>
      <c r="L460" s="613"/>
      <c r="M460" s="613"/>
      <c r="N460" s="615"/>
    </row>
    <row r="461" spans="2:14" ht="29">
      <c r="B461" s="599">
        <f t="shared" si="7"/>
        <v>448</v>
      </c>
      <c r="C461" s="634" t="s">
        <v>104</v>
      </c>
      <c r="D461" s="609"/>
      <c r="E461" s="610" t="s">
        <v>7</v>
      </c>
      <c r="F461" s="616">
        <v>10035507</v>
      </c>
      <c r="G461" s="613" t="s">
        <v>1495</v>
      </c>
      <c r="H461" s="613"/>
      <c r="I461" s="613"/>
      <c r="J461" s="613"/>
      <c r="K461" s="613"/>
      <c r="L461" s="613"/>
      <c r="M461" s="613"/>
      <c r="N461" s="615"/>
    </row>
    <row r="462" spans="2:14" ht="29">
      <c r="B462" s="599">
        <f t="shared" si="7"/>
        <v>449</v>
      </c>
      <c r="C462" s="634" t="s">
        <v>106</v>
      </c>
      <c r="D462" s="609"/>
      <c r="E462" s="610" t="s">
        <v>7</v>
      </c>
      <c r="F462" s="616">
        <v>6133398</v>
      </c>
      <c r="G462" s="613" t="s">
        <v>1495</v>
      </c>
      <c r="H462" s="613"/>
      <c r="I462" s="613"/>
      <c r="J462" s="613"/>
      <c r="K462" s="613"/>
      <c r="L462" s="613"/>
      <c r="M462" s="613"/>
      <c r="N462" s="615"/>
    </row>
    <row r="463" spans="2:14">
      <c r="B463" s="599">
        <f t="shared" si="7"/>
        <v>450</v>
      </c>
      <c r="C463" s="634" t="s">
        <v>108</v>
      </c>
      <c r="D463" s="609"/>
      <c r="E463" s="610" t="s">
        <v>7</v>
      </c>
      <c r="F463" s="616">
        <v>4306775</v>
      </c>
      <c r="G463" s="613" t="s">
        <v>1495</v>
      </c>
      <c r="H463" s="613"/>
      <c r="I463" s="613"/>
      <c r="J463" s="613"/>
      <c r="K463" s="613"/>
      <c r="L463" s="613"/>
      <c r="M463" s="613"/>
      <c r="N463" s="615"/>
    </row>
    <row r="464" spans="2:14">
      <c r="B464" s="599">
        <f t="shared" si="7"/>
        <v>451</v>
      </c>
      <c r="C464" s="634" t="s">
        <v>110</v>
      </c>
      <c r="D464" s="609"/>
      <c r="E464" s="610" t="s">
        <v>7</v>
      </c>
      <c r="F464" s="616">
        <v>1993083</v>
      </c>
      <c r="G464" s="613" t="s">
        <v>1495</v>
      </c>
      <c r="H464" s="613"/>
      <c r="I464" s="613"/>
      <c r="J464" s="613"/>
      <c r="K464" s="613"/>
      <c r="L464" s="613"/>
      <c r="M464" s="613"/>
      <c r="N464" s="615"/>
    </row>
    <row r="465" spans="2:14">
      <c r="B465" s="599">
        <f t="shared" si="7"/>
        <v>452</v>
      </c>
      <c r="C465" s="634" t="s">
        <v>112</v>
      </c>
      <c r="D465" s="609"/>
      <c r="E465" s="610" t="s">
        <v>7</v>
      </c>
      <c r="F465" s="616">
        <v>1540944</v>
      </c>
      <c r="G465" s="613" t="s">
        <v>1495</v>
      </c>
      <c r="H465" s="613"/>
      <c r="I465" s="613"/>
      <c r="J465" s="613"/>
      <c r="K465" s="613"/>
      <c r="L465" s="613"/>
      <c r="M465" s="613"/>
      <c r="N465" s="615"/>
    </row>
    <row r="466" spans="2:14">
      <c r="B466" s="599">
        <f t="shared" si="7"/>
        <v>453</v>
      </c>
      <c r="C466" s="634" t="s">
        <v>114</v>
      </c>
      <c r="D466" s="609"/>
      <c r="E466" s="610" t="s">
        <v>7</v>
      </c>
      <c r="F466" s="616">
        <v>455727</v>
      </c>
      <c r="G466" s="613" t="s">
        <v>1495</v>
      </c>
      <c r="H466" s="613"/>
      <c r="I466" s="613"/>
      <c r="J466" s="613"/>
      <c r="K466" s="613"/>
      <c r="L466" s="613"/>
      <c r="M466" s="613"/>
      <c r="N466" s="615"/>
    </row>
    <row r="467" spans="2:14">
      <c r="B467" s="599">
        <f t="shared" si="7"/>
        <v>454</v>
      </c>
      <c r="C467" s="634" t="s">
        <v>116</v>
      </c>
      <c r="D467" s="609"/>
      <c r="E467" s="610" t="s">
        <v>7</v>
      </c>
      <c r="F467" s="616">
        <v>2348919</v>
      </c>
      <c r="G467" s="613" t="s">
        <v>1495</v>
      </c>
      <c r="H467" s="613"/>
      <c r="I467" s="613"/>
      <c r="J467" s="613"/>
      <c r="K467" s="613"/>
      <c r="L467" s="613"/>
      <c r="M467" s="613"/>
      <c r="N467" s="615"/>
    </row>
    <row r="468" spans="2:14">
      <c r="B468" s="599">
        <f t="shared" si="7"/>
        <v>455</v>
      </c>
      <c r="C468" s="634" t="s">
        <v>118</v>
      </c>
      <c r="D468" s="609"/>
      <c r="E468" s="610" t="s">
        <v>7</v>
      </c>
      <c r="F468" s="616">
        <v>3279089</v>
      </c>
      <c r="G468" s="613" t="s">
        <v>1495</v>
      </c>
      <c r="H468" s="613"/>
      <c r="I468" s="613"/>
      <c r="J468" s="613"/>
      <c r="K468" s="613"/>
      <c r="L468" s="613"/>
      <c r="M468" s="613"/>
      <c r="N468" s="615"/>
    </row>
    <row r="469" spans="2:14" ht="29">
      <c r="B469" s="599">
        <f t="shared" si="7"/>
        <v>456</v>
      </c>
      <c r="C469" s="634" t="s">
        <v>120</v>
      </c>
      <c r="D469" s="609"/>
      <c r="E469" s="610" t="s">
        <v>7</v>
      </c>
      <c r="F469" s="616">
        <v>156778</v>
      </c>
      <c r="G469" s="613" t="s">
        <v>1495</v>
      </c>
      <c r="H469" s="613"/>
      <c r="I469" s="613"/>
      <c r="J469" s="613"/>
      <c r="K469" s="613"/>
      <c r="L469" s="613"/>
      <c r="M469" s="613"/>
      <c r="N469" s="615"/>
    </row>
    <row r="470" spans="2:14">
      <c r="B470" s="599">
        <f t="shared" si="7"/>
        <v>457</v>
      </c>
      <c r="C470" s="634" t="s">
        <v>122</v>
      </c>
      <c r="D470" s="609" t="s">
        <v>1563</v>
      </c>
      <c r="E470" s="610" t="s">
        <v>32</v>
      </c>
      <c r="F470" s="616">
        <v>12744945</v>
      </c>
      <c r="G470" s="613" t="s">
        <v>1495</v>
      </c>
      <c r="H470" s="613"/>
      <c r="I470" s="613"/>
      <c r="J470" s="613"/>
      <c r="K470" s="613"/>
      <c r="L470" s="613"/>
      <c r="M470" s="613"/>
      <c r="N470" s="615"/>
    </row>
    <row r="471" spans="2:14">
      <c r="B471" s="599">
        <f t="shared" si="7"/>
        <v>458</v>
      </c>
      <c r="C471" s="634" t="s">
        <v>124</v>
      </c>
      <c r="D471" s="609"/>
      <c r="E471" s="610" t="s">
        <v>7</v>
      </c>
      <c r="F471" s="616">
        <v>2010227</v>
      </c>
      <c r="G471" s="613" t="s">
        <v>1495</v>
      </c>
      <c r="H471" s="613"/>
      <c r="I471" s="613"/>
      <c r="J471" s="613"/>
      <c r="K471" s="613"/>
      <c r="L471" s="613"/>
      <c r="M471" s="613"/>
      <c r="N471" s="615"/>
    </row>
    <row r="472" spans="2:14">
      <c r="B472" s="599">
        <f t="shared" si="7"/>
        <v>459</v>
      </c>
      <c r="C472" s="634" t="s">
        <v>126</v>
      </c>
      <c r="D472" s="609"/>
      <c r="E472" s="610" t="s">
        <v>7</v>
      </c>
      <c r="F472" s="616">
        <v>1212199</v>
      </c>
      <c r="G472" s="613" t="s">
        <v>1495</v>
      </c>
      <c r="H472" s="613"/>
      <c r="I472" s="613"/>
      <c r="J472" s="613"/>
      <c r="K472" s="613"/>
      <c r="L472" s="613"/>
      <c r="M472" s="613"/>
      <c r="N472" s="615"/>
    </row>
    <row r="473" spans="2:14">
      <c r="B473" s="599">
        <f t="shared" si="7"/>
        <v>460</v>
      </c>
      <c r="C473" s="634" t="s">
        <v>128</v>
      </c>
      <c r="D473" s="609"/>
      <c r="E473" s="610" t="s">
        <v>7</v>
      </c>
      <c r="F473" s="616">
        <v>3176751</v>
      </c>
      <c r="G473" s="613" t="s">
        <v>1495</v>
      </c>
      <c r="H473" s="613"/>
      <c r="I473" s="613"/>
      <c r="J473" s="613"/>
      <c r="K473" s="613"/>
      <c r="L473" s="613"/>
      <c r="M473" s="613"/>
      <c r="N473" s="615"/>
    </row>
    <row r="474" spans="2:14">
      <c r="B474" s="599">
        <f t="shared" si="7"/>
        <v>461</v>
      </c>
      <c r="C474" s="634" t="s">
        <v>1568</v>
      </c>
      <c r="D474" s="609" t="s">
        <v>1564</v>
      </c>
      <c r="E474" s="610" t="s">
        <v>32</v>
      </c>
      <c r="F474" s="616">
        <v>8685923</v>
      </c>
      <c r="G474" s="613" t="s">
        <v>1495</v>
      </c>
      <c r="H474" s="613"/>
      <c r="I474" s="613"/>
      <c r="J474" s="613"/>
      <c r="K474" s="613"/>
      <c r="L474" s="613"/>
      <c r="M474" s="613"/>
      <c r="N474" s="615"/>
    </row>
    <row r="475" spans="2:14">
      <c r="B475" s="599">
        <f t="shared" si="7"/>
        <v>462</v>
      </c>
      <c r="C475" s="634" t="s">
        <v>132</v>
      </c>
      <c r="D475" s="609" t="s">
        <v>1566</v>
      </c>
      <c r="E475" s="610" t="s">
        <v>32</v>
      </c>
      <c r="F475" s="616">
        <v>5561905</v>
      </c>
      <c r="G475" s="613" t="s">
        <v>1495</v>
      </c>
      <c r="H475" s="613"/>
      <c r="I475" s="613"/>
      <c r="J475" s="613"/>
      <c r="K475" s="613"/>
      <c r="L475" s="613"/>
      <c r="M475" s="613"/>
      <c r="N475" s="615"/>
    </row>
    <row r="476" spans="2:14">
      <c r="B476" s="599">
        <f t="shared" si="7"/>
        <v>463</v>
      </c>
      <c r="C476" s="634" t="s">
        <v>134</v>
      </c>
      <c r="D476" s="609"/>
      <c r="E476" s="610" t="s">
        <v>7</v>
      </c>
      <c r="F476" s="616">
        <v>2270236</v>
      </c>
      <c r="G476" s="613" t="s">
        <v>1495</v>
      </c>
      <c r="H476" s="613"/>
      <c r="I476" s="613"/>
      <c r="J476" s="613"/>
      <c r="K476" s="613"/>
      <c r="L476" s="613"/>
      <c r="M476" s="613"/>
      <c r="N476" s="615"/>
    </row>
    <row r="477" spans="2:14" ht="29">
      <c r="B477" s="599">
        <f t="shared" si="7"/>
        <v>464</v>
      </c>
      <c r="C477" s="634" t="s">
        <v>136</v>
      </c>
      <c r="D477" s="609"/>
      <c r="E477" s="610" t="s">
        <v>7</v>
      </c>
      <c r="F477" s="616">
        <v>11228663</v>
      </c>
      <c r="G477" s="613" t="s">
        <v>1495</v>
      </c>
      <c r="H477" s="613"/>
      <c r="I477" s="613"/>
      <c r="J477" s="613"/>
      <c r="K477" s="613"/>
      <c r="L477" s="613"/>
      <c r="M477" s="613"/>
      <c r="N477" s="615"/>
    </row>
    <row r="478" spans="2:14">
      <c r="B478" s="599">
        <f t="shared" si="7"/>
        <v>465</v>
      </c>
      <c r="C478" s="634" t="s">
        <v>138</v>
      </c>
      <c r="D478" s="609"/>
      <c r="E478" s="610" t="s">
        <v>7</v>
      </c>
      <c r="F478" s="616">
        <v>617623</v>
      </c>
      <c r="G478" s="613" t="s">
        <v>1495</v>
      </c>
      <c r="H478" s="613"/>
      <c r="I478" s="613"/>
      <c r="J478" s="613"/>
      <c r="K478" s="613"/>
      <c r="L478" s="613"/>
      <c r="M478" s="613"/>
      <c r="N478" s="615"/>
    </row>
    <row r="479" spans="2:14" ht="29">
      <c r="B479" s="599">
        <f t="shared" si="7"/>
        <v>466</v>
      </c>
      <c r="C479" s="634" t="s">
        <v>140</v>
      </c>
      <c r="D479" s="609"/>
      <c r="E479" s="610" t="s">
        <v>7</v>
      </c>
      <c r="F479" s="616">
        <v>6319622</v>
      </c>
      <c r="G479" s="613" t="s">
        <v>1495</v>
      </c>
      <c r="H479" s="613"/>
      <c r="I479" s="613"/>
      <c r="J479" s="613"/>
      <c r="K479" s="613"/>
      <c r="L479" s="613"/>
      <c r="M479" s="613"/>
      <c r="N479" s="615"/>
    </row>
    <row r="480" spans="2:14">
      <c r="B480" s="599">
        <f t="shared" si="7"/>
        <v>467</v>
      </c>
      <c r="C480" s="634" t="s">
        <v>142</v>
      </c>
      <c r="D480" s="609"/>
      <c r="E480" s="610" t="s">
        <v>7</v>
      </c>
      <c r="F480" s="616">
        <v>324360</v>
      </c>
      <c r="G480" s="613" t="s">
        <v>1495</v>
      </c>
      <c r="H480" s="613"/>
      <c r="I480" s="613"/>
      <c r="J480" s="613"/>
      <c r="K480" s="613"/>
      <c r="L480" s="613"/>
      <c r="M480" s="613"/>
      <c r="N480" s="615"/>
    </row>
    <row r="481" spans="2:14">
      <c r="B481" s="599">
        <f t="shared" si="7"/>
        <v>468</v>
      </c>
      <c r="C481" s="634" t="s">
        <v>144</v>
      </c>
      <c r="D481" s="609"/>
      <c r="E481" s="610" t="s">
        <v>7</v>
      </c>
      <c r="F481" s="616">
        <v>4941649</v>
      </c>
      <c r="G481" s="613" t="s">
        <v>1495</v>
      </c>
      <c r="H481" s="613"/>
      <c r="I481" s="613"/>
      <c r="J481" s="613"/>
      <c r="K481" s="613"/>
      <c r="L481" s="613"/>
      <c r="M481" s="613"/>
      <c r="N481" s="615"/>
    </row>
    <row r="482" spans="2:14">
      <c r="B482" s="599">
        <f t="shared" si="7"/>
        <v>469</v>
      </c>
      <c r="C482" s="634" t="s">
        <v>146</v>
      </c>
      <c r="D482" s="609"/>
      <c r="E482" s="610" t="s">
        <v>7</v>
      </c>
      <c r="F482" s="616">
        <v>3155850</v>
      </c>
      <c r="G482" s="613" t="s">
        <v>1495</v>
      </c>
      <c r="H482" s="613"/>
      <c r="I482" s="613"/>
      <c r="J482" s="613"/>
      <c r="K482" s="613"/>
      <c r="L482" s="613"/>
      <c r="M482" s="613"/>
      <c r="N482" s="615"/>
    </row>
    <row r="483" spans="2:14">
      <c r="B483" s="599">
        <f t="shared" si="7"/>
        <v>470</v>
      </c>
      <c r="C483" s="634" t="s">
        <v>148</v>
      </c>
      <c r="D483" s="609"/>
      <c r="E483" s="610" t="s">
        <v>7</v>
      </c>
      <c r="F483" s="616">
        <v>22285708</v>
      </c>
      <c r="G483" s="613" t="s">
        <v>1495</v>
      </c>
      <c r="H483" s="613"/>
      <c r="I483" s="613"/>
      <c r="J483" s="613"/>
      <c r="K483" s="613"/>
      <c r="L483" s="613"/>
      <c r="M483" s="613"/>
      <c r="N483" s="615"/>
    </row>
    <row r="484" spans="2:14">
      <c r="B484" s="599">
        <f t="shared" si="7"/>
        <v>471</v>
      </c>
      <c r="C484" s="634" t="s">
        <v>150</v>
      </c>
      <c r="D484" s="609"/>
      <c r="E484" s="610" t="s">
        <v>7</v>
      </c>
      <c r="F484" s="616">
        <v>1055414</v>
      </c>
      <c r="G484" s="613" t="s">
        <v>1495</v>
      </c>
      <c r="H484" s="613"/>
      <c r="I484" s="613"/>
      <c r="J484" s="613"/>
      <c r="K484" s="613"/>
      <c r="L484" s="613"/>
      <c r="M484" s="613"/>
      <c r="N484" s="615"/>
    </row>
    <row r="485" spans="2:14">
      <c r="B485" s="599">
        <f t="shared" si="7"/>
        <v>472</v>
      </c>
      <c r="C485" s="634" t="s">
        <v>152</v>
      </c>
      <c r="D485" s="609"/>
      <c r="E485" s="610" t="s">
        <v>7</v>
      </c>
      <c r="F485" s="616">
        <v>8982948</v>
      </c>
      <c r="G485" s="613" t="s">
        <v>1495</v>
      </c>
      <c r="H485" s="613"/>
      <c r="I485" s="613"/>
      <c r="J485" s="613"/>
      <c r="K485" s="613"/>
      <c r="L485" s="613"/>
      <c r="M485" s="613"/>
      <c r="N485" s="615"/>
    </row>
    <row r="486" spans="2:14">
      <c r="B486" s="599">
        <f t="shared" si="7"/>
        <v>473</v>
      </c>
      <c r="C486" s="634" t="s">
        <v>154</v>
      </c>
      <c r="D486" s="609"/>
      <c r="E486" s="610" t="s">
        <v>7</v>
      </c>
      <c r="F486" s="616">
        <v>2038631</v>
      </c>
      <c r="G486" s="613" t="s">
        <v>1495</v>
      </c>
      <c r="H486" s="613"/>
      <c r="I486" s="613"/>
      <c r="J486" s="613"/>
      <c r="K486" s="613"/>
      <c r="L486" s="613"/>
      <c r="M486" s="613"/>
      <c r="N486" s="615"/>
    </row>
    <row r="487" spans="2:14">
      <c r="B487" s="599">
        <f t="shared" si="7"/>
        <v>474</v>
      </c>
      <c r="C487" s="634" t="s">
        <v>156</v>
      </c>
      <c r="D487" s="609"/>
      <c r="E487" s="610" t="s">
        <v>7</v>
      </c>
      <c r="F487" s="616">
        <v>1089083</v>
      </c>
      <c r="G487" s="613" t="s">
        <v>1495</v>
      </c>
      <c r="H487" s="613"/>
      <c r="I487" s="613"/>
      <c r="J487" s="613"/>
      <c r="K487" s="613"/>
      <c r="L487" s="613"/>
      <c r="M487" s="613"/>
      <c r="N487" s="615"/>
    </row>
    <row r="488" spans="2:14">
      <c r="B488" s="599">
        <f t="shared" si="7"/>
        <v>475</v>
      </c>
      <c r="C488" s="634" t="s">
        <v>158</v>
      </c>
      <c r="D488" s="609"/>
      <c r="E488" s="610" t="s">
        <v>7</v>
      </c>
      <c r="F488" s="616">
        <v>1816904</v>
      </c>
      <c r="G488" s="613" t="s">
        <v>1495</v>
      </c>
      <c r="H488" s="613"/>
      <c r="I488" s="613"/>
      <c r="J488" s="613"/>
      <c r="K488" s="613"/>
      <c r="L488" s="613"/>
      <c r="M488" s="613"/>
      <c r="N488" s="615"/>
    </row>
    <row r="489" spans="2:14">
      <c r="B489" s="599">
        <f t="shared" si="7"/>
        <v>476</v>
      </c>
      <c r="C489" s="634" t="s">
        <v>160</v>
      </c>
      <c r="D489" s="609"/>
      <c r="E489" s="610" t="s">
        <v>7</v>
      </c>
      <c r="F489" s="616">
        <v>1790108</v>
      </c>
      <c r="G489" s="613" t="s">
        <v>1495</v>
      </c>
      <c r="H489" s="613"/>
      <c r="I489" s="613"/>
      <c r="J489" s="613"/>
      <c r="K489" s="613"/>
      <c r="L489" s="613"/>
      <c r="M489" s="613"/>
      <c r="N489" s="615"/>
    </row>
    <row r="490" spans="2:14">
      <c r="B490" s="599">
        <f t="shared" si="7"/>
        <v>477</v>
      </c>
      <c r="C490" s="634" t="s">
        <v>162</v>
      </c>
      <c r="D490" s="609"/>
      <c r="E490" s="610" t="s">
        <v>7</v>
      </c>
      <c r="F490" s="616">
        <v>6346264</v>
      </c>
      <c r="G490" s="613" t="s">
        <v>1495</v>
      </c>
      <c r="H490" s="613"/>
      <c r="I490" s="613"/>
      <c r="J490" s="613"/>
      <c r="K490" s="613"/>
      <c r="L490" s="613"/>
      <c r="M490" s="613"/>
      <c r="N490" s="615"/>
    </row>
    <row r="491" spans="2:14">
      <c r="B491" s="599">
        <f t="shared" si="7"/>
        <v>478</v>
      </c>
      <c r="C491" s="634" t="s">
        <v>164</v>
      </c>
      <c r="D491" s="609"/>
      <c r="E491" s="610" t="s">
        <v>7</v>
      </c>
      <c r="F491" s="616">
        <v>10569338</v>
      </c>
      <c r="G491" s="613" t="s">
        <v>1495</v>
      </c>
      <c r="H491" s="613"/>
      <c r="I491" s="613"/>
      <c r="J491" s="613"/>
      <c r="K491" s="613"/>
      <c r="L491" s="613"/>
      <c r="M491" s="613"/>
      <c r="N491" s="615"/>
    </row>
    <row r="492" spans="2:14">
      <c r="B492" s="599">
        <f t="shared" si="7"/>
        <v>479</v>
      </c>
      <c r="C492" s="634" t="s">
        <v>166</v>
      </c>
      <c r="D492" s="609" t="s">
        <v>1563</v>
      </c>
      <c r="E492" s="610" t="s">
        <v>32</v>
      </c>
      <c r="F492" s="616">
        <v>3750704</v>
      </c>
      <c r="G492" s="613" t="s">
        <v>1495</v>
      </c>
      <c r="H492" s="613"/>
      <c r="I492" s="613"/>
      <c r="J492" s="613"/>
      <c r="K492" s="613"/>
      <c r="L492" s="613"/>
      <c r="M492" s="613"/>
      <c r="N492" s="615"/>
    </row>
    <row r="493" spans="2:14">
      <c r="B493" s="599">
        <f t="shared" si="7"/>
        <v>480</v>
      </c>
      <c r="C493" s="634" t="s">
        <v>168</v>
      </c>
      <c r="D493" s="609"/>
      <c r="E493" s="610" t="s">
        <v>7</v>
      </c>
      <c r="F493" s="616">
        <v>2720853</v>
      </c>
      <c r="G493" s="613" t="s">
        <v>1495</v>
      </c>
      <c r="H493" s="613"/>
      <c r="I493" s="613"/>
      <c r="J493" s="613"/>
      <c r="K493" s="613"/>
      <c r="L493" s="613"/>
      <c r="M493" s="613"/>
      <c r="N493" s="615"/>
    </row>
    <row r="494" spans="2:14" ht="29">
      <c r="B494" s="599">
        <f t="shared" si="7"/>
        <v>481</v>
      </c>
      <c r="C494" s="634" t="s">
        <v>170</v>
      </c>
      <c r="D494" s="609"/>
      <c r="E494" s="610" t="s">
        <v>7</v>
      </c>
      <c r="F494" s="616">
        <v>1132486</v>
      </c>
      <c r="G494" s="613" t="s">
        <v>1495</v>
      </c>
      <c r="H494" s="613"/>
      <c r="I494" s="613"/>
      <c r="J494" s="613"/>
      <c r="K494" s="613"/>
      <c r="L494" s="613"/>
      <c r="M494" s="613"/>
      <c r="N494" s="615"/>
    </row>
    <row r="495" spans="2:14" ht="29">
      <c r="B495" s="599">
        <f t="shared" si="7"/>
        <v>482</v>
      </c>
      <c r="C495" s="634" t="s">
        <v>172</v>
      </c>
      <c r="D495" s="609"/>
      <c r="E495" s="610" t="s">
        <v>7</v>
      </c>
      <c r="F495" s="616">
        <v>309991</v>
      </c>
      <c r="G495" s="613" t="s">
        <v>1495</v>
      </c>
      <c r="H495" s="613"/>
      <c r="I495" s="613"/>
      <c r="J495" s="613"/>
      <c r="K495" s="613"/>
      <c r="L495" s="613"/>
      <c r="M495" s="613"/>
      <c r="N495" s="615"/>
    </row>
    <row r="496" spans="2:14" ht="29">
      <c r="B496" s="599">
        <f t="shared" si="7"/>
        <v>483</v>
      </c>
      <c r="C496" s="634" t="s">
        <v>174</v>
      </c>
      <c r="D496" s="609"/>
      <c r="E496" s="610" t="s">
        <v>7</v>
      </c>
      <c r="F496" s="616">
        <v>2651860</v>
      </c>
      <c r="G496" s="613" t="s">
        <v>1495</v>
      </c>
      <c r="H496" s="613"/>
      <c r="I496" s="613"/>
      <c r="J496" s="613"/>
      <c r="K496" s="613"/>
      <c r="L496" s="613"/>
      <c r="M496" s="613"/>
      <c r="N496" s="615"/>
    </row>
    <row r="497" spans="2:14" ht="29">
      <c r="B497" s="599">
        <f t="shared" si="7"/>
        <v>484</v>
      </c>
      <c r="C497" s="634" t="s">
        <v>176</v>
      </c>
      <c r="D497" s="609"/>
      <c r="E497" s="610" t="s">
        <v>7</v>
      </c>
      <c r="F497" s="616">
        <v>3850393</v>
      </c>
      <c r="G497" s="613" t="s">
        <v>1495</v>
      </c>
      <c r="H497" s="613"/>
      <c r="I497" s="613"/>
      <c r="J497" s="613"/>
      <c r="K497" s="613"/>
      <c r="L497" s="613"/>
      <c r="M497" s="613"/>
      <c r="N497" s="615"/>
    </row>
    <row r="498" spans="2:14" ht="29">
      <c r="B498" s="599">
        <f t="shared" si="7"/>
        <v>485</v>
      </c>
      <c r="C498" s="634" t="s">
        <v>178</v>
      </c>
      <c r="D498" s="609"/>
      <c r="E498" s="610" t="s">
        <v>7</v>
      </c>
      <c r="F498" s="616">
        <v>5119119</v>
      </c>
      <c r="G498" s="613" t="s">
        <v>1495</v>
      </c>
      <c r="H498" s="613"/>
      <c r="I498" s="613"/>
      <c r="J498" s="613"/>
      <c r="K498" s="613"/>
      <c r="L498" s="613"/>
      <c r="M498" s="613"/>
      <c r="N498" s="615"/>
    </row>
    <row r="499" spans="2:14">
      <c r="B499" s="599">
        <f t="shared" si="7"/>
        <v>486</v>
      </c>
      <c r="C499" s="634" t="s">
        <v>180</v>
      </c>
      <c r="D499" s="609"/>
      <c r="E499" s="610" t="s">
        <v>7</v>
      </c>
      <c r="F499" s="616">
        <v>5768280</v>
      </c>
      <c r="G499" s="613" t="s">
        <v>1495</v>
      </c>
      <c r="H499" s="613"/>
      <c r="I499" s="613"/>
      <c r="J499" s="613"/>
      <c r="K499" s="613"/>
      <c r="L499" s="613"/>
      <c r="M499" s="613"/>
      <c r="N499" s="615"/>
    </row>
    <row r="500" spans="2:14">
      <c r="B500" s="599">
        <f t="shared" si="7"/>
        <v>487</v>
      </c>
      <c r="C500" s="634" t="s">
        <v>182</v>
      </c>
      <c r="D500" s="609"/>
      <c r="E500" s="610" t="s">
        <v>7</v>
      </c>
      <c r="F500" s="616">
        <v>1967901</v>
      </c>
      <c r="G500" s="613" t="s">
        <v>1495</v>
      </c>
      <c r="H500" s="613"/>
      <c r="I500" s="613"/>
      <c r="J500" s="613"/>
      <c r="K500" s="613"/>
      <c r="L500" s="613"/>
      <c r="M500" s="613"/>
      <c r="N500" s="615"/>
    </row>
    <row r="501" spans="2:14">
      <c r="B501" s="599">
        <f t="shared" si="7"/>
        <v>488</v>
      </c>
      <c r="C501" s="634" t="s">
        <v>184</v>
      </c>
      <c r="D501" s="609"/>
      <c r="E501" s="610" t="s">
        <v>7</v>
      </c>
      <c r="F501" s="616">
        <v>6683770</v>
      </c>
      <c r="G501" s="613" t="s">
        <v>1495</v>
      </c>
      <c r="H501" s="613"/>
      <c r="I501" s="613"/>
      <c r="J501" s="613"/>
      <c r="K501" s="613"/>
      <c r="L501" s="613"/>
      <c r="M501" s="613"/>
      <c r="N501" s="615"/>
    </row>
    <row r="502" spans="2:14">
      <c r="B502" s="599">
        <f t="shared" si="7"/>
        <v>489</v>
      </c>
      <c r="C502" s="634" t="s">
        <v>186</v>
      </c>
      <c r="D502" s="609"/>
      <c r="E502" s="610" t="s">
        <v>7</v>
      </c>
      <c r="F502" s="616">
        <v>388816</v>
      </c>
      <c r="G502" s="613" t="s">
        <v>1495</v>
      </c>
      <c r="H502" s="613"/>
      <c r="I502" s="613"/>
      <c r="J502" s="613"/>
      <c r="K502" s="613"/>
      <c r="L502" s="613"/>
      <c r="M502" s="613"/>
      <c r="N502" s="615"/>
    </row>
    <row r="503" spans="2:14">
      <c r="B503" s="599">
        <f t="shared" si="7"/>
        <v>490</v>
      </c>
      <c r="C503" s="634" t="s">
        <v>188</v>
      </c>
      <c r="D503" s="609"/>
      <c r="E503" s="610" t="s">
        <v>7</v>
      </c>
      <c r="F503" s="616">
        <v>2488318</v>
      </c>
      <c r="G503" s="613" t="s">
        <v>1495</v>
      </c>
      <c r="H503" s="613"/>
      <c r="I503" s="613"/>
      <c r="J503" s="613"/>
      <c r="K503" s="613"/>
      <c r="L503" s="613"/>
      <c r="M503" s="613"/>
      <c r="N503" s="615"/>
    </row>
    <row r="504" spans="2:14">
      <c r="B504" s="599">
        <f t="shared" si="7"/>
        <v>491</v>
      </c>
      <c r="C504" s="634" t="s">
        <v>190</v>
      </c>
      <c r="D504" s="609"/>
      <c r="E504" s="610" t="s">
        <v>7</v>
      </c>
      <c r="F504" s="616">
        <v>1187034</v>
      </c>
      <c r="G504" s="613" t="s">
        <v>1495</v>
      </c>
      <c r="H504" s="613"/>
      <c r="I504" s="613"/>
      <c r="J504" s="613"/>
      <c r="K504" s="613"/>
      <c r="L504" s="613"/>
      <c r="M504" s="613"/>
      <c r="N504" s="615"/>
    </row>
    <row r="505" spans="2:14">
      <c r="B505" s="599">
        <f t="shared" si="7"/>
        <v>492</v>
      </c>
      <c r="C505" s="634" t="s">
        <v>1567</v>
      </c>
      <c r="D505" s="609"/>
      <c r="G505" s="613" t="s">
        <v>1495</v>
      </c>
      <c r="H505" s="613"/>
      <c r="I505" s="613"/>
      <c r="J505" s="613"/>
      <c r="K505" s="613"/>
      <c r="L505" s="613"/>
      <c r="M505" s="613"/>
      <c r="N505" s="615"/>
    </row>
    <row r="506" spans="2:14" ht="29">
      <c r="B506" s="599">
        <f t="shared" si="7"/>
        <v>493</v>
      </c>
      <c r="C506" s="634" t="s">
        <v>192</v>
      </c>
      <c r="D506" s="609"/>
      <c r="E506" s="610" t="s">
        <v>7</v>
      </c>
      <c r="F506" s="616">
        <v>52064</v>
      </c>
      <c r="G506" s="613" t="s">
        <v>1495</v>
      </c>
      <c r="H506" s="613"/>
      <c r="I506" s="613"/>
      <c r="J506" s="613"/>
      <c r="K506" s="613"/>
      <c r="L506" s="613"/>
      <c r="M506" s="613"/>
      <c r="N506" s="615"/>
    </row>
    <row r="507" spans="2:14">
      <c r="B507" s="599">
        <f t="shared" si="7"/>
        <v>494</v>
      </c>
      <c r="C507" s="634" t="s">
        <v>194</v>
      </c>
      <c r="D507" s="609"/>
      <c r="E507" s="610" t="s">
        <v>7</v>
      </c>
      <c r="F507" s="616">
        <v>2235655</v>
      </c>
      <c r="G507" s="613" t="s">
        <v>1495</v>
      </c>
      <c r="H507" s="613"/>
      <c r="I507" s="613"/>
      <c r="J507" s="613"/>
      <c r="K507" s="613"/>
      <c r="L507" s="613"/>
      <c r="M507" s="613"/>
      <c r="N507" s="615"/>
    </row>
    <row r="508" spans="2:14">
      <c r="B508" s="599">
        <f t="shared" si="7"/>
        <v>495</v>
      </c>
      <c r="C508" s="634" t="s">
        <v>197</v>
      </c>
      <c r="D508" s="609"/>
      <c r="E508" s="610" t="s">
        <v>7</v>
      </c>
      <c r="F508" s="616">
        <v>1825369</v>
      </c>
      <c r="G508" s="613" t="s">
        <v>1495</v>
      </c>
      <c r="H508" s="613"/>
      <c r="I508" s="613"/>
      <c r="J508" s="613"/>
      <c r="K508" s="613"/>
      <c r="L508" s="613"/>
      <c r="M508" s="613"/>
      <c r="N508" s="615"/>
    </row>
    <row r="509" spans="2:14">
      <c r="B509" s="599">
        <f t="shared" si="7"/>
        <v>496</v>
      </c>
      <c r="C509" s="634" t="s">
        <v>199</v>
      </c>
      <c r="D509" s="609"/>
      <c r="E509" s="610" t="s">
        <v>7</v>
      </c>
      <c r="F509" s="616">
        <v>1938353</v>
      </c>
      <c r="G509" s="613" t="s">
        <v>1495</v>
      </c>
      <c r="H509" s="613"/>
      <c r="I509" s="613"/>
      <c r="J509" s="613"/>
      <c r="K509" s="613"/>
      <c r="L509" s="613"/>
      <c r="M509" s="613"/>
      <c r="N509" s="615"/>
    </row>
    <row r="510" spans="2:14">
      <c r="B510" s="599">
        <f t="shared" si="7"/>
        <v>497</v>
      </c>
      <c r="C510" s="634" t="s">
        <v>201</v>
      </c>
      <c r="D510" s="609"/>
      <c r="E510" s="610" t="s">
        <v>7</v>
      </c>
      <c r="F510" s="616">
        <v>3217192</v>
      </c>
      <c r="G510" s="613" t="s">
        <v>1495</v>
      </c>
      <c r="H510" s="613"/>
      <c r="I510" s="613"/>
      <c r="J510" s="613"/>
      <c r="K510" s="613"/>
      <c r="L510" s="613"/>
      <c r="M510" s="613"/>
      <c r="N510" s="615"/>
    </row>
    <row r="511" spans="2:14" ht="29">
      <c r="B511" s="599">
        <f t="shared" si="7"/>
        <v>498</v>
      </c>
      <c r="C511" s="634" t="s">
        <v>203</v>
      </c>
      <c r="D511" s="609"/>
      <c r="E511" s="610" t="s">
        <v>7</v>
      </c>
      <c r="F511" s="616">
        <v>277897</v>
      </c>
      <c r="G511" s="613" t="s">
        <v>1495</v>
      </c>
      <c r="H511" s="613"/>
      <c r="I511" s="613"/>
      <c r="J511" s="613"/>
      <c r="K511" s="613"/>
      <c r="L511" s="613"/>
      <c r="M511" s="613"/>
      <c r="N511" s="615"/>
    </row>
    <row r="512" spans="2:14">
      <c r="B512" s="599">
        <f t="shared" si="7"/>
        <v>499</v>
      </c>
      <c r="C512" s="634" t="s">
        <v>205</v>
      </c>
      <c r="D512" s="609"/>
      <c r="E512" s="610" t="s">
        <v>7</v>
      </c>
      <c r="F512" s="616">
        <v>6743203</v>
      </c>
      <c r="G512" s="613" t="s">
        <v>1495</v>
      </c>
      <c r="H512" s="613"/>
      <c r="I512" s="613"/>
      <c r="J512" s="613"/>
      <c r="K512" s="613"/>
      <c r="L512" s="613"/>
      <c r="M512" s="613"/>
      <c r="N512" s="615"/>
    </row>
    <row r="513" spans="1:14">
      <c r="B513" s="599">
        <f t="shared" si="7"/>
        <v>500</v>
      </c>
      <c r="C513" s="634" t="s">
        <v>207</v>
      </c>
      <c r="D513" s="609" t="s">
        <v>1566</v>
      </c>
      <c r="E513" s="610" t="s">
        <v>32</v>
      </c>
      <c r="F513" s="616">
        <v>1084858</v>
      </c>
      <c r="G513" s="613" t="s">
        <v>1495</v>
      </c>
      <c r="H513" s="613" t="s">
        <v>1495</v>
      </c>
      <c r="I513" s="613"/>
      <c r="J513" s="613"/>
      <c r="K513" s="613"/>
      <c r="L513" s="613"/>
      <c r="M513" s="613"/>
      <c r="N513" s="615"/>
    </row>
    <row r="514" spans="1:14">
      <c r="B514" s="599">
        <f t="shared" si="7"/>
        <v>501</v>
      </c>
      <c r="C514" s="634" t="s">
        <v>209</v>
      </c>
      <c r="D514" s="609"/>
      <c r="E514" s="610" t="s">
        <v>7</v>
      </c>
      <c r="F514" s="616">
        <v>3485236</v>
      </c>
      <c r="G514" s="613" t="s">
        <v>1495</v>
      </c>
      <c r="H514" s="613"/>
      <c r="I514" s="613"/>
      <c r="J514" s="613"/>
      <c r="K514" s="613"/>
      <c r="L514" s="613"/>
      <c r="M514" s="613"/>
      <c r="N514" s="615"/>
    </row>
    <row r="515" spans="1:14">
      <c r="B515" s="599">
        <f t="shared" si="7"/>
        <v>502</v>
      </c>
      <c r="C515" s="634" t="s">
        <v>211</v>
      </c>
      <c r="D515" s="609"/>
      <c r="E515" s="610" t="s">
        <v>7</v>
      </c>
      <c r="F515" s="616">
        <v>1527895</v>
      </c>
      <c r="G515" s="613" t="s">
        <v>1495</v>
      </c>
      <c r="H515" s="613"/>
      <c r="I515" s="613"/>
      <c r="J515" s="613"/>
      <c r="K515" s="613"/>
      <c r="L515" s="613"/>
      <c r="M515" s="613"/>
      <c r="N515" s="615"/>
    </row>
    <row r="516" spans="1:14">
      <c r="B516" s="599">
        <f t="shared" si="7"/>
        <v>503</v>
      </c>
      <c r="C516" s="634" t="s">
        <v>1565</v>
      </c>
      <c r="D516" s="609" t="s">
        <v>1564</v>
      </c>
      <c r="E516" s="610" t="s">
        <v>32</v>
      </c>
      <c r="F516" s="616">
        <v>4497482</v>
      </c>
      <c r="G516" s="613" t="s">
        <v>1495</v>
      </c>
      <c r="H516" s="613"/>
      <c r="I516" s="613"/>
      <c r="J516" s="613"/>
      <c r="K516" s="613"/>
      <c r="L516" s="613"/>
      <c r="M516" s="613"/>
      <c r="N516" s="615"/>
    </row>
    <row r="517" spans="1:14" ht="43.5">
      <c r="B517" s="599">
        <f t="shared" si="7"/>
        <v>504</v>
      </c>
      <c r="C517" s="634" t="s">
        <v>215</v>
      </c>
      <c r="D517" s="609"/>
      <c r="E517" s="610" t="s">
        <v>7</v>
      </c>
      <c r="F517" s="616">
        <v>312931</v>
      </c>
      <c r="G517" s="613" t="s">
        <v>1495</v>
      </c>
      <c r="H517" s="613"/>
      <c r="I517" s="613"/>
      <c r="J517" s="613"/>
      <c r="K517" s="613"/>
      <c r="L517" s="613"/>
      <c r="M517" s="613"/>
      <c r="N517" s="615"/>
    </row>
    <row r="518" spans="1:14" ht="29">
      <c r="B518" s="599">
        <f t="shared" si="7"/>
        <v>505</v>
      </c>
      <c r="C518" s="634" t="s">
        <v>217</v>
      </c>
      <c r="D518" s="609"/>
      <c r="E518" s="610" t="s">
        <v>7</v>
      </c>
      <c r="F518" s="616">
        <v>7381220</v>
      </c>
      <c r="G518" s="613" t="s">
        <v>1495</v>
      </c>
      <c r="H518" s="613"/>
      <c r="I518" s="613"/>
      <c r="J518" s="613"/>
      <c r="K518" s="613"/>
      <c r="L518" s="613"/>
      <c r="M518" s="613"/>
      <c r="N518" s="615"/>
    </row>
    <row r="519" spans="1:14">
      <c r="B519" s="599">
        <f t="shared" ref="B519:B582" si="8">B518+1</f>
        <v>506</v>
      </c>
      <c r="C519" s="634" t="s">
        <v>219</v>
      </c>
      <c r="D519" s="609"/>
      <c r="E519" s="610" t="s">
        <v>7</v>
      </c>
      <c r="F519" s="616">
        <v>26679769</v>
      </c>
      <c r="G519" s="613" t="s">
        <v>1495</v>
      </c>
      <c r="H519" s="613"/>
      <c r="I519" s="613"/>
      <c r="J519" s="613"/>
      <c r="K519" s="613"/>
      <c r="L519" s="613"/>
      <c r="M519" s="613"/>
      <c r="N519" s="615"/>
    </row>
    <row r="520" spans="1:14">
      <c r="B520" s="599">
        <f t="shared" si="8"/>
        <v>507</v>
      </c>
      <c r="C520" s="634" t="s">
        <v>220</v>
      </c>
      <c r="D520" s="609"/>
      <c r="E520" s="610" t="s">
        <v>7</v>
      </c>
      <c r="F520" s="616">
        <v>992709</v>
      </c>
      <c r="G520" s="613" t="s">
        <v>1495</v>
      </c>
      <c r="H520" s="613"/>
      <c r="I520" s="613"/>
      <c r="J520" s="613"/>
      <c r="K520" s="613"/>
      <c r="L520" s="613"/>
      <c r="M520" s="613"/>
      <c r="N520" s="615"/>
    </row>
    <row r="521" spans="1:14">
      <c r="B521" s="599">
        <f t="shared" si="8"/>
        <v>508</v>
      </c>
      <c r="C521" s="634" t="s">
        <v>222</v>
      </c>
      <c r="D521" s="609"/>
      <c r="E521" s="610" t="s">
        <v>7</v>
      </c>
      <c r="F521" s="616">
        <v>17608556</v>
      </c>
      <c r="G521" s="613" t="s">
        <v>1495</v>
      </c>
      <c r="H521" s="613"/>
      <c r="I521" s="613"/>
      <c r="J521" s="613"/>
      <c r="K521" s="613"/>
      <c r="L521" s="613"/>
      <c r="M521" s="613"/>
      <c r="N521" s="615"/>
    </row>
    <row r="522" spans="1:14">
      <c r="B522" s="599">
        <f t="shared" si="8"/>
        <v>509</v>
      </c>
      <c r="C522" s="634" t="s">
        <v>224</v>
      </c>
      <c r="D522" s="609"/>
      <c r="E522" s="610" t="s">
        <v>7</v>
      </c>
      <c r="F522" s="616">
        <v>2783582</v>
      </c>
      <c r="G522" s="613" t="s">
        <v>1495</v>
      </c>
      <c r="H522" s="613"/>
      <c r="I522" s="613"/>
      <c r="J522" s="613"/>
      <c r="K522" s="613"/>
      <c r="L522" s="613"/>
      <c r="M522" s="613"/>
      <c r="N522" s="615"/>
    </row>
    <row r="523" spans="1:14">
      <c r="B523" s="599">
        <f t="shared" si="8"/>
        <v>510</v>
      </c>
      <c r="C523" s="634" t="s">
        <v>226</v>
      </c>
      <c r="D523" s="609"/>
      <c r="E523" s="610" t="s">
        <v>7</v>
      </c>
      <c r="F523" s="616">
        <v>4629316</v>
      </c>
      <c r="G523" s="613" t="s">
        <v>1495</v>
      </c>
      <c r="H523" s="613"/>
      <c r="I523" s="613"/>
      <c r="J523" s="613"/>
      <c r="K523" s="613"/>
      <c r="L523" s="613"/>
      <c r="M523" s="613"/>
      <c r="N523" s="615"/>
    </row>
    <row r="524" spans="1:14">
      <c r="B524" s="599">
        <f t="shared" si="8"/>
        <v>511</v>
      </c>
      <c r="C524" s="634" t="s">
        <v>228</v>
      </c>
      <c r="D524" s="609" t="s">
        <v>1563</v>
      </c>
      <c r="E524" s="610" t="s">
        <v>32</v>
      </c>
      <c r="F524" s="616">
        <v>2265163</v>
      </c>
      <c r="G524" s="613" t="s">
        <v>1495</v>
      </c>
      <c r="H524" s="613"/>
      <c r="I524" s="613"/>
      <c r="J524" s="613"/>
      <c r="K524" s="613"/>
      <c r="L524" s="613"/>
      <c r="M524" s="613"/>
      <c r="N524" s="615"/>
    </row>
    <row r="525" spans="1:14" ht="29">
      <c r="B525" s="599">
        <f t="shared" si="8"/>
        <v>512</v>
      </c>
      <c r="C525" s="634" t="s">
        <v>1562</v>
      </c>
      <c r="D525" s="609" t="s">
        <v>2315</v>
      </c>
      <c r="E525" s="610" t="s">
        <v>32</v>
      </c>
      <c r="F525" s="616">
        <v>0</v>
      </c>
      <c r="G525" s="613" t="s">
        <v>1495</v>
      </c>
      <c r="H525" s="613"/>
      <c r="I525" s="613"/>
      <c r="J525" s="613"/>
      <c r="K525" s="613"/>
      <c r="L525" s="613"/>
      <c r="M525" s="613"/>
      <c r="N525" s="615"/>
    </row>
    <row r="526" spans="1:14">
      <c r="B526" s="599">
        <f t="shared" si="8"/>
        <v>513</v>
      </c>
      <c r="C526" s="634"/>
      <c r="D526" s="609"/>
      <c r="G526" s="613"/>
      <c r="H526" s="613"/>
      <c r="I526" s="613"/>
      <c r="J526" s="613"/>
      <c r="K526" s="613"/>
      <c r="L526" s="613"/>
      <c r="M526" s="613"/>
      <c r="N526" s="615"/>
    </row>
    <row r="527" spans="1:14">
      <c r="B527" s="599">
        <f t="shared" si="8"/>
        <v>514</v>
      </c>
      <c r="C527" s="633" t="s">
        <v>1561</v>
      </c>
      <c r="D527" s="609"/>
      <c r="G527" s="613"/>
      <c r="H527" s="613"/>
      <c r="I527" s="613"/>
      <c r="J527" s="613"/>
      <c r="K527" s="613"/>
      <c r="L527" s="613"/>
      <c r="M527" s="613"/>
      <c r="N527" s="615"/>
    </row>
    <row r="528" spans="1:14">
      <c r="A528" s="638" t="s">
        <v>463</v>
      </c>
      <c r="B528" s="599">
        <f t="shared" si="8"/>
        <v>515</v>
      </c>
      <c r="C528" s="608" t="s">
        <v>1560</v>
      </c>
      <c r="D528" s="609" t="s">
        <v>1559</v>
      </c>
      <c r="E528" s="610" t="s">
        <v>7</v>
      </c>
      <c r="F528" s="616">
        <v>1286118</v>
      </c>
      <c r="G528" s="613" t="s">
        <v>1495</v>
      </c>
      <c r="H528" s="613"/>
      <c r="I528" s="613"/>
      <c r="J528" s="613"/>
      <c r="K528" s="613"/>
      <c r="L528" s="613"/>
      <c r="M528" s="613"/>
      <c r="N528" s="615"/>
    </row>
    <row r="529" spans="1:14">
      <c r="A529" s="638" t="s">
        <v>465</v>
      </c>
      <c r="B529" s="599">
        <f t="shared" si="8"/>
        <v>516</v>
      </c>
      <c r="C529" s="608" t="s">
        <v>1558</v>
      </c>
      <c r="D529" s="609" t="s">
        <v>1557</v>
      </c>
      <c r="E529" s="610" t="s">
        <v>7</v>
      </c>
      <c r="F529" s="616">
        <v>810134</v>
      </c>
      <c r="G529" s="613" t="s">
        <v>1495</v>
      </c>
      <c r="H529" s="613"/>
      <c r="I529" s="613"/>
      <c r="J529" s="613"/>
      <c r="K529" s="613"/>
      <c r="L529" s="613"/>
      <c r="M529" s="613"/>
      <c r="N529" s="615"/>
    </row>
    <row r="530" spans="1:14">
      <c r="A530" s="638" t="s">
        <v>485</v>
      </c>
      <c r="B530" s="599">
        <f t="shared" si="8"/>
        <v>517</v>
      </c>
      <c r="C530" s="608" t="s">
        <v>1556</v>
      </c>
      <c r="D530" s="609" t="s">
        <v>1555</v>
      </c>
      <c r="E530" s="610" t="s">
        <v>7</v>
      </c>
      <c r="F530" s="616">
        <v>180660</v>
      </c>
      <c r="G530" s="613" t="s">
        <v>1495</v>
      </c>
      <c r="H530" s="613"/>
      <c r="I530" s="613"/>
      <c r="J530" s="613"/>
      <c r="K530" s="613"/>
      <c r="L530" s="613"/>
      <c r="M530" s="613"/>
      <c r="N530" s="615"/>
    </row>
    <row r="531" spans="1:14">
      <c r="A531" s="638" t="s">
        <v>487</v>
      </c>
      <c r="B531" s="599">
        <f t="shared" si="8"/>
        <v>518</v>
      </c>
      <c r="C531" s="608" t="s">
        <v>1554</v>
      </c>
      <c r="D531" s="609" t="s">
        <v>1553</v>
      </c>
      <c r="E531" s="610" t="s">
        <v>7</v>
      </c>
      <c r="F531" s="616">
        <v>851881</v>
      </c>
      <c r="G531" s="613" t="s">
        <v>1495</v>
      </c>
      <c r="H531" s="613"/>
      <c r="I531" s="613"/>
      <c r="J531" s="613"/>
      <c r="K531" s="613"/>
      <c r="L531" s="613"/>
      <c r="M531" s="613"/>
      <c r="N531" s="615"/>
    </row>
    <row r="532" spans="1:14">
      <c r="A532" s="638" t="s">
        <v>489</v>
      </c>
      <c r="B532" s="599">
        <f t="shared" si="8"/>
        <v>519</v>
      </c>
      <c r="C532" s="608" t="s">
        <v>1552</v>
      </c>
      <c r="D532" s="609" t="s">
        <v>1551</v>
      </c>
      <c r="E532" s="610" t="s">
        <v>7</v>
      </c>
      <c r="F532" s="616">
        <v>951783</v>
      </c>
      <c r="G532" s="613" t="s">
        <v>1495</v>
      </c>
      <c r="H532" s="613"/>
      <c r="I532" s="613"/>
      <c r="J532" s="613"/>
      <c r="K532" s="613"/>
      <c r="L532" s="613"/>
      <c r="M532" s="613"/>
      <c r="N532" s="615"/>
    </row>
    <row r="533" spans="1:14">
      <c r="A533" s="638" t="s">
        <v>491</v>
      </c>
      <c r="B533" s="599">
        <f t="shared" si="8"/>
        <v>520</v>
      </c>
      <c r="C533" s="608" t="s">
        <v>1550</v>
      </c>
      <c r="D533" s="609" t="s">
        <v>1549</v>
      </c>
      <c r="E533" s="610" t="s">
        <v>7</v>
      </c>
      <c r="F533" s="616">
        <v>22102</v>
      </c>
      <c r="G533" s="613" t="s">
        <v>1495</v>
      </c>
      <c r="H533" s="613"/>
      <c r="I533" s="613"/>
      <c r="J533" s="613"/>
      <c r="K533" s="613"/>
      <c r="L533" s="613"/>
      <c r="M533" s="613"/>
      <c r="N533" s="615"/>
    </row>
    <row r="534" spans="1:14">
      <c r="A534" s="638" t="s">
        <v>495</v>
      </c>
      <c r="B534" s="599">
        <f t="shared" si="8"/>
        <v>521</v>
      </c>
      <c r="C534" s="608" t="s">
        <v>1548</v>
      </c>
      <c r="D534" s="609" t="s">
        <v>1547</v>
      </c>
      <c r="E534" s="610" t="s">
        <v>7</v>
      </c>
      <c r="F534" s="616">
        <v>336089</v>
      </c>
      <c r="G534" s="613" t="s">
        <v>1495</v>
      </c>
      <c r="H534" s="613"/>
      <c r="I534" s="613"/>
      <c r="J534" s="613"/>
      <c r="K534" s="613"/>
      <c r="L534" s="613"/>
      <c r="M534" s="613"/>
      <c r="N534" s="615"/>
    </row>
    <row r="535" spans="1:14">
      <c r="A535" s="638" t="s">
        <v>497</v>
      </c>
      <c r="B535" s="599">
        <f t="shared" si="8"/>
        <v>522</v>
      </c>
      <c r="C535" s="608" t="s">
        <v>1546</v>
      </c>
      <c r="D535" s="609" t="s">
        <v>1545</v>
      </c>
      <c r="E535" s="610" t="s">
        <v>32</v>
      </c>
      <c r="F535" s="616">
        <v>166306</v>
      </c>
      <c r="G535" s="613" t="s">
        <v>1495</v>
      </c>
      <c r="H535" s="613" t="s">
        <v>1495</v>
      </c>
      <c r="I535" s="613"/>
      <c r="J535" s="613"/>
      <c r="K535" s="613"/>
      <c r="L535" s="613"/>
      <c r="M535" s="613"/>
      <c r="N535" s="615" t="s">
        <v>1544</v>
      </c>
    </row>
    <row r="536" spans="1:14">
      <c r="A536" s="638" t="s">
        <v>499</v>
      </c>
      <c r="B536" s="599">
        <f t="shared" si="8"/>
        <v>523</v>
      </c>
      <c r="C536" s="608" t="s">
        <v>1543</v>
      </c>
      <c r="D536" s="609" t="s">
        <v>1542</v>
      </c>
      <c r="E536" s="610" t="s">
        <v>7</v>
      </c>
      <c r="F536" s="616">
        <v>232375</v>
      </c>
      <c r="G536" s="613" t="s">
        <v>1495</v>
      </c>
      <c r="H536" s="613"/>
      <c r="I536" s="613"/>
      <c r="J536" s="613"/>
      <c r="K536" s="613"/>
      <c r="L536" s="613"/>
      <c r="M536" s="613"/>
      <c r="N536" s="615"/>
    </row>
    <row r="537" spans="1:14">
      <c r="B537" s="599">
        <f t="shared" si="8"/>
        <v>524</v>
      </c>
      <c r="D537" s="609"/>
      <c r="G537" s="613"/>
      <c r="H537" s="613"/>
      <c r="I537" s="613"/>
      <c r="J537" s="613"/>
      <c r="K537" s="613"/>
      <c r="L537" s="613"/>
      <c r="M537" s="613"/>
      <c r="N537" s="615"/>
    </row>
    <row r="538" spans="1:14" ht="29">
      <c r="B538" s="599">
        <f t="shared" si="8"/>
        <v>525</v>
      </c>
      <c r="C538" s="600" t="s">
        <v>1541</v>
      </c>
      <c r="D538" s="609"/>
      <c r="G538" s="613"/>
      <c r="H538" s="613"/>
      <c r="I538" s="613"/>
      <c r="J538" s="613"/>
      <c r="K538" s="613"/>
      <c r="L538" s="613"/>
      <c r="M538" s="613"/>
      <c r="N538" s="615"/>
    </row>
    <row r="539" spans="1:14">
      <c r="B539" s="599">
        <f t="shared" si="8"/>
        <v>526</v>
      </c>
      <c r="C539" s="608" t="s">
        <v>509</v>
      </c>
      <c r="D539" s="609"/>
      <c r="E539" s="610" t="s">
        <v>7</v>
      </c>
      <c r="F539" s="616">
        <v>3488667</v>
      </c>
      <c r="G539" s="613"/>
      <c r="H539" s="613"/>
      <c r="I539" s="613"/>
      <c r="J539" s="613" t="s">
        <v>1495</v>
      </c>
      <c r="K539" s="613"/>
      <c r="L539" s="613"/>
      <c r="M539" s="613"/>
      <c r="N539" s="615"/>
    </row>
    <row r="540" spans="1:14">
      <c r="B540" s="599">
        <f t="shared" si="8"/>
        <v>527</v>
      </c>
      <c r="C540" s="608" t="s">
        <v>511</v>
      </c>
      <c r="D540" s="609"/>
      <c r="E540" s="610" t="s">
        <v>7</v>
      </c>
      <c r="F540" s="616">
        <v>9536492</v>
      </c>
      <c r="G540" s="613"/>
      <c r="H540" s="613"/>
      <c r="I540" s="613"/>
      <c r="J540" s="613" t="s">
        <v>1495</v>
      </c>
      <c r="K540" s="613"/>
      <c r="L540" s="613"/>
      <c r="M540" s="613"/>
      <c r="N540" s="615"/>
    </row>
    <row r="541" spans="1:14">
      <c r="B541" s="599">
        <f t="shared" si="8"/>
        <v>528</v>
      </c>
      <c r="C541" s="608" t="s">
        <v>513</v>
      </c>
      <c r="D541" s="609"/>
      <c r="E541" s="610" t="s">
        <v>7</v>
      </c>
      <c r="F541" s="616">
        <v>3934438</v>
      </c>
      <c r="G541" s="613"/>
      <c r="H541" s="613"/>
      <c r="I541" s="613"/>
      <c r="J541" s="613" t="s">
        <v>1495</v>
      </c>
      <c r="K541" s="613"/>
      <c r="L541" s="613"/>
      <c r="M541" s="613"/>
      <c r="N541" s="615"/>
    </row>
    <row r="542" spans="1:14">
      <c r="B542" s="599">
        <f t="shared" si="8"/>
        <v>529</v>
      </c>
      <c r="C542" s="608" t="s">
        <v>515</v>
      </c>
      <c r="D542" s="609"/>
      <c r="E542" s="610" t="s">
        <v>7</v>
      </c>
      <c r="F542" s="616">
        <v>3852064</v>
      </c>
      <c r="G542" s="613"/>
      <c r="H542" s="613"/>
      <c r="I542" s="613"/>
      <c r="J542" s="613" t="s">
        <v>1495</v>
      </c>
      <c r="K542" s="613"/>
      <c r="L542" s="613"/>
      <c r="M542" s="613"/>
      <c r="N542" s="615"/>
    </row>
    <row r="543" spans="1:14" ht="29">
      <c r="B543" s="599">
        <f t="shared" si="8"/>
        <v>530</v>
      </c>
      <c r="C543" s="608" t="s">
        <v>517</v>
      </c>
      <c r="D543" s="609"/>
      <c r="E543" s="610" t="s">
        <v>7</v>
      </c>
      <c r="F543" s="616">
        <v>2040287</v>
      </c>
      <c r="G543" s="613"/>
      <c r="H543" s="613"/>
      <c r="I543" s="613"/>
      <c r="J543" s="613" t="s">
        <v>1495</v>
      </c>
      <c r="K543" s="613"/>
      <c r="L543" s="613"/>
      <c r="M543" s="613"/>
      <c r="N543" s="615"/>
    </row>
    <row r="544" spans="1:14">
      <c r="B544" s="599">
        <f t="shared" si="8"/>
        <v>531</v>
      </c>
      <c r="C544" s="608" t="s">
        <v>519</v>
      </c>
      <c r="D544" s="609"/>
      <c r="E544" s="610" t="s">
        <v>7</v>
      </c>
      <c r="F544" s="616">
        <v>794673</v>
      </c>
      <c r="G544" s="613"/>
      <c r="H544" s="613"/>
      <c r="I544" s="613"/>
      <c r="J544" s="613" t="s">
        <v>1495</v>
      </c>
      <c r="K544" s="613"/>
      <c r="L544" s="613"/>
      <c r="M544" s="613"/>
      <c r="N544" s="615"/>
    </row>
    <row r="545" spans="2:14">
      <c r="B545" s="599">
        <f t="shared" si="8"/>
        <v>532</v>
      </c>
      <c r="C545" s="608" t="s">
        <v>521</v>
      </c>
      <c r="D545" s="609"/>
      <c r="E545" s="610" t="s">
        <v>7</v>
      </c>
      <c r="F545" s="616">
        <v>5626463</v>
      </c>
      <c r="G545" s="613"/>
      <c r="H545" s="613"/>
      <c r="I545" s="613"/>
      <c r="J545" s="613" t="s">
        <v>1495</v>
      </c>
      <c r="K545" s="613"/>
      <c r="L545" s="613"/>
      <c r="M545" s="613"/>
      <c r="N545" s="615"/>
    </row>
    <row r="546" spans="2:14">
      <c r="B546" s="599">
        <f t="shared" si="8"/>
        <v>533</v>
      </c>
      <c r="C546" s="608" t="s">
        <v>523</v>
      </c>
      <c r="D546" s="609"/>
      <c r="E546" s="610" t="s">
        <v>7</v>
      </c>
      <c r="F546" s="616">
        <v>315000</v>
      </c>
      <c r="G546" s="613"/>
      <c r="H546" s="613"/>
      <c r="I546" s="613"/>
      <c r="J546" s="613" t="s">
        <v>1495</v>
      </c>
      <c r="K546" s="613"/>
      <c r="L546" s="613"/>
      <c r="M546" s="613"/>
      <c r="N546" s="615"/>
    </row>
    <row r="547" spans="2:14">
      <c r="B547" s="599">
        <f t="shared" si="8"/>
        <v>534</v>
      </c>
      <c r="C547" s="608" t="s">
        <v>525</v>
      </c>
      <c r="D547" s="609"/>
      <c r="E547" s="610" t="s">
        <v>32</v>
      </c>
      <c r="F547" s="616">
        <v>249377</v>
      </c>
      <c r="G547" s="613"/>
      <c r="H547" s="613"/>
      <c r="I547" s="613"/>
      <c r="J547" s="613" t="s">
        <v>1495</v>
      </c>
      <c r="K547" s="613"/>
      <c r="L547" s="613"/>
      <c r="M547" s="613"/>
      <c r="N547" s="615"/>
    </row>
    <row r="548" spans="2:14">
      <c r="B548" s="599">
        <f t="shared" si="8"/>
        <v>535</v>
      </c>
      <c r="C548" s="608" t="s">
        <v>527</v>
      </c>
      <c r="D548" s="609"/>
      <c r="E548" s="610" t="s">
        <v>7</v>
      </c>
      <c r="F548" s="616">
        <v>2512836</v>
      </c>
      <c r="G548" s="613"/>
      <c r="H548" s="613"/>
      <c r="I548" s="613"/>
      <c r="J548" s="613" t="s">
        <v>1495</v>
      </c>
      <c r="K548" s="613"/>
      <c r="L548" s="613"/>
      <c r="M548" s="613"/>
      <c r="N548" s="615"/>
    </row>
    <row r="549" spans="2:14">
      <c r="B549" s="599">
        <f t="shared" si="8"/>
        <v>536</v>
      </c>
      <c r="C549" s="608" t="s">
        <v>529</v>
      </c>
      <c r="D549" s="609"/>
      <c r="E549" s="610" t="s">
        <v>7</v>
      </c>
      <c r="F549" s="616">
        <v>3841398</v>
      </c>
      <c r="G549" s="613"/>
      <c r="H549" s="613"/>
      <c r="I549" s="613"/>
      <c r="J549" s="613" t="s">
        <v>1495</v>
      </c>
      <c r="K549" s="613"/>
      <c r="L549" s="613"/>
      <c r="M549" s="613"/>
      <c r="N549" s="615"/>
    </row>
    <row r="550" spans="2:14">
      <c r="B550" s="599">
        <f t="shared" si="8"/>
        <v>537</v>
      </c>
      <c r="C550" s="608" t="s">
        <v>531</v>
      </c>
      <c r="D550" s="609"/>
      <c r="E550" s="610" t="s">
        <v>32</v>
      </c>
      <c r="F550" s="616">
        <v>21817</v>
      </c>
      <c r="G550" s="613"/>
      <c r="H550" s="613"/>
      <c r="I550" s="613"/>
      <c r="J550" s="613" t="s">
        <v>1495</v>
      </c>
      <c r="K550" s="613"/>
      <c r="L550" s="613"/>
      <c r="M550" s="613"/>
      <c r="N550" s="615"/>
    </row>
    <row r="551" spans="2:14">
      <c r="B551" s="599">
        <f t="shared" si="8"/>
        <v>538</v>
      </c>
      <c r="C551" s="608" t="s">
        <v>531</v>
      </c>
      <c r="D551" s="609"/>
      <c r="E551" s="610" t="s">
        <v>32</v>
      </c>
      <c r="F551" s="616">
        <v>1003437</v>
      </c>
      <c r="G551" s="613"/>
      <c r="H551" s="613"/>
      <c r="I551" s="613"/>
      <c r="J551" s="613" t="s">
        <v>1495</v>
      </c>
      <c r="K551" s="613"/>
      <c r="L551" s="613"/>
      <c r="M551" s="613"/>
      <c r="N551" s="615"/>
    </row>
    <row r="552" spans="2:14">
      <c r="B552" s="599">
        <f t="shared" si="8"/>
        <v>539</v>
      </c>
      <c r="C552" s="608" t="s">
        <v>533</v>
      </c>
      <c r="D552" s="609"/>
      <c r="E552" s="610" t="s">
        <v>7</v>
      </c>
      <c r="F552" s="616">
        <v>96884</v>
      </c>
      <c r="G552" s="613"/>
      <c r="H552" s="613"/>
      <c r="I552" s="613"/>
      <c r="J552" s="613" t="s">
        <v>1495</v>
      </c>
      <c r="K552" s="613"/>
      <c r="L552" s="613"/>
      <c r="M552" s="613"/>
      <c r="N552" s="615"/>
    </row>
    <row r="553" spans="2:14">
      <c r="B553" s="599">
        <f t="shared" si="8"/>
        <v>540</v>
      </c>
      <c r="C553" s="608" t="s">
        <v>535</v>
      </c>
      <c r="D553" s="609"/>
      <c r="E553" s="610" t="s">
        <v>7</v>
      </c>
      <c r="F553" s="616">
        <v>1701681</v>
      </c>
      <c r="G553" s="613"/>
      <c r="H553" s="613"/>
      <c r="I553" s="613"/>
      <c r="J553" s="613" t="s">
        <v>1495</v>
      </c>
      <c r="K553" s="613"/>
      <c r="L553" s="613"/>
      <c r="M553" s="613"/>
      <c r="N553" s="615"/>
    </row>
    <row r="554" spans="2:14">
      <c r="B554" s="599">
        <f t="shared" si="8"/>
        <v>541</v>
      </c>
      <c r="C554" s="608" t="s">
        <v>537</v>
      </c>
      <c r="D554" s="609"/>
      <c r="E554" s="610" t="s">
        <v>7</v>
      </c>
      <c r="F554" s="616">
        <v>1051383</v>
      </c>
      <c r="G554" s="613"/>
      <c r="H554" s="613"/>
      <c r="I554" s="613"/>
      <c r="J554" s="613" t="s">
        <v>1495</v>
      </c>
      <c r="K554" s="613"/>
      <c r="L554" s="613"/>
      <c r="M554" s="613"/>
      <c r="N554" s="615"/>
    </row>
    <row r="555" spans="2:14">
      <c r="B555" s="599">
        <f t="shared" si="8"/>
        <v>542</v>
      </c>
      <c r="C555" s="608" t="s">
        <v>539</v>
      </c>
      <c r="D555" s="609"/>
      <c r="E555" s="610" t="s">
        <v>7</v>
      </c>
      <c r="F555" s="616">
        <v>2064165</v>
      </c>
      <c r="G555" s="613"/>
      <c r="H555" s="613"/>
      <c r="I555" s="613"/>
      <c r="J555" s="613" t="s">
        <v>1495</v>
      </c>
      <c r="K555" s="613"/>
      <c r="L555" s="613"/>
      <c r="M555" s="613"/>
      <c r="N555" s="615"/>
    </row>
    <row r="556" spans="2:14">
      <c r="B556" s="599">
        <f t="shared" si="8"/>
        <v>543</v>
      </c>
      <c r="C556" s="608" t="s">
        <v>541</v>
      </c>
      <c r="D556" s="609"/>
      <c r="E556" s="610" t="s">
        <v>7</v>
      </c>
      <c r="F556" s="616">
        <v>3007882</v>
      </c>
      <c r="G556" s="613"/>
      <c r="H556" s="613"/>
      <c r="I556" s="613"/>
      <c r="J556" s="613" t="s">
        <v>1495</v>
      </c>
      <c r="K556" s="613"/>
      <c r="L556" s="613"/>
      <c r="M556" s="613"/>
      <c r="N556" s="615"/>
    </row>
    <row r="557" spans="2:14">
      <c r="B557" s="599">
        <f t="shared" si="8"/>
        <v>544</v>
      </c>
      <c r="C557" s="608" t="s">
        <v>543</v>
      </c>
      <c r="D557" s="609"/>
      <c r="E557" s="610" t="s">
        <v>7</v>
      </c>
      <c r="F557" s="616">
        <v>239920</v>
      </c>
      <c r="G557" s="613"/>
      <c r="H557" s="613"/>
      <c r="I557" s="613"/>
      <c r="J557" s="613" t="s">
        <v>1495</v>
      </c>
      <c r="K557" s="613"/>
      <c r="L557" s="613"/>
      <c r="M557" s="613"/>
      <c r="N557" s="615"/>
    </row>
    <row r="558" spans="2:14">
      <c r="B558" s="599">
        <f t="shared" si="8"/>
        <v>545</v>
      </c>
      <c r="C558" s="608" t="s">
        <v>545</v>
      </c>
      <c r="D558" s="609"/>
      <c r="E558" s="610" t="s">
        <v>7</v>
      </c>
      <c r="F558" s="616">
        <v>2496402</v>
      </c>
      <c r="G558" s="613"/>
      <c r="H558" s="613"/>
      <c r="I558" s="613"/>
      <c r="J558" s="613" t="s">
        <v>1495</v>
      </c>
      <c r="K558" s="613"/>
      <c r="L558" s="613"/>
      <c r="M558" s="613"/>
      <c r="N558" s="615"/>
    </row>
    <row r="559" spans="2:14">
      <c r="B559" s="599">
        <f t="shared" si="8"/>
        <v>546</v>
      </c>
      <c r="D559" s="609"/>
      <c r="G559" s="613"/>
      <c r="H559" s="613"/>
      <c r="I559" s="613"/>
      <c r="J559" s="613"/>
      <c r="K559" s="613"/>
      <c r="L559" s="613"/>
      <c r="M559" s="613"/>
      <c r="N559" s="615"/>
    </row>
    <row r="560" spans="2:14">
      <c r="B560" s="599">
        <f t="shared" si="8"/>
        <v>547</v>
      </c>
      <c r="C560" s="600" t="s">
        <v>1540</v>
      </c>
      <c r="D560" s="609"/>
      <c r="G560" s="613"/>
      <c r="H560" s="613"/>
      <c r="I560" s="613"/>
      <c r="J560" s="613"/>
      <c r="K560" s="613"/>
      <c r="L560" s="613"/>
      <c r="M560" s="613"/>
      <c r="N560" s="615"/>
    </row>
    <row r="561" spans="2:14" ht="29">
      <c r="B561" s="599">
        <f t="shared" si="8"/>
        <v>548</v>
      </c>
      <c r="C561" s="608" t="s">
        <v>550</v>
      </c>
      <c r="D561" s="609"/>
      <c r="E561" s="610" t="s">
        <v>7</v>
      </c>
      <c r="F561" s="616">
        <v>4564134</v>
      </c>
      <c r="G561" s="613"/>
      <c r="H561" s="613"/>
      <c r="I561" s="613"/>
      <c r="J561" s="613" t="s">
        <v>1495</v>
      </c>
      <c r="K561" s="613"/>
      <c r="L561" s="613"/>
      <c r="M561" s="613"/>
      <c r="N561" s="615"/>
    </row>
    <row r="562" spans="2:14" ht="29">
      <c r="B562" s="599">
        <f t="shared" si="8"/>
        <v>549</v>
      </c>
      <c r="C562" s="608" t="s">
        <v>552</v>
      </c>
      <c r="D562" s="609"/>
      <c r="E562" s="610" t="s">
        <v>7</v>
      </c>
      <c r="F562" s="616">
        <v>664798</v>
      </c>
      <c r="G562" s="613"/>
      <c r="H562" s="613"/>
      <c r="I562" s="613"/>
      <c r="J562" s="613" t="s">
        <v>1495</v>
      </c>
      <c r="K562" s="613"/>
      <c r="L562" s="613"/>
      <c r="M562" s="613"/>
      <c r="N562" s="615"/>
    </row>
    <row r="563" spans="2:14" ht="29">
      <c r="B563" s="599">
        <f t="shared" si="8"/>
        <v>550</v>
      </c>
      <c r="C563" s="608" t="s">
        <v>553</v>
      </c>
      <c r="D563" s="609"/>
      <c r="E563" s="610" t="s">
        <v>7</v>
      </c>
      <c r="F563" s="616">
        <v>8524893</v>
      </c>
      <c r="G563" s="613"/>
      <c r="H563" s="613"/>
      <c r="I563" s="613"/>
      <c r="J563" s="613" t="s">
        <v>1495</v>
      </c>
      <c r="K563" s="613"/>
      <c r="L563" s="613"/>
      <c r="M563" s="613"/>
      <c r="N563" s="615"/>
    </row>
    <row r="564" spans="2:14">
      <c r="B564" s="599">
        <f t="shared" si="8"/>
        <v>551</v>
      </c>
      <c r="D564" s="609"/>
      <c r="G564" s="613"/>
      <c r="H564" s="613"/>
      <c r="I564" s="613"/>
      <c r="J564" s="613"/>
      <c r="K564" s="613"/>
      <c r="L564" s="613"/>
      <c r="M564" s="613"/>
      <c r="N564" s="615"/>
    </row>
    <row r="565" spans="2:14">
      <c r="B565" s="599">
        <f t="shared" si="8"/>
        <v>552</v>
      </c>
      <c r="C565" s="600" t="s">
        <v>1539</v>
      </c>
      <c r="D565" s="609"/>
      <c r="G565" s="613"/>
      <c r="H565" s="613"/>
      <c r="I565" s="613"/>
      <c r="J565" s="613"/>
      <c r="K565" s="613"/>
      <c r="L565" s="613"/>
      <c r="M565" s="613"/>
      <c r="N565" s="615"/>
    </row>
    <row r="566" spans="2:14">
      <c r="B566" s="599">
        <f t="shared" si="8"/>
        <v>553</v>
      </c>
      <c r="C566" s="608" t="s">
        <v>558</v>
      </c>
      <c r="D566" s="609"/>
      <c r="E566" s="610" t="s">
        <v>7</v>
      </c>
      <c r="F566" s="616">
        <v>12328</v>
      </c>
      <c r="G566" s="613" t="s">
        <v>1495</v>
      </c>
      <c r="H566" s="613"/>
      <c r="I566" s="613"/>
      <c r="J566" s="613"/>
      <c r="K566" s="613"/>
      <c r="L566" s="613"/>
      <c r="M566" s="613"/>
      <c r="N566" s="615"/>
    </row>
    <row r="567" spans="2:14">
      <c r="B567" s="599">
        <f t="shared" si="8"/>
        <v>554</v>
      </c>
      <c r="C567" s="608" t="s">
        <v>558</v>
      </c>
      <c r="D567" s="609"/>
      <c r="E567" s="610" t="s">
        <v>7</v>
      </c>
      <c r="F567" s="616">
        <v>57413</v>
      </c>
      <c r="G567" s="613" t="s">
        <v>1495</v>
      </c>
      <c r="H567" s="613"/>
      <c r="I567" s="613"/>
      <c r="J567" s="613"/>
      <c r="K567" s="613"/>
      <c r="L567" s="613"/>
      <c r="M567" s="613"/>
      <c r="N567" s="615"/>
    </row>
    <row r="568" spans="2:14">
      <c r="B568" s="599">
        <f t="shared" si="8"/>
        <v>555</v>
      </c>
      <c r="C568" s="608" t="s">
        <v>560</v>
      </c>
      <c r="D568" s="609"/>
      <c r="E568" s="610" t="s">
        <v>7</v>
      </c>
      <c r="F568" s="616">
        <v>213000</v>
      </c>
      <c r="G568" s="613" t="s">
        <v>1495</v>
      </c>
      <c r="H568" s="613"/>
      <c r="I568" s="613"/>
      <c r="J568" s="613"/>
      <c r="K568" s="613"/>
      <c r="L568" s="613"/>
      <c r="M568" s="613"/>
      <c r="N568" s="615"/>
    </row>
    <row r="569" spans="2:14">
      <c r="B569" s="599">
        <f t="shared" si="8"/>
        <v>556</v>
      </c>
      <c r="C569" s="608" t="s">
        <v>562</v>
      </c>
      <c r="D569" s="609"/>
      <c r="E569" s="610" t="s">
        <v>7</v>
      </c>
      <c r="F569" s="616">
        <v>76258</v>
      </c>
      <c r="G569" s="613" t="s">
        <v>1495</v>
      </c>
      <c r="H569" s="613"/>
      <c r="I569" s="613"/>
      <c r="J569" s="613"/>
      <c r="K569" s="613"/>
      <c r="L569" s="613"/>
      <c r="M569" s="613"/>
      <c r="N569" s="615"/>
    </row>
    <row r="570" spans="2:14">
      <c r="B570" s="599">
        <f t="shared" si="8"/>
        <v>557</v>
      </c>
      <c r="C570" s="608" t="s">
        <v>562</v>
      </c>
      <c r="D570" s="609"/>
      <c r="E570" s="610" t="s">
        <v>7</v>
      </c>
      <c r="F570" s="616">
        <v>142235</v>
      </c>
      <c r="G570" s="613" t="s">
        <v>1495</v>
      </c>
      <c r="H570" s="613"/>
      <c r="I570" s="613"/>
      <c r="J570" s="613"/>
      <c r="K570" s="613"/>
      <c r="L570" s="613"/>
      <c r="M570" s="613"/>
      <c r="N570" s="615"/>
    </row>
    <row r="571" spans="2:14">
      <c r="B571" s="599">
        <f t="shared" si="8"/>
        <v>558</v>
      </c>
      <c r="C571" s="608" t="s">
        <v>564</v>
      </c>
      <c r="D571" s="609"/>
      <c r="E571" s="610" t="s">
        <v>32</v>
      </c>
      <c r="F571" s="616">
        <v>556464</v>
      </c>
      <c r="G571" s="613" t="s">
        <v>1495</v>
      </c>
      <c r="H571" s="613"/>
      <c r="I571" s="613"/>
      <c r="J571" s="613"/>
      <c r="K571" s="613"/>
      <c r="L571" s="613"/>
      <c r="M571" s="613"/>
      <c r="N571" s="615"/>
    </row>
    <row r="572" spans="2:14">
      <c r="B572" s="599">
        <f t="shared" si="8"/>
        <v>559</v>
      </c>
      <c r="C572" s="608" t="s">
        <v>566</v>
      </c>
      <c r="D572" s="609"/>
      <c r="E572" s="610" t="s">
        <v>7</v>
      </c>
      <c r="F572" s="616">
        <v>499220</v>
      </c>
      <c r="G572" s="613" t="s">
        <v>1495</v>
      </c>
      <c r="H572" s="613"/>
      <c r="I572" s="613"/>
      <c r="J572" s="613"/>
      <c r="K572" s="613"/>
      <c r="L572" s="613"/>
      <c r="M572" s="613"/>
      <c r="N572" s="615"/>
    </row>
    <row r="573" spans="2:14">
      <c r="B573" s="599">
        <f t="shared" si="8"/>
        <v>560</v>
      </c>
      <c r="C573" s="608" t="s">
        <v>568</v>
      </c>
      <c r="D573" s="609"/>
      <c r="E573" s="610" t="s">
        <v>7</v>
      </c>
      <c r="F573" s="616">
        <v>170278</v>
      </c>
      <c r="G573" s="613" t="s">
        <v>1495</v>
      </c>
      <c r="H573" s="613"/>
      <c r="I573" s="613"/>
      <c r="J573" s="613"/>
      <c r="K573" s="613"/>
      <c r="L573" s="613"/>
      <c r="M573" s="613"/>
      <c r="N573" s="615"/>
    </row>
    <row r="574" spans="2:14" ht="29">
      <c r="B574" s="599">
        <f t="shared" si="8"/>
        <v>561</v>
      </c>
      <c r="C574" s="608" t="s">
        <v>570</v>
      </c>
      <c r="D574" s="609"/>
      <c r="E574" s="610" t="s">
        <v>7</v>
      </c>
      <c r="F574" s="616">
        <v>35071</v>
      </c>
      <c r="G574" s="613" t="s">
        <v>1495</v>
      </c>
      <c r="H574" s="613"/>
      <c r="I574" s="613"/>
      <c r="J574" s="613"/>
      <c r="K574" s="613"/>
      <c r="L574" s="613"/>
      <c r="M574" s="613"/>
      <c r="N574" s="615"/>
    </row>
    <row r="575" spans="2:14">
      <c r="B575" s="599">
        <f t="shared" si="8"/>
        <v>562</v>
      </c>
      <c r="C575" s="608" t="s">
        <v>572</v>
      </c>
      <c r="D575" s="609"/>
      <c r="E575" s="610" t="s">
        <v>7</v>
      </c>
      <c r="F575" s="616">
        <v>163695</v>
      </c>
      <c r="G575" s="613" t="s">
        <v>1495</v>
      </c>
      <c r="H575" s="613"/>
      <c r="I575" s="613"/>
      <c r="J575" s="613"/>
      <c r="K575" s="613"/>
      <c r="L575" s="613"/>
      <c r="M575" s="613"/>
      <c r="N575" s="615"/>
    </row>
    <row r="576" spans="2:14">
      <c r="B576" s="599">
        <f t="shared" si="8"/>
        <v>563</v>
      </c>
      <c r="C576" s="608" t="s">
        <v>574</v>
      </c>
      <c r="D576" s="609"/>
      <c r="E576" s="610" t="s">
        <v>7</v>
      </c>
      <c r="F576" s="616">
        <v>19075</v>
      </c>
      <c r="G576" s="613" t="s">
        <v>1495</v>
      </c>
      <c r="H576" s="613"/>
      <c r="I576" s="613"/>
      <c r="J576" s="613"/>
      <c r="K576" s="613"/>
      <c r="L576" s="613"/>
      <c r="M576" s="613"/>
      <c r="N576" s="615"/>
    </row>
    <row r="577" spans="1:14">
      <c r="B577" s="599">
        <f t="shared" si="8"/>
        <v>564</v>
      </c>
      <c r="C577" s="608" t="s">
        <v>576</v>
      </c>
      <c r="D577" s="609"/>
      <c r="E577" s="610" t="s">
        <v>7</v>
      </c>
      <c r="F577" s="616">
        <v>127144</v>
      </c>
      <c r="G577" s="613" t="s">
        <v>1495</v>
      </c>
      <c r="H577" s="613"/>
      <c r="I577" s="613"/>
      <c r="J577" s="613"/>
      <c r="K577" s="613"/>
      <c r="L577" s="613"/>
      <c r="M577" s="613"/>
      <c r="N577" s="615"/>
    </row>
    <row r="578" spans="1:14">
      <c r="B578" s="599">
        <f t="shared" si="8"/>
        <v>565</v>
      </c>
      <c r="C578" s="608" t="s">
        <v>578</v>
      </c>
      <c r="D578" s="609"/>
      <c r="E578" s="610" t="s">
        <v>7</v>
      </c>
      <c r="F578" s="616">
        <v>404166</v>
      </c>
      <c r="G578" s="613" t="s">
        <v>1495</v>
      </c>
      <c r="H578" s="613"/>
      <c r="I578" s="613"/>
      <c r="J578" s="613"/>
      <c r="K578" s="613"/>
      <c r="L578" s="613"/>
      <c r="M578" s="613"/>
      <c r="N578" s="615"/>
    </row>
    <row r="579" spans="1:14">
      <c r="B579" s="599">
        <f t="shared" si="8"/>
        <v>566</v>
      </c>
      <c r="C579" s="608" t="s">
        <v>580</v>
      </c>
      <c r="D579" s="609"/>
      <c r="E579" s="610" t="s">
        <v>7</v>
      </c>
      <c r="F579" s="616">
        <v>192498</v>
      </c>
      <c r="G579" s="613" t="s">
        <v>1495</v>
      </c>
      <c r="H579" s="613"/>
      <c r="I579" s="613"/>
      <c r="J579" s="613"/>
      <c r="K579" s="613"/>
      <c r="L579" s="613"/>
      <c r="M579" s="613"/>
      <c r="N579" s="615"/>
    </row>
    <row r="580" spans="1:14">
      <c r="B580" s="599">
        <f t="shared" si="8"/>
        <v>567</v>
      </c>
      <c r="C580" s="608" t="s">
        <v>582</v>
      </c>
      <c r="D580" s="609"/>
      <c r="E580" s="610" t="s">
        <v>7</v>
      </c>
      <c r="F580" s="616">
        <v>71118</v>
      </c>
      <c r="G580" s="613" t="s">
        <v>1495</v>
      </c>
      <c r="H580" s="613"/>
      <c r="I580" s="613"/>
      <c r="J580" s="613"/>
      <c r="K580" s="613"/>
      <c r="L580" s="613"/>
      <c r="M580" s="613"/>
      <c r="N580" s="615"/>
    </row>
    <row r="581" spans="1:14">
      <c r="B581" s="599">
        <f t="shared" si="8"/>
        <v>568</v>
      </c>
      <c r="C581" s="608" t="s">
        <v>584</v>
      </c>
      <c r="D581" s="609"/>
      <c r="E581" s="610" t="s">
        <v>7</v>
      </c>
      <c r="F581" s="616">
        <v>179328</v>
      </c>
      <c r="G581" s="613" t="s">
        <v>1495</v>
      </c>
      <c r="H581" s="613"/>
      <c r="I581" s="613"/>
      <c r="J581" s="613"/>
      <c r="K581" s="613"/>
      <c r="L581" s="613"/>
      <c r="M581" s="613"/>
      <c r="N581" s="615"/>
    </row>
    <row r="582" spans="1:14">
      <c r="B582" s="599">
        <f t="shared" si="8"/>
        <v>569</v>
      </c>
      <c r="D582" s="609"/>
      <c r="G582" s="613"/>
      <c r="H582" s="613"/>
      <c r="I582" s="613"/>
      <c r="J582" s="613"/>
      <c r="K582" s="613"/>
      <c r="L582" s="613"/>
      <c r="M582" s="613"/>
      <c r="N582" s="615"/>
    </row>
    <row r="583" spans="1:14" ht="29">
      <c r="B583" s="599">
        <f t="shared" ref="B583:B646" si="9">B582+1</f>
        <v>570</v>
      </c>
      <c r="C583" s="600" t="s">
        <v>1538</v>
      </c>
      <c r="D583" s="609"/>
      <c r="G583" s="613"/>
      <c r="H583" s="613"/>
      <c r="I583" s="613"/>
      <c r="J583" s="613"/>
      <c r="K583" s="613"/>
      <c r="L583" s="613"/>
      <c r="M583" s="613"/>
      <c r="N583" s="615"/>
    </row>
    <row r="584" spans="1:14" ht="29">
      <c r="B584" s="599">
        <f t="shared" si="9"/>
        <v>571</v>
      </c>
      <c r="C584" s="608" t="s">
        <v>593</v>
      </c>
      <c r="D584" s="609"/>
      <c r="E584" s="610" t="s">
        <v>7</v>
      </c>
      <c r="F584" s="616">
        <v>922164</v>
      </c>
      <c r="G584" s="613" t="s">
        <v>1495</v>
      </c>
      <c r="H584" s="613"/>
      <c r="I584" s="613"/>
      <c r="J584" s="613"/>
      <c r="K584" s="613"/>
      <c r="L584" s="613"/>
      <c r="M584" s="613"/>
      <c r="N584" s="615"/>
    </row>
    <row r="585" spans="1:14" ht="29">
      <c r="B585" s="599">
        <f t="shared" si="9"/>
        <v>572</v>
      </c>
      <c r="C585" s="608" t="s">
        <v>595</v>
      </c>
      <c r="D585" s="609"/>
      <c r="E585" s="610" t="s">
        <v>7</v>
      </c>
      <c r="F585" s="616">
        <v>690735</v>
      </c>
      <c r="G585" s="613" t="s">
        <v>1495</v>
      </c>
      <c r="H585" s="613"/>
      <c r="I585" s="613"/>
      <c r="J585" s="613"/>
      <c r="K585" s="613"/>
      <c r="L585" s="613"/>
      <c r="M585" s="613"/>
      <c r="N585" s="615"/>
    </row>
    <row r="586" spans="1:14">
      <c r="B586" s="599">
        <f t="shared" si="9"/>
        <v>573</v>
      </c>
      <c r="D586" s="609"/>
      <c r="G586" s="613"/>
      <c r="H586" s="613"/>
      <c r="I586" s="613"/>
      <c r="J586" s="613"/>
      <c r="K586" s="613"/>
      <c r="L586" s="613"/>
      <c r="M586" s="613"/>
      <c r="N586" s="615"/>
    </row>
    <row r="587" spans="1:14">
      <c r="B587" s="599">
        <f t="shared" si="9"/>
        <v>574</v>
      </c>
      <c r="C587" s="600" t="s">
        <v>1537</v>
      </c>
      <c r="D587" s="609"/>
      <c r="G587" s="613"/>
      <c r="H587" s="613"/>
      <c r="I587" s="613"/>
      <c r="J587" s="613"/>
      <c r="K587" s="613"/>
      <c r="L587" s="613"/>
      <c r="M587" s="613"/>
      <c r="N587" s="615"/>
    </row>
    <row r="588" spans="1:14">
      <c r="B588" s="599">
        <f t="shared" si="9"/>
        <v>575</v>
      </c>
      <c r="C588" s="634" t="s">
        <v>456</v>
      </c>
      <c r="D588" s="609" t="s">
        <v>974</v>
      </c>
      <c r="E588" s="610" t="s">
        <v>7</v>
      </c>
      <c r="F588" s="616">
        <v>6259</v>
      </c>
      <c r="G588" s="613"/>
      <c r="H588" s="613"/>
      <c r="I588" s="613"/>
      <c r="J588" s="613" t="s">
        <v>1495</v>
      </c>
      <c r="K588" s="613"/>
      <c r="L588" s="613"/>
      <c r="M588" s="613"/>
      <c r="N588" s="615"/>
    </row>
    <row r="589" spans="1:14">
      <c r="A589" s="638" t="s">
        <v>457</v>
      </c>
      <c r="B589" s="599">
        <f t="shared" si="9"/>
        <v>576</v>
      </c>
      <c r="C589" s="634" t="s">
        <v>458</v>
      </c>
      <c r="D589" s="609" t="s">
        <v>1536</v>
      </c>
      <c r="E589" s="610" t="s">
        <v>32</v>
      </c>
      <c r="F589" s="616">
        <v>35005</v>
      </c>
      <c r="G589" s="613"/>
      <c r="H589" s="613"/>
      <c r="I589" s="613"/>
      <c r="J589" s="613" t="s">
        <v>1495</v>
      </c>
      <c r="K589" s="613"/>
      <c r="L589" s="613"/>
      <c r="M589" s="613"/>
      <c r="N589" s="615"/>
    </row>
    <row r="590" spans="1:14">
      <c r="B590" s="599">
        <f t="shared" si="9"/>
        <v>577</v>
      </c>
      <c r="C590" s="634" t="s">
        <v>460</v>
      </c>
      <c r="D590" s="609" t="s">
        <v>1524</v>
      </c>
      <c r="E590" s="610" t="s">
        <v>7</v>
      </c>
      <c r="F590" s="616">
        <v>280629</v>
      </c>
      <c r="G590" s="613"/>
      <c r="H590" s="613"/>
      <c r="I590" s="613"/>
      <c r="J590" s="613" t="s">
        <v>1495</v>
      </c>
      <c r="K590" s="613"/>
      <c r="L590" s="613"/>
      <c r="M590" s="613"/>
      <c r="N590" s="615"/>
    </row>
    <row r="591" spans="1:14" ht="29">
      <c r="B591" s="599">
        <f t="shared" si="9"/>
        <v>578</v>
      </c>
      <c r="C591" s="608" t="s">
        <v>600</v>
      </c>
      <c r="D591" s="609"/>
      <c r="E591" s="610" t="s">
        <v>7</v>
      </c>
      <c r="F591" s="616">
        <v>11571</v>
      </c>
      <c r="G591" s="613"/>
      <c r="H591" s="613"/>
      <c r="I591" s="613"/>
      <c r="J591" s="613" t="s">
        <v>1495</v>
      </c>
      <c r="K591" s="613"/>
      <c r="L591" s="613"/>
      <c r="M591" s="613"/>
      <c r="N591" s="615"/>
    </row>
    <row r="592" spans="1:14">
      <c r="B592" s="599">
        <f t="shared" si="9"/>
        <v>579</v>
      </c>
      <c r="C592" s="608" t="s">
        <v>602</v>
      </c>
      <c r="D592" s="609"/>
      <c r="E592" s="610" t="s">
        <v>7</v>
      </c>
      <c r="F592" s="616">
        <v>45730</v>
      </c>
      <c r="G592" s="613"/>
      <c r="H592" s="613"/>
      <c r="I592" s="613"/>
      <c r="J592" s="613" t="s">
        <v>1495</v>
      </c>
      <c r="K592" s="613"/>
      <c r="L592" s="613"/>
      <c r="M592" s="613"/>
      <c r="N592" s="615"/>
    </row>
    <row r="593" spans="1:14">
      <c r="B593" s="599">
        <f t="shared" si="9"/>
        <v>580</v>
      </c>
      <c r="C593" s="608" t="s">
        <v>604</v>
      </c>
      <c r="D593" s="609"/>
      <c r="E593" s="610" t="s">
        <v>7</v>
      </c>
      <c r="F593" s="616">
        <v>230859</v>
      </c>
      <c r="G593" s="613"/>
      <c r="H593" s="613"/>
      <c r="I593" s="613"/>
      <c r="J593" s="613" t="s">
        <v>1495</v>
      </c>
      <c r="K593" s="613"/>
      <c r="L593" s="613"/>
      <c r="M593" s="613"/>
      <c r="N593" s="615"/>
    </row>
    <row r="594" spans="1:14">
      <c r="B594" s="599">
        <f t="shared" si="9"/>
        <v>581</v>
      </c>
      <c r="C594" s="608" t="s">
        <v>606</v>
      </c>
      <c r="D594" s="609"/>
      <c r="E594" s="610" t="s">
        <v>7</v>
      </c>
      <c r="F594" s="616">
        <v>164631</v>
      </c>
      <c r="G594" s="613"/>
      <c r="H594" s="613"/>
      <c r="I594" s="613"/>
      <c r="J594" s="613" t="s">
        <v>1495</v>
      </c>
      <c r="K594" s="613"/>
      <c r="L594" s="613"/>
      <c r="M594" s="613"/>
      <c r="N594" s="615"/>
    </row>
    <row r="595" spans="1:14">
      <c r="B595" s="599">
        <f t="shared" si="9"/>
        <v>582</v>
      </c>
      <c r="C595" s="608" t="s">
        <v>608</v>
      </c>
      <c r="D595" s="609"/>
      <c r="E595" s="610" t="s">
        <v>7</v>
      </c>
      <c r="F595" s="616">
        <v>218089</v>
      </c>
      <c r="G595" s="613"/>
      <c r="H595" s="613"/>
      <c r="I595" s="613"/>
      <c r="J595" s="613" t="s">
        <v>1495</v>
      </c>
      <c r="K595" s="613"/>
      <c r="L595" s="613"/>
      <c r="M595" s="613"/>
      <c r="N595" s="615"/>
    </row>
    <row r="596" spans="1:14">
      <c r="B596" s="599">
        <f t="shared" si="9"/>
        <v>583</v>
      </c>
      <c r="C596" s="608" t="s">
        <v>610</v>
      </c>
      <c r="D596" s="609"/>
      <c r="E596" s="610" t="s">
        <v>7</v>
      </c>
      <c r="F596" s="616">
        <v>102658</v>
      </c>
      <c r="G596" s="613"/>
      <c r="H596" s="613"/>
      <c r="I596" s="613"/>
      <c r="J596" s="613" t="s">
        <v>1495</v>
      </c>
      <c r="K596" s="613"/>
      <c r="L596" s="613"/>
      <c r="M596" s="613"/>
      <c r="N596" s="615"/>
    </row>
    <row r="597" spans="1:14">
      <c r="B597" s="599">
        <f t="shared" si="9"/>
        <v>584</v>
      </c>
      <c r="C597" s="608" t="s">
        <v>612</v>
      </c>
      <c r="D597" s="609"/>
      <c r="E597" s="610" t="s">
        <v>7</v>
      </c>
      <c r="F597" s="616">
        <v>24740</v>
      </c>
      <c r="G597" s="613"/>
      <c r="H597" s="613"/>
      <c r="I597" s="613"/>
      <c r="J597" s="613" t="s">
        <v>1495</v>
      </c>
      <c r="K597" s="613"/>
      <c r="L597" s="613"/>
      <c r="M597" s="613"/>
      <c r="N597" s="615"/>
    </row>
    <row r="598" spans="1:14">
      <c r="B598" s="599">
        <f t="shared" si="9"/>
        <v>585</v>
      </c>
      <c r="C598" s="608" t="s">
        <v>614</v>
      </c>
      <c r="D598" s="609"/>
      <c r="E598" s="610" t="s">
        <v>7</v>
      </c>
      <c r="F598" s="616">
        <v>7185</v>
      </c>
      <c r="G598" s="613"/>
      <c r="H598" s="613"/>
      <c r="I598" s="613"/>
      <c r="J598" s="613" t="s">
        <v>1495</v>
      </c>
      <c r="K598" s="613"/>
      <c r="L598" s="613"/>
      <c r="M598" s="613"/>
      <c r="N598" s="615"/>
    </row>
    <row r="599" spans="1:14">
      <c r="B599" s="599">
        <f t="shared" si="9"/>
        <v>586</v>
      </c>
      <c r="C599" s="608" t="s">
        <v>616</v>
      </c>
      <c r="D599" s="609"/>
      <c r="E599" s="610" t="s">
        <v>7</v>
      </c>
      <c r="F599" s="616">
        <v>76270</v>
      </c>
      <c r="G599" s="613"/>
      <c r="H599" s="613"/>
      <c r="I599" s="613"/>
      <c r="J599" s="613" t="s">
        <v>1495</v>
      </c>
      <c r="K599" s="613"/>
      <c r="L599" s="613"/>
      <c r="M599" s="613"/>
      <c r="N599" s="615"/>
    </row>
    <row r="600" spans="1:14">
      <c r="B600" s="599">
        <f t="shared" si="9"/>
        <v>587</v>
      </c>
      <c r="C600" s="608" t="s">
        <v>618</v>
      </c>
      <c r="D600" s="609"/>
      <c r="E600" s="610" t="s">
        <v>7</v>
      </c>
      <c r="F600" s="616">
        <v>394136</v>
      </c>
      <c r="G600" s="613"/>
      <c r="H600" s="613"/>
      <c r="I600" s="613"/>
      <c r="J600" s="613" t="s">
        <v>1495</v>
      </c>
      <c r="K600" s="613"/>
      <c r="L600" s="613"/>
      <c r="M600" s="613"/>
      <c r="N600" s="615"/>
    </row>
    <row r="601" spans="1:14">
      <c r="B601" s="599">
        <f t="shared" si="9"/>
        <v>588</v>
      </c>
      <c r="C601" s="608" t="s">
        <v>620</v>
      </c>
      <c r="D601" s="609"/>
      <c r="E601" s="610" t="s">
        <v>7</v>
      </c>
      <c r="F601" s="616">
        <v>167147</v>
      </c>
      <c r="G601" s="613"/>
      <c r="H601" s="613"/>
      <c r="I601" s="613"/>
      <c r="J601" s="613" t="s">
        <v>1495</v>
      </c>
      <c r="K601" s="613"/>
      <c r="L601" s="613"/>
      <c r="M601" s="613"/>
      <c r="N601" s="615"/>
    </row>
    <row r="602" spans="1:14">
      <c r="A602" s="638" t="s">
        <v>251</v>
      </c>
      <c r="B602" s="599">
        <f t="shared" si="9"/>
        <v>589</v>
      </c>
      <c r="C602" s="608" t="s">
        <v>1535</v>
      </c>
      <c r="D602" s="609" t="s">
        <v>1534</v>
      </c>
      <c r="E602" s="610" t="s">
        <v>7</v>
      </c>
      <c r="F602" s="616">
        <v>12472</v>
      </c>
      <c r="G602" s="613"/>
      <c r="H602" s="613"/>
      <c r="I602" s="613"/>
      <c r="J602" s="613" t="s">
        <v>1495</v>
      </c>
      <c r="K602" s="613"/>
      <c r="L602" s="613"/>
      <c r="M602" s="613"/>
      <c r="N602" s="615"/>
    </row>
    <row r="603" spans="1:14">
      <c r="B603" s="599">
        <f t="shared" si="9"/>
        <v>590</v>
      </c>
      <c r="C603" s="608" t="s">
        <v>622</v>
      </c>
      <c r="D603" s="609"/>
      <c r="E603" s="610" t="s">
        <v>7</v>
      </c>
      <c r="F603" s="616">
        <v>153368</v>
      </c>
      <c r="G603" s="613"/>
      <c r="H603" s="613"/>
      <c r="I603" s="613"/>
      <c r="J603" s="613" t="s">
        <v>1495</v>
      </c>
      <c r="K603" s="613"/>
      <c r="L603" s="613"/>
      <c r="M603" s="613"/>
      <c r="N603" s="615"/>
    </row>
    <row r="604" spans="1:14">
      <c r="B604" s="599">
        <f t="shared" si="9"/>
        <v>591</v>
      </c>
      <c r="C604" s="608" t="s">
        <v>624</v>
      </c>
      <c r="D604" s="609"/>
      <c r="E604" s="610" t="s">
        <v>32</v>
      </c>
      <c r="F604" s="616">
        <v>100401</v>
      </c>
      <c r="G604" s="613"/>
      <c r="H604" s="613"/>
      <c r="I604" s="613"/>
      <c r="J604" s="613" t="s">
        <v>1495</v>
      </c>
      <c r="K604" s="613"/>
      <c r="L604" s="613"/>
      <c r="M604" s="613"/>
      <c r="N604" s="615"/>
    </row>
    <row r="605" spans="1:14">
      <c r="B605" s="599">
        <f t="shared" si="9"/>
        <v>592</v>
      </c>
      <c r="C605" s="608" t="s">
        <v>626</v>
      </c>
      <c r="D605" s="609"/>
      <c r="E605" s="610" t="s">
        <v>7</v>
      </c>
      <c r="F605" s="616">
        <v>189361</v>
      </c>
      <c r="G605" s="613"/>
      <c r="H605" s="613"/>
      <c r="I605" s="613"/>
      <c r="J605" s="613" t="s">
        <v>1495</v>
      </c>
      <c r="K605" s="613"/>
      <c r="L605" s="613"/>
      <c r="M605" s="613"/>
      <c r="N605" s="615"/>
    </row>
    <row r="606" spans="1:14">
      <c r="B606" s="599">
        <f t="shared" si="9"/>
        <v>593</v>
      </c>
      <c r="C606" s="608" t="s">
        <v>628</v>
      </c>
      <c r="D606" s="609"/>
      <c r="E606" s="610" t="s">
        <v>7</v>
      </c>
      <c r="F606" s="616">
        <v>7698</v>
      </c>
      <c r="G606" s="613"/>
      <c r="H606" s="613"/>
      <c r="I606" s="613"/>
      <c r="J606" s="613" t="s">
        <v>1495</v>
      </c>
      <c r="K606" s="613"/>
      <c r="L606" s="613"/>
      <c r="M606" s="613"/>
      <c r="N606" s="615"/>
    </row>
    <row r="607" spans="1:14">
      <c r="B607" s="599">
        <f t="shared" si="9"/>
        <v>594</v>
      </c>
      <c r="C607" s="608" t="s">
        <v>630</v>
      </c>
      <c r="D607" s="609"/>
      <c r="E607" s="610" t="s">
        <v>7</v>
      </c>
      <c r="F607" s="616">
        <v>62298</v>
      </c>
      <c r="G607" s="613"/>
      <c r="H607" s="613"/>
      <c r="I607" s="613"/>
      <c r="J607" s="613" t="s">
        <v>1495</v>
      </c>
      <c r="K607" s="613"/>
      <c r="L607" s="613"/>
      <c r="M607" s="613"/>
      <c r="N607" s="615"/>
    </row>
    <row r="608" spans="1:14">
      <c r="B608" s="599">
        <f t="shared" si="9"/>
        <v>595</v>
      </c>
      <c r="C608" s="608" t="s">
        <v>632</v>
      </c>
      <c r="D608" s="609"/>
      <c r="E608" s="610" t="s">
        <v>7</v>
      </c>
      <c r="F608" s="616">
        <v>171598</v>
      </c>
      <c r="G608" s="613"/>
      <c r="H608" s="613"/>
      <c r="I608" s="613"/>
      <c r="J608" s="613" t="s">
        <v>1495</v>
      </c>
      <c r="K608" s="613"/>
      <c r="L608" s="613"/>
      <c r="M608" s="613"/>
      <c r="N608" s="615"/>
    </row>
    <row r="609" spans="2:14">
      <c r="B609" s="599">
        <f t="shared" si="9"/>
        <v>596</v>
      </c>
      <c r="C609" s="608" t="s">
        <v>634</v>
      </c>
      <c r="D609" s="609"/>
      <c r="E609" s="610" t="s">
        <v>7</v>
      </c>
      <c r="F609" s="616">
        <v>131000</v>
      </c>
      <c r="G609" s="613"/>
      <c r="H609" s="613"/>
      <c r="I609" s="613"/>
      <c r="J609" s="613" t="s">
        <v>1495</v>
      </c>
      <c r="K609" s="613"/>
      <c r="L609" s="613"/>
      <c r="M609" s="613"/>
      <c r="N609" s="615"/>
    </row>
    <row r="610" spans="2:14">
      <c r="B610" s="599">
        <f t="shared" si="9"/>
        <v>597</v>
      </c>
      <c r="C610" s="608" t="s">
        <v>636</v>
      </c>
      <c r="D610" s="609"/>
      <c r="E610" s="610" t="s">
        <v>7</v>
      </c>
      <c r="F610" s="616">
        <v>466409</v>
      </c>
      <c r="G610" s="613"/>
      <c r="H610" s="613"/>
      <c r="I610" s="613"/>
      <c r="J610" s="613" t="s">
        <v>1495</v>
      </c>
      <c r="K610" s="613"/>
      <c r="L610" s="613"/>
      <c r="M610" s="613"/>
      <c r="N610" s="615"/>
    </row>
    <row r="611" spans="2:14">
      <c r="B611" s="599">
        <f t="shared" si="9"/>
        <v>598</v>
      </c>
      <c r="C611" s="608" t="s">
        <v>638</v>
      </c>
      <c r="D611" s="609"/>
      <c r="E611" s="610" t="s">
        <v>7</v>
      </c>
      <c r="F611" s="616">
        <v>10541</v>
      </c>
      <c r="G611" s="613"/>
      <c r="H611" s="613"/>
      <c r="I611" s="613"/>
      <c r="J611" s="613" t="s">
        <v>1495</v>
      </c>
      <c r="K611" s="613"/>
      <c r="L611" s="613"/>
      <c r="M611" s="613"/>
      <c r="N611" s="615"/>
    </row>
    <row r="612" spans="2:14">
      <c r="B612" s="599">
        <f t="shared" si="9"/>
        <v>599</v>
      </c>
      <c r="C612" s="608" t="s">
        <v>639</v>
      </c>
      <c r="D612" s="609"/>
      <c r="E612" s="610" t="s">
        <v>32</v>
      </c>
      <c r="F612" s="616">
        <v>191107</v>
      </c>
      <c r="G612" s="613"/>
      <c r="H612" s="613"/>
      <c r="I612" s="613"/>
      <c r="J612" s="613" t="s">
        <v>1495</v>
      </c>
      <c r="K612" s="613"/>
      <c r="L612" s="613"/>
      <c r="M612" s="613"/>
      <c r="N612" s="615"/>
    </row>
    <row r="613" spans="2:14">
      <c r="B613" s="599">
        <f t="shared" si="9"/>
        <v>600</v>
      </c>
      <c r="C613" s="608" t="s">
        <v>641</v>
      </c>
      <c r="D613" s="609"/>
      <c r="E613" s="610" t="s">
        <v>32</v>
      </c>
      <c r="F613" s="616">
        <v>10289</v>
      </c>
      <c r="G613" s="613"/>
      <c r="H613" s="613"/>
      <c r="I613" s="613"/>
      <c r="J613" s="613" t="s">
        <v>1495</v>
      </c>
      <c r="K613" s="613"/>
      <c r="L613" s="613"/>
      <c r="M613" s="613"/>
      <c r="N613" s="615"/>
    </row>
    <row r="614" spans="2:14">
      <c r="B614" s="599">
        <f t="shared" si="9"/>
        <v>601</v>
      </c>
      <c r="C614" s="608" t="s">
        <v>643</v>
      </c>
      <c r="D614" s="609"/>
      <c r="E614" s="610" t="s">
        <v>7</v>
      </c>
      <c r="F614" s="616">
        <v>425677</v>
      </c>
      <c r="G614" s="613"/>
      <c r="H614" s="613"/>
      <c r="I614" s="613"/>
      <c r="J614" s="613" t="s">
        <v>1495</v>
      </c>
      <c r="K614" s="613"/>
      <c r="L614" s="613"/>
      <c r="M614" s="613"/>
      <c r="N614" s="615"/>
    </row>
    <row r="615" spans="2:14">
      <c r="B615" s="599">
        <f t="shared" si="9"/>
        <v>602</v>
      </c>
      <c r="C615" s="608" t="s">
        <v>645</v>
      </c>
      <c r="D615" s="609"/>
      <c r="E615" s="610" t="s">
        <v>7</v>
      </c>
      <c r="F615" s="616">
        <v>177362</v>
      </c>
      <c r="G615" s="613"/>
      <c r="H615" s="613"/>
      <c r="I615" s="613"/>
      <c r="J615" s="613" t="s">
        <v>1495</v>
      </c>
      <c r="K615" s="613"/>
      <c r="L615" s="613"/>
      <c r="M615" s="613"/>
      <c r="N615" s="615"/>
    </row>
    <row r="616" spans="2:14">
      <c r="B616" s="599">
        <f t="shared" si="9"/>
        <v>603</v>
      </c>
      <c r="C616" s="608" t="s">
        <v>647</v>
      </c>
      <c r="D616" s="609"/>
      <c r="E616" s="610" t="s">
        <v>7</v>
      </c>
      <c r="F616" s="616">
        <v>70833</v>
      </c>
      <c r="G616" s="613"/>
      <c r="H616" s="613"/>
      <c r="I616" s="613"/>
      <c r="J616" s="613" t="s">
        <v>1495</v>
      </c>
      <c r="K616" s="613"/>
      <c r="L616" s="613"/>
      <c r="M616" s="613"/>
      <c r="N616" s="615"/>
    </row>
    <row r="617" spans="2:14">
      <c r="B617" s="599">
        <f t="shared" si="9"/>
        <v>604</v>
      </c>
      <c r="C617" s="608" t="s">
        <v>649</v>
      </c>
      <c r="D617" s="609"/>
      <c r="E617" s="610" t="s">
        <v>7</v>
      </c>
      <c r="F617" s="616">
        <v>197198</v>
      </c>
      <c r="G617" s="613"/>
      <c r="H617" s="613"/>
      <c r="I617" s="613"/>
      <c r="J617" s="613" t="s">
        <v>1495</v>
      </c>
      <c r="K617" s="613"/>
      <c r="L617" s="613"/>
      <c r="M617" s="613"/>
      <c r="N617" s="615"/>
    </row>
    <row r="618" spans="2:14">
      <c r="B618" s="599">
        <f t="shared" si="9"/>
        <v>605</v>
      </c>
      <c r="C618" s="608" t="s">
        <v>651</v>
      </c>
      <c r="D618" s="609"/>
      <c r="E618" s="610" t="s">
        <v>32</v>
      </c>
      <c r="F618" s="616">
        <v>306573</v>
      </c>
      <c r="G618" s="613"/>
      <c r="H618" s="613"/>
      <c r="I618" s="613"/>
      <c r="J618" s="613" t="s">
        <v>1495</v>
      </c>
      <c r="K618" s="613"/>
      <c r="L618" s="613"/>
      <c r="M618" s="613"/>
      <c r="N618" s="615"/>
    </row>
    <row r="619" spans="2:14">
      <c r="B619" s="599">
        <f t="shared" si="9"/>
        <v>606</v>
      </c>
      <c r="C619" s="608" t="s">
        <v>653</v>
      </c>
      <c r="D619" s="609" t="s">
        <v>1533</v>
      </c>
      <c r="E619" s="610" t="s">
        <v>32</v>
      </c>
      <c r="F619" s="616">
        <v>1399</v>
      </c>
      <c r="G619" s="613"/>
      <c r="H619" s="613"/>
      <c r="I619" s="613"/>
      <c r="J619" s="613" t="s">
        <v>1495</v>
      </c>
      <c r="K619" s="613"/>
      <c r="L619" s="613"/>
      <c r="M619" s="613"/>
      <c r="N619" s="615"/>
    </row>
    <row r="620" spans="2:14">
      <c r="B620" s="599">
        <f t="shared" si="9"/>
        <v>607</v>
      </c>
      <c r="C620" s="608" t="s">
        <v>655</v>
      </c>
      <c r="D620" s="609"/>
      <c r="E620" s="610" t="s">
        <v>7</v>
      </c>
      <c r="F620" s="616">
        <v>7473</v>
      </c>
      <c r="G620" s="613"/>
      <c r="H620" s="613"/>
      <c r="I620" s="613"/>
      <c r="J620" s="613" t="s">
        <v>1495</v>
      </c>
      <c r="K620" s="613"/>
      <c r="L620" s="613"/>
      <c r="M620" s="613"/>
      <c r="N620" s="615"/>
    </row>
    <row r="621" spans="2:14">
      <c r="B621" s="599">
        <f t="shared" si="9"/>
        <v>608</v>
      </c>
      <c r="C621" s="608" t="s">
        <v>657</v>
      </c>
      <c r="D621" s="609"/>
      <c r="E621" s="610" t="s">
        <v>7</v>
      </c>
      <c r="F621" s="616">
        <v>209781</v>
      </c>
      <c r="G621" s="613"/>
      <c r="H621" s="613"/>
      <c r="I621" s="613"/>
      <c r="J621" s="613" t="s">
        <v>1495</v>
      </c>
      <c r="K621" s="613"/>
      <c r="L621" s="613"/>
      <c r="M621" s="613"/>
      <c r="N621" s="615"/>
    </row>
    <row r="622" spans="2:14">
      <c r="B622" s="599">
        <f t="shared" si="9"/>
        <v>609</v>
      </c>
      <c r="C622" s="608" t="s">
        <v>659</v>
      </c>
      <c r="D622" s="609"/>
      <c r="E622" s="610" t="s">
        <v>7</v>
      </c>
      <c r="F622" s="616">
        <v>35366</v>
      </c>
      <c r="G622" s="613"/>
      <c r="H622" s="613"/>
      <c r="I622" s="613"/>
      <c r="J622" s="613" t="s">
        <v>1495</v>
      </c>
      <c r="K622" s="613"/>
      <c r="L622" s="613"/>
      <c r="M622" s="613"/>
      <c r="N622" s="615"/>
    </row>
    <row r="623" spans="2:14" ht="29">
      <c r="B623" s="599">
        <f t="shared" si="9"/>
        <v>610</v>
      </c>
      <c r="C623" s="608" t="s">
        <v>661</v>
      </c>
      <c r="D623" s="609"/>
      <c r="E623" s="610" t="s">
        <v>7</v>
      </c>
      <c r="F623" s="616">
        <v>1296</v>
      </c>
      <c r="G623" s="613"/>
      <c r="H623" s="613"/>
      <c r="I623" s="613"/>
      <c r="J623" s="613" t="s">
        <v>1495</v>
      </c>
      <c r="K623" s="613"/>
      <c r="L623" s="613"/>
      <c r="M623" s="613"/>
      <c r="N623" s="615"/>
    </row>
    <row r="624" spans="2:14">
      <c r="B624" s="599">
        <f t="shared" si="9"/>
        <v>611</v>
      </c>
      <c r="C624" s="608" t="s">
        <v>663</v>
      </c>
      <c r="D624" s="609"/>
      <c r="E624" s="610" t="s">
        <v>7</v>
      </c>
      <c r="F624" s="616">
        <v>54241</v>
      </c>
      <c r="G624" s="613"/>
      <c r="H624" s="613"/>
      <c r="I624" s="613"/>
      <c r="J624" s="613" t="s">
        <v>1495</v>
      </c>
      <c r="K624" s="613"/>
      <c r="L624" s="613"/>
      <c r="M624" s="613"/>
      <c r="N624" s="615"/>
    </row>
    <row r="625" spans="2:14">
      <c r="B625" s="599">
        <f t="shared" si="9"/>
        <v>612</v>
      </c>
      <c r="C625" s="608" t="s">
        <v>665</v>
      </c>
      <c r="D625" s="609"/>
      <c r="E625" s="610" t="s">
        <v>7</v>
      </c>
      <c r="F625" s="616">
        <v>133229</v>
      </c>
      <c r="G625" s="613"/>
      <c r="H625" s="613"/>
      <c r="I625" s="613"/>
      <c r="J625" s="613" t="s">
        <v>1495</v>
      </c>
      <c r="K625" s="613"/>
      <c r="L625" s="613"/>
      <c r="M625" s="613"/>
      <c r="N625" s="615"/>
    </row>
    <row r="626" spans="2:14">
      <c r="B626" s="599">
        <f t="shared" si="9"/>
        <v>613</v>
      </c>
      <c r="C626" s="608" t="s">
        <v>667</v>
      </c>
      <c r="D626" s="609"/>
      <c r="E626" s="610" t="s">
        <v>7</v>
      </c>
      <c r="F626" s="616">
        <v>183706</v>
      </c>
      <c r="G626" s="613"/>
      <c r="H626" s="613"/>
      <c r="I626" s="613"/>
      <c r="J626" s="613" t="s">
        <v>1495</v>
      </c>
      <c r="K626" s="613"/>
      <c r="L626" s="613"/>
      <c r="M626" s="613"/>
      <c r="N626" s="615"/>
    </row>
    <row r="627" spans="2:14">
      <c r="B627" s="599">
        <f t="shared" si="9"/>
        <v>614</v>
      </c>
      <c r="C627" s="608" t="s">
        <v>669</v>
      </c>
      <c r="D627" s="609"/>
      <c r="E627" s="610" t="s">
        <v>7</v>
      </c>
      <c r="F627" s="616">
        <v>337805</v>
      </c>
      <c r="G627" s="613"/>
      <c r="H627" s="613"/>
      <c r="I627" s="613"/>
      <c r="J627" s="613" t="s">
        <v>1495</v>
      </c>
      <c r="K627" s="613"/>
      <c r="L627" s="613"/>
      <c r="M627" s="613"/>
      <c r="N627" s="615"/>
    </row>
    <row r="628" spans="2:14">
      <c r="B628" s="599">
        <f t="shared" si="9"/>
        <v>615</v>
      </c>
      <c r="C628" s="608" t="s">
        <v>468</v>
      </c>
      <c r="D628" s="609" t="s">
        <v>1532</v>
      </c>
      <c r="E628" s="610" t="s">
        <v>7</v>
      </c>
      <c r="F628" s="616">
        <v>23704</v>
      </c>
      <c r="G628" s="613"/>
      <c r="H628" s="613"/>
      <c r="I628" s="613"/>
      <c r="J628" s="613" t="s">
        <v>1495</v>
      </c>
      <c r="K628" s="613"/>
      <c r="L628" s="613"/>
      <c r="M628" s="613"/>
      <c r="N628" s="615"/>
    </row>
    <row r="629" spans="2:14">
      <c r="B629" s="599">
        <f t="shared" si="9"/>
        <v>616</v>
      </c>
      <c r="C629" s="608" t="s">
        <v>671</v>
      </c>
      <c r="D629" s="609"/>
      <c r="E629" s="610" t="s">
        <v>32</v>
      </c>
      <c r="F629" s="616">
        <v>593944</v>
      </c>
      <c r="G629" s="613"/>
      <c r="H629" s="613"/>
      <c r="I629" s="613"/>
      <c r="J629" s="613" t="s">
        <v>1495</v>
      </c>
      <c r="K629" s="613"/>
      <c r="L629" s="613"/>
      <c r="M629" s="613"/>
      <c r="N629" s="615"/>
    </row>
    <row r="630" spans="2:14">
      <c r="B630" s="599">
        <f t="shared" si="9"/>
        <v>617</v>
      </c>
      <c r="C630" s="608" t="s">
        <v>673</v>
      </c>
      <c r="D630" s="609"/>
      <c r="E630" s="610" t="s">
        <v>7</v>
      </c>
      <c r="F630" s="616">
        <v>189249</v>
      </c>
      <c r="G630" s="613"/>
      <c r="H630" s="613"/>
      <c r="I630" s="613"/>
      <c r="J630" s="613" t="s">
        <v>1495</v>
      </c>
      <c r="K630" s="613"/>
      <c r="L630" s="613"/>
      <c r="M630" s="613"/>
      <c r="N630" s="615"/>
    </row>
    <row r="631" spans="2:14">
      <c r="B631" s="599">
        <f t="shared" si="9"/>
        <v>618</v>
      </c>
      <c r="C631" s="608" t="s">
        <v>675</v>
      </c>
      <c r="D631" s="609"/>
      <c r="E631" s="610" t="s">
        <v>7</v>
      </c>
      <c r="F631" s="616">
        <v>53227</v>
      </c>
      <c r="G631" s="613"/>
      <c r="H631" s="613"/>
      <c r="I631" s="613"/>
      <c r="J631" s="613" t="s">
        <v>1495</v>
      </c>
      <c r="K631" s="613"/>
      <c r="L631" s="613"/>
      <c r="M631" s="613"/>
      <c r="N631" s="615"/>
    </row>
    <row r="632" spans="2:14">
      <c r="B632" s="599">
        <f t="shared" si="9"/>
        <v>619</v>
      </c>
      <c r="C632" s="608" t="s">
        <v>677</v>
      </c>
      <c r="D632" s="609"/>
      <c r="E632" s="610" t="s">
        <v>7</v>
      </c>
      <c r="F632" s="616">
        <v>1225</v>
      </c>
      <c r="G632" s="613"/>
      <c r="H632" s="613"/>
      <c r="I632" s="613"/>
      <c r="J632" s="613" t="s">
        <v>1495</v>
      </c>
      <c r="K632" s="613"/>
      <c r="L632" s="613"/>
      <c r="M632" s="613"/>
      <c r="N632" s="615"/>
    </row>
    <row r="633" spans="2:14">
      <c r="B633" s="599">
        <f t="shared" si="9"/>
        <v>620</v>
      </c>
      <c r="C633" s="608" t="s">
        <v>679</v>
      </c>
      <c r="D633" s="609"/>
      <c r="E633" s="610" t="s">
        <v>32</v>
      </c>
      <c r="F633" s="616">
        <v>50588</v>
      </c>
      <c r="G633" s="613"/>
      <c r="H633" s="613"/>
      <c r="I633" s="613"/>
      <c r="J633" s="613" t="s">
        <v>1495</v>
      </c>
      <c r="K633" s="613"/>
      <c r="L633" s="613"/>
      <c r="M633" s="613"/>
      <c r="N633" s="615"/>
    </row>
    <row r="634" spans="2:14">
      <c r="B634" s="599">
        <f t="shared" si="9"/>
        <v>621</v>
      </c>
      <c r="C634" s="608" t="s">
        <v>472</v>
      </c>
      <c r="D634" s="609" t="s">
        <v>1531</v>
      </c>
      <c r="E634" s="610" t="s">
        <v>7</v>
      </c>
      <c r="F634" s="616">
        <v>91230</v>
      </c>
      <c r="G634" s="613"/>
      <c r="H634" s="613"/>
      <c r="I634" s="613"/>
      <c r="J634" s="613" t="s">
        <v>1495</v>
      </c>
      <c r="K634" s="613"/>
      <c r="L634" s="613"/>
      <c r="M634" s="613"/>
      <c r="N634" s="615"/>
    </row>
    <row r="635" spans="2:14">
      <c r="B635" s="599">
        <f t="shared" si="9"/>
        <v>622</v>
      </c>
      <c r="C635" s="608" t="s">
        <v>681</v>
      </c>
      <c r="D635" s="609"/>
      <c r="E635" s="610" t="s">
        <v>7</v>
      </c>
      <c r="F635" s="616">
        <v>98929</v>
      </c>
      <c r="G635" s="613"/>
      <c r="H635" s="613"/>
      <c r="I635" s="613"/>
      <c r="J635" s="613" t="s">
        <v>1495</v>
      </c>
      <c r="K635" s="613"/>
      <c r="L635" s="613"/>
      <c r="M635" s="613"/>
      <c r="N635" s="615"/>
    </row>
    <row r="636" spans="2:14">
      <c r="B636" s="599">
        <f t="shared" si="9"/>
        <v>623</v>
      </c>
      <c r="C636" s="608" t="s">
        <v>683</v>
      </c>
      <c r="D636" s="609"/>
      <c r="E636" s="610" t="s">
        <v>7</v>
      </c>
      <c r="F636" s="616">
        <v>156018</v>
      </c>
      <c r="G636" s="613"/>
      <c r="H636" s="613"/>
      <c r="I636" s="613"/>
      <c r="J636" s="613" t="s">
        <v>1495</v>
      </c>
      <c r="K636" s="613"/>
      <c r="L636" s="613"/>
      <c r="M636" s="613"/>
      <c r="N636" s="615"/>
    </row>
    <row r="637" spans="2:14">
      <c r="B637" s="599">
        <f t="shared" si="9"/>
        <v>624</v>
      </c>
      <c r="C637" s="608" t="s">
        <v>470</v>
      </c>
      <c r="D637" s="609" t="s">
        <v>1530</v>
      </c>
      <c r="E637" s="610" t="s">
        <v>7</v>
      </c>
      <c r="F637" s="616">
        <v>49112</v>
      </c>
      <c r="G637" s="613"/>
      <c r="H637" s="613"/>
      <c r="I637" s="613"/>
      <c r="J637" s="613" t="s">
        <v>1495</v>
      </c>
      <c r="K637" s="613"/>
      <c r="L637" s="613"/>
      <c r="M637" s="613"/>
      <c r="N637" s="615"/>
    </row>
    <row r="638" spans="2:14">
      <c r="B638" s="599">
        <f t="shared" si="9"/>
        <v>625</v>
      </c>
      <c r="C638" s="608" t="s">
        <v>685</v>
      </c>
      <c r="D638" s="609"/>
      <c r="E638" s="610" t="s">
        <v>7</v>
      </c>
      <c r="F638" s="616">
        <v>111336</v>
      </c>
      <c r="G638" s="613"/>
      <c r="H638" s="613"/>
      <c r="I638" s="613"/>
      <c r="J638" s="613" t="s">
        <v>1495</v>
      </c>
      <c r="K638" s="613"/>
      <c r="L638" s="613"/>
      <c r="M638" s="613"/>
      <c r="N638" s="615"/>
    </row>
    <row r="639" spans="2:14">
      <c r="B639" s="599">
        <f t="shared" si="9"/>
        <v>626</v>
      </c>
      <c r="C639" s="608" t="s">
        <v>687</v>
      </c>
      <c r="D639" s="609"/>
      <c r="E639" s="610" t="s">
        <v>7</v>
      </c>
      <c r="F639" s="616">
        <v>433673</v>
      </c>
      <c r="G639" s="613"/>
      <c r="H639" s="613"/>
      <c r="I639" s="613"/>
      <c r="J639" s="613" t="s">
        <v>1495</v>
      </c>
      <c r="K639" s="613"/>
      <c r="L639" s="613"/>
      <c r="M639" s="613"/>
      <c r="N639" s="615"/>
    </row>
    <row r="640" spans="2:14">
      <c r="B640" s="599">
        <f t="shared" si="9"/>
        <v>627</v>
      </c>
      <c r="C640" s="608" t="s">
        <v>689</v>
      </c>
      <c r="D640" s="609"/>
      <c r="E640" s="610" t="s">
        <v>7</v>
      </c>
      <c r="F640" s="616">
        <v>137620</v>
      </c>
      <c r="G640" s="613"/>
      <c r="H640" s="613"/>
      <c r="I640" s="613"/>
      <c r="J640" s="613" t="s">
        <v>1495</v>
      </c>
      <c r="K640" s="613"/>
      <c r="L640" s="613"/>
      <c r="M640" s="613"/>
      <c r="N640" s="615"/>
    </row>
    <row r="641" spans="1:14">
      <c r="B641" s="599">
        <f t="shared" si="9"/>
        <v>628</v>
      </c>
      <c r="C641" s="608" t="s">
        <v>691</v>
      </c>
      <c r="D641" s="609"/>
      <c r="E641" s="610" t="s">
        <v>7</v>
      </c>
      <c r="F641" s="616">
        <v>203034</v>
      </c>
      <c r="G641" s="613"/>
      <c r="H641" s="613"/>
      <c r="I641" s="613"/>
      <c r="J641" s="613" t="s">
        <v>1495</v>
      </c>
      <c r="K641" s="613"/>
      <c r="L641" s="613"/>
      <c r="M641" s="613"/>
      <c r="N641" s="615"/>
    </row>
    <row r="642" spans="1:14">
      <c r="B642" s="599">
        <f t="shared" si="9"/>
        <v>629</v>
      </c>
      <c r="C642" s="608" t="s">
        <v>693</v>
      </c>
      <c r="D642" s="609"/>
      <c r="E642" s="610" t="s">
        <v>7</v>
      </c>
      <c r="F642" s="616">
        <v>1700</v>
      </c>
      <c r="G642" s="613"/>
      <c r="H642" s="613"/>
      <c r="I642" s="613"/>
      <c r="J642" s="613" t="s">
        <v>1495</v>
      </c>
      <c r="K642" s="613"/>
      <c r="L642" s="613"/>
      <c r="M642" s="613"/>
      <c r="N642" s="615"/>
    </row>
    <row r="643" spans="1:14">
      <c r="B643" s="599">
        <f t="shared" si="9"/>
        <v>630</v>
      </c>
      <c r="C643" s="608" t="s">
        <v>695</v>
      </c>
      <c r="D643" s="609"/>
      <c r="E643" s="610" t="s">
        <v>7</v>
      </c>
      <c r="F643" s="616">
        <v>51407</v>
      </c>
      <c r="G643" s="613"/>
      <c r="H643" s="613"/>
      <c r="I643" s="613"/>
      <c r="J643" s="613" t="s">
        <v>1495</v>
      </c>
      <c r="K643" s="613"/>
      <c r="L643" s="613"/>
      <c r="M643" s="613"/>
      <c r="N643" s="615"/>
    </row>
    <row r="644" spans="1:14">
      <c r="B644" s="599">
        <f t="shared" si="9"/>
        <v>631</v>
      </c>
      <c r="C644" s="608" t="s">
        <v>697</v>
      </c>
      <c r="D644" s="609"/>
      <c r="E644" s="610" t="s">
        <v>7</v>
      </c>
      <c r="F644" s="616">
        <v>228099</v>
      </c>
      <c r="G644" s="613"/>
      <c r="H644" s="613"/>
      <c r="I644" s="613"/>
      <c r="J644" s="613" t="s">
        <v>1495</v>
      </c>
      <c r="K644" s="613"/>
      <c r="L644" s="613"/>
      <c r="M644" s="613"/>
      <c r="N644" s="615"/>
    </row>
    <row r="645" spans="1:14">
      <c r="B645" s="599">
        <f t="shared" si="9"/>
        <v>632</v>
      </c>
      <c r="C645" s="608" t="s">
        <v>699</v>
      </c>
      <c r="D645" s="609"/>
      <c r="E645" s="610" t="s">
        <v>7</v>
      </c>
      <c r="F645" s="616">
        <v>143269</v>
      </c>
      <c r="G645" s="613"/>
      <c r="H645" s="613"/>
      <c r="I645" s="613"/>
      <c r="J645" s="613" t="s">
        <v>1495</v>
      </c>
      <c r="K645" s="613"/>
      <c r="L645" s="613"/>
      <c r="M645" s="613"/>
      <c r="N645" s="615"/>
    </row>
    <row r="646" spans="1:14" ht="29">
      <c r="B646" s="599">
        <f t="shared" si="9"/>
        <v>633</v>
      </c>
      <c r="C646" s="608" t="s">
        <v>701</v>
      </c>
      <c r="D646" s="609"/>
      <c r="E646" s="610" t="s">
        <v>7</v>
      </c>
      <c r="F646" s="616">
        <v>326689</v>
      </c>
      <c r="G646" s="613"/>
      <c r="H646" s="613"/>
      <c r="I646" s="613"/>
      <c r="J646" s="613" t="s">
        <v>1495</v>
      </c>
      <c r="K646" s="613"/>
      <c r="L646" s="613"/>
      <c r="M646" s="613"/>
      <c r="N646" s="615"/>
    </row>
    <row r="647" spans="1:14">
      <c r="B647" s="599">
        <f t="shared" ref="B647:B710" si="10">B646+1</f>
        <v>634</v>
      </c>
      <c r="C647" s="608" t="s">
        <v>703</v>
      </c>
      <c r="D647" s="609"/>
      <c r="E647" s="610" t="s">
        <v>7</v>
      </c>
      <c r="F647" s="616">
        <v>46264</v>
      </c>
      <c r="G647" s="613"/>
      <c r="H647" s="613"/>
      <c r="I647" s="613"/>
      <c r="J647" s="613" t="s">
        <v>1495</v>
      </c>
      <c r="K647" s="613"/>
      <c r="L647" s="613"/>
      <c r="M647" s="613"/>
      <c r="N647" s="615"/>
    </row>
    <row r="648" spans="1:14" ht="29">
      <c r="B648" s="599">
        <f t="shared" si="10"/>
        <v>635</v>
      </c>
      <c r="C648" s="608" t="s">
        <v>705</v>
      </c>
      <c r="D648" s="609"/>
      <c r="E648" s="610" t="s">
        <v>7</v>
      </c>
      <c r="F648" s="616">
        <v>30489</v>
      </c>
      <c r="G648" s="613"/>
      <c r="H648" s="613"/>
      <c r="I648" s="613"/>
      <c r="J648" s="613" t="s">
        <v>1495</v>
      </c>
      <c r="K648" s="613"/>
      <c r="L648" s="613"/>
      <c r="M648" s="613"/>
      <c r="N648" s="615"/>
    </row>
    <row r="649" spans="1:14">
      <c r="B649" s="599">
        <f t="shared" si="10"/>
        <v>636</v>
      </c>
      <c r="C649" s="608" t="s">
        <v>474</v>
      </c>
      <c r="D649" s="609" t="s">
        <v>1529</v>
      </c>
      <c r="E649" s="610" t="s">
        <v>32</v>
      </c>
      <c r="F649" s="616">
        <v>130348</v>
      </c>
      <c r="G649" s="613"/>
      <c r="H649" s="613"/>
      <c r="I649" s="613"/>
      <c r="J649" s="613" t="s">
        <v>1495</v>
      </c>
      <c r="K649" s="635"/>
      <c r="L649" s="613"/>
      <c r="M649" s="636"/>
      <c r="N649" s="637"/>
    </row>
    <row r="650" spans="1:14">
      <c r="B650" s="599">
        <f t="shared" si="10"/>
        <v>637</v>
      </c>
      <c r="C650" s="608" t="s">
        <v>707</v>
      </c>
      <c r="D650" s="609"/>
      <c r="E650" s="610" t="s">
        <v>1510</v>
      </c>
      <c r="F650" s="616">
        <v>168846</v>
      </c>
      <c r="G650" s="613"/>
      <c r="H650" s="613"/>
      <c r="I650" s="613"/>
      <c r="J650" s="613" t="s">
        <v>1495</v>
      </c>
      <c r="K650" s="613"/>
      <c r="L650" s="613"/>
      <c r="M650" s="613"/>
      <c r="N650" s="615"/>
    </row>
    <row r="651" spans="1:14" ht="43.5">
      <c r="B651" s="599">
        <f t="shared" si="10"/>
        <v>638</v>
      </c>
      <c r="C651" s="608" t="s">
        <v>709</v>
      </c>
      <c r="D651" s="609"/>
      <c r="E651" s="610" t="s">
        <v>1510</v>
      </c>
      <c r="F651" s="616">
        <v>255807</v>
      </c>
      <c r="G651" s="613"/>
      <c r="H651" s="613"/>
      <c r="I651" s="613"/>
      <c r="J651" s="613" t="s">
        <v>1495</v>
      </c>
      <c r="K651" s="613"/>
      <c r="L651" s="613"/>
      <c r="M651" s="613"/>
      <c r="N651" s="615"/>
    </row>
    <row r="652" spans="1:14">
      <c r="B652" s="599">
        <f t="shared" si="10"/>
        <v>639</v>
      </c>
      <c r="C652" s="608" t="s">
        <v>711</v>
      </c>
      <c r="D652" s="609"/>
      <c r="E652" s="610" t="s">
        <v>1510</v>
      </c>
      <c r="F652" s="616">
        <v>73382</v>
      </c>
      <c r="G652" s="613"/>
      <c r="H652" s="613"/>
      <c r="I652" s="613"/>
      <c r="J652" s="613" t="s">
        <v>1495</v>
      </c>
      <c r="K652" s="613"/>
      <c r="L652" s="613"/>
      <c r="M652" s="613"/>
      <c r="N652" s="615"/>
    </row>
    <row r="653" spans="1:14">
      <c r="A653" s="638" t="s">
        <v>309</v>
      </c>
      <c r="B653" s="599">
        <f t="shared" si="10"/>
        <v>640</v>
      </c>
      <c r="C653" s="608" t="s">
        <v>1501</v>
      </c>
      <c r="D653" s="609" t="s">
        <v>1528</v>
      </c>
      <c r="E653" s="610" t="s">
        <v>7</v>
      </c>
      <c r="F653" s="616">
        <v>253710.27</v>
      </c>
      <c r="G653" s="613"/>
      <c r="H653" s="613"/>
      <c r="I653" s="613"/>
      <c r="J653" s="613" t="s">
        <v>1495</v>
      </c>
      <c r="K653" s="613"/>
      <c r="L653" s="613"/>
      <c r="M653" s="613"/>
      <c r="N653" s="615"/>
    </row>
    <row r="654" spans="1:14">
      <c r="B654" s="599">
        <f t="shared" si="10"/>
        <v>641</v>
      </c>
      <c r="C654" s="608" t="s">
        <v>713</v>
      </c>
      <c r="D654" s="609"/>
      <c r="E654" s="610" t="s">
        <v>7</v>
      </c>
      <c r="F654" s="616">
        <v>66757</v>
      </c>
      <c r="G654" s="613"/>
      <c r="H654" s="613"/>
      <c r="I654" s="613"/>
      <c r="J654" s="613" t="s">
        <v>1495</v>
      </c>
      <c r="K654" s="613"/>
      <c r="L654" s="613"/>
      <c r="M654" s="613"/>
      <c r="N654" s="615"/>
    </row>
    <row r="655" spans="1:14" ht="29">
      <c r="B655" s="599">
        <f t="shared" si="10"/>
        <v>642</v>
      </c>
      <c r="C655" s="608" t="s">
        <v>715</v>
      </c>
      <c r="D655" s="609"/>
      <c r="E655" s="610" t="s">
        <v>7</v>
      </c>
      <c r="F655" s="616">
        <v>202926</v>
      </c>
      <c r="G655" s="613"/>
      <c r="H655" s="613"/>
      <c r="I655" s="613"/>
      <c r="J655" s="613" t="s">
        <v>1495</v>
      </c>
      <c r="K655" s="613"/>
      <c r="L655" s="613"/>
      <c r="M655" s="613"/>
      <c r="N655" s="615"/>
    </row>
    <row r="656" spans="1:14">
      <c r="B656" s="599">
        <f t="shared" si="10"/>
        <v>643</v>
      </c>
      <c r="C656" s="608" t="s">
        <v>717</v>
      </c>
      <c r="D656" s="609"/>
      <c r="E656" s="610" t="s">
        <v>32</v>
      </c>
      <c r="F656" s="616">
        <v>284658</v>
      </c>
      <c r="G656" s="613"/>
      <c r="H656" s="613"/>
      <c r="I656" s="613"/>
      <c r="J656" s="613" t="s">
        <v>1495</v>
      </c>
      <c r="K656" s="613"/>
      <c r="L656" s="613"/>
      <c r="M656" s="613"/>
      <c r="N656" s="615"/>
    </row>
    <row r="657" spans="2:14">
      <c r="B657" s="599">
        <f t="shared" si="10"/>
        <v>644</v>
      </c>
      <c r="C657" s="608" t="s">
        <v>719</v>
      </c>
      <c r="D657" s="609"/>
      <c r="E657" s="610" t="s">
        <v>7</v>
      </c>
      <c r="F657" s="616">
        <v>41178</v>
      </c>
      <c r="G657" s="613"/>
      <c r="H657" s="613"/>
      <c r="I657" s="613"/>
      <c r="J657" s="613" t="s">
        <v>1495</v>
      </c>
      <c r="K657" s="613"/>
      <c r="L657" s="613"/>
      <c r="M657" s="613"/>
      <c r="N657" s="615"/>
    </row>
    <row r="658" spans="2:14">
      <c r="B658" s="599">
        <f t="shared" si="10"/>
        <v>645</v>
      </c>
      <c r="C658" s="608" t="s">
        <v>721</v>
      </c>
      <c r="D658" s="609"/>
      <c r="E658" s="610" t="s">
        <v>7</v>
      </c>
      <c r="F658" s="616">
        <v>180146</v>
      </c>
      <c r="G658" s="613"/>
      <c r="H658" s="613"/>
      <c r="I658" s="613"/>
      <c r="J658" s="613" t="s">
        <v>1495</v>
      </c>
      <c r="K658" s="613"/>
      <c r="L658" s="613"/>
      <c r="M658" s="613"/>
      <c r="N658" s="615"/>
    </row>
    <row r="659" spans="2:14">
      <c r="B659" s="599">
        <f t="shared" si="10"/>
        <v>646</v>
      </c>
      <c r="C659" s="608" t="s">
        <v>723</v>
      </c>
      <c r="D659" s="609"/>
      <c r="E659" s="610" t="s">
        <v>7</v>
      </c>
      <c r="F659" s="616">
        <v>54362</v>
      </c>
      <c r="G659" s="613"/>
      <c r="H659" s="613"/>
      <c r="I659" s="613"/>
      <c r="J659" s="613" t="s">
        <v>1495</v>
      </c>
      <c r="K659" s="613"/>
      <c r="L659" s="613"/>
      <c r="M659" s="613"/>
      <c r="N659" s="615"/>
    </row>
    <row r="660" spans="2:14">
      <c r="B660" s="599">
        <f t="shared" si="10"/>
        <v>647</v>
      </c>
      <c r="C660" s="608" t="s">
        <v>725</v>
      </c>
      <c r="D660" s="609"/>
      <c r="E660" s="610" t="s">
        <v>7</v>
      </c>
      <c r="F660" s="616">
        <v>100080</v>
      </c>
      <c r="G660" s="613"/>
      <c r="H660" s="613"/>
      <c r="I660" s="613"/>
      <c r="J660" s="613" t="s">
        <v>1495</v>
      </c>
      <c r="K660" s="613"/>
      <c r="L660" s="613"/>
      <c r="M660" s="613"/>
      <c r="N660" s="615"/>
    </row>
    <row r="661" spans="2:14">
      <c r="B661" s="599">
        <f t="shared" si="10"/>
        <v>648</v>
      </c>
      <c r="C661" s="608" t="s">
        <v>727</v>
      </c>
      <c r="D661" s="609"/>
      <c r="E661" s="610" t="s">
        <v>7</v>
      </c>
      <c r="F661" s="616">
        <v>286574</v>
      </c>
      <c r="G661" s="613"/>
      <c r="H661" s="613"/>
      <c r="I661" s="613"/>
      <c r="J661" s="613" t="s">
        <v>1495</v>
      </c>
      <c r="K661" s="613"/>
      <c r="L661" s="613"/>
      <c r="M661" s="613"/>
      <c r="N661" s="615"/>
    </row>
    <row r="662" spans="2:14">
      <c r="B662" s="599">
        <f t="shared" si="10"/>
        <v>649</v>
      </c>
      <c r="C662" s="608" t="s">
        <v>729</v>
      </c>
      <c r="D662" s="609"/>
      <c r="E662" s="610" t="s">
        <v>7</v>
      </c>
      <c r="F662" s="616">
        <v>248109</v>
      </c>
      <c r="G662" s="613"/>
      <c r="H662" s="613"/>
      <c r="I662" s="613"/>
      <c r="J662" s="613" t="s">
        <v>1495</v>
      </c>
      <c r="K662" s="613"/>
      <c r="L662" s="613"/>
      <c r="M662" s="613"/>
      <c r="N662" s="615"/>
    </row>
    <row r="663" spans="2:14">
      <c r="B663" s="599">
        <f t="shared" si="10"/>
        <v>650</v>
      </c>
      <c r="C663" s="608" t="s">
        <v>731</v>
      </c>
      <c r="D663" s="609"/>
      <c r="E663" s="610" t="s">
        <v>7</v>
      </c>
      <c r="F663" s="616">
        <v>197602</v>
      </c>
      <c r="G663" s="613"/>
      <c r="H663" s="613"/>
      <c r="I663" s="613"/>
      <c r="J663" s="613" t="s">
        <v>1495</v>
      </c>
      <c r="K663" s="613"/>
      <c r="L663" s="613"/>
      <c r="M663" s="613"/>
      <c r="N663" s="615"/>
    </row>
    <row r="664" spans="2:14" ht="29">
      <c r="B664" s="599">
        <f t="shared" si="10"/>
        <v>651</v>
      </c>
      <c r="C664" s="608" t="s">
        <v>733</v>
      </c>
      <c r="D664" s="609"/>
      <c r="E664" s="610" t="s">
        <v>7</v>
      </c>
      <c r="F664" s="616">
        <v>16044</v>
      </c>
      <c r="G664" s="613"/>
      <c r="H664" s="613"/>
      <c r="I664" s="613"/>
      <c r="J664" s="613" t="s">
        <v>1495</v>
      </c>
      <c r="K664" s="613"/>
      <c r="L664" s="613"/>
      <c r="M664" s="613"/>
      <c r="N664" s="615"/>
    </row>
    <row r="665" spans="2:14">
      <c r="B665" s="599">
        <f t="shared" si="10"/>
        <v>652</v>
      </c>
      <c r="C665" s="608" t="s">
        <v>735</v>
      </c>
      <c r="D665" s="609"/>
      <c r="E665" s="610" t="s">
        <v>7</v>
      </c>
      <c r="F665" s="616">
        <v>50349</v>
      </c>
      <c r="G665" s="613"/>
      <c r="H665" s="613"/>
      <c r="I665" s="613"/>
      <c r="J665" s="613" t="s">
        <v>1495</v>
      </c>
      <c r="K665" s="613"/>
      <c r="L665" s="613"/>
      <c r="M665" s="613"/>
      <c r="N665" s="615"/>
    </row>
    <row r="666" spans="2:14">
      <c r="B666" s="599">
        <f t="shared" si="10"/>
        <v>653</v>
      </c>
      <c r="C666" s="608" t="s">
        <v>737</v>
      </c>
      <c r="D666" s="609"/>
      <c r="E666" s="610" t="s">
        <v>7</v>
      </c>
      <c r="F666" s="616">
        <v>73810</v>
      </c>
      <c r="G666" s="613"/>
      <c r="H666" s="613"/>
      <c r="I666" s="613"/>
      <c r="J666" s="613" t="s">
        <v>1495</v>
      </c>
      <c r="K666" s="613"/>
      <c r="L666" s="613"/>
      <c r="M666" s="613"/>
      <c r="N666" s="615"/>
    </row>
    <row r="667" spans="2:14">
      <c r="B667" s="599">
        <f t="shared" si="10"/>
        <v>654</v>
      </c>
      <c r="C667" s="608" t="s">
        <v>476</v>
      </c>
      <c r="D667" s="609" t="s">
        <v>1524</v>
      </c>
      <c r="E667" s="610" t="s">
        <v>32</v>
      </c>
      <c r="F667" s="616">
        <v>98534</v>
      </c>
      <c r="G667" s="613"/>
      <c r="H667" s="613"/>
      <c r="I667" s="613"/>
      <c r="J667" s="613" t="s">
        <v>1495</v>
      </c>
      <c r="K667" s="613"/>
      <c r="L667" s="613"/>
      <c r="M667" s="613"/>
      <c r="N667" s="615"/>
    </row>
    <row r="668" spans="2:14">
      <c r="B668" s="599">
        <f t="shared" si="10"/>
        <v>655</v>
      </c>
      <c r="C668" s="608" t="s">
        <v>739</v>
      </c>
      <c r="D668" s="609"/>
      <c r="E668" s="610" t="s">
        <v>32</v>
      </c>
      <c r="F668" s="616">
        <v>593805</v>
      </c>
      <c r="G668" s="613"/>
      <c r="H668" s="613"/>
      <c r="I668" s="613"/>
      <c r="J668" s="613" t="s">
        <v>1495</v>
      </c>
      <c r="K668" s="613"/>
      <c r="L668" s="613"/>
      <c r="M668" s="613"/>
      <c r="N668" s="615"/>
    </row>
    <row r="669" spans="2:14">
      <c r="B669" s="599">
        <f t="shared" si="10"/>
        <v>656</v>
      </c>
      <c r="C669" s="608" t="s">
        <v>741</v>
      </c>
      <c r="D669" s="609"/>
      <c r="E669" s="610" t="s">
        <v>32</v>
      </c>
      <c r="F669" s="616">
        <v>46350</v>
      </c>
      <c r="G669" s="613"/>
      <c r="H669" s="613"/>
      <c r="I669" s="613"/>
      <c r="J669" s="613" t="s">
        <v>1495</v>
      </c>
      <c r="K669" s="613"/>
      <c r="L669" s="613"/>
      <c r="M669" s="613"/>
      <c r="N669" s="615"/>
    </row>
    <row r="670" spans="2:14">
      <c r="B670" s="599">
        <f t="shared" si="10"/>
        <v>657</v>
      </c>
      <c r="C670" s="608" t="s">
        <v>743</v>
      </c>
      <c r="D670" s="609"/>
      <c r="E670" s="610" t="s">
        <v>7</v>
      </c>
      <c r="F670" s="616">
        <v>203657</v>
      </c>
      <c r="G670" s="613"/>
      <c r="H670" s="613"/>
      <c r="I670" s="613"/>
      <c r="J670" s="613" t="s">
        <v>1495</v>
      </c>
      <c r="K670" s="613"/>
      <c r="L670" s="613"/>
      <c r="M670" s="613"/>
      <c r="N670" s="615"/>
    </row>
    <row r="671" spans="2:14">
      <c r="B671" s="599">
        <f t="shared" si="10"/>
        <v>658</v>
      </c>
      <c r="C671" s="608" t="s">
        <v>478</v>
      </c>
      <c r="D671" s="609" t="s">
        <v>1527</v>
      </c>
      <c r="E671" s="610" t="s">
        <v>7</v>
      </c>
      <c r="F671" s="616">
        <v>10832</v>
      </c>
      <c r="G671" s="613"/>
      <c r="H671" s="613"/>
      <c r="I671" s="613"/>
      <c r="J671" s="613" t="s">
        <v>1495</v>
      </c>
      <c r="K671" s="613"/>
      <c r="L671" s="613"/>
      <c r="M671" s="613"/>
      <c r="N671" s="615"/>
    </row>
    <row r="672" spans="2:14">
      <c r="B672" s="599">
        <f t="shared" si="10"/>
        <v>659</v>
      </c>
      <c r="C672" s="608" t="s">
        <v>745</v>
      </c>
      <c r="D672" s="609"/>
      <c r="E672" s="610" t="s">
        <v>7</v>
      </c>
      <c r="F672" s="616">
        <v>119734</v>
      </c>
      <c r="G672" s="613"/>
      <c r="H672" s="613"/>
      <c r="I672" s="613"/>
      <c r="J672" s="613" t="s">
        <v>1495</v>
      </c>
      <c r="K672" s="613"/>
      <c r="L672" s="613"/>
      <c r="M672" s="613"/>
      <c r="N672" s="615"/>
    </row>
    <row r="673" spans="2:14">
      <c r="B673" s="599">
        <f t="shared" si="10"/>
        <v>660</v>
      </c>
      <c r="C673" s="608" t="s">
        <v>747</v>
      </c>
      <c r="D673" s="609"/>
      <c r="E673" s="610" t="s">
        <v>7</v>
      </c>
      <c r="F673" s="616">
        <v>98042</v>
      </c>
      <c r="G673" s="613"/>
      <c r="H673" s="613"/>
      <c r="I673" s="613"/>
      <c r="J673" s="613" t="s">
        <v>1495</v>
      </c>
      <c r="K673" s="613"/>
      <c r="L673" s="613"/>
      <c r="M673" s="613"/>
      <c r="N673" s="615"/>
    </row>
    <row r="674" spans="2:14">
      <c r="B674" s="599">
        <f t="shared" si="10"/>
        <v>661</v>
      </c>
      <c r="C674" s="608" t="s">
        <v>749</v>
      </c>
      <c r="D674" s="609" t="s">
        <v>1526</v>
      </c>
      <c r="E674" s="610" t="s">
        <v>32</v>
      </c>
      <c r="F674" s="616">
        <v>22896</v>
      </c>
      <c r="G674" s="613"/>
      <c r="H674" s="613"/>
      <c r="I674" s="613"/>
      <c r="J674" s="613" t="s">
        <v>1495</v>
      </c>
      <c r="K674" s="613"/>
      <c r="L674" s="613"/>
      <c r="M674" s="613"/>
      <c r="N674" s="615"/>
    </row>
    <row r="675" spans="2:14">
      <c r="B675" s="599">
        <f t="shared" si="10"/>
        <v>662</v>
      </c>
      <c r="C675" s="608" t="s">
        <v>751</v>
      </c>
      <c r="D675" s="609"/>
      <c r="E675" s="610" t="s">
        <v>32</v>
      </c>
      <c r="F675" s="616">
        <v>135796</v>
      </c>
      <c r="G675" s="613"/>
      <c r="H675" s="613"/>
      <c r="I675" s="613"/>
      <c r="J675" s="613" t="s">
        <v>1495</v>
      </c>
      <c r="K675" s="613"/>
      <c r="L675" s="613"/>
      <c r="M675" s="613"/>
      <c r="N675" s="615"/>
    </row>
    <row r="676" spans="2:14">
      <c r="B676" s="599">
        <f t="shared" si="10"/>
        <v>663</v>
      </c>
      <c r="C676" s="608" t="s">
        <v>753</v>
      </c>
      <c r="D676" s="609"/>
      <c r="E676" s="610" t="s">
        <v>32</v>
      </c>
      <c r="F676" s="616">
        <v>44738</v>
      </c>
      <c r="G676" s="613"/>
      <c r="H676" s="613"/>
      <c r="I676" s="613"/>
      <c r="J676" s="613" t="s">
        <v>1495</v>
      </c>
      <c r="K676" s="613"/>
      <c r="L676" s="613"/>
      <c r="M676" s="613"/>
      <c r="N676" s="615"/>
    </row>
    <row r="677" spans="2:14">
      <c r="B677" s="599">
        <f t="shared" si="10"/>
        <v>664</v>
      </c>
      <c r="C677" s="608" t="s">
        <v>755</v>
      </c>
      <c r="D677" s="609"/>
      <c r="E677" s="610" t="s">
        <v>7</v>
      </c>
      <c r="F677" s="616">
        <v>155533</v>
      </c>
      <c r="G677" s="613"/>
      <c r="H677" s="613"/>
      <c r="I677" s="613"/>
      <c r="J677" s="613" t="s">
        <v>1495</v>
      </c>
      <c r="K677" s="613"/>
      <c r="L677" s="613"/>
      <c r="M677" s="613"/>
      <c r="N677" s="615"/>
    </row>
    <row r="678" spans="2:14">
      <c r="B678" s="599">
        <f t="shared" si="10"/>
        <v>665</v>
      </c>
      <c r="C678" s="608" t="s">
        <v>757</v>
      </c>
      <c r="D678" s="609"/>
      <c r="E678" s="610" t="s">
        <v>7</v>
      </c>
      <c r="F678" s="616">
        <v>141441</v>
      </c>
      <c r="G678" s="613"/>
      <c r="H678" s="613"/>
      <c r="I678" s="613"/>
      <c r="J678" s="613" t="s">
        <v>1495</v>
      </c>
      <c r="K678" s="613"/>
      <c r="L678" s="613"/>
      <c r="M678" s="613"/>
      <c r="N678" s="615"/>
    </row>
    <row r="679" spans="2:14">
      <c r="B679" s="599">
        <f t="shared" si="10"/>
        <v>666</v>
      </c>
      <c r="C679" s="608" t="s">
        <v>759</v>
      </c>
      <c r="D679" s="609"/>
      <c r="E679" s="610" t="s">
        <v>7</v>
      </c>
      <c r="F679" s="616">
        <v>502619</v>
      </c>
      <c r="G679" s="613"/>
      <c r="H679" s="613"/>
      <c r="I679" s="613"/>
      <c r="J679" s="613" t="s">
        <v>1495</v>
      </c>
      <c r="K679" s="613"/>
      <c r="L679" s="613"/>
      <c r="M679" s="613"/>
      <c r="N679" s="615"/>
    </row>
    <row r="680" spans="2:14">
      <c r="B680" s="599">
        <f t="shared" si="10"/>
        <v>667</v>
      </c>
      <c r="C680" s="608" t="s">
        <v>761</v>
      </c>
      <c r="D680" s="609"/>
      <c r="E680" s="610" t="s">
        <v>32</v>
      </c>
      <c r="F680" s="616">
        <v>60705</v>
      </c>
      <c r="G680" s="613"/>
      <c r="H680" s="613"/>
      <c r="I680" s="613"/>
      <c r="J680" s="613" t="s">
        <v>1495</v>
      </c>
      <c r="K680" s="613"/>
      <c r="L680" s="613"/>
      <c r="M680" s="613"/>
      <c r="N680" s="615"/>
    </row>
    <row r="681" spans="2:14">
      <c r="B681" s="599">
        <f t="shared" si="10"/>
        <v>668</v>
      </c>
      <c r="C681" s="608" t="s">
        <v>763</v>
      </c>
      <c r="D681" s="609"/>
      <c r="E681" s="610" t="s">
        <v>7</v>
      </c>
      <c r="F681" s="616">
        <v>31609</v>
      </c>
      <c r="G681" s="613"/>
      <c r="H681" s="613"/>
      <c r="I681" s="613"/>
      <c r="J681" s="613" t="s">
        <v>1495</v>
      </c>
      <c r="K681" s="613"/>
      <c r="L681" s="613"/>
      <c r="M681" s="613"/>
      <c r="N681" s="615"/>
    </row>
    <row r="682" spans="2:14">
      <c r="B682" s="599">
        <f t="shared" si="10"/>
        <v>669</v>
      </c>
      <c r="C682" s="608" t="s">
        <v>765</v>
      </c>
      <c r="D682" s="609"/>
      <c r="E682" s="610" t="s">
        <v>7</v>
      </c>
      <c r="F682" s="616">
        <v>168896</v>
      </c>
      <c r="G682" s="613"/>
      <c r="H682" s="613"/>
      <c r="I682" s="613"/>
      <c r="J682" s="613" t="s">
        <v>1495</v>
      </c>
      <c r="K682" s="613"/>
      <c r="L682" s="613"/>
      <c r="M682" s="613"/>
      <c r="N682" s="615"/>
    </row>
    <row r="683" spans="2:14">
      <c r="B683" s="599">
        <f t="shared" si="10"/>
        <v>670</v>
      </c>
      <c r="C683" s="608" t="s">
        <v>767</v>
      </c>
      <c r="D683" s="609"/>
      <c r="E683" s="610" t="s">
        <v>7</v>
      </c>
      <c r="F683" s="616">
        <v>136058</v>
      </c>
      <c r="G683" s="613"/>
      <c r="H683" s="613"/>
      <c r="I683" s="613"/>
      <c r="J683" s="613" t="s">
        <v>1495</v>
      </c>
      <c r="K683" s="613"/>
      <c r="L683" s="613"/>
      <c r="M683" s="613"/>
      <c r="N683" s="615"/>
    </row>
    <row r="684" spans="2:14">
      <c r="B684" s="599">
        <f t="shared" si="10"/>
        <v>671</v>
      </c>
      <c r="C684" s="608" t="s">
        <v>769</v>
      </c>
      <c r="D684" s="609"/>
      <c r="E684" s="610" t="s">
        <v>7</v>
      </c>
      <c r="F684" s="616">
        <v>255683</v>
      </c>
      <c r="G684" s="613"/>
      <c r="H684" s="613"/>
      <c r="I684" s="613"/>
      <c r="J684" s="613" t="s">
        <v>1495</v>
      </c>
      <c r="K684" s="613"/>
      <c r="L684" s="613"/>
      <c r="M684" s="613"/>
      <c r="N684" s="615"/>
    </row>
    <row r="685" spans="2:14">
      <c r="B685" s="599">
        <f t="shared" si="10"/>
        <v>672</v>
      </c>
      <c r="C685" s="608" t="s">
        <v>771</v>
      </c>
      <c r="D685" s="609"/>
      <c r="E685" s="610" t="s">
        <v>32</v>
      </c>
      <c r="F685" s="616">
        <v>317560</v>
      </c>
      <c r="G685" s="613"/>
      <c r="H685" s="613"/>
      <c r="I685" s="613"/>
      <c r="J685" s="613" t="s">
        <v>1495</v>
      </c>
      <c r="K685" s="613"/>
      <c r="L685" s="613"/>
      <c r="M685" s="613"/>
      <c r="N685" s="615"/>
    </row>
    <row r="686" spans="2:14">
      <c r="B686" s="599">
        <f t="shared" si="10"/>
        <v>673</v>
      </c>
      <c r="C686" s="608" t="s">
        <v>773</v>
      </c>
      <c r="D686" s="609"/>
      <c r="E686" s="610" t="s">
        <v>7</v>
      </c>
      <c r="F686" s="616">
        <v>515637</v>
      </c>
      <c r="G686" s="613"/>
      <c r="H686" s="613"/>
      <c r="I686" s="613"/>
      <c r="J686" s="613" t="s">
        <v>1495</v>
      </c>
      <c r="K686" s="613"/>
      <c r="L686" s="613"/>
      <c r="M686" s="613"/>
      <c r="N686" s="615"/>
    </row>
    <row r="687" spans="2:14">
      <c r="B687" s="599">
        <f t="shared" si="10"/>
        <v>674</v>
      </c>
      <c r="C687" s="608" t="s">
        <v>775</v>
      </c>
      <c r="D687" s="609"/>
      <c r="E687" s="610" t="s">
        <v>7</v>
      </c>
      <c r="F687" s="616">
        <v>431481</v>
      </c>
      <c r="G687" s="613"/>
      <c r="H687" s="613"/>
      <c r="I687" s="613"/>
      <c r="J687" s="613" t="s">
        <v>1495</v>
      </c>
      <c r="K687" s="613"/>
      <c r="L687" s="613"/>
      <c r="M687" s="613"/>
      <c r="N687" s="615"/>
    </row>
    <row r="688" spans="2:14">
      <c r="B688" s="599">
        <f t="shared" si="10"/>
        <v>675</v>
      </c>
      <c r="C688" s="608" t="s">
        <v>777</v>
      </c>
      <c r="D688" s="609"/>
      <c r="E688" s="610" t="s">
        <v>7</v>
      </c>
      <c r="F688" s="616">
        <v>32611</v>
      </c>
      <c r="G688" s="613"/>
      <c r="H688" s="613"/>
      <c r="I688" s="613"/>
      <c r="J688" s="613" t="s">
        <v>1495</v>
      </c>
      <c r="K688" s="613"/>
      <c r="L688" s="613"/>
      <c r="M688" s="613"/>
      <c r="N688" s="615"/>
    </row>
    <row r="689" spans="1:14">
      <c r="B689" s="599">
        <f t="shared" si="10"/>
        <v>676</v>
      </c>
      <c r="C689" s="608" t="s">
        <v>779</v>
      </c>
      <c r="D689" s="609"/>
      <c r="E689" s="610" t="s">
        <v>7</v>
      </c>
      <c r="F689" s="616">
        <v>53232</v>
      </c>
      <c r="G689" s="613"/>
      <c r="H689" s="613"/>
      <c r="I689" s="613"/>
      <c r="J689" s="613" t="s">
        <v>1495</v>
      </c>
      <c r="K689" s="613"/>
      <c r="L689" s="613"/>
      <c r="M689" s="613"/>
      <c r="N689" s="615"/>
    </row>
    <row r="690" spans="1:14" ht="29">
      <c r="B690" s="599">
        <f t="shared" si="10"/>
        <v>677</v>
      </c>
      <c r="C690" s="608" t="s">
        <v>780</v>
      </c>
      <c r="D690" s="609"/>
      <c r="E690" s="610" t="s">
        <v>7</v>
      </c>
      <c r="F690" s="616">
        <v>228663</v>
      </c>
      <c r="G690" s="613"/>
      <c r="H690" s="613"/>
      <c r="I690" s="613"/>
      <c r="J690" s="613" t="s">
        <v>1495</v>
      </c>
      <c r="K690" s="613"/>
      <c r="L690" s="613"/>
      <c r="M690" s="613"/>
      <c r="N690" s="615"/>
    </row>
    <row r="691" spans="1:14" ht="29">
      <c r="B691" s="599">
        <f t="shared" si="10"/>
        <v>678</v>
      </c>
      <c r="C691" s="608" t="s">
        <v>782</v>
      </c>
      <c r="D691" s="609"/>
      <c r="E691" s="610" t="s">
        <v>7</v>
      </c>
      <c r="F691" s="616">
        <v>36678</v>
      </c>
      <c r="G691" s="613"/>
      <c r="H691" s="613"/>
      <c r="I691" s="613"/>
      <c r="J691" s="613" t="s">
        <v>1495</v>
      </c>
      <c r="K691" s="613"/>
      <c r="L691" s="613"/>
      <c r="M691" s="613"/>
      <c r="N691" s="615"/>
    </row>
    <row r="692" spans="1:14">
      <c r="B692" s="599">
        <f t="shared" si="10"/>
        <v>679</v>
      </c>
      <c r="C692" s="608" t="s">
        <v>784</v>
      </c>
      <c r="D692" s="609"/>
      <c r="E692" s="610" t="s">
        <v>7</v>
      </c>
      <c r="F692" s="616">
        <v>125517</v>
      </c>
      <c r="G692" s="613"/>
      <c r="H692" s="613"/>
      <c r="I692" s="613"/>
      <c r="J692" s="613" t="s">
        <v>1495</v>
      </c>
      <c r="K692" s="613"/>
      <c r="L692" s="613"/>
      <c r="M692" s="613"/>
      <c r="N692" s="615"/>
    </row>
    <row r="693" spans="1:14">
      <c r="B693" s="599">
        <f t="shared" si="10"/>
        <v>680</v>
      </c>
      <c r="C693" s="608" t="s">
        <v>480</v>
      </c>
      <c r="D693" s="609" t="s">
        <v>1525</v>
      </c>
      <c r="E693" s="610" t="s">
        <v>7</v>
      </c>
      <c r="F693" s="616">
        <v>29969</v>
      </c>
      <c r="G693" s="613"/>
      <c r="H693" s="613"/>
      <c r="I693" s="613"/>
      <c r="J693" s="613" t="s">
        <v>1495</v>
      </c>
      <c r="K693" s="613"/>
      <c r="L693" s="613"/>
      <c r="M693" s="613"/>
      <c r="N693" s="615"/>
    </row>
    <row r="694" spans="1:14">
      <c r="B694" s="599">
        <f t="shared" si="10"/>
        <v>681</v>
      </c>
      <c r="C694" s="608" t="s">
        <v>482</v>
      </c>
      <c r="D694" s="609" t="s">
        <v>1524</v>
      </c>
      <c r="E694" s="610" t="s">
        <v>32</v>
      </c>
      <c r="F694" s="616">
        <v>340848</v>
      </c>
      <c r="G694" s="613"/>
      <c r="H694" s="613"/>
      <c r="I694" s="613"/>
      <c r="J694" s="613" t="s">
        <v>1495</v>
      </c>
      <c r="K694" s="613"/>
      <c r="L694" s="613"/>
      <c r="M694" s="613"/>
      <c r="N694" s="615"/>
    </row>
    <row r="695" spans="1:14">
      <c r="B695" s="599">
        <f t="shared" si="10"/>
        <v>682</v>
      </c>
      <c r="C695" s="608" t="s">
        <v>786</v>
      </c>
      <c r="D695" s="609"/>
      <c r="E695" s="610" t="s">
        <v>32</v>
      </c>
      <c r="F695" s="616">
        <v>534098</v>
      </c>
      <c r="G695" s="613"/>
      <c r="H695" s="613"/>
      <c r="I695" s="613"/>
      <c r="J695" s="613" t="s">
        <v>1495</v>
      </c>
      <c r="K695" s="613"/>
      <c r="L695" s="613"/>
      <c r="M695" s="613"/>
      <c r="N695" s="615"/>
    </row>
    <row r="696" spans="1:14">
      <c r="A696" s="638" t="s">
        <v>345</v>
      </c>
      <c r="B696" s="599">
        <f t="shared" si="10"/>
        <v>683</v>
      </c>
      <c r="C696" s="608" t="s">
        <v>1523</v>
      </c>
      <c r="D696" s="609" t="s">
        <v>1513</v>
      </c>
      <c r="E696" s="610" t="s">
        <v>7</v>
      </c>
      <c r="F696" s="616">
        <v>19476</v>
      </c>
      <c r="G696" s="613"/>
      <c r="H696" s="613"/>
      <c r="I696" s="613"/>
      <c r="J696" s="613" t="s">
        <v>1495</v>
      </c>
      <c r="K696" s="613"/>
      <c r="L696" s="613"/>
      <c r="M696" s="613"/>
      <c r="N696" s="615"/>
    </row>
    <row r="697" spans="1:14">
      <c r="B697" s="599">
        <f t="shared" si="10"/>
        <v>684</v>
      </c>
      <c r="C697" s="608" t="s">
        <v>788</v>
      </c>
      <c r="D697" s="609"/>
      <c r="E697" s="610" t="s">
        <v>7</v>
      </c>
      <c r="F697" s="616">
        <v>47088</v>
      </c>
      <c r="G697" s="613"/>
      <c r="H697" s="613"/>
      <c r="I697" s="613"/>
      <c r="J697" s="613" t="s">
        <v>1495</v>
      </c>
      <c r="K697" s="613"/>
      <c r="L697" s="613"/>
      <c r="M697" s="613"/>
      <c r="N697" s="615"/>
    </row>
    <row r="698" spans="1:14">
      <c r="B698" s="599">
        <f t="shared" si="10"/>
        <v>685</v>
      </c>
      <c r="C698" s="608" t="s">
        <v>790</v>
      </c>
      <c r="D698" s="609"/>
      <c r="E698" s="610" t="s">
        <v>7</v>
      </c>
      <c r="F698" s="616">
        <v>116254</v>
      </c>
      <c r="G698" s="613"/>
      <c r="H698" s="613"/>
      <c r="I698" s="613"/>
      <c r="J698" s="613" t="s">
        <v>1495</v>
      </c>
      <c r="K698" s="613"/>
      <c r="L698" s="613"/>
      <c r="M698" s="613"/>
      <c r="N698" s="615"/>
    </row>
    <row r="699" spans="1:14">
      <c r="B699" s="599">
        <f t="shared" si="10"/>
        <v>686</v>
      </c>
      <c r="C699" s="608" t="s">
        <v>792</v>
      </c>
      <c r="D699" s="609"/>
      <c r="E699" s="610" t="s">
        <v>7</v>
      </c>
      <c r="F699" s="616">
        <v>202330</v>
      </c>
      <c r="G699" s="613"/>
      <c r="H699" s="613"/>
      <c r="I699" s="613"/>
      <c r="J699" s="613" t="s">
        <v>1495</v>
      </c>
      <c r="K699" s="613"/>
      <c r="L699" s="613"/>
      <c r="M699" s="613"/>
      <c r="N699" s="615"/>
    </row>
    <row r="700" spans="1:14">
      <c r="B700" s="599">
        <f t="shared" si="10"/>
        <v>687</v>
      </c>
      <c r="C700" s="608" t="s">
        <v>794</v>
      </c>
      <c r="D700" s="609"/>
      <c r="E700" s="610" t="s">
        <v>7</v>
      </c>
      <c r="F700" s="616">
        <v>132289</v>
      </c>
      <c r="G700" s="613"/>
      <c r="H700" s="613"/>
      <c r="I700" s="613"/>
      <c r="J700" s="613" t="s">
        <v>1495</v>
      </c>
      <c r="K700" s="613"/>
      <c r="L700" s="613"/>
      <c r="M700" s="613"/>
      <c r="N700" s="615"/>
    </row>
    <row r="701" spans="1:14">
      <c r="B701" s="599">
        <f t="shared" si="10"/>
        <v>688</v>
      </c>
      <c r="C701" s="608" t="s">
        <v>796</v>
      </c>
      <c r="D701" s="609"/>
      <c r="E701" s="610" t="s">
        <v>7</v>
      </c>
      <c r="F701" s="616">
        <v>347511</v>
      </c>
      <c r="G701" s="613"/>
      <c r="H701" s="613"/>
      <c r="I701" s="613"/>
      <c r="J701" s="613" t="s">
        <v>1495</v>
      </c>
      <c r="K701" s="613"/>
      <c r="L701" s="613"/>
      <c r="M701" s="613"/>
      <c r="N701" s="615"/>
    </row>
    <row r="702" spans="1:14">
      <c r="B702" s="599">
        <f t="shared" si="10"/>
        <v>689</v>
      </c>
      <c r="C702" s="608" t="s">
        <v>1522</v>
      </c>
      <c r="D702" s="609"/>
      <c r="E702" s="610" t="s">
        <v>7</v>
      </c>
      <c r="F702" s="616">
        <v>205485</v>
      </c>
      <c r="G702" s="613"/>
      <c r="H702" s="613"/>
      <c r="I702" s="613"/>
      <c r="J702" s="613" t="s">
        <v>1495</v>
      </c>
      <c r="K702" s="613"/>
      <c r="L702" s="613"/>
      <c r="M702" s="613"/>
      <c r="N702" s="615"/>
    </row>
    <row r="703" spans="1:14">
      <c r="B703" s="599">
        <f t="shared" si="10"/>
        <v>690</v>
      </c>
      <c r="C703" s="608" t="s">
        <v>798</v>
      </c>
      <c r="D703" s="609"/>
      <c r="E703" s="610" t="s">
        <v>7</v>
      </c>
      <c r="F703" s="616">
        <v>86970</v>
      </c>
      <c r="G703" s="613"/>
      <c r="H703" s="613"/>
      <c r="I703" s="613"/>
      <c r="J703" s="613" t="s">
        <v>1495</v>
      </c>
      <c r="K703" s="613"/>
      <c r="L703" s="613"/>
      <c r="M703" s="613"/>
      <c r="N703" s="615"/>
    </row>
    <row r="704" spans="1:14">
      <c r="B704" s="599">
        <f t="shared" si="10"/>
        <v>691</v>
      </c>
      <c r="C704" s="608" t="s">
        <v>800</v>
      </c>
      <c r="D704" s="609"/>
      <c r="E704" s="610" t="s">
        <v>7</v>
      </c>
      <c r="F704" s="616">
        <v>169157</v>
      </c>
      <c r="G704" s="613"/>
      <c r="H704" s="613"/>
      <c r="I704" s="613"/>
      <c r="J704" s="613" t="s">
        <v>1495</v>
      </c>
      <c r="K704" s="613"/>
      <c r="L704" s="613"/>
      <c r="M704" s="613"/>
      <c r="N704" s="615"/>
    </row>
    <row r="705" spans="2:14" ht="29">
      <c r="B705" s="599">
        <f t="shared" si="10"/>
        <v>692</v>
      </c>
      <c r="C705" s="608" t="s">
        <v>802</v>
      </c>
      <c r="D705" s="609"/>
      <c r="E705" s="610" t="s">
        <v>7</v>
      </c>
      <c r="F705" s="616">
        <v>86281</v>
      </c>
      <c r="G705" s="613"/>
      <c r="H705" s="613"/>
      <c r="I705" s="613"/>
      <c r="J705" s="613" t="s">
        <v>1495</v>
      </c>
      <c r="K705" s="613"/>
      <c r="L705" s="613"/>
      <c r="M705" s="613"/>
      <c r="N705" s="615"/>
    </row>
    <row r="706" spans="2:14">
      <c r="B706" s="599">
        <f t="shared" si="10"/>
        <v>693</v>
      </c>
      <c r="C706" s="608" t="s">
        <v>804</v>
      </c>
      <c r="D706" s="609"/>
      <c r="E706" s="610" t="s">
        <v>7</v>
      </c>
      <c r="F706" s="616">
        <v>145547</v>
      </c>
      <c r="G706" s="613"/>
      <c r="H706" s="613"/>
      <c r="I706" s="613"/>
      <c r="J706" s="613" t="s">
        <v>1495</v>
      </c>
      <c r="K706" s="613"/>
      <c r="L706" s="613"/>
      <c r="M706" s="613"/>
      <c r="N706" s="615"/>
    </row>
    <row r="707" spans="2:14">
      <c r="B707" s="599">
        <f t="shared" si="10"/>
        <v>694</v>
      </c>
      <c r="C707" s="608" t="s">
        <v>806</v>
      </c>
      <c r="D707" s="609"/>
      <c r="E707" s="610" t="s">
        <v>7</v>
      </c>
      <c r="F707" s="616">
        <v>388794</v>
      </c>
      <c r="G707" s="613"/>
      <c r="H707" s="613"/>
      <c r="I707" s="613"/>
      <c r="J707" s="613" t="s">
        <v>1495</v>
      </c>
      <c r="K707" s="613"/>
      <c r="L707" s="613"/>
      <c r="M707" s="613"/>
      <c r="N707" s="615"/>
    </row>
    <row r="708" spans="2:14">
      <c r="B708" s="599">
        <f t="shared" si="10"/>
        <v>695</v>
      </c>
      <c r="C708" s="608" t="s">
        <v>808</v>
      </c>
      <c r="D708" s="609"/>
      <c r="E708" s="610" t="s">
        <v>7</v>
      </c>
      <c r="F708" s="616">
        <v>247341</v>
      </c>
      <c r="G708" s="613"/>
      <c r="H708" s="613"/>
      <c r="I708" s="613"/>
      <c r="J708" s="613" t="s">
        <v>1495</v>
      </c>
      <c r="K708" s="613"/>
      <c r="L708" s="613"/>
      <c r="M708" s="613"/>
      <c r="N708" s="615"/>
    </row>
    <row r="709" spans="2:14">
      <c r="B709" s="599">
        <f t="shared" si="10"/>
        <v>696</v>
      </c>
      <c r="C709" s="608" t="s">
        <v>810</v>
      </c>
      <c r="D709" s="609"/>
      <c r="E709" s="610" t="s">
        <v>7</v>
      </c>
      <c r="F709" s="616">
        <v>29362</v>
      </c>
      <c r="G709" s="613"/>
      <c r="H709" s="613"/>
      <c r="I709" s="613"/>
      <c r="J709" s="613" t="s">
        <v>1495</v>
      </c>
      <c r="K709" s="613"/>
      <c r="L709" s="613"/>
      <c r="M709" s="613"/>
      <c r="N709" s="615"/>
    </row>
    <row r="710" spans="2:14">
      <c r="B710" s="599">
        <f t="shared" si="10"/>
        <v>697</v>
      </c>
      <c r="C710" s="608" t="s">
        <v>812</v>
      </c>
      <c r="D710" s="609"/>
      <c r="E710" s="610" t="s">
        <v>7</v>
      </c>
      <c r="F710" s="616">
        <v>11064</v>
      </c>
      <c r="G710" s="613"/>
      <c r="H710" s="613"/>
      <c r="I710" s="613"/>
      <c r="J710" s="613" t="s">
        <v>1495</v>
      </c>
      <c r="K710" s="613"/>
      <c r="L710" s="613"/>
      <c r="M710" s="613"/>
      <c r="N710" s="615"/>
    </row>
    <row r="711" spans="2:14" ht="29">
      <c r="B711" s="599">
        <f t="shared" ref="B711:B774" si="11">B710+1</f>
        <v>698</v>
      </c>
      <c r="C711" s="608" t="s">
        <v>814</v>
      </c>
      <c r="D711" s="609"/>
      <c r="E711" s="610" t="s">
        <v>7</v>
      </c>
      <c r="F711" s="616">
        <v>5170</v>
      </c>
      <c r="G711" s="613"/>
      <c r="H711" s="613"/>
      <c r="I711" s="613"/>
      <c r="J711" s="613" t="s">
        <v>1495</v>
      </c>
      <c r="K711" s="613"/>
      <c r="L711" s="613"/>
      <c r="M711" s="613"/>
      <c r="N711" s="615"/>
    </row>
    <row r="712" spans="2:14">
      <c r="B712" s="599">
        <f t="shared" si="11"/>
        <v>699</v>
      </c>
      <c r="C712" s="608" t="s">
        <v>816</v>
      </c>
      <c r="D712" s="609"/>
      <c r="E712" s="610" t="s">
        <v>7</v>
      </c>
      <c r="F712" s="616">
        <v>1107</v>
      </c>
      <c r="G712" s="613"/>
      <c r="H712" s="613"/>
      <c r="I712" s="613"/>
      <c r="J712" s="613" t="s">
        <v>1495</v>
      </c>
      <c r="K712" s="613"/>
      <c r="L712" s="613"/>
      <c r="M712" s="613"/>
      <c r="N712" s="615"/>
    </row>
    <row r="713" spans="2:14">
      <c r="B713" s="599">
        <f t="shared" si="11"/>
        <v>700</v>
      </c>
      <c r="C713" s="608" t="s">
        <v>818</v>
      </c>
      <c r="D713" s="609"/>
      <c r="E713" s="610" t="s">
        <v>7</v>
      </c>
      <c r="F713" s="616">
        <v>71992</v>
      </c>
      <c r="G713" s="613"/>
      <c r="H713" s="613"/>
      <c r="I713" s="613"/>
      <c r="J713" s="613" t="s">
        <v>1495</v>
      </c>
      <c r="K713" s="613"/>
      <c r="L713" s="613"/>
      <c r="M713" s="613"/>
      <c r="N713" s="615"/>
    </row>
    <row r="714" spans="2:14">
      <c r="B714" s="599">
        <f t="shared" si="11"/>
        <v>701</v>
      </c>
      <c r="C714" s="608" t="s">
        <v>820</v>
      </c>
      <c r="D714" s="609"/>
      <c r="E714" s="610" t="s">
        <v>7</v>
      </c>
      <c r="F714" s="616">
        <v>56410</v>
      </c>
      <c r="G714" s="613"/>
      <c r="H714" s="613"/>
      <c r="I714" s="613"/>
      <c r="J714" s="613" t="s">
        <v>1495</v>
      </c>
      <c r="K714" s="613"/>
      <c r="L714" s="613"/>
      <c r="M714" s="613"/>
      <c r="N714" s="615"/>
    </row>
    <row r="715" spans="2:14">
      <c r="B715" s="599">
        <f t="shared" si="11"/>
        <v>702</v>
      </c>
      <c r="C715" s="608" t="s">
        <v>822</v>
      </c>
      <c r="D715" s="609"/>
      <c r="E715" s="610" t="s">
        <v>7</v>
      </c>
      <c r="F715" s="616">
        <v>356893</v>
      </c>
      <c r="G715" s="613"/>
      <c r="H715" s="613"/>
      <c r="I715" s="613"/>
      <c r="J715" s="613" t="s">
        <v>1495</v>
      </c>
      <c r="K715" s="613"/>
      <c r="L715" s="613"/>
      <c r="M715" s="613"/>
      <c r="N715" s="615"/>
    </row>
    <row r="716" spans="2:14">
      <c r="B716" s="599">
        <f t="shared" si="11"/>
        <v>703</v>
      </c>
      <c r="C716" s="608" t="s">
        <v>824</v>
      </c>
      <c r="D716" s="609"/>
      <c r="E716" s="610" t="s">
        <v>32</v>
      </c>
      <c r="F716" s="616">
        <v>126322</v>
      </c>
      <c r="G716" s="613"/>
      <c r="H716" s="613"/>
      <c r="I716" s="613"/>
      <c r="J716" s="613" t="s">
        <v>1495</v>
      </c>
      <c r="K716" s="613"/>
      <c r="L716" s="613"/>
      <c r="M716" s="613"/>
      <c r="N716" s="615"/>
    </row>
    <row r="717" spans="2:14">
      <c r="B717" s="599">
        <f t="shared" si="11"/>
        <v>704</v>
      </c>
      <c r="C717" s="608" t="s">
        <v>826</v>
      </c>
      <c r="D717" s="609" t="s">
        <v>1521</v>
      </c>
      <c r="E717" s="610" t="s">
        <v>7</v>
      </c>
      <c r="F717" s="616">
        <v>3758</v>
      </c>
      <c r="G717" s="613"/>
      <c r="H717" s="613"/>
      <c r="I717" s="613"/>
      <c r="J717" s="613" t="s">
        <v>1495</v>
      </c>
      <c r="K717" s="613"/>
      <c r="L717" s="613"/>
      <c r="M717" s="613"/>
      <c r="N717" s="615"/>
    </row>
    <row r="718" spans="2:14">
      <c r="B718" s="599">
        <f t="shared" si="11"/>
        <v>705</v>
      </c>
      <c r="C718" s="608" t="s">
        <v>828</v>
      </c>
      <c r="D718" s="609"/>
      <c r="E718" s="610" t="s">
        <v>7</v>
      </c>
      <c r="F718" s="616">
        <v>18343</v>
      </c>
      <c r="G718" s="613"/>
      <c r="H718" s="613"/>
      <c r="I718" s="613"/>
      <c r="J718" s="613" t="s">
        <v>1495</v>
      </c>
      <c r="K718" s="613"/>
      <c r="L718" s="613"/>
      <c r="M718" s="613"/>
      <c r="N718" s="615"/>
    </row>
    <row r="719" spans="2:14">
      <c r="B719" s="599">
        <f t="shared" si="11"/>
        <v>706</v>
      </c>
      <c r="C719" s="608" t="s">
        <v>830</v>
      </c>
      <c r="D719" s="609"/>
      <c r="E719" s="610" t="s">
        <v>7</v>
      </c>
      <c r="F719" s="616">
        <v>173825</v>
      </c>
      <c r="G719" s="613"/>
      <c r="H719" s="613"/>
      <c r="I719" s="613"/>
      <c r="J719" s="613" t="s">
        <v>1495</v>
      </c>
      <c r="K719" s="613"/>
      <c r="L719" s="613"/>
      <c r="M719" s="613"/>
      <c r="N719" s="615"/>
    </row>
    <row r="720" spans="2:14">
      <c r="B720" s="599">
        <f t="shared" si="11"/>
        <v>707</v>
      </c>
      <c r="C720" s="608" t="s">
        <v>832</v>
      </c>
      <c r="D720" s="609"/>
      <c r="E720" s="610" t="s">
        <v>7</v>
      </c>
      <c r="F720" s="616">
        <v>229379</v>
      </c>
      <c r="G720" s="613"/>
      <c r="H720" s="613"/>
      <c r="I720" s="613"/>
      <c r="J720" s="613" t="s">
        <v>1495</v>
      </c>
      <c r="K720" s="613"/>
      <c r="L720" s="613"/>
      <c r="M720" s="613"/>
      <c r="N720" s="615"/>
    </row>
    <row r="721" spans="1:14">
      <c r="B721" s="599">
        <f t="shared" si="11"/>
        <v>708</v>
      </c>
      <c r="C721" s="608" t="s">
        <v>834</v>
      </c>
      <c r="D721" s="609"/>
      <c r="E721" s="610" t="s">
        <v>32</v>
      </c>
      <c r="F721" s="616">
        <v>108824</v>
      </c>
      <c r="G721" s="613"/>
      <c r="H721" s="613"/>
      <c r="I721" s="613"/>
      <c r="J721" s="613" t="s">
        <v>1495</v>
      </c>
      <c r="K721" s="613"/>
      <c r="L721" s="613"/>
      <c r="M721" s="613"/>
      <c r="N721" s="615"/>
    </row>
    <row r="722" spans="1:14" ht="29">
      <c r="B722" s="599">
        <f t="shared" si="11"/>
        <v>709</v>
      </c>
      <c r="C722" s="608" t="s">
        <v>836</v>
      </c>
      <c r="D722" s="609"/>
      <c r="E722" s="610" t="s">
        <v>32</v>
      </c>
      <c r="F722" s="616">
        <v>111897</v>
      </c>
      <c r="G722" s="613"/>
      <c r="H722" s="613"/>
      <c r="I722" s="613"/>
      <c r="J722" s="613" t="s">
        <v>1495</v>
      </c>
      <c r="K722" s="613"/>
      <c r="L722" s="613"/>
      <c r="M722" s="613"/>
      <c r="N722" s="615"/>
    </row>
    <row r="723" spans="1:14" ht="29">
      <c r="B723" s="599">
        <f t="shared" si="11"/>
        <v>710</v>
      </c>
      <c r="C723" s="608" t="s">
        <v>838</v>
      </c>
      <c r="D723" s="609"/>
      <c r="E723" s="610" t="s">
        <v>32</v>
      </c>
      <c r="F723" s="616">
        <v>280406</v>
      </c>
      <c r="G723" s="613"/>
      <c r="H723" s="613"/>
      <c r="I723" s="613"/>
      <c r="J723" s="613" t="s">
        <v>1495</v>
      </c>
      <c r="K723" s="613"/>
      <c r="L723" s="613"/>
      <c r="M723" s="613"/>
      <c r="N723" s="615"/>
    </row>
    <row r="724" spans="1:14">
      <c r="B724" s="599">
        <f t="shared" si="11"/>
        <v>711</v>
      </c>
      <c r="C724" s="608" t="s">
        <v>840</v>
      </c>
      <c r="D724" s="609"/>
      <c r="E724" s="610" t="s">
        <v>7</v>
      </c>
      <c r="F724" s="616">
        <v>152681</v>
      </c>
      <c r="G724" s="613"/>
      <c r="H724" s="613"/>
      <c r="I724" s="613"/>
      <c r="J724" s="613" t="s">
        <v>1495</v>
      </c>
      <c r="K724" s="613"/>
      <c r="L724" s="613"/>
      <c r="M724" s="613"/>
      <c r="N724" s="615"/>
    </row>
    <row r="725" spans="1:14">
      <c r="B725" s="599">
        <f t="shared" si="11"/>
        <v>712</v>
      </c>
      <c r="C725" s="608" t="s">
        <v>842</v>
      </c>
      <c r="D725" s="609"/>
      <c r="E725" s="610" t="s">
        <v>7</v>
      </c>
      <c r="F725" s="616">
        <v>116342</v>
      </c>
      <c r="G725" s="613"/>
      <c r="H725" s="613"/>
      <c r="I725" s="613"/>
      <c r="J725" s="613" t="s">
        <v>1495</v>
      </c>
      <c r="K725" s="613"/>
      <c r="L725" s="613"/>
      <c r="M725" s="613"/>
      <c r="N725" s="615"/>
    </row>
    <row r="726" spans="1:14">
      <c r="B726" s="599">
        <f t="shared" si="11"/>
        <v>713</v>
      </c>
      <c r="C726" s="608" t="s">
        <v>844</v>
      </c>
      <c r="D726" s="609"/>
      <c r="E726" s="610" t="s">
        <v>7</v>
      </c>
      <c r="F726" s="616">
        <v>186136</v>
      </c>
      <c r="G726" s="613"/>
      <c r="H726" s="613"/>
      <c r="I726" s="613"/>
      <c r="J726" s="613" t="s">
        <v>1495</v>
      </c>
      <c r="K726" s="613"/>
      <c r="L726" s="613"/>
      <c r="M726" s="613"/>
      <c r="N726" s="615"/>
    </row>
    <row r="727" spans="1:14">
      <c r="B727" s="599">
        <f t="shared" si="11"/>
        <v>714</v>
      </c>
      <c r="C727" s="608" t="s">
        <v>846</v>
      </c>
      <c r="D727" s="609"/>
      <c r="E727" s="610" t="s">
        <v>7</v>
      </c>
      <c r="F727" s="616">
        <v>261631</v>
      </c>
      <c r="G727" s="613"/>
      <c r="H727" s="613"/>
      <c r="I727" s="613"/>
      <c r="J727" s="613" t="s">
        <v>1495</v>
      </c>
      <c r="K727" s="613"/>
      <c r="L727" s="613"/>
      <c r="M727" s="613"/>
      <c r="N727" s="615"/>
    </row>
    <row r="728" spans="1:14">
      <c r="B728" s="599">
        <f t="shared" si="11"/>
        <v>715</v>
      </c>
      <c r="C728" s="608" t="s">
        <v>848</v>
      </c>
      <c r="D728" s="609"/>
      <c r="E728" s="610" t="s">
        <v>32</v>
      </c>
      <c r="F728" s="616">
        <v>832</v>
      </c>
      <c r="G728" s="613"/>
      <c r="H728" s="613"/>
      <c r="I728" s="613"/>
      <c r="J728" s="613" t="s">
        <v>1495</v>
      </c>
      <c r="K728" s="613"/>
      <c r="L728" s="613"/>
      <c r="M728" s="613"/>
      <c r="N728" s="615"/>
    </row>
    <row r="729" spans="1:14">
      <c r="A729" s="638" t="s">
        <v>389</v>
      </c>
      <c r="B729" s="599">
        <f t="shared" si="11"/>
        <v>716</v>
      </c>
      <c r="C729" s="608" t="s">
        <v>2359</v>
      </c>
      <c r="D729" s="609" t="s">
        <v>1520</v>
      </c>
      <c r="E729" s="610" t="s">
        <v>7</v>
      </c>
      <c r="F729" s="616">
        <v>74403</v>
      </c>
      <c r="G729" s="613"/>
      <c r="H729" s="613"/>
      <c r="I729" s="613"/>
      <c r="J729" s="613" t="s">
        <v>1495</v>
      </c>
      <c r="K729" s="613"/>
      <c r="L729" s="613"/>
      <c r="M729" s="613"/>
      <c r="N729" s="615"/>
    </row>
    <row r="730" spans="1:14">
      <c r="B730" s="599">
        <f t="shared" si="11"/>
        <v>717</v>
      </c>
      <c r="C730" s="608" t="s">
        <v>850</v>
      </c>
      <c r="D730" s="609"/>
      <c r="E730" s="610" t="s">
        <v>7</v>
      </c>
      <c r="F730" s="616">
        <v>58982</v>
      </c>
      <c r="G730" s="613"/>
      <c r="H730" s="613"/>
      <c r="I730" s="613"/>
      <c r="J730" s="613" t="s">
        <v>1495</v>
      </c>
      <c r="K730" s="613"/>
      <c r="L730" s="613"/>
      <c r="M730" s="613"/>
      <c r="N730" s="615"/>
    </row>
    <row r="731" spans="1:14">
      <c r="B731" s="599">
        <f t="shared" si="11"/>
        <v>718</v>
      </c>
      <c r="C731" s="608" t="s">
        <v>852</v>
      </c>
      <c r="D731" s="609"/>
      <c r="E731" s="610" t="s">
        <v>32</v>
      </c>
      <c r="F731" s="616">
        <v>320081</v>
      </c>
      <c r="G731" s="613"/>
      <c r="H731" s="613"/>
      <c r="I731" s="613"/>
      <c r="J731" s="613" t="s">
        <v>1495</v>
      </c>
      <c r="K731" s="613"/>
      <c r="L731" s="613"/>
      <c r="M731" s="613"/>
      <c r="N731" s="615"/>
    </row>
    <row r="732" spans="1:14">
      <c r="B732" s="599">
        <f t="shared" si="11"/>
        <v>719</v>
      </c>
      <c r="C732" s="608" t="s">
        <v>854</v>
      </c>
      <c r="D732" s="609"/>
      <c r="E732" s="610" t="s">
        <v>7</v>
      </c>
      <c r="F732" s="616">
        <v>367518</v>
      </c>
      <c r="G732" s="613"/>
      <c r="H732" s="613"/>
      <c r="I732" s="613"/>
      <c r="J732" s="613" t="s">
        <v>1495</v>
      </c>
      <c r="K732" s="613"/>
      <c r="L732" s="613"/>
      <c r="M732" s="613"/>
      <c r="N732" s="615"/>
    </row>
    <row r="733" spans="1:14">
      <c r="B733" s="599">
        <f t="shared" si="11"/>
        <v>720</v>
      </c>
      <c r="C733" s="608" t="s">
        <v>856</v>
      </c>
      <c r="D733" s="609"/>
      <c r="E733" s="610" t="s">
        <v>7</v>
      </c>
      <c r="F733" s="616">
        <v>222507</v>
      </c>
      <c r="G733" s="613"/>
      <c r="H733" s="613"/>
      <c r="I733" s="613"/>
      <c r="J733" s="613" t="s">
        <v>1495</v>
      </c>
      <c r="K733" s="613"/>
      <c r="L733" s="613"/>
      <c r="M733" s="613"/>
      <c r="N733" s="615"/>
    </row>
    <row r="734" spans="1:14">
      <c r="B734" s="599">
        <f t="shared" si="11"/>
        <v>721</v>
      </c>
      <c r="C734" s="608" t="s">
        <v>858</v>
      </c>
      <c r="D734" s="609"/>
      <c r="E734" s="610" t="s">
        <v>7</v>
      </c>
      <c r="F734" s="616">
        <v>919</v>
      </c>
      <c r="G734" s="613"/>
      <c r="H734" s="613"/>
      <c r="I734" s="613"/>
      <c r="J734" s="613" t="s">
        <v>1495</v>
      </c>
      <c r="K734" s="613"/>
      <c r="L734" s="613"/>
      <c r="M734" s="613"/>
      <c r="N734" s="615"/>
    </row>
    <row r="735" spans="1:14">
      <c r="B735" s="599">
        <f t="shared" si="11"/>
        <v>722</v>
      </c>
      <c r="C735" s="608" t="s">
        <v>860</v>
      </c>
      <c r="D735" s="609"/>
      <c r="E735" s="610" t="s">
        <v>7</v>
      </c>
      <c r="F735" s="616">
        <v>451389</v>
      </c>
      <c r="G735" s="613"/>
      <c r="H735" s="613"/>
      <c r="I735" s="613"/>
      <c r="J735" s="613" t="s">
        <v>1495</v>
      </c>
      <c r="K735" s="613"/>
      <c r="L735" s="613"/>
      <c r="M735" s="613"/>
      <c r="N735" s="615"/>
    </row>
    <row r="736" spans="1:14">
      <c r="B736" s="599">
        <f t="shared" si="11"/>
        <v>723</v>
      </c>
      <c r="C736" s="608" t="s">
        <v>862</v>
      </c>
      <c r="D736" s="609"/>
      <c r="E736" s="610" t="s">
        <v>7</v>
      </c>
      <c r="F736" s="616">
        <v>241993</v>
      </c>
      <c r="G736" s="613"/>
      <c r="H736" s="613"/>
      <c r="I736" s="613"/>
      <c r="J736" s="613" t="s">
        <v>1495</v>
      </c>
      <c r="K736" s="613"/>
      <c r="L736" s="613"/>
      <c r="M736" s="613"/>
      <c r="N736" s="615"/>
    </row>
    <row r="737" spans="1:14">
      <c r="B737" s="599">
        <f t="shared" si="11"/>
        <v>724</v>
      </c>
      <c r="C737" s="608" t="s">
        <v>864</v>
      </c>
      <c r="D737" s="609"/>
      <c r="E737" s="610" t="s">
        <v>7</v>
      </c>
      <c r="F737" s="616">
        <v>199137</v>
      </c>
      <c r="G737" s="613"/>
      <c r="H737" s="613"/>
      <c r="I737" s="613"/>
      <c r="J737" s="613" t="s">
        <v>1495</v>
      </c>
      <c r="K737" s="613"/>
      <c r="L737" s="613"/>
      <c r="M737" s="613"/>
      <c r="N737" s="615"/>
    </row>
    <row r="738" spans="1:14">
      <c r="B738" s="599">
        <f t="shared" si="11"/>
        <v>725</v>
      </c>
      <c r="C738" s="608" t="s">
        <v>494</v>
      </c>
      <c r="D738" s="609" t="s">
        <v>1519</v>
      </c>
      <c r="E738" s="610" t="s">
        <v>7</v>
      </c>
      <c r="F738" s="616">
        <v>49735</v>
      </c>
      <c r="G738" s="613"/>
      <c r="H738" s="613"/>
      <c r="I738" s="613"/>
      <c r="J738" s="613" t="s">
        <v>1495</v>
      </c>
      <c r="K738" s="613"/>
      <c r="L738" s="613"/>
      <c r="M738" s="613"/>
      <c r="N738" s="615"/>
    </row>
    <row r="739" spans="1:14">
      <c r="B739" s="599">
        <f t="shared" si="11"/>
        <v>726</v>
      </c>
      <c r="C739" s="608" t="s">
        <v>866</v>
      </c>
      <c r="D739" s="609"/>
      <c r="E739" s="610" t="s">
        <v>7</v>
      </c>
      <c r="F739" s="616">
        <v>1247</v>
      </c>
      <c r="G739" s="613"/>
      <c r="H739" s="613"/>
      <c r="I739" s="613"/>
      <c r="J739" s="613" t="s">
        <v>1495</v>
      </c>
      <c r="K739" s="613"/>
      <c r="L739" s="613"/>
      <c r="M739" s="613"/>
      <c r="N739" s="615"/>
    </row>
    <row r="740" spans="1:14">
      <c r="A740" s="638" t="s">
        <v>403</v>
      </c>
      <c r="B740" s="599">
        <f t="shared" si="11"/>
        <v>727</v>
      </c>
      <c r="C740" s="608" t="s">
        <v>404</v>
      </c>
      <c r="D740" s="609" t="s">
        <v>1518</v>
      </c>
      <c r="E740" s="610" t="s">
        <v>7</v>
      </c>
      <c r="F740" s="616">
        <v>74428</v>
      </c>
      <c r="G740" s="613"/>
      <c r="H740" s="613"/>
      <c r="I740" s="613"/>
      <c r="J740" s="613" t="s">
        <v>1495</v>
      </c>
      <c r="K740" s="613"/>
      <c r="L740" s="613"/>
      <c r="M740" s="613"/>
      <c r="N740" s="615"/>
    </row>
    <row r="741" spans="1:14">
      <c r="B741" s="599">
        <f t="shared" si="11"/>
        <v>728</v>
      </c>
      <c r="C741" s="608" t="s">
        <v>868</v>
      </c>
      <c r="D741" s="609"/>
      <c r="E741" s="610" t="s">
        <v>7</v>
      </c>
      <c r="F741" s="616">
        <v>33676</v>
      </c>
      <c r="G741" s="613"/>
      <c r="H741" s="613"/>
      <c r="I741" s="613"/>
      <c r="J741" s="613" t="s">
        <v>1495</v>
      </c>
      <c r="K741" s="613"/>
      <c r="L741" s="613"/>
      <c r="M741" s="613"/>
      <c r="N741" s="615"/>
    </row>
    <row r="742" spans="1:14" ht="29">
      <c r="B742" s="599">
        <f t="shared" si="11"/>
        <v>729</v>
      </c>
      <c r="C742" s="608" t="s">
        <v>870</v>
      </c>
      <c r="D742" s="609"/>
      <c r="E742" s="610" t="s">
        <v>7</v>
      </c>
      <c r="F742" s="616">
        <v>196301</v>
      </c>
      <c r="G742" s="613"/>
      <c r="H742" s="613"/>
      <c r="I742" s="613"/>
      <c r="J742" s="613" t="s">
        <v>1495</v>
      </c>
      <c r="K742" s="613"/>
      <c r="L742" s="613"/>
      <c r="M742" s="613"/>
      <c r="N742" s="615"/>
    </row>
    <row r="743" spans="1:14">
      <c r="B743" s="599">
        <f t="shared" si="11"/>
        <v>730</v>
      </c>
      <c r="C743" s="608" t="s">
        <v>872</v>
      </c>
      <c r="D743" s="609"/>
      <c r="E743" s="610" t="s">
        <v>7</v>
      </c>
      <c r="F743" s="616">
        <v>183266</v>
      </c>
      <c r="G743" s="613"/>
      <c r="H743" s="613"/>
      <c r="I743" s="613"/>
      <c r="J743" s="613" t="s">
        <v>1495</v>
      </c>
      <c r="K743" s="613"/>
      <c r="L743" s="613"/>
      <c r="M743" s="613"/>
      <c r="N743" s="615"/>
    </row>
    <row r="744" spans="1:14" ht="29">
      <c r="B744" s="599">
        <f t="shared" si="11"/>
        <v>731</v>
      </c>
      <c r="C744" s="608" t="s">
        <v>874</v>
      </c>
      <c r="D744" s="609"/>
      <c r="E744" s="610" t="s">
        <v>7</v>
      </c>
      <c r="F744" s="616">
        <v>5909</v>
      </c>
      <c r="G744" s="613"/>
      <c r="H744" s="613"/>
      <c r="I744" s="613"/>
      <c r="J744" s="613" t="s">
        <v>1495</v>
      </c>
      <c r="K744" s="613"/>
      <c r="L744" s="613"/>
      <c r="M744" s="613"/>
      <c r="N744" s="615"/>
    </row>
    <row r="745" spans="1:14">
      <c r="B745" s="599">
        <f t="shared" si="11"/>
        <v>732</v>
      </c>
      <c r="C745" s="608" t="s">
        <v>876</v>
      </c>
      <c r="D745" s="609"/>
      <c r="E745" s="610" t="s">
        <v>7</v>
      </c>
      <c r="F745" s="616">
        <v>71381</v>
      </c>
      <c r="G745" s="613"/>
      <c r="H745" s="613"/>
      <c r="I745" s="613"/>
      <c r="J745" s="613" t="s">
        <v>1495</v>
      </c>
      <c r="K745" s="613"/>
      <c r="L745" s="613"/>
      <c r="M745" s="613"/>
      <c r="N745" s="615"/>
    </row>
    <row r="746" spans="1:14">
      <c r="B746" s="599">
        <f t="shared" si="11"/>
        <v>733</v>
      </c>
      <c r="C746" s="608" t="s">
        <v>878</v>
      </c>
      <c r="D746" s="609"/>
      <c r="E746" s="610" t="s">
        <v>7</v>
      </c>
      <c r="F746" s="616">
        <v>77249</v>
      </c>
      <c r="G746" s="613"/>
      <c r="H746" s="613"/>
      <c r="I746" s="613"/>
      <c r="J746" s="613" t="s">
        <v>1495</v>
      </c>
      <c r="K746" s="613"/>
      <c r="L746" s="613"/>
      <c r="M746" s="613"/>
      <c r="N746" s="615"/>
    </row>
    <row r="747" spans="1:14">
      <c r="B747" s="599">
        <f t="shared" si="11"/>
        <v>734</v>
      </c>
      <c r="C747" s="608" t="s">
        <v>880</v>
      </c>
      <c r="D747" s="609"/>
      <c r="E747" s="610" t="s">
        <v>7</v>
      </c>
      <c r="F747" s="616">
        <v>430246</v>
      </c>
      <c r="G747" s="613"/>
      <c r="H747" s="613"/>
      <c r="I747" s="613"/>
      <c r="J747" s="613" t="s">
        <v>1495</v>
      </c>
      <c r="K747" s="613"/>
      <c r="L747" s="613"/>
      <c r="M747" s="613"/>
      <c r="N747" s="615"/>
    </row>
    <row r="748" spans="1:14">
      <c r="B748" s="599">
        <f t="shared" si="11"/>
        <v>735</v>
      </c>
      <c r="C748" s="608" t="s">
        <v>882</v>
      </c>
      <c r="D748" s="609"/>
      <c r="E748" s="610" t="s">
        <v>7</v>
      </c>
      <c r="F748" s="616">
        <v>311632</v>
      </c>
      <c r="G748" s="613"/>
      <c r="H748" s="613"/>
      <c r="I748" s="613"/>
      <c r="J748" s="613" t="s">
        <v>1495</v>
      </c>
      <c r="K748" s="613"/>
      <c r="L748" s="613"/>
      <c r="M748" s="613"/>
      <c r="N748" s="615"/>
    </row>
    <row r="749" spans="1:14">
      <c r="A749" s="638" t="s">
        <v>413</v>
      </c>
      <c r="B749" s="599">
        <f t="shared" si="11"/>
        <v>736</v>
      </c>
      <c r="C749" s="608" t="s">
        <v>1517</v>
      </c>
      <c r="D749" s="609" t="s">
        <v>1516</v>
      </c>
      <c r="E749" s="610" t="s">
        <v>32</v>
      </c>
      <c r="F749" s="616">
        <v>25210</v>
      </c>
      <c r="G749" s="613"/>
      <c r="H749" s="613"/>
      <c r="I749" s="613"/>
      <c r="J749" s="613" t="s">
        <v>1495</v>
      </c>
      <c r="K749" s="613"/>
      <c r="L749" s="613"/>
      <c r="M749" s="613"/>
      <c r="N749" s="615"/>
    </row>
    <row r="750" spans="1:14">
      <c r="B750" s="599">
        <f t="shared" si="11"/>
        <v>737</v>
      </c>
      <c r="C750" s="608" t="s">
        <v>884</v>
      </c>
      <c r="D750" s="609"/>
      <c r="E750" s="610" t="s">
        <v>7</v>
      </c>
      <c r="F750" s="616">
        <v>23905</v>
      </c>
      <c r="G750" s="613"/>
      <c r="H750" s="613"/>
      <c r="I750" s="613"/>
      <c r="J750" s="613" t="s">
        <v>1495</v>
      </c>
      <c r="K750" s="613"/>
      <c r="L750" s="613"/>
      <c r="M750" s="613"/>
      <c r="N750" s="615"/>
    </row>
    <row r="751" spans="1:14">
      <c r="B751" s="599">
        <f t="shared" si="11"/>
        <v>738</v>
      </c>
      <c r="C751" s="608" t="s">
        <v>886</v>
      </c>
      <c r="D751" s="609"/>
      <c r="E751" s="610" t="s">
        <v>7</v>
      </c>
      <c r="F751" s="616">
        <v>66336</v>
      </c>
      <c r="G751" s="613"/>
      <c r="H751" s="613"/>
      <c r="I751" s="613"/>
      <c r="J751" s="613" t="s">
        <v>1495</v>
      </c>
      <c r="K751" s="613"/>
      <c r="L751" s="613"/>
      <c r="M751" s="613"/>
      <c r="N751" s="615"/>
    </row>
    <row r="752" spans="1:14">
      <c r="B752" s="599">
        <f t="shared" si="11"/>
        <v>739</v>
      </c>
      <c r="C752" s="608" t="s">
        <v>502</v>
      </c>
      <c r="D752" s="609" t="s">
        <v>974</v>
      </c>
      <c r="E752" s="610" t="s">
        <v>7</v>
      </c>
      <c r="F752" s="616">
        <v>5553</v>
      </c>
      <c r="G752" s="613"/>
      <c r="H752" s="613"/>
      <c r="I752" s="613"/>
      <c r="J752" s="613" t="s">
        <v>1495</v>
      </c>
      <c r="K752" s="613"/>
      <c r="L752" s="613"/>
      <c r="M752" s="613"/>
      <c r="N752" s="615"/>
    </row>
    <row r="753" spans="1:14">
      <c r="B753" s="599">
        <f t="shared" si="11"/>
        <v>740</v>
      </c>
      <c r="C753" s="608" t="s">
        <v>888</v>
      </c>
      <c r="D753" s="609"/>
      <c r="E753" s="610" t="s">
        <v>7</v>
      </c>
      <c r="F753" s="616">
        <v>322502</v>
      </c>
      <c r="G753" s="613"/>
      <c r="H753" s="613"/>
      <c r="I753" s="613"/>
      <c r="J753" s="613" t="s">
        <v>1495</v>
      </c>
      <c r="K753" s="613"/>
      <c r="L753" s="613"/>
      <c r="M753" s="613"/>
      <c r="N753" s="615"/>
    </row>
    <row r="754" spans="1:14">
      <c r="B754" s="599">
        <f t="shared" si="11"/>
        <v>741</v>
      </c>
      <c r="C754" s="608" t="s">
        <v>890</v>
      </c>
      <c r="D754" s="609"/>
      <c r="E754" s="610" t="s">
        <v>7</v>
      </c>
      <c r="F754" s="616">
        <v>479806</v>
      </c>
      <c r="G754" s="613"/>
      <c r="H754" s="613"/>
      <c r="I754" s="613"/>
      <c r="J754" s="613" t="s">
        <v>1495</v>
      </c>
      <c r="K754" s="613"/>
      <c r="L754" s="613"/>
      <c r="M754" s="613"/>
      <c r="N754" s="615"/>
    </row>
    <row r="755" spans="1:14">
      <c r="B755" s="599">
        <f t="shared" si="11"/>
        <v>742</v>
      </c>
      <c r="C755" s="608" t="s">
        <v>892</v>
      </c>
      <c r="D755" s="609"/>
      <c r="E755" s="610" t="s">
        <v>7</v>
      </c>
      <c r="F755" s="616">
        <v>11963</v>
      </c>
      <c r="G755" s="613"/>
      <c r="H755" s="613"/>
      <c r="I755" s="613"/>
      <c r="J755" s="613" t="s">
        <v>1495</v>
      </c>
      <c r="K755" s="613"/>
      <c r="L755" s="613"/>
      <c r="M755" s="613"/>
      <c r="N755" s="615"/>
    </row>
    <row r="756" spans="1:14" ht="29">
      <c r="B756" s="599">
        <f t="shared" si="11"/>
        <v>743</v>
      </c>
      <c r="C756" s="608" t="s">
        <v>894</v>
      </c>
      <c r="D756" s="609"/>
      <c r="E756" s="610" t="s">
        <v>7</v>
      </c>
      <c r="F756" s="616">
        <v>420329</v>
      </c>
      <c r="G756" s="613"/>
      <c r="H756" s="613"/>
      <c r="I756" s="613"/>
      <c r="J756" s="613" t="s">
        <v>1495</v>
      </c>
      <c r="K756" s="613"/>
      <c r="L756" s="613"/>
      <c r="M756" s="613"/>
      <c r="N756" s="615"/>
    </row>
    <row r="757" spans="1:14">
      <c r="B757" s="599">
        <f t="shared" si="11"/>
        <v>744</v>
      </c>
      <c r="C757" s="608" t="s">
        <v>896</v>
      </c>
      <c r="D757" s="609"/>
      <c r="E757" s="610" t="s">
        <v>7</v>
      </c>
      <c r="F757" s="616">
        <v>12785</v>
      </c>
      <c r="G757" s="613"/>
      <c r="H757" s="613"/>
      <c r="I757" s="613"/>
      <c r="J757" s="613" t="s">
        <v>1495</v>
      </c>
      <c r="K757" s="613"/>
      <c r="L757" s="613"/>
      <c r="M757" s="613"/>
      <c r="N757" s="615"/>
    </row>
    <row r="758" spans="1:14">
      <c r="A758" s="638" t="s">
        <v>433</v>
      </c>
      <c r="B758" s="599">
        <f t="shared" si="11"/>
        <v>745</v>
      </c>
      <c r="C758" s="608" t="s">
        <v>1515</v>
      </c>
      <c r="D758" s="609" t="s">
        <v>1514</v>
      </c>
      <c r="E758" s="610" t="s">
        <v>32</v>
      </c>
      <c r="F758" s="616">
        <v>40860</v>
      </c>
      <c r="G758" s="613"/>
      <c r="H758" s="613"/>
      <c r="I758" s="613"/>
      <c r="J758" s="613" t="s">
        <v>1495</v>
      </c>
      <c r="K758" s="613"/>
      <c r="L758" s="613"/>
      <c r="M758" s="613"/>
      <c r="N758" s="615"/>
    </row>
    <row r="759" spans="1:14">
      <c r="B759" s="599">
        <f t="shared" si="11"/>
        <v>746</v>
      </c>
      <c r="C759" s="608" t="s">
        <v>898</v>
      </c>
      <c r="D759" s="609"/>
      <c r="E759" s="610" t="s">
        <v>7</v>
      </c>
      <c r="F759" s="616">
        <v>78401</v>
      </c>
      <c r="G759" s="613"/>
      <c r="H759" s="613"/>
      <c r="I759" s="613"/>
      <c r="J759" s="613" t="s">
        <v>1495</v>
      </c>
      <c r="K759" s="613"/>
      <c r="L759" s="613"/>
      <c r="M759" s="613"/>
      <c r="N759" s="615"/>
    </row>
    <row r="760" spans="1:14">
      <c r="B760" s="599">
        <f t="shared" si="11"/>
        <v>747</v>
      </c>
      <c r="C760" s="608" t="s">
        <v>899</v>
      </c>
      <c r="D760" s="609"/>
      <c r="E760" s="610" t="s">
        <v>7</v>
      </c>
      <c r="F760" s="616">
        <v>111412</v>
      </c>
      <c r="G760" s="613"/>
      <c r="H760" s="613"/>
      <c r="I760" s="613"/>
      <c r="J760" s="613" t="s">
        <v>1495</v>
      </c>
      <c r="K760" s="613"/>
      <c r="L760" s="613"/>
      <c r="M760" s="613"/>
      <c r="N760" s="615"/>
    </row>
    <row r="761" spans="1:14">
      <c r="B761" s="599">
        <f t="shared" si="11"/>
        <v>748</v>
      </c>
      <c r="C761" s="608" t="s">
        <v>504</v>
      </c>
      <c r="D761" s="609" t="s">
        <v>1513</v>
      </c>
      <c r="E761" s="610" t="s">
        <v>7</v>
      </c>
      <c r="F761" s="616">
        <v>156417</v>
      </c>
      <c r="G761" s="613"/>
      <c r="H761" s="613"/>
      <c r="I761" s="613"/>
      <c r="J761" s="613" t="s">
        <v>1495</v>
      </c>
      <c r="K761" s="613"/>
      <c r="L761" s="613"/>
      <c r="M761" s="613"/>
      <c r="N761" s="615"/>
    </row>
    <row r="762" spans="1:14">
      <c r="B762" s="599">
        <f t="shared" si="11"/>
        <v>749</v>
      </c>
      <c r="C762" s="608" t="s">
        <v>901</v>
      </c>
      <c r="D762" s="609"/>
      <c r="E762" s="610" t="s">
        <v>7</v>
      </c>
      <c r="F762" s="616">
        <v>19027</v>
      </c>
      <c r="G762" s="613"/>
      <c r="H762" s="613"/>
      <c r="I762" s="613"/>
      <c r="J762" s="613" t="s">
        <v>1495</v>
      </c>
      <c r="K762" s="613"/>
      <c r="L762" s="613"/>
      <c r="M762" s="613"/>
      <c r="N762" s="615"/>
    </row>
    <row r="763" spans="1:14">
      <c r="B763" s="599">
        <f t="shared" si="11"/>
        <v>750</v>
      </c>
      <c r="C763" s="608" t="s">
        <v>506</v>
      </c>
      <c r="D763" s="609" t="s">
        <v>1512</v>
      </c>
      <c r="E763" s="610" t="s">
        <v>7</v>
      </c>
      <c r="F763" s="616">
        <v>76396</v>
      </c>
      <c r="G763" s="613"/>
      <c r="H763" s="613"/>
      <c r="I763" s="613"/>
      <c r="J763" s="613" t="s">
        <v>1495</v>
      </c>
      <c r="K763" s="613"/>
      <c r="L763" s="613"/>
      <c r="M763" s="613"/>
      <c r="N763" s="615"/>
    </row>
    <row r="764" spans="1:14" ht="29">
      <c r="B764" s="599">
        <f t="shared" si="11"/>
        <v>751</v>
      </c>
      <c r="C764" s="608" t="s">
        <v>902</v>
      </c>
      <c r="D764" s="609"/>
      <c r="E764" s="610" t="s">
        <v>32</v>
      </c>
      <c r="F764" s="616">
        <v>150281</v>
      </c>
      <c r="G764" s="613"/>
      <c r="H764" s="613"/>
      <c r="I764" s="613"/>
      <c r="J764" s="613" t="s">
        <v>1495</v>
      </c>
      <c r="K764" s="613"/>
      <c r="L764" s="613"/>
      <c r="M764" s="613"/>
      <c r="N764" s="615"/>
    </row>
    <row r="765" spans="1:14">
      <c r="B765" s="599">
        <f t="shared" si="11"/>
        <v>752</v>
      </c>
      <c r="C765" s="600" t="s">
        <v>1511</v>
      </c>
      <c r="D765" s="609"/>
      <c r="G765" s="613"/>
      <c r="H765" s="613"/>
      <c r="I765" s="613"/>
      <c r="J765" s="613"/>
      <c r="K765" s="613"/>
      <c r="L765" s="613"/>
      <c r="M765" s="613"/>
      <c r="N765" s="615"/>
    </row>
    <row r="766" spans="1:14" ht="29">
      <c r="B766" s="599">
        <f t="shared" si="11"/>
        <v>753</v>
      </c>
      <c r="C766" s="608" t="s">
        <v>907</v>
      </c>
      <c r="D766" s="609"/>
      <c r="E766" s="610" t="s">
        <v>1510</v>
      </c>
      <c r="F766" s="616">
        <v>20992954</v>
      </c>
      <c r="G766" s="613" t="s">
        <v>1495</v>
      </c>
      <c r="H766" s="613"/>
      <c r="I766" s="613"/>
      <c r="J766" s="613"/>
      <c r="K766" s="613"/>
      <c r="L766" s="613"/>
      <c r="M766" s="613"/>
      <c r="N766" s="615"/>
    </row>
    <row r="767" spans="1:14" ht="29">
      <c r="B767" s="599">
        <f t="shared" si="11"/>
        <v>754</v>
      </c>
      <c r="C767" s="608" t="s">
        <v>908</v>
      </c>
      <c r="D767" s="609"/>
      <c r="E767" s="610" t="s">
        <v>1510</v>
      </c>
      <c r="F767" s="616">
        <v>2754262</v>
      </c>
      <c r="G767" s="613" t="s">
        <v>1495</v>
      </c>
      <c r="H767" s="613"/>
      <c r="I767" s="613"/>
      <c r="J767" s="613"/>
      <c r="K767" s="613"/>
      <c r="L767" s="613"/>
      <c r="M767" s="613"/>
      <c r="N767" s="615"/>
    </row>
    <row r="768" spans="1:14" ht="29">
      <c r="B768" s="599">
        <f t="shared" si="11"/>
        <v>755</v>
      </c>
      <c r="C768" s="600" t="s">
        <v>1509</v>
      </c>
      <c r="D768" s="609"/>
      <c r="G768" s="613"/>
      <c r="H768" s="613"/>
      <c r="I768" s="613"/>
      <c r="J768" s="613"/>
      <c r="K768" s="613"/>
      <c r="L768" s="613"/>
      <c r="M768" s="613"/>
      <c r="N768" s="615"/>
    </row>
    <row r="769" spans="1:14">
      <c r="B769" s="599">
        <f t="shared" si="11"/>
        <v>756</v>
      </c>
      <c r="C769" s="608" t="s">
        <v>942</v>
      </c>
      <c r="D769" s="609"/>
      <c r="E769" s="610" t="s">
        <v>7</v>
      </c>
      <c r="F769" s="616">
        <v>287835</v>
      </c>
      <c r="G769" s="613" t="s">
        <v>1495</v>
      </c>
      <c r="H769" s="613"/>
      <c r="I769" s="613"/>
      <c r="J769" s="613"/>
      <c r="K769" s="613"/>
      <c r="L769" s="613"/>
      <c r="M769" s="613"/>
      <c r="N769" s="615"/>
    </row>
    <row r="770" spans="1:14">
      <c r="B770" s="599">
        <f t="shared" si="11"/>
        <v>757</v>
      </c>
      <c r="C770" s="608" t="s">
        <v>943</v>
      </c>
      <c r="D770" s="609"/>
      <c r="E770" s="610" t="s">
        <v>7</v>
      </c>
      <c r="F770" s="616">
        <v>302609</v>
      </c>
      <c r="G770" s="613" t="s">
        <v>1495</v>
      </c>
      <c r="H770" s="613"/>
      <c r="I770" s="613"/>
      <c r="J770" s="613"/>
      <c r="K770" s="613"/>
      <c r="L770" s="613"/>
      <c r="M770" s="613"/>
      <c r="N770" s="615"/>
    </row>
    <row r="771" spans="1:14">
      <c r="B771" s="599">
        <f t="shared" si="11"/>
        <v>758</v>
      </c>
      <c r="C771" s="608" t="s">
        <v>944</v>
      </c>
      <c r="D771" s="609"/>
      <c r="E771" s="610" t="s">
        <v>7</v>
      </c>
      <c r="F771" s="616">
        <v>2978205</v>
      </c>
      <c r="G771" s="613" t="s">
        <v>1495</v>
      </c>
      <c r="H771" s="613"/>
      <c r="I771" s="613"/>
      <c r="J771" s="613"/>
      <c r="K771" s="613"/>
      <c r="L771" s="613"/>
      <c r="M771" s="613"/>
      <c r="N771" s="615"/>
    </row>
    <row r="772" spans="1:14">
      <c r="A772" s="638" t="s">
        <v>1508</v>
      </c>
      <c r="B772" s="599">
        <f t="shared" si="11"/>
        <v>759</v>
      </c>
      <c r="C772" s="608" t="s">
        <v>945</v>
      </c>
      <c r="D772" s="609" t="s">
        <v>1507</v>
      </c>
      <c r="E772" s="610" t="s">
        <v>32</v>
      </c>
      <c r="F772" s="616">
        <v>3115052</v>
      </c>
      <c r="G772" s="613" t="s">
        <v>1495</v>
      </c>
      <c r="H772" s="613"/>
      <c r="I772" s="613"/>
      <c r="J772" s="613"/>
      <c r="K772" s="613"/>
      <c r="L772" s="613"/>
      <c r="M772" s="613"/>
      <c r="N772" s="615"/>
    </row>
    <row r="773" spans="1:14">
      <c r="B773" s="599">
        <f t="shared" si="11"/>
        <v>760</v>
      </c>
      <c r="D773" s="609"/>
      <c r="F773" s="611"/>
      <c r="G773" s="613"/>
      <c r="H773" s="613"/>
      <c r="I773" s="613"/>
      <c r="J773" s="613"/>
      <c r="K773" s="613"/>
      <c r="L773" s="613"/>
      <c r="M773" s="613"/>
      <c r="N773" s="615"/>
    </row>
    <row r="774" spans="1:14">
      <c r="B774" s="599">
        <f t="shared" si="11"/>
        <v>761</v>
      </c>
      <c r="C774" s="600" t="s">
        <v>1506</v>
      </c>
      <c r="D774" s="609"/>
      <c r="F774" s="616">
        <v>82985149</v>
      </c>
      <c r="G774" s="613"/>
      <c r="H774" s="613"/>
      <c r="I774" s="613"/>
      <c r="J774" s="613"/>
      <c r="K774" s="613"/>
      <c r="L774" s="613"/>
      <c r="M774" s="613"/>
      <c r="N774" s="615"/>
    </row>
    <row r="775" spans="1:14">
      <c r="A775" s="638" t="s">
        <v>615</v>
      </c>
      <c r="B775" s="599">
        <f t="shared" ref="B775:B791" si="12">B774+1</f>
        <v>762</v>
      </c>
      <c r="C775" s="608" t="s">
        <v>1505</v>
      </c>
      <c r="D775" s="609" t="s">
        <v>2409</v>
      </c>
      <c r="E775" s="610" t="s">
        <v>7</v>
      </c>
      <c r="F775" s="611"/>
      <c r="G775" s="613" t="s">
        <v>1495</v>
      </c>
      <c r="H775" s="613"/>
      <c r="I775" s="635"/>
      <c r="J775" s="635"/>
      <c r="K775" s="613"/>
      <c r="L775" s="636"/>
      <c r="M775" s="625"/>
      <c r="N775" s="615"/>
    </row>
    <row r="776" spans="1:14">
      <c r="A776" s="638" t="s">
        <v>590</v>
      </c>
      <c r="B776" s="599">
        <f t="shared" si="12"/>
        <v>763</v>
      </c>
      <c r="C776" s="608" t="s">
        <v>1504</v>
      </c>
      <c r="D776" s="609" t="s">
        <v>1503</v>
      </c>
      <c r="E776" s="610" t="s">
        <v>32</v>
      </c>
      <c r="F776" s="611"/>
      <c r="G776" s="613" t="s">
        <v>1495</v>
      </c>
      <c r="H776" s="613"/>
      <c r="I776" s="635"/>
      <c r="J776" s="635"/>
      <c r="K776" s="613"/>
      <c r="L776" s="636"/>
      <c r="M776" s="625"/>
      <c r="N776" s="615"/>
    </row>
    <row r="777" spans="1:14">
      <c r="B777" s="599">
        <f t="shared" si="12"/>
        <v>764</v>
      </c>
      <c r="D777" s="609" t="s">
        <v>2410</v>
      </c>
      <c r="E777" s="610" t="s">
        <v>32</v>
      </c>
      <c r="F777" s="611"/>
      <c r="G777" s="613" t="s">
        <v>1495</v>
      </c>
      <c r="H777" s="613"/>
      <c r="I777" s="635"/>
      <c r="J777" s="635"/>
      <c r="K777" s="613"/>
      <c r="L777" s="636"/>
      <c r="M777" s="625"/>
      <c r="N777" s="615"/>
    </row>
    <row r="778" spans="1:14">
      <c r="B778" s="599">
        <f t="shared" si="12"/>
        <v>765</v>
      </c>
      <c r="D778" s="609" t="s">
        <v>2411</v>
      </c>
      <c r="E778" s="610" t="s">
        <v>7</v>
      </c>
      <c r="F778" s="611"/>
      <c r="G778" s="613" t="s">
        <v>1495</v>
      </c>
      <c r="H778" s="613"/>
      <c r="I778" s="635"/>
      <c r="J778" s="635"/>
      <c r="K778" s="613"/>
      <c r="L778" s="636"/>
      <c r="M778" s="625"/>
      <c r="N778" s="615"/>
    </row>
    <row r="779" spans="1:14">
      <c r="B779" s="599">
        <f t="shared" si="12"/>
        <v>766</v>
      </c>
      <c r="D779" s="609" t="s">
        <v>1502</v>
      </c>
      <c r="E779" s="610" t="s">
        <v>7</v>
      </c>
      <c r="F779" s="611"/>
      <c r="G779" s="613" t="s">
        <v>1495</v>
      </c>
      <c r="H779" s="613"/>
      <c r="I779" s="635"/>
      <c r="J779" s="635"/>
      <c r="K779" s="613"/>
      <c r="L779" s="636"/>
      <c r="M779" s="625"/>
      <c r="N779" s="615"/>
    </row>
    <row r="780" spans="1:14">
      <c r="B780" s="599">
        <f t="shared" si="12"/>
        <v>767</v>
      </c>
      <c r="D780" s="609" t="s">
        <v>1499</v>
      </c>
      <c r="E780" s="610" t="s">
        <v>7</v>
      </c>
      <c r="F780" s="611"/>
      <c r="G780" s="613" t="s">
        <v>1495</v>
      </c>
      <c r="H780" s="613"/>
      <c r="I780" s="635"/>
      <c r="J780" s="635"/>
      <c r="K780" s="613"/>
      <c r="L780" s="636"/>
      <c r="M780" s="625"/>
      <c r="N780" s="615"/>
    </row>
    <row r="781" spans="1:14">
      <c r="B781" s="599">
        <f t="shared" si="12"/>
        <v>768</v>
      </c>
      <c r="D781" s="609" t="s">
        <v>2412</v>
      </c>
      <c r="E781" s="610" t="s">
        <v>7</v>
      </c>
      <c r="F781" s="611"/>
      <c r="G781" s="613" t="s">
        <v>1495</v>
      </c>
      <c r="H781" s="613"/>
      <c r="I781" s="635"/>
      <c r="J781" s="635"/>
      <c r="K781" s="613"/>
      <c r="L781" s="636"/>
      <c r="M781" s="625"/>
      <c r="N781" s="615"/>
    </row>
    <row r="782" spans="1:14" ht="29">
      <c r="A782" s="638" t="s">
        <v>309</v>
      </c>
      <c r="B782" s="599">
        <f t="shared" si="12"/>
        <v>769</v>
      </c>
      <c r="C782" s="608" t="s">
        <v>1501</v>
      </c>
      <c r="D782" s="609" t="s">
        <v>2413</v>
      </c>
      <c r="E782" s="610" t="s">
        <v>7</v>
      </c>
      <c r="F782" s="611"/>
      <c r="G782" s="613" t="s">
        <v>1495</v>
      </c>
      <c r="H782" s="613"/>
      <c r="I782" s="635"/>
      <c r="J782" s="635"/>
      <c r="K782" s="613"/>
      <c r="L782" s="636"/>
      <c r="M782" s="625"/>
      <c r="N782" s="615"/>
    </row>
    <row r="783" spans="1:14" ht="29">
      <c r="B783" s="599">
        <f t="shared" si="12"/>
        <v>770</v>
      </c>
      <c r="D783" s="609" t="s">
        <v>2414</v>
      </c>
      <c r="E783" s="610" t="s">
        <v>7</v>
      </c>
      <c r="F783" s="611"/>
      <c r="G783" s="613" t="s">
        <v>1495</v>
      </c>
      <c r="H783" s="613"/>
      <c r="I783" s="635"/>
      <c r="J783" s="635"/>
      <c r="K783" s="613"/>
      <c r="L783" s="636"/>
      <c r="M783" s="625"/>
      <c r="N783" s="615"/>
    </row>
    <row r="784" spans="1:14">
      <c r="B784" s="599">
        <f t="shared" si="12"/>
        <v>771</v>
      </c>
      <c r="D784" s="609" t="s">
        <v>2415</v>
      </c>
      <c r="E784" s="610" t="s">
        <v>7</v>
      </c>
      <c r="F784" s="611"/>
      <c r="G784" s="613" t="s">
        <v>1495</v>
      </c>
      <c r="H784" s="613"/>
      <c r="I784" s="635"/>
      <c r="J784" s="635"/>
      <c r="K784" s="613"/>
      <c r="L784" s="636"/>
      <c r="M784" s="625"/>
      <c r="N784" s="615"/>
    </row>
    <row r="785" spans="1:14" ht="29">
      <c r="A785" s="638" t="s">
        <v>720</v>
      </c>
      <c r="B785" s="599">
        <f t="shared" si="12"/>
        <v>772</v>
      </c>
      <c r="C785" s="608" t="s">
        <v>1500</v>
      </c>
      <c r="D785" s="609" t="s">
        <v>2416</v>
      </c>
      <c r="E785" s="610" t="s">
        <v>7</v>
      </c>
      <c r="F785" s="611"/>
      <c r="G785" s="613" t="s">
        <v>1495</v>
      </c>
      <c r="H785" s="613"/>
      <c r="I785" s="635"/>
      <c r="J785" s="635"/>
      <c r="K785" s="613"/>
      <c r="L785" s="636"/>
      <c r="M785" s="625"/>
      <c r="N785" s="615"/>
    </row>
    <row r="786" spans="1:14" ht="29">
      <c r="B786" s="599">
        <f t="shared" si="12"/>
        <v>773</v>
      </c>
      <c r="D786" s="609" t="s">
        <v>2417</v>
      </c>
      <c r="E786" s="610" t="s">
        <v>7</v>
      </c>
      <c r="F786" s="611"/>
      <c r="G786" s="613" t="s">
        <v>1495</v>
      </c>
      <c r="H786" s="613"/>
      <c r="I786" s="635"/>
      <c r="J786" s="635"/>
      <c r="K786" s="613"/>
      <c r="L786" s="636"/>
      <c r="M786" s="625"/>
      <c r="N786" s="615"/>
    </row>
    <row r="787" spans="1:14">
      <c r="B787" s="599">
        <f t="shared" si="12"/>
        <v>774</v>
      </c>
      <c r="D787" s="609" t="s">
        <v>1499</v>
      </c>
      <c r="E787" s="610" t="s">
        <v>7</v>
      </c>
      <c r="F787" s="611"/>
      <c r="G787" s="613" t="s">
        <v>1495</v>
      </c>
      <c r="H787" s="613"/>
      <c r="I787" s="635"/>
      <c r="J787" s="635"/>
      <c r="K787" s="613"/>
      <c r="L787" s="636"/>
      <c r="M787" s="625"/>
      <c r="N787" s="615"/>
    </row>
    <row r="788" spans="1:14">
      <c r="A788" s="638" t="s">
        <v>724</v>
      </c>
      <c r="B788" s="599">
        <f t="shared" si="12"/>
        <v>775</v>
      </c>
      <c r="C788" s="608" t="s">
        <v>1498</v>
      </c>
      <c r="D788" s="609" t="s">
        <v>1497</v>
      </c>
      <c r="E788" s="610" t="s">
        <v>7</v>
      </c>
      <c r="F788" s="611"/>
      <c r="G788" s="613" t="s">
        <v>1495</v>
      </c>
      <c r="H788" s="613"/>
      <c r="I788" s="635"/>
      <c r="J788" s="635"/>
      <c r="K788" s="613"/>
      <c r="L788" s="636"/>
      <c r="M788" s="625"/>
      <c r="N788" s="615"/>
    </row>
    <row r="789" spans="1:14" ht="29">
      <c r="A789" s="638" t="s">
        <v>805</v>
      </c>
      <c r="B789" s="599">
        <f t="shared" si="12"/>
        <v>776</v>
      </c>
      <c r="C789" s="608" t="s">
        <v>1496</v>
      </c>
      <c r="D789" s="609" t="s">
        <v>2418</v>
      </c>
      <c r="E789" s="610" t="s">
        <v>7</v>
      </c>
      <c r="F789" s="611"/>
      <c r="G789" s="613" t="s">
        <v>1495</v>
      </c>
      <c r="H789" s="613"/>
      <c r="I789" s="635"/>
      <c r="J789" s="635"/>
      <c r="K789" s="613"/>
      <c r="L789" s="636"/>
      <c r="M789" s="625"/>
      <c r="N789" s="615"/>
    </row>
    <row r="790" spans="1:14" ht="29">
      <c r="B790" s="599">
        <f t="shared" si="12"/>
        <v>777</v>
      </c>
      <c r="D790" s="609" t="s">
        <v>2428</v>
      </c>
      <c r="E790" s="610" t="s">
        <v>7</v>
      </c>
      <c r="F790" s="611"/>
      <c r="G790" s="613" t="s">
        <v>1495</v>
      </c>
      <c r="H790" s="613"/>
      <c r="I790" s="635"/>
      <c r="J790" s="635"/>
      <c r="K790" s="613"/>
      <c r="L790" s="636"/>
      <c r="M790" s="625"/>
      <c r="N790" s="615"/>
    </row>
    <row r="791" spans="1:14">
      <c r="B791" s="599">
        <f t="shared" si="12"/>
        <v>778</v>
      </c>
      <c r="D791" s="609" t="s">
        <v>2415</v>
      </c>
      <c r="E791" s="610" t="s">
        <v>7</v>
      </c>
      <c r="F791" s="611"/>
      <c r="G791" s="613" t="s">
        <v>1495</v>
      </c>
      <c r="H791" s="613"/>
      <c r="I791" s="635"/>
      <c r="J791" s="635"/>
      <c r="K791" s="613"/>
      <c r="L791" s="636"/>
      <c r="M791" s="625"/>
      <c r="N791" s="615"/>
    </row>
    <row r="792" spans="1:14">
      <c r="A792" s="665"/>
      <c r="B792" s="666"/>
      <c r="C792" s="667"/>
      <c r="D792" s="668"/>
      <c r="E792" s="669"/>
      <c r="F792" s="670"/>
      <c r="G792" s="668"/>
      <c r="H792" s="668"/>
      <c r="I792" s="665"/>
      <c r="J792" s="665"/>
      <c r="K792" s="668"/>
      <c r="L792" s="669"/>
      <c r="M792" s="670"/>
      <c r="N792" s="671"/>
    </row>
    <row r="793" spans="1:14">
      <c r="B793" s="592"/>
      <c r="C793" s="640" t="s">
        <v>1494</v>
      </c>
      <c r="D793" s="634"/>
      <c r="N793" s="639"/>
    </row>
    <row r="794" spans="1:14">
      <c r="B794" s="592"/>
      <c r="C794" s="640" t="s">
        <v>1493</v>
      </c>
      <c r="N794" s="639"/>
    </row>
    <row r="795" spans="1:14">
      <c r="B795" s="592"/>
      <c r="C795" s="640"/>
      <c r="N795" s="639"/>
    </row>
    <row r="796" spans="1:14">
      <c r="B796" s="592"/>
      <c r="C796" s="638" t="s">
        <v>1492</v>
      </c>
      <c r="G796" s="641"/>
      <c r="H796" s="641"/>
      <c r="I796" s="641"/>
      <c r="J796" s="641"/>
      <c r="K796" s="641"/>
      <c r="L796" s="641"/>
      <c r="M796" s="641"/>
      <c r="N796" s="639"/>
    </row>
    <row r="797" spans="1:14">
      <c r="B797" s="592"/>
      <c r="C797" s="638" t="s">
        <v>1491</v>
      </c>
      <c r="N797" s="639"/>
    </row>
    <row r="798" spans="1:14">
      <c r="B798" s="592"/>
      <c r="C798" s="638" t="s">
        <v>1490</v>
      </c>
      <c r="N798" s="639"/>
    </row>
    <row r="799" spans="1:14">
      <c r="B799" s="592"/>
      <c r="C799" s="638" t="s">
        <v>1489</v>
      </c>
      <c r="N799" s="639"/>
    </row>
    <row r="800" spans="1:14">
      <c r="B800" s="592"/>
      <c r="C800" s="638" t="s">
        <v>1488</v>
      </c>
      <c r="N800" s="639"/>
    </row>
    <row r="801" spans="1:14">
      <c r="B801" s="592"/>
      <c r="C801" s="638" t="s">
        <v>1487</v>
      </c>
      <c r="N801" s="639"/>
    </row>
    <row r="802" spans="1:14">
      <c r="A802" s="632"/>
      <c r="B802" s="592"/>
      <c r="C802" s="638" t="s">
        <v>2419</v>
      </c>
      <c r="N802" s="639"/>
    </row>
    <row r="803" spans="1:14" ht="15" thickBot="1">
      <c r="B803" s="642"/>
      <c r="C803" s="847" t="s">
        <v>2371</v>
      </c>
      <c r="D803" s="847"/>
      <c r="E803" s="847"/>
      <c r="F803" s="847"/>
      <c r="G803" s="847"/>
      <c r="H803" s="847"/>
      <c r="I803" s="847"/>
      <c r="J803" s="847"/>
      <c r="K803" s="847"/>
      <c r="L803" s="847"/>
      <c r="M803" s="847"/>
      <c r="N803" s="848"/>
    </row>
  </sheetData>
  <mergeCells count="2">
    <mergeCell ref="G4:M4"/>
    <mergeCell ref="C803:N803"/>
  </mergeCells>
  <pageMargins left="0.7" right="0.7" top="0.75" bottom="0.75" header="0.3" footer="0.3"/>
  <pageSetup scale="45" fitToHeight="0" orientation="portrait" verticalDpi="120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2"/>
  <sheetViews>
    <sheetView workbookViewId="0">
      <selection activeCell="A3" sqref="A3"/>
    </sheetView>
  </sheetViews>
  <sheetFormatPr defaultColWidth="9.1796875" defaultRowHeight="13"/>
  <cols>
    <col min="1" max="1" width="9.1796875" style="655"/>
    <col min="2" max="2" width="9.54296875" style="652" hidden="1" customWidth="1"/>
    <col min="3" max="3" width="25" style="652" bestFit="1" customWidth="1"/>
    <col min="4" max="4" width="75.26953125" style="655" customWidth="1"/>
    <col min="5" max="5" width="68" style="655" customWidth="1"/>
    <col min="6" max="16384" width="9.1796875" style="655"/>
  </cols>
  <sheetData>
    <row r="1" spans="1:5">
      <c r="A1" s="804" t="str">
        <f>'Cover Sheets'!A10:B10</f>
        <v>WAPA-UGP 2020 Rate Estimate Calculation</v>
      </c>
      <c r="B1" s="805"/>
      <c r="C1" s="805"/>
      <c r="D1" s="643"/>
      <c r="E1" s="806"/>
    </row>
    <row r="2" spans="1:5">
      <c r="A2" s="821" t="s">
        <v>2623</v>
      </c>
      <c r="E2" s="672"/>
    </row>
    <row r="3" spans="1:5" ht="16" thickBot="1">
      <c r="A3" s="822" t="str">
        <f>'WS1-RateBase'!A4</f>
        <v>12 Months Ending 09/30/2020 ESTIMATE</v>
      </c>
      <c r="B3" s="807"/>
      <c r="C3" s="807"/>
      <c r="D3" s="761"/>
      <c r="E3" s="762"/>
    </row>
    <row r="4" spans="1:5" s="644" customFormat="1">
      <c r="A4" s="803" t="s">
        <v>0</v>
      </c>
      <c r="B4" s="644" t="s">
        <v>2282</v>
      </c>
      <c r="C4" s="644" t="s">
        <v>2078</v>
      </c>
      <c r="D4" s="645" t="s">
        <v>2281</v>
      </c>
      <c r="E4" s="646" t="s">
        <v>2067</v>
      </c>
    </row>
    <row r="5" spans="1:5" s="649" customFormat="1">
      <c r="A5" s="647">
        <v>1</v>
      </c>
      <c r="B5" s="648"/>
      <c r="C5" s="648" t="s">
        <v>2066</v>
      </c>
      <c r="E5" s="650"/>
    </row>
    <row r="6" spans="1:5">
      <c r="A6" s="651">
        <f>A5+1</f>
        <v>2</v>
      </c>
      <c r="D6" s="653"/>
      <c r="E6" s="654"/>
    </row>
    <row r="7" spans="1:5">
      <c r="A7" s="647">
        <f>A6+1</f>
        <v>3</v>
      </c>
      <c r="B7" s="652" t="s">
        <v>234</v>
      </c>
      <c r="C7" s="652" t="s">
        <v>2062</v>
      </c>
      <c r="D7" s="655" t="s">
        <v>2280</v>
      </c>
      <c r="E7" s="654" t="s">
        <v>2279</v>
      </c>
    </row>
    <row r="8" spans="1:5">
      <c r="A8" s="651">
        <f>A7+1</f>
        <v>4</v>
      </c>
      <c r="D8" s="655" t="s">
        <v>2278</v>
      </c>
      <c r="E8" s="654"/>
    </row>
    <row r="9" spans="1:5">
      <c r="A9" s="647">
        <f>A8+1</f>
        <v>5</v>
      </c>
      <c r="D9" s="655" t="s">
        <v>2277</v>
      </c>
      <c r="E9" s="654"/>
    </row>
    <row r="10" spans="1:5">
      <c r="A10" s="651">
        <f>A9+1</f>
        <v>6</v>
      </c>
      <c r="B10" s="652" t="s">
        <v>239</v>
      </c>
      <c r="C10" s="652" t="s">
        <v>2051</v>
      </c>
      <c r="D10" s="655" t="s">
        <v>2276</v>
      </c>
      <c r="E10" s="654"/>
    </row>
    <row r="11" spans="1:5">
      <c r="A11" s="647">
        <f t="shared" ref="A11:A74" si="0">A10+1</f>
        <v>7</v>
      </c>
      <c r="B11" s="652" t="s">
        <v>243</v>
      </c>
      <c r="C11" s="652" t="s">
        <v>2046</v>
      </c>
      <c r="D11" s="655" t="s">
        <v>2275</v>
      </c>
      <c r="E11" s="654"/>
    </row>
    <row r="12" spans="1:5">
      <c r="A12" s="651">
        <f t="shared" si="0"/>
        <v>8</v>
      </c>
      <c r="B12" s="652" t="s">
        <v>2040</v>
      </c>
      <c r="C12" s="652" t="s">
        <v>2039</v>
      </c>
      <c r="D12" s="655" t="s">
        <v>2132</v>
      </c>
      <c r="E12" s="654" t="s">
        <v>2118</v>
      </c>
    </row>
    <row r="13" spans="1:5">
      <c r="A13" s="647">
        <f t="shared" si="0"/>
        <v>9</v>
      </c>
      <c r="D13" s="655" t="s">
        <v>2274</v>
      </c>
      <c r="E13" s="654" t="s">
        <v>2273</v>
      </c>
    </row>
    <row r="14" spans="1:5">
      <c r="A14" s="651">
        <f t="shared" si="0"/>
        <v>10</v>
      </c>
      <c r="B14" s="652" t="s">
        <v>615</v>
      </c>
      <c r="C14" s="652" t="s">
        <v>1505</v>
      </c>
      <c r="D14" s="655" t="s">
        <v>2272</v>
      </c>
      <c r="E14" s="654"/>
    </row>
    <row r="15" spans="1:5">
      <c r="A15" s="647">
        <f t="shared" si="0"/>
        <v>11</v>
      </c>
      <c r="B15" s="652" t="s">
        <v>247</v>
      </c>
      <c r="C15" s="652" t="s">
        <v>2033</v>
      </c>
      <c r="D15" s="655" t="s">
        <v>2271</v>
      </c>
      <c r="E15" s="654"/>
    </row>
    <row r="16" spans="1:5">
      <c r="A16" s="651">
        <f t="shared" si="0"/>
        <v>12</v>
      </c>
      <c r="D16" s="655" t="s">
        <v>2270</v>
      </c>
      <c r="E16" s="654" t="s">
        <v>2177</v>
      </c>
    </row>
    <row r="17" spans="1:6">
      <c r="A17" s="647">
        <f t="shared" si="0"/>
        <v>13</v>
      </c>
      <c r="B17" s="652" t="s">
        <v>249</v>
      </c>
      <c r="C17" s="652" t="s">
        <v>2031</v>
      </c>
      <c r="D17" s="655" t="s">
        <v>2269</v>
      </c>
      <c r="E17" s="654" t="s">
        <v>2268</v>
      </c>
    </row>
    <row r="18" spans="1:6">
      <c r="A18" s="651">
        <f t="shared" si="0"/>
        <v>14</v>
      </c>
      <c r="D18" s="655" t="s">
        <v>2267</v>
      </c>
      <c r="E18" s="654" t="s">
        <v>2120</v>
      </c>
    </row>
    <row r="19" spans="1:6">
      <c r="A19" s="647">
        <f t="shared" si="0"/>
        <v>15</v>
      </c>
      <c r="B19" s="652" t="s">
        <v>253</v>
      </c>
      <c r="C19" s="652" t="s">
        <v>2025</v>
      </c>
      <c r="D19" s="655" t="s">
        <v>2266</v>
      </c>
      <c r="E19" s="654" t="s">
        <v>2265</v>
      </c>
    </row>
    <row r="20" spans="1:6">
      <c r="A20" s="651">
        <f t="shared" si="0"/>
        <v>16</v>
      </c>
      <c r="B20" s="652" t="s">
        <v>2019</v>
      </c>
      <c r="C20" s="652" t="s">
        <v>2018</v>
      </c>
      <c r="D20" s="655" t="s">
        <v>2264</v>
      </c>
      <c r="E20" s="654"/>
    </row>
    <row r="21" spans="1:6">
      <c r="A21" s="647">
        <f t="shared" si="0"/>
        <v>17</v>
      </c>
      <c r="D21" s="655" t="s">
        <v>2263</v>
      </c>
      <c r="E21" s="654"/>
      <c r="F21" s="627"/>
    </row>
    <row r="22" spans="1:6">
      <c r="A22" s="651">
        <f t="shared" si="0"/>
        <v>18</v>
      </c>
      <c r="D22" s="655" t="s">
        <v>2262</v>
      </c>
      <c r="E22" s="654" t="s">
        <v>2261</v>
      </c>
    </row>
    <row r="23" spans="1:6">
      <c r="A23" s="647">
        <f t="shared" si="0"/>
        <v>19</v>
      </c>
      <c r="B23" s="652" t="s">
        <v>2260</v>
      </c>
      <c r="C23" s="652" t="s">
        <v>2259</v>
      </c>
      <c r="D23" s="655" t="s">
        <v>2091</v>
      </c>
      <c r="E23" s="654"/>
    </row>
    <row r="24" spans="1:6">
      <c r="A24" s="651">
        <f t="shared" si="0"/>
        <v>20</v>
      </c>
      <c r="B24" s="652" t="s">
        <v>914</v>
      </c>
      <c r="C24" s="652" t="s">
        <v>2258</v>
      </c>
      <c r="D24" s="655" t="s">
        <v>2091</v>
      </c>
      <c r="E24" s="654"/>
    </row>
    <row r="25" spans="1:6">
      <c r="A25" s="647">
        <f t="shared" si="0"/>
        <v>21</v>
      </c>
      <c r="B25" s="652" t="s">
        <v>1998</v>
      </c>
      <c r="C25" s="652" t="s">
        <v>1997</v>
      </c>
      <c r="D25" s="655" t="s">
        <v>2109</v>
      </c>
      <c r="E25" s="654" t="s">
        <v>2102</v>
      </c>
    </row>
    <row r="26" spans="1:6">
      <c r="A26" s="651">
        <f t="shared" si="0"/>
        <v>22</v>
      </c>
      <c r="D26" s="655" t="s">
        <v>2257</v>
      </c>
      <c r="E26" s="654" t="s">
        <v>2256</v>
      </c>
    </row>
    <row r="27" spans="1:6">
      <c r="A27" s="647">
        <f t="shared" si="0"/>
        <v>23</v>
      </c>
      <c r="B27" s="652" t="s">
        <v>263</v>
      </c>
      <c r="C27" s="652" t="s">
        <v>1993</v>
      </c>
      <c r="D27" s="655" t="s">
        <v>2136</v>
      </c>
      <c r="E27" s="654" t="s">
        <v>2255</v>
      </c>
    </row>
    <row r="28" spans="1:6">
      <c r="A28" s="651">
        <f t="shared" si="0"/>
        <v>24</v>
      </c>
      <c r="D28" s="655" t="s">
        <v>2254</v>
      </c>
      <c r="E28" s="654" t="s">
        <v>2251</v>
      </c>
    </row>
    <row r="29" spans="1:6">
      <c r="A29" s="647">
        <f t="shared" si="0"/>
        <v>25</v>
      </c>
      <c r="D29" s="655" t="s">
        <v>2253</v>
      </c>
      <c r="E29" s="654"/>
    </row>
    <row r="30" spans="1:6">
      <c r="A30" s="651">
        <f t="shared" si="0"/>
        <v>26</v>
      </c>
      <c r="D30" s="655" t="s">
        <v>2252</v>
      </c>
      <c r="E30" s="654" t="s">
        <v>2251</v>
      </c>
    </row>
    <row r="31" spans="1:6">
      <c r="A31" s="647">
        <f t="shared" si="0"/>
        <v>27</v>
      </c>
      <c r="B31" s="652" t="s">
        <v>265</v>
      </c>
      <c r="C31" s="652" t="s">
        <v>1988</v>
      </c>
      <c r="D31" s="655" t="s">
        <v>2250</v>
      </c>
      <c r="E31" s="654" t="s">
        <v>2249</v>
      </c>
    </row>
    <row r="32" spans="1:6">
      <c r="A32" s="651">
        <f t="shared" si="0"/>
        <v>28</v>
      </c>
      <c r="B32" s="652" t="s">
        <v>273</v>
      </c>
      <c r="C32" s="652" t="s">
        <v>1971</v>
      </c>
      <c r="D32" s="655" t="s">
        <v>2248</v>
      </c>
      <c r="E32" s="654" t="s">
        <v>2247</v>
      </c>
    </row>
    <row r="33" spans="1:5">
      <c r="A33" s="647">
        <f t="shared" si="0"/>
        <v>29</v>
      </c>
      <c r="B33" s="652" t="s">
        <v>275</v>
      </c>
      <c r="C33" s="652" t="s">
        <v>2246</v>
      </c>
      <c r="D33" s="655" t="s">
        <v>2091</v>
      </c>
      <c r="E33" s="654"/>
    </row>
    <row r="34" spans="1:5">
      <c r="A34" s="651">
        <f t="shared" si="0"/>
        <v>30</v>
      </c>
      <c r="B34" s="652" t="s">
        <v>277</v>
      </c>
      <c r="C34" s="652" t="s">
        <v>1966</v>
      </c>
      <c r="D34" s="655" t="s">
        <v>2245</v>
      </c>
      <c r="E34" s="654" t="s">
        <v>2102</v>
      </c>
    </row>
    <row r="35" spans="1:5">
      <c r="A35" s="647">
        <f t="shared" si="0"/>
        <v>31</v>
      </c>
      <c r="B35" s="652" t="s">
        <v>465</v>
      </c>
      <c r="C35" s="652" t="s">
        <v>1558</v>
      </c>
      <c r="D35" s="655" t="s">
        <v>2244</v>
      </c>
      <c r="E35" s="654"/>
    </row>
    <row r="36" spans="1:5">
      <c r="A36" s="651">
        <f t="shared" si="0"/>
        <v>32</v>
      </c>
      <c r="B36" s="652" t="s">
        <v>279</v>
      </c>
      <c r="C36" s="652" t="s">
        <v>1958</v>
      </c>
      <c r="D36" s="655" t="s">
        <v>2243</v>
      </c>
      <c r="E36" s="654" t="s">
        <v>2242</v>
      </c>
    </row>
    <row r="37" spans="1:5">
      <c r="A37" s="647">
        <f t="shared" si="0"/>
        <v>33</v>
      </c>
      <c r="B37" s="652" t="s">
        <v>281</v>
      </c>
      <c r="C37" s="652" t="s">
        <v>2241</v>
      </c>
      <c r="D37" s="655" t="s">
        <v>2091</v>
      </c>
      <c r="E37" s="654"/>
    </row>
    <row r="38" spans="1:5">
      <c r="A38" s="651">
        <f t="shared" si="0"/>
        <v>34</v>
      </c>
      <c r="B38" s="652" t="s">
        <v>283</v>
      </c>
      <c r="C38" s="652" t="s">
        <v>1949</v>
      </c>
      <c r="D38" s="655" t="s">
        <v>2240</v>
      </c>
      <c r="E38" s="654" t="s">
        <v>2239</v>
      </c>
    </row>
    <row r="39" spans="1:5">
      <c r="A39" s="647">
        <f t="shared" si="0"/>
        <v>35</v>
      </c>
      <c r="D39" s="655" t="s">
        <v>2238</v>
      </c>
      <c r="E39" s="654" t="s">
        <v>2237</v>
      </c>
    </row>
    <row r="40" spans="1:5">
      <c r="A40" s="651">
        <f t="shared" si="0"/>
        <v>36</v>
      </c>
      <c r="B40" s="652" t="s">
        <v>285</v>
      </c>
      <c r="C40" s="652" t="s">
        <v>1939</v>
      </c>
      <c r="D40" s="655" t="s">
        <v>2236</v>
      </c>
      <c r="E40" s="654"/>
    </row>
    <row r="41" spans="1:5">
      <c r="A41" s="647">
        <f t="shared" si="0"/>
        <v>37</v>
      </c>
      <c r="D41" s="655" t="s">
        <v>2235</v>
      </c>
      <c r="E41" s="654" t="s">
        <v>2234</v>
      </c>
    </row>
    <row r="42" spans="1:5">
      <c r="A42" s="651">
        <f t="shared" si="0"/>
        <v>38</v>
      </c>
      <c r="B42" s="652" t="s">
        <v>287</v>
      </c>
      <c r="C42" s="652" t="s">
        <v>1936</v>
      </c>
      <c r="D42" s="655" t="s">
        <v>2233</v>
      </c>
      <c r="E42" s="654"/>
    </row>
    <row r="43" spans="1:5">
      <c r="A43" s="647">
        <f t="shared" si="0"/>
        <v>39</v>
      </c>
      <c r="D43" s="655" t="s">
        <v>2232</v>
      </c>
      <c r="E43" s="654"/>
    </row>
    <row r="44" spans="1:5">
      <c r="A44" s="651">
        <f t="shared" si="0"/>
        <v>40</v>
      </c>
      <c r="D44" s="655" t="s">
        <v>2231</v>
      </c>
      <c r="E44" s="654" t="s">
        <v>2139</v>
      </c>
    </row>
    <row r="45" spans="1:5">
      <c r="A45" s="647">
        <f t="shared" si="0"/>
        <v>41</v>
      </c>
      <c r="D45" s="655" t="s">
        <v>2230</v>
      </c>
      <c r="E45" s="654"/>
    </row>
    <row r="46" spans="1:5">
      <c r="A46" s="651">
        <f t="shared" si="0"/>
        <v>42</v>
      </c>
      <c r="B46" s="652" t="s">
        <v>289</v>
      </c>
      <c r="C46" s="652" t="s">
        <v>1931</v>
      </c>
      <c r="D46" s="655" t="s">
        <v>2229</v>
      </c>
      <c r="E46" s="654"/>
    </row>
    <row r="47" spans="1:5">
      <c r="A47" s="647">
        <f t="shared" si="0"/>
        <v>43</v>
      </c>
      <c r="B47" s="652" t="s">
        <v>293</v>
      </c>
      <c r="C47" s="652" t="s">
        <v>1928</v>
      </c>
      <c r="D47" s="655" t="s">
        <v>2228</v>
      </c>
      <c r="E47" s="654"/>
    </row>
    <row r="48" spans="1:5">
      <c r="A48" s="651">
        <f t="shared" si="0"/>
        <v>44</v>
      </c>
      <c r="B48" s="652" t="s">
        <v>295</v>
      </c>
      <c r="C48" s="652" t="s">
        <v>1926</v>
      </c>
      <c r="D48" s="653" t="s">
        <v>2372</v>
      </c>
      <c r="E48" s="654"/>
    </row>
    <row r="49" spans="1:5">
      <c r="A49" s="647">
        <f t="shared" si="0"/>
        <v>45</v>
      </c>
      <c r="B49" s="652" t="s">
        <v>297</v>
      </c>
      <c r="C49" s="652" t="s">
        <v>1925</v>
      </c>
      <c r="D49" s="655" t="s">
        <v>2227</v>
      </c>
      <c r="E49" s="654" t="s">
        <v>2226</v>
      </c>
    </row>
    <row r="50" spans="1:5">
      <c r="A50" s="651">
        <f t="shared" si="0"/>
        <v>46</v>
      </c>
      <c r="B50" s="652" t="s">
        <v>301</v>
      </c>
      <c r="C50" s="652" t="s">
        <v>1919</v>
      </c>
      <c r="D50" s="655" t="s">
        <v>2225</v>
      </c>
      <c r="E50" s="654"/>
    </row>
    <row r="51" spans="1:5">
      <c r="A51" s="647">
        <f t="shared" si="0"/>
        <v>47</v>
      </c>
      <c r="D51" s="655" t="s">
        <v>2224</v>
      </c>
      <c r="E51" s="654" t="s">
        <v>2223</v>
      </c>
    </row>
    <row r="52" spans="1:5">
      <c r="A52" s="651">
        <f t="shared" si="0"/>
        <v>48</v>
      </c>
      <c r="B52" s="652" t="s">
        <v>915</v>
      </c>
      <c r="C52" s="652" t="s">
        <v>2222</v>
      </c>
      <c r="D52" s="655" t="s">
        <v>2091</v>
      </c>
      <c r="E52" s="654"/>
    </row>
    <row r="53" spans="1:5">
      <c r="A53" s="647">
        <f t="shared" si="0"/>
        <v>49</v>
      </c>
      <c r="B53" s="652" t="s">
        <v>916</v>
      </c>
      <c r="C53" s="652" t="s">
        <v>2221</v>
      </c>
      <c r="D53" s="655" t="s">
        <v>2091</v>
      </c>
      <c r="E53" s="654"/>
    </row>
    <row r="54" spans="1:5">
      <c r="A54" s="651">
        <f t="shared" si="0"/>
        <v>50</v>
      </c>
      <c r="B54" s="652" t="s">
        <v>305</v>
      </c>
      <c r="C54" s="652" t="s">
        <v>1903</v>
      </c>
      <c r="D54" s="655" t="s">
        <v>2220</v>
      </c>
      <c r="E54" s="654" t="s">
        <v>2219</v>
      </c>
    </row>
    <row r="55" spans="1:5">
      <c r="A55" s="647">
        <f t="shared" si="0"/>
        <v>51</v>
      </c>
      <c r="B55" s="652" t="s">
        <v>307</v>
      </c>
      <c r="C55" s="652" t="s">
        <v>1896</v>
      </c>
      <c r="D55" s="655" t="s">
        <v>2119</v>
      </c>
      <c r="E55" s="654"/>
    </row>
    <row r="56" spans="1:5">
      <c r="A56" s="651">
        <f t="shared" si="0"/>
        <v>52</v>
      </c>
      <c r="D56" s="655" t="s">
        <v>2218</v>
      </c>
      <c r="E56" s="654"/>
    </row>
    <row r="57" spans="1:5">
      <c r="A57" s="647">
        <f t="shared" si="0"/>
        <v>53</v>
      </c>
      <c r="D57" s="655" t="s">
        <v>2217</v>
      </c>
      <c r="E57" s="654"/>
    </row>
    <row r="58" spans="1:5">
      <c r="A58" s="651">
        <f t="shared" si="0"/>
        <v>54</v>
      </c>
      <c r="D58" s="655" t="s">
        <v>2140</v>
      </c>
      <c r="E58" s="654" t="s">
        <v>2216</v>
      </c>
    </row>
    <row r="59" spans="1:5">
      <c r="A59" s="647">
        <f t="shared" si="0"/>
        <v>55</v>
      </c>
      <c r="D59" s="655" t="s">
        <v>2215</v>
      </c>
      <c r="E59" s="654"/>
    </row>
    <row r="60" spans="1:5">
      <c r="A60" s="651">
        <f t="shared" si="0"/>
        <v>56</v>
      </c>
      <c r="D60" s="655" t="s">
        <v>2214</v>
      </c>
      <c r="E60" s="654" t="s">
        <v>2213</v>
      </c>
    </row>
    <row r="61" spans="1:5">
      <c r="A61" s="647">
        <f t="shared" si="0"/>
        <v>57</v>
      </c>
      <c r="B61" s="652" t="s">
        <v>309</v>
      </c>
      <c r="C61" s="652" t="s">
        <v>1501</v>
      </c>
      <c r="D61" s="655" t="s">
        <v>2212</v>
      </c>
      <c r="E61" s="654"/>
    </row>
    <row r="62" spans="1:5">
      <c r="A62" s="651">
        <f t="shared" si="0"/>
        <v>58</v>
      </c>
      <c r="B62" s="652" t="s">
        <v>313</v>
      </c>
      <c r="C62" s="652" t="s">
        <v>1890</v>
      </c>
      <c r="D62" s="655" t="s">
        <v>2211</v>
      </c>
      <c r="E62" s="654" t="s">
        <v>2151</v>
      </c>
    </row>
    <row r="63" spans="1:5">
      <c r="A63" s="647">
        <f t="shared" si="0"/>
        <v>59</v>
      </c>
      <c r="B63" s="652" t="s">
        <v>921</v>
      </c>
      <c r="C63" s="652" t="s">
        <v>2210</v>
      </c>
      <c r="D63" s="655" t="s">
        <v>2091</v>
      </c>
      <c r="E63" s="654"/>
    </row>
    <row r="64" spans="1:5">
      <c r="A64" s="651">
        <f t="shared" si="0"/>
        <v>60</v>
      </c>
      <c r="B64" s="652" t="s">
        <v>720</v>
      </c>
      <c r="C64" s="652" t="s">
        <v>1500</v>
      </c>
      <c r="D64" s="655" t="s">
        <v>2209</v>
      </c>
      <c r="E64" s="654" t="s">
        <v>2207</v>
      </c>
    </row>
    <row r="65" spans="1:5">
      <c r="A65" s="647">
        <f t="shared" si="0"/>
        <v>61</v>
      </c>
      <c r="B65" s="652" t="s">
        <v>724</v>
      </c>
      <c r="C65" s="652" t="s">
        <v>1498</v>
      </c>
      <c r="D65" s="655" t="s">
        <v>2208</v>
      </c>
      <c r="E65" s="654" t="s">
        <v>2207</v>
      </c>
    </row>
    <row r="66" spans="1:5">
      <c r="A66" s="651">
        <f t="shared" si="0"/>
        <v>62</v>
      </c>
      <c r="B66" s="652" t="s">
        <v>2206</v>
      </c>
      <c r="C66" s="652" t="s">
        <v>2205</v>
      </c>
      <c r="D66" s="655" t="s">
        <v>2091</v>
      </c>
      <c r="E66" s="654"/>
    </row>
    <row r="67" spans="1:5">
      <c r="A67" s="647">
        <f t="shared" si="0"/>
        <v>63</v>
      </c>
      <c r="B67" s="652" t="s">
        <v>924</v>
      </c>
      <c r="C67" s="652" t="s">
        <v>2204</v>
      </c>
      <c r="D67" s="655" t="s">
        <v>2091</v>
      </c>
      <c r="E67" s="654"/>
    </row>
    <row r="68" spans="1:5">
      <c r="A68" s="651">
        <f t="shared" si="0"/>
        <v>64</v>
      </c>
      <c r="B68" s="652" t="s">
        <v>321</v>
      </c>
      <c r="C68" s="652" t="s">
        <v>1854</v>
      </c>
      <c r="D68" s="655" t="s">
        <v>2203</v>
      </c>
      <c r="E68" s="654" t="s">
        <v>2202</v>
      </c>
    </row>
    <row r="69" spans="1:5">
      <c r="A69" s="647">
        <f t="shared" si="0"/>
        <v>65</v>
      </c>
      <c r="D69" s="655" t="s">
        <v>2201</v>
      </c>
      <c r="E69" s="654"/>
    </row>
    <row r="70" spans="1:5">
      <c r="A70" s="651">
        <f t="shared" si="0"/>
        <v>66</v>
      </c>
      <c r="D70" s="655" t="s">
        <v>2200</v>
      </c>
      <c r="E70" s="654"/>
    </row>
    <row r="71" spans="1:5">
      <c r="A71" s="647">
        <f t="shared" si="0"/>
        <v>67</v>
      </c>
      <c r="B71" s="652" t="s">
        <v>325</v>
      </c>
      <c r="C71" s="652" t="s">
        <v>1835</v>
      </c>
      <c r="D71" s="655" t="s">
        <v>2199</v>
      </c>
      <c r="E71" s="654" t="s">
        <v>2102</v>
      </c>
    </row>
    <row r="72" spans="1:5">
      <c r="A72" s="651">
        <f t="shared" si="0"/>
        <v>68</v>
      </c>
      <c r="D72" s="655" t="s">
        <v>2198</v>
      </c>
      <c r="E72" s="654"/>
    </row>
    <row r="73" spans="1:5">
      <c r="A73" s="647">
        <f t="shared" si="0"/>
        <v>69</v>
      </c>
      <c r="B73" s="652" t="s">
        <v>327</v>
      </c>
      <c r="C73" s="652" t="s">
        <v>1832</v>
      </c>
      <c r="D73" s="655" t="s">
        <v>2132</v>
      </c>
      <c r="E73" s="654" t="s">
        <v>2118</v>
      </c>
    </row>
    <row r="74" spans="1:5">
      <c r="A74" s="651">
        <f t="shared" si="0"/>
        <v>70</v>
      </c>
      <c r="B74" s="652" t="s">
        <v>329</v>
      </c>
      <c r="C74" s="652" t="s">
        <v>1823</v>
      </c>
      <c r="D74" s="655" t="s">
        <v>2197</v>
      </c>
      <c r="E74" s="654" t="s">
        <v>2141</v>
      </c>
    </row>
    <row r="75" spans="1:5">
      <c r="A75" s="647">
        <f t="shared" ref="A75:A138" si="1">A74+1</f>
        <v>71</v>
      </c>
      <c r="B75" s="652" t="s">
        <v>331</v>
      </c>
      <c r="C75" s="652" t="s">
        <v>1815</v>
      </c>
      <c r="D75" s="655" t="s">
        <v>2196</v>
      </c>
      <c r="E75" s="654" t="s">
        <v>2156</v>
      </c>
    </row>
    <row r="76" spans="1:5">
      <c r="A76" s="651">
        <f t="shared" si="1"/>
        <v>72</v>
      </c>
      <c r="B76" s="652" t="s">
        <v>333</v>
      </c>
      <c r="C76" s="652" t="s">
        <v>1813</v>
      </c>
      <c r="D76" s="655" t="s">
        <v>2195</v>
      </c>
      <c r="E76" s="654"/>
    </row>
    <row r="77" spans="1:5">
      <c r="A77" s="647">
        <f t="shared" si="1"/>
        <v>73</v>
      </c>
      <c r="D77" s="655" t="s">
        <v>1647</v>
      </c>
      <c r="E77" s="654"/>
    </row>
    <row r="78" spans="1:5">
      <c r="A78" s="651">
        <f t="shared" si="1"/>
        <v>74</v>
      </c>
      <c r="D78" s="655" t="s">
        <v>2194</v>
      </c>
      <c r="E78" s="654" t="s">
        <v>2118</v>
      </c>
    </row>
    <row r="79" spans="1:5">
      <c r="A79" s="647">
        <f t="shared" si="1"/>
        <v>75</v>
      </c>
      <c r="B79" s="652" t="s">
        <v>925</v>
      </c>
      <c r="C79" s="652" t="s">
        <v>2193</v>
      </c>
      <c r="D79" s="655" t="s">
        <v>2091</v>
      </c>
      <c r="E79" s="654"/>
    </row>
    <row r="80" spans="1:5">
      <c r="A80" s="651">
        <f t="shared" si="1"/>
        <v>76</v>
      </c>
      <c r="B80" s="652" t="s">
        <v>2192</v>
      </c>
      <c r="C80" s="652" t="s">
        <v>2191</v>
      </c>
      <c r="D80" s="655" t="s">
        <v>2091</v>
      </c>
      <c r="E80" s="654"/>
    </row>
    <row r="81" spans="1:5">
      <c r="A81" s="647">
        <f t="shared" si="1"/>
        <v>77</v>
      </c>
      <c r="B81" s="652" t="s">
        <v>335</v>
      </c>
      <c r="C81" s="652" t="s">
        <v>1808</v>
      </c>
      <c r="D81" s="655" t="s">
        <v>2190</v>
      </c>
      <c r="E81" s="654"/>
    </row>
    <row r="82" spans="1:5">
      <c r="A82" s="651">
        <f t="shared" si="1"/>
        <v>78</v>
      </c>
      <c r="D82" s="655" t="s">
        <v>2189</v>
      </c>
      <c r="E82" s="654"/>
    </row>
    <row r="83" spans="1:5">
      <c r="A83" s="647">
        <f t="shared" si="1"/>
        <v>79</v>
      </c>
      <c r="D83" s="655" t="s">
        <v>2188</v>
      </c>
      <c r="E83" s="654" t="s">
        <v>2187</v>
      </c>
    </row>
    <row r="84" spans="1:5">
      <c r="A84" s="651">
        <f t="shared" si="1"/>
        <v>80</v>
      </c>
      <c r="D84" s="655" t="s">
        <v>2186</v>
      </c>
      <c r="E84" s="654"/>
    </row>
    <row r="85" spans="1:5">
      <c r="A85" s="647">
        <f t="shared" si="1"/>
        <v>81</v>
      </c>
      <c r="B85" s="652" t="s">
        <v>337</v>
      </c>
      <c r="C85" s="652" t="s">
        <v>1797</v>
      </c>
      <c r="D85" s="655" t="s">
        <v>2185</v>
      </c>
      <c r="E85" s="654"/>
    </row>
    <row r="86" spans="1:5">
      <c r="A86" s="651">
        <f t="shared" si="1"/>
        <v>82</v>
      </c>
      <c r="D86" s="655" t="s">
        <v>2184</v>
      </c>
      <c r="E86" s="654" t="s">
        <v>2183</v>
      </c>
    </row>
    <row r="87" spans="1:5">
      <c r="A87" s="647">
        <f t="shared" si="1"/>
        <v>83</v>
      </c>
      <c r="B87" s="652" t="s">
        <v>339</v>
      </c>
      <c r="C87" s="652" t="s">
        <v>1793</v>
      </c>
      <c r="D87" s="655" t="s">
        <v>2182</v>
      </c>
      <c r="E87" s="654" t="s">
        <v>2181</v>
      </c>
    </row>
    <row r="88" spans="1:5">
      <c r="A88" s="651">
        <f t="shared" si="1"/>
        <v>84</v>
      </c>
      <c r="D88" s="655" t="s">
        <v>2180</v>
      </c>
      <c r="E88" s="654"/>
    </row>
    <row r="89" spans="1:5" ht="14.5">
      <c r="A89" s="647">
        <f t="shared" si="1"/>
        <v>85</v>
      </c>
      <c r="D89" s="609" t="s">
        <v>1791</v>
      </c>
      <c r="E89" s="654"/>
    </row>
    <row r="90" spans="1:5">
      <c r="A90" s="651">
        <f t="shared" si="1"/>
        <v>86</v>
      </c>
      <c r="B90" s="652" t="s">
        <v>341</v>
      </c>
      <c r="C90" s="652" t="s">
        <v>1789</v>
      </c>
      <c r="D90" s="655" t="s">
        <v>2179</v>
      </c>
      <c r="E90" s="654"/>
    </row>
    <row r="91" spans="1:5">
      <c r="A91" s="647">
        <f t="shared" si="1"/>
        <v>87</v>
      </c>
      <c r="D91" s="655" t="s">
        <v>2178</v>
      </c>
      <c r="E91" s="654" t="s">
        <v>2177</v>
      </c>
    </row>
    <row r="92" spans="1:5">
      <c r="A92" s="651">
        <f t="shared" si="1"/>
        <v>88</v>
      </c>
      <c r="B92" s="652" t="s">
        <v>347</v>
      </c>
      <c r="C92" s="652" t="s">
        <v>1778</v>
      </c>
      <c r="D92" s="655" t="s">
        <v>2176</v>
      </c>
      <c r="E92" s="654"/>
    </row>
    <row r="93" spans="1:5">
      <c r="A93" s="647">
        <f t="shared" si="1"/>
        <v>89</v>
      </c>
      <c r="D93" s="655" t="s">
        <v>2175</v>
      </c>
      <c r="E93" s="654" t="s">
        <v>2174</v>
      </c>
    </row>
    <row r="94" spans="1:5">
      <c r="A94" s="651">
        <f t="shared" si="1"/>
        <v>90</v>
      </c>
      <c r="B94" s="652" t="s">
        <v>349</v>
      </c>
      <c r="C94" s="652" t="s">
        <v>1776</v>
      </c>
      <c r="D94" s="655" t="s">
        <v>2173</v>
      </c>
      <c r="E94" s="654"/>
    </row>
    <row r="95" spans="1:5">
      <c r="A95" s="651"/>
      <c r="D95" s="655" t="s">
        <v>2462</v>
      </c>
      <c r="E95" s="654"/>
    </row>
    <row r="96" spans="1:5">
      <c r="A96" s="647">
        <f>A94+1</f>
        <v>91</v>
      </c>
      <c r="D96" s="655" t="s">
        <v>2172</v>
      </c>
      <c r="E96" s="654" t="s">
        <v>2171</v>
      </c>
    </row>
    <row r="97" spans="1:5">
      <c r="A97" s="651">
        <f t="shared" si="1"/>
        <v>92</v>
      </c>
      <c r="B97" s="652" t="s">
        <v>351</v>
      </c>
      <c r="C97" s="652" t="s">
        <v>1771</v>
      </c>
      <c r="D97" s="655" t="s">
        <v>2170</v>
      </c>
      <c r="E97" s="654"/>
    </row>
    <row r="98" spans="1:5">
      <c r="A98" s="647">
        <f t="shared" si="1"/>
        <v>93</v>
      </c>
      <c r="B98" s="652" t="s">
        <v>359</v>
      </c>
      <c r="C98" s="652" t="s">
        <v>1758</v>
      </c>
      <c r="D98" s="655" t="s">
        <v>2169</v>
      </c>
      <c r="E98" s="654" t="s">
        <v>2168</v>
      </c>
    </row>
    <row r="99" spans="1:5">
      <c r="A99" s="651">
        <f t="shared" si="1"/>
        <v>94</v>
      </c>
      <c r="B99" s="652" t="s">
        <v>361</v>
      </c>
      <c r="C99" s="652" t="s">
        <v>1752</v>
      </c>
      <c r="D99" s="655" t="s">
        <v>2167</v>
      </c>
      <c r="E99" s="654"/>
    </row>
    <row r="100" spans="1:5">
      <c r="A100" s="647">
        <f t="shared" si="1"/>
        <v>95</v>
      </c>
      <c r="D100" s="655" t="s">
        <v>2166</v>
      </c>
      <c r="E100" s="654"/>
    </row>
    <row r="101" spans="1:5">
      <c r="A101" s="651">
        <f t="shared" si="1"/>
        <v>96</v>
      </c>
      <c r="D101" s="655" t="s">
        <v>2165</v>
      </c>
      <c r="E101" s="654"/>
    </row>
    <row r="102" spans="1:5">
      <c r="A102" s="647">
        <f t="shared" si="1"/>
        <v>97</v>
      </c>
      <c r="B102" s="652" t="s">
        <v>363</v>
      </c>
      <c r="C102" s="652" t="s">
        <v>1747</v>
      </c>
      <c r="D102" s="655" t="s">
        <v>2164</v>
      </c>
      <c r="E102" s="654" t="s">
        <v>2118</v>
      </c>
    </row>
    <row r="103" spans="1:5">
      <c r="A103" s="651">
        <f t="shared" si="1"/>
        <v>98</v>
      </c>
      <c r="B103" s="652" t="s">
        <v>2163</v>
      </c>
      <c r="C103" s="652" t="s">
        <v>2162</v>
      </c>
      <c r="D103" s="655" t="s">
        <v>2091</v>
      </c>
      <c r="E103" s="654"/>
    </row>
    <row r="104" spans="1:5">
      <c r="A104" s="647">
        <f t="shared" si="1"/>
        <v>99</v>
      </c>
      <c r="B104" s="652" t="s">
        <v>365</v>
      </c>
      <c r="C104" s="652" t="s">
        <v>1743</v>
      </c>
      <c r="D104" s="655" t="s">
        <v>2161</v>
      </c>
      <c r="E104" s="654"/>
    </row>
    <row r="105" spans="1:5">
      <c r="A105" s="651">
        <f t="shared" si="1"/>
        <v>100</v>
      </c>
      <c r="B105" s="652" t="s">
        <v>369</v>
      </c>
      <c r="C105" s="652" t="s">
        <v>1734</v>
      </c>
      <c r="D105" s="655" t="s">
        <v>2160</v>
      </c>
      <c r="E105" s="654" t="s">
        <v>2159</v>
      </c>
    </row>
    <row r="106" spans="1:5">
      <c r="A106" s="647">
        <f t="shared" si="1"/>
        <v>101</v>
      </c>
      <c r="B106" s="652" t="s">
        <v>367</v>
      </c>
      <c r="C106" s="652" t="s">
        <v>1742</v>
      </c>
      <c r="D106" s="655" t="s">
        <v>2158</v>
      </c>
      <c r="E106" s="654"/>
    </row>
    <row r="107" spans="1:5">
      <c r="A107" s="651">
        <f t="shared" si="1"/>
        <v>102</v>
      </c>
      <c r="B107" s="652" t="s">
        <v>805</v>
      </c>
      <c r="C107" s="652" t="s">
        <v>1496</v>
      </c>
      <c r="D107" s="655" t="s">
        <v>2157</v>
      </c>
      <c r="E107" s="654" t="s">
        <v>2156</v>
      </c>
    </row>
    <row r="108" spans="1:5">
      <c r="A108" s="647">
        <f t="shared" si="1"/>
        <v>103</v>
      </c>
      <c r="D108" s="655" t="s">
        <v>2136</v>
      </c>
      <c r="E108" s="654" t="s">
        <v>2156</v>
      </c>
    </row>
    <row r="109" spans="1:5">
      <c r="A109" s="651">
        <f t="shared" si="1"/>
        <v>104</v>
      </c>
      <c r="B109" s="652" t="s">
        <v>371</v>
      </c>
      <c r="C109" s="652" t="s">
        <v>1730</v>
      </c>
      <c r="D109" s="655" t="s">
        <v>2155</v>
      </c>
      <c r="E109" s="654" t="s">
        <v>2154</v>
      </c>
    </row>
    <row r="110" spans="1:5">
      <c r="A110" s="647">
        <f t="shared" si="1"/>
        <v>105</v>
      </c>
      <c r="B110" s="652" t="s">
        <v>487</v>
      </c>
      <c r="C110" s="652" t="s">
        <v>1554</v>
      </c>
      <c r="D110" s="655" t="s">
        <v>2153</v>
      </c>
      <c r="E110" s="654"/>
    </row>
    <row r="111" spans="1:5">
      <c r="A111" s="651">
        <f t="shared" si="1"/>
        <v>106</v>
      </c>
      <c r="B111" s="652" t="s">
        <v>373</v>
      </c>
      <c r="C111" s="652" t="s">
        <v>1722</v>
      </c>
      <c r="D111" s="655" t="s">
        <v>2152</v>
      </c>
      <c r="E111" s="654"/>
    </row>
    <row r="112" spans="1:5">
      <c r="A112" s="647">
        <f t="shared" si="1"/>
        <v>107</v>
      </c>
      <c r="D112" s="655" t="s">
        <v>1898</v>
      </c>
      <c r="E112" s="654" t="s">
        <v>2151</v>
      </c>
    </row>
    <row r="113" spans="1:5">
      <c r="A113" s="651">
        <f t="shared" si="1"/>
        <v>108</v>
      </c>
      <c r="B113" s="652" t="s">
        <v>375</v>
      </c>
      <c r="C113" s="652" t="s">
        <v>1719</v>
      </c>
      <c r="D113" s="655" t="s">
        <v>2150</v>
      </c>
      <c r="E113" s="654"/>
    </row>
    <row r="114" spans="1:5">
      <c r="A114" s="647">
        <f t="shared" si="1"/>
        <v>109</v>
      </c>
      <c r="D114" s="655" t="s">
        <v>2149</v>
      </c>
      <c r="E114" s="654" t="s">
        <v>2148</v>
      </c>
    </row>
    <row r="115" spans="1:5">
      <c r="A115" s="651">
        <f t="shared" si="1"/>
        <v>110</v>
      </c>
      <c r="B115" s="652" t="s">
        <v>489</v>
      </c>
      <c r="C115" s="652" t="s">
        <v>1552</v>
      </c>
      <c r="D115" s="655" t="s">
        <v>2147</v>
      </c>
      <c r="E115" s="654"/>
    </row>
    <row r="116" spans="1:5">
      <c r="A116" s="647">
        <f t="shared" si="1"/>
        <v>111</v>
      </c>
      <c r="B116" s="652" t="s">
        <v>379</v>
      </c>
      <c r="C116" s="652" t="s">
        <v>1712</v>
      </c>
      <c r="D116" s="655" t="s">
        <v>2146</v>
      </c>
      <c r="E116" s="654"/>
    </row>
    <row r="117" spans="1:5">
      <c r="A117" s="651">
        <f t="shared" si="1"/>
        <v>112</v>
      </c>
      <c r="B117" s="652" t="s">
        <v>381</v>
      </c>
      <c r="C117" s="652" t="s">
        <v>2145</v>
      </c>
      <c r="D117" s="655" t="s">
        <v>2091</v>
      </c>
      <c r="E117" s="654"/>
    </row>
    <row r="118" spans="1:5">
      <c r="A118" s="651"/>
      <c r="C118" s="652" t="s">
        <v>2452</v>
      </c>
      <c r="D118" s="655" t="s">
        <v>2463</v>
      </c>
      <c r="E118" s="654"/>
    </row>
    <row r="119" spans="1:5">
      <c r="A119" s="647">
        <f>A117+1</f>
        <v>113</v>
      </c>
      <c r="B119" s="652" t="s">
        <v>385</v>
      </c>
      <c r="C119" s="652" t="s">
        <v>1705</v>
      </c>
      <c r="D119" s="655" t="s">
        <v>2144</v>
      </c>
      <c r="E119" s="654"/>
    </row>
    <row r="120" spans="1:5">
      <c r="A120" s="651">
        <f t="shared" si="1"/>
        <v>114</v>
      </c>
      <c r="D120" s="655" t="s">
        <v>2143</v>
      </c>
      <c r="E120" s="654" t="s">
        <v>2141</v>
      </c>
    </row>
    <row r="121" spans="1:5">
      <c r="A121" s="647">
        <f t="shared" si="1"/>
        <v>115</v>
      </c>
      <c r="D121" s="655" t="s">
        <v>2142</v>
      </c>
      <c r="E121" s="654" t="s">
        <v>2141</v>
      </c>
    </row>
    <row r="122" spans="1:5">
      <c r="A122" s="651">
        <f t="shared" si="1"/>
        <v>116</v>
      </c>
      <c r="B122" s="652" t="s">
        <v>387</v>
      </c>
      <c r="C122" s="652" t="s">
        <v>1702</v>
      </c>
      <c r="D122" s="655" t="s">
        <v>2373</v>
      </c>
      <c r="E122" s="654"/>
    </row>
    <row r="123" spans="1:5">
      <c r="A123" s="647">
        <f t="shared" si="1"/>
        <v>117</v>
      </c>
      <c r="D123" s="655" t="s">
        <v>2140</v>
      </c>
      <c r="E123" s="654" t="s">
        <v>2139</v>
      </c>
    </row>
    <row r="124" spans="1:5">
      <c r="A124" s="651">
        <f t="shared" si="1"/>
        <v>118</v>
      </c>
      <c r="B124" s="652" t="s">
        <v>929</v>
      </c>
      <c r="C124" s="652" t="s">
        <v>2138</v>
      </c>
      <c r="D124" s="655" t="s">
        <v>2091</v>
      </c>
      <c r="E124" s="654"/>
    </row>
    <row r="125" spans="1:5">
      <c r="A125" s="647">
        <f t="shared" si="1"/>
        <v>119</v>
      </c>
      <c r="B125" s="652" t="s">
        <v>393</v>
      </c>
      <c r="C125" s="652" t="s">
        <v>2137</v>
      </c>
      <c r="D125" s="655" t="s">
        <v>2091</v>
      </c>
      <c r="E125" s="654"/>
    </row>
    <row r="126" spans="1:5">
      <c r="A126" s="651">
        <f t="shared" si="1"/>
        <v>120</v>
      </c>
      <c r="B126" s="652" t="s">
        <v>393</v>
      </c>
      <c r="C126" s="652" t="s">
        <v>1698</v>
      </c>
      <c r="D126" s="655" t="s">
        <v>2136</v>
      </c>
      <c r="E126" s="654" t="s">
        <v>2135</v>
      </c>
    </row>
    <row r="127" spans="1:5">
      <c r="A127" s="647">
        <f t="shared" si="1"/>
        <v>121</v>
      </c>
      <c r="B127" s="652" t="s">
        <v>931</v>
      </c>
      <c r="C127" s="652" t="s">
        <v>2134</v>
      </c>
      <c r="D127" s="655" t="s">
        <v>2091</v>
      </c>
      <c r="E127" s="654"/>
    </row>
    <row r="128" spans="1:5">
      <c r="A128" s="651">
        <f t="shared" si="1"/>
        <v>122</v>
      </c>
      <c r="B128" s="652" t="s">
        <v>399</v>
      </c>
      <c r="C128" s="652" t="s">
        <v>1677</v>
      </c>
      <c r="D128" s="655" t="s">
        <v>2133</v>
      </c>
      <c r="E128" s="654" t="s">
        <v>2118</v>
      </c>
    </row>
    <row r="129" spans="1:5">
      <c r="A129" s="647">
        <f t="shared" si="1"/>
        <v>123</v>
      </c>
      <c r="D129" s="655" t="s">
        <v>2132</v>
      </c>
      <c r="E129" s="654" t="s">
        <v>2118</v>
      </c>
    </row>
    <row r="130" spans="1:5">
      <c r="A130" s="651">
        <f t="shared" si="1"/>
        <v>124</v>
      </c>
      <c r="B130" s="652" t="s">
        <v>401</v>
      </c>
      <c r="C130" s="652" t="s">
        <v>1671</v>
      </c>
      <c r="D130" s="655" t="s">
        <v>2131</v>
      </c>
      <c r="E130" s="654" t="s">
        <v>2130</v>
      </c>
    </row>
    <row r="131" spans="1:5">
      <c r="A131" s="647">
        <f t="shared" si="1"/>
        <v>125</v>
      </c>
      <c r="B131" s="652" t="s">
        <v>405</v>
      </c>
      <c r="C131" s="652" t="s">
        <v>1667</v>
      </c>
      <c r="D131" s="655" t="s">
        <v>2129</v>
      </c>
      <c r="E131" s="654"/>
    </row>
    <row r="132" spans="1:5">
      <c r="A132" s="651">
        <f t="shared" si="1"/>
        <v>126</v>
      </c>
      <c r="D132" s="655" t="s">
        <v>2128</v>
      </c>
      <c r="E132" s="654"/>
    </row>
    <row r="133" spans="1:5">
      <c r="A133" s="647">
        <f t="shared" si="1"/>
        <v>127</v>
      </c>
      <c r="D133" s="655" t="s">
        <v>2127</v>
      </c>
      <c r="E133" s="654"/>
    </row>
    <row r="134" spans="1:5">
      <c r="A134" s="651">
        <f t="shared" si="1"/>
        <v>128</v>
      </c>
      <c r="B134" s="652" t="s">
        <v>934</v>
      </c>
      <c r="C134" s="652" t="s">
        <v>2126</v>
      </c>
      <c r="D134" s="655" t="s">
        <v>2091</v>
      </c>
      <c r="E134" s="654"/>
    </row>
    <row r="135" spans="1:5">
      <c r="A135" s="647">
        <f t="shared" si="1"/>
        <v>129</v>
      </c>
      <c r="B135" s="652" t="s">
        <v>495</v>
      </c>
      <c r="C135" s="652" t="s">
        <v>1548</v>
      </c>
      <c r="D135" s="655" t="s">
        <v>2125</v>
      </c>
      <c r="E135" s="654"/>
    </row>
    <row r="136" spans="1:5">
      <c r="A136" s="651">
        <f t="shared" si="1"/>
        <v>130</v>
      </c>
      <c r="D136" s="655" t="s">
        <v>2124</v>
      </c>
      <c r="E136" s="654" t="s">
        <v>2123</v>
      </c>
    </row>
    <row r="137" spans="1:5">
      <c r="A137" s="647">
        <f t="shared" si="1"/>
        <v>131</v>
      </c>
      <c r="B137" s="652" t="s">
        <v>935</v>
      </c>
      <c r="C137" s="652" t="s">
        <v>1660</v>
      </c>
      <c r="D137" s="655" t="s">
        <v>2122</v>
      </c>
      <c r="E137" s="654"/>
    </row>
    <row r="138" spans="1:5">
      <c r="A138" s="651">
        <f t="shared" si="1"/>
        <v>132</v>
      </c>
      <c r="D138" s="655" t="s">
        <v>2121</v>
      </c>
      <c r="E138" s="654" t="s">
        <v>2120</v>
      </c>
    </row>
    <row r="139" spans="1:5">
      <c r="A139" s="647">
        <f t="shared" ref="A139:A179" si="2">A138+1</f>
        <v>133</v>
      </c>
      <c r="B139" s="652" t="s">
        <v>407</v>
      </c>
      <c r="C139" s="652" t="s">
        <v>1657</v>
      </c>
      <c r="D139" s="655" t="s">
        <v>2119</v>
      </c>
      <c r="E139" s="654" t="s">
        <v>2118</v>
      </c>
    </row>
    <row r="140" spans="1:5">
      <c r="A140" s="651">
        <f t="shared" si="2"/>
        <v>134</v>
      </c>
      <c r="D140" s="655" t="s">
        <v>2103</v>
      </c>
      <c r="E140" s="654" t="s">
        <v>2102</v>
      </c>
    </row>
    <row r="141" spans="1:5">
      <c r="A141" s="647">
        <f t="shared" si="2"/>
        <v>135</v>
      </c>
      <c r="B141" s="652" t="s">
        <v>411</v>
      </c>
      <c r="C141" s="652" t="s">
        <v>1649</v>
      </c>
      <c r="D141" s="655" t="s">
        <v>2117</v>
      </c>
      <c r="E141" s="654" t="s">
        <v>2116</v>
      </c>
    </row>
    <row r="142" spans="1:5">
      <c r="A142" s="651">
        <f t="shared" si="2"/>
        <v>136</v>
      </c>
      <c r="B142" s="652" t="s">
        <v>417</v>
      </c>
      <c r="C142" s="652" t="s">
        <v>1641</v>
      </c>
      <c r="D142" s="655" t="s">
        <v>2115</v>
      </c>
      <c r="E142" s="654"/>
    </row>
    <row r="143" spans="1:5">
      <c r="A143" s="647">
        <f t="shared" si="2"/>
        <v>137</v>
      </c>
      <c r="D143" s="655" t="s">
        <v>2114</v>
      </c>
      <c r="E143" s="654" t="s">
        <v>2100</v>
      </c>
    </row>
    <row r="144" spans="1:5">
      <c r="A144" s="647"/>
      <c r="C144" s="652" t="s">
        <v>2464</v>
      </c>
      <c r="D144" s="655" t="s">
        <v>2465</v>
      </c>
      <c r="E144" s="654"/>
    </row>
    <row r="145" spans="1:5">
      <c r="A145" s="651">
        <f>A143+1</f>
        <v>138</v>
      </c>
      <c r="B145" s="652" t="s">
        <v>419</v>
      </c>
      <c r="C145" s="652" t="s">
        <v>1638</v>
      </c>
      <c r="D145" s="655" t="s">
        <v>2113</v>
      </c>
      <c r="E145" s="654"/>
    </row>
    <row r="146" spans="1:5">
      <c r="A146" s="647">
        <f t="shared" si="2"/>
        <v>139</v>
      </c>
      <c r="B146" s="652" t="s">
        <v>421</v>
      </c>
      <c r="C146" s="652" t="s">
        <v>1636</v>
      </c>
      <c r="D146" s="655" t="s">
        <v>2112</v>
      </c>
      <c r="E146" s="654"/>
    </row>
    <row r="147" spans="1:5">
      <c r="A147" s="651">
        <f t="shared" si="2"/>
        <v>140</v>
      </c>
      <c r="D147" s="655" t="s">
        <v>2111</v>
      </c>
      <c r="E147" s="654" t="s">
        <v>2110</v>
      </c>
    </row>
    <row r="148" spans="1:5">
      <c r="A148" s="647">
        <f t="shared" si="2"/>
        <v>141</v>
      </c>
      <c r="B148" s="652" t="s">
        <v>429</v>
      </c>
      <c r="C148" s="652" t="s">
        <v>1615</v>
      </c>
      <c r="D148" s="655" t="s">
        <v>2109</v>
      </c>
      <c r="E148" s="654" t="s">
        <v>2102</v>
      </c>
    </row>
    <row r="149" spans="1:5">
      <c r="A149" s="651">
        <f t="shared" si="2"/>
        <v>142</v>
      </c>
      <c r="B149" s="652" t="s">
        <v>431</v>
      </c>
      <c r="C149" s="652" t="s">
        <v>1606</v>
      </c>
      <c r="D149" s="655" t="s">
        <v>2108</v>
      </c>
      <c r="E149" s="654" t="s">
        <v>2107</v>
      </c>
    </row>
    <row r="150" spans="1:5">
      <c r="A150" s="647">
        <f t="shared" si="2"/>
        <v>143</v>
      </c>
      <c r="B150" s="652" t="s">
        <v>1603</v>
      </c>
      <c r="C150" s="652" t="s">
        <v>1602</v>
      </c>
      <c r="D150" s="655" t="s">
        <v>2106</v>
      </c>
      <c r="E150" s="654"/>
    </row>
    <row r="151" spans="1:5">
      <c r="A151" s="651">
        <f t="shared" si="2"/>
        <v>144</v>
      </c>
      <c r="D151" s="655" t="s">
        <v>2105</v>
      </c>
      <c r="E151" s="654" t="s">
        <v>2104</v>
      </c>
    </row>
    <row r="152" spans="1:5">
      <c r="A152" s="647">
        <f t="shared" si="2"/>
        <v>145</v>
      </c>
      <c r="B152" s="652" t="s">
        <v>439</v>
      </c>
      <c r="C152" s="652" t="s">
        <v>1594</v>
      </c>
      <c r="D152" s="655" t="s">
        <v>2103</v>
      </c>
      <c r="E152" s="654" t="s">
        <v>2102</v>
      </c>
    </row>
    <row r="153" spans="1:5">
      <c r="A153" s="651">
        <f t="shared" si="2"/>
        <v>146</v>
      </c>
      <c r="D153" s="655" t="s">
        <v>2101</v>
      </c>
      <c r="E153" s="654" t="s">
        <v>2100</v>
      </c>
    </row>
    <row r="154" spans="1:5">
      <c r="A154" s="647">
        <f t="shared" si="2"/>
        <v>147</v>
      </c>
      <c r="B154" s="652" t="s">
        <v>443</v>
      </c>
      <c r="C154" s="652" t="s">
        <v>1592</v>
      </c>
      <c r="D154" s="655" t="s">
        <v>2099</v>
      </c>
      <c r="E154" s="654" t="s">
        <v>2098</v>
      </c>
    </row>
    <row r="155" spans="1:5">
      <c r="A155" s="651">
        <f t="shared" si="2"/>
        <v>148</v>
      </c>
      <c r="B155" s="652" t="s">
        <v>441</v>
      </c>
      <c r="C155" s="652" t="s">
        <v>1587</v>
      </c>
      <c r="D155" s="655" t="s">
        <v>2097</v>
      </c>
      <c r="E155" s="654"/>
    </row>
    <row r="156" spans="1:5">
      <c r="A156" s="647">
        <f t="shared" si="2"/>
        <v>149</v>
      </c>
      <c r="B156" s="652" t="s">
        <v>445</v>
      </c>
      <c r="C156" s="652" t="s">
        <v>1584</v>
      </c>
      <c r="D156" s="655" t="s">
        <v>2096</v>
      </c>
      <c r="E156" s="654" t="s">
        <v>2095</v>
      </c>
    </row>
    <row r="157" spans="1:5">
      <c r="A157" s="651">
        <f t="shared" si="2"/>
        <v>150</v>
      </c>
      <c r="B157" s="652" t="s">
        <v>2093</v>
      </c>
      <c r="C157" s="652" t="s">
        <v>2094</v>
      </c>
      <c r="D157" s="655" t="s">
        <v>2091</v>
      </c>
      <c r="E157" s="654"/>
    </row>
    <row r="158" spans="1:5">
      <c r="A158" s="647">
        <f t="shared" si="2"/>
        <v>151</v>
      </c>
      <c r="B158" s="652" t="s">
        <v>2093</v>
      </c>
      <c r="C158" s="652" t="s">
        <v>2092</v>
      </c>
      <c r="D158" s="655" t="s">
        <v>2091</v>
      </c>
      <c r="E158" s="654"/>
    </row>
    <row r="159" spans="1:5">
      <c r="A159" s="651">
        <f t="shared" si="2"/>
        <v>152</v>
      </c>
      <c r="B159" s="652" t="s">
        <v>447</v>
      </c>
      <c r="C159" s="652" t="s">
        <v>1580</v>
      </c>
      <c r="D159" s="655" t="s">
        <v>2090</v>
      </c>
      <c r="E159" s="654"/>
    </row>
    <row r="160" spans="1:5">
      <c r="A160" s="647">
        <f t="shared" si="2"/>
        <v>153</v>
      </c>
      <c r="D160" s="655" t="s">
        <v>2089</v>
      </c>
      <c r="E160" s="654" t="s">
        <v>2088</v>
      </c>
    </row>
    <row r="161" spans="1:5">
      <c r="A161" s="651">
        <f t="shared" si="2"/>
        <v>154</v>
      </c>
      <c r="D161" s="655" t="s">
        <v>2087</v>
      </c>
      <c r="E161" s="654" t="s">
        <v>2086</v>
      </c>
    </row>
    <row r="162" spans="1:5">
      <c r="A162" s="647">
        <f t="shared" si="2"/>
        <v>155</v>
      </c>
      <c r="B162" s="652" t="s">
        <v>449</v>
      </c>
      <c r="C162" s="652" t="s">
        <v>1577</v>
      </c>
      <c r="D162" s="655" t="s">
        <v>2085</v>
      </c>
      <c r="E162" s="654" t="s">
        <v>2084</v>
      </c>
    </row>
    <row r="163" spans="1:5">
      <c r="A163" s="651">
        <f t="shared" si="2"/>
        <v>156</v>
      </c>
      <c r="D163" s="655" t="s">
        <v>2083</v>
      </c>
      <c r="E163" s="654"/>
    </row>
    <row r="164" spans="1:5">
      <c r="A164" s="647">
        <f t="shared" si="2"/>
        <v>157</v>
      </c>
      <c r="D164" s="655" t="s">
        <v>2082</v>
      </c>
      <c r="E164" s="654"/>
    </row>
    <row r="165" spans="1:5">
      <c r="A165" s="651">
        <f t="shared" si="2"/>
        <v>158</v>
      </c>
      <c r="D165" s="655" t="s">
        <v>2081</v>
      </c>
      <c r="E165" s="654"/>
    </row>
    <row r="166" spans="1:5">
      <c r="A166" s="647">
        <f t="shared" si="2"/>
        <v>159</v>
      </c>
      <c r="C166" s="648" t="s">
        <v>1574</v>
      </c>
      <c r="E166" s="654"/>
    </row>
    <row r="167" spans="1:5">
      <c r="A167" s="651">
        <f t="shared" si="2"/>
        <v>160</v>
      </c>
      <c r="C167" s="652" t="s">
        <v>2080</v>
      </c>
      <c r="D167" s="655" t="s">
        <v>1566</v>
      </c>
      <c r="E167" s="654"/>
    </row>
    <row r="168" spans="1:5" ht="14.5">
      <c r="A168" s="651">
        <f t="shared" si="2"/>
        <v>161</v>
      </c>
      <c r="C168" s="600" t="s">
        <v>1506</v>
      </c>
      <c r="E168" s="654"/>
    </row>
    <row r="169" spans="1:5" ht="14.5">
      <c r="A169" s="651">
        <f t="shared" si="2"/>
        <v>162</v>
      </c>
      <c r="C169" s="608" t="s">
        <v>1505</v>
      </c>
      <c r="D169" s="655" t="s">
        <v>2420</v>
      </c>
      <c r="E169" s="654"/>
    </row>
    <row r="170" spans="1:5" ht="14.5">
      <c r="A170" s="651">
        <f t="shared" si="2"/>
        <v>163</v>
      </c>
      <c r="C170" s="608" t="s">
        <v>1504</v>
      </c>
      <c r="D170" s="655" t="s">
        <v>2421</v>
      </c>
      <c r="E170" s="654"/>
    </row>
    <row r="171" spans="1:5" ht="14.5">
      <c r="A171" s="651">
        <f t="shared" si="2"/>
        <v>164</v>
      </c>
      <c r="C171" s="608"/>
      <c r="D171" s="655" t="s">
        <v>2422</v>
      </c>
      <c r="E171" s="654"/>
    </row>
    <row r="172" spans="1:5" ht="14.5">
      <c r="A172" s="651">
        <f t="shared" si="2"/>
        <v>165</v>
      </c>
      <c r="C172" s="608" t="s">
        <v>1501</v>
      </c>
      <c r="D172" s="655" t="s">
        <v>2466</v>
      </c>
      <c r="E172" s="654"/>
    </row>
    <row r="173" spans="1:5" ht="14.5">
      <c r="A173" s="651">
        <f t="shared" si="2"/>
        <v>166</v>
      </c>
      <c r="C173" s="608"/>
      <c r="D173" s="655" t="s">
        <v>2467</v>
      </c>
      <c r="E173" s="654"/>
    </row>
    <row r="174" spans="1:5" ht="14.5">
      <c r="A174" s="651">
        <f t="shared" si="2"/>
        <v>167</v>
      </c>
      <c r="C174" s="608" t="s">
        <v>1500</v>
      </c>
      <c r="D174" s="655" t="s">
        <v>2423</v>
      </c>
      <c r="E174" s="654"/>
    </row>
    <row r="175" spans="1:5" ht="14.5">
      <c r="A175" s="651">
        <f t="shared" si="2"/>
        <v>168</v>
      </c>
      <c r="C175" s="608"/>
      <c r="D175" s="655" t="s">
        <v>2468</v>
      </c>
      <c r="E175" s="654"/>
    </row>
    <row r="176" spans="1:5" ht="14.5">
      <c r="A176" s="651">
        <f t="shared" si="2"/>
        <v>169</v>
      </c>
      <c r="C176" s="608"/>
      <c r="D176" s="655" t="s">
        <v>2469</v>
      </c>
      <c r="E176" s="654"/>
    </row>
    <row r="177" spans="1:5" ht="14.5">
      <c r="A177" s="651">
        <f t="shared" si="2"/>
        <v>170</v>
      </c>
      <c r="C177" s="608" t="s">
        <v>1498</v>
      </c>
      <c r="D177" s="655" t="s">
        <v>2208</v>
      </c>
      <c r="E177" s="654"/>
    </row>
    <row r="178" spans="1:5" ht="14.5">
      <c r="A178" s="651">
        <f t="shared" si="2"/>
        <v>171</v>
      </c>
      <c r="C178" s="608" t="s">
        <v>1496</v>
      </c>
      <c r="D178" s="655" t="s">
        <v>2136</v>
      </c>
      <c r="E178" s="654"/>
    </row>
    <row r="179" spans="1:5">
      <c r="A179" s="651">
        <f t="shared" si="2"/>
        <v>172</v>
      </c>
      <c r="D179" s="655" t="s">
        <v>2424</v>
      </c>
      <c r="E179" s="654"/>
    </row>
    <row r="180" spans="1:5">
      <c r="A180" s="651"/>
      <c r="E180" s="672"/>
    </row>
    <row r="181" spans="1:5" ht="14.5">
      <c r="A181" s="656" t="s">
        <v>2425</v>
      </c>
      <c r="B181" s="657"/>
      <c r="C181" s="657"/>
      <c r="D181" s="653"/>
      <c r="E181" s="658"/>
    </row>
    <row r="182" spans="1:5" ht="13.5" thickBot="1">
      <c r="A182" s="673" t="s">
        <v>2374</v>
      </c>
      <c r="B182" s="760"/>
      <c r="C182" s="760"/>
      <c r="D182" s="761"/>
      <c r="E182" s="762"/>
    </row>
  </sheetData>
  <pageMargins left="0.7" right="0.7" top="0.75" bottom="0.75" header="0.3" footer="0.3"/>
  <pageSetup scale="51" fitToHeight="0" orientation="portrait" horizontalDpi="1200" verticalDpi="120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E5"/>
  <sheetViews>
    <sheetView view="pageBreakPreview" zoomScale="150" zoomScaleNormal="100" zoomScaleSheetLayoutView="150" workbookViewId="0">
      <selection activeCell="A3" sqref="A3"/>
    </sheetView>
  </sheetViews>
  <sheetFormatPr defaultRowHeight="14.5"/>
  <cols>
    <col min="1" max="1" width="18.26953125" customWidth="1"/>
    <col min="2" max="2" width="91.26953125" customWidth="1"/>
  </cols>
  <sheetData>
    <row r="1" spans="1:5" s="351" customFormat="1" ht="13">
      <c r="A1" s="499" t="str">
        <f>'Cover Sheets'!A10:B10</f>
        <v>WAPA-UGP 2020 Rate Estimate Calculation</v>
      </c>
      <c r="B1" s="586"/>
      <c r="C1" s="512"/>
      <c r="D1" s="512"/>
      <c r="E1" s="348"/>
    </row>
    <row r="2" spans="1:5" s="351" customFormat="1" ht="13">
      <c r="A2" s="808" t="s">
        <v>2593</v>
      </c>
      <c r="B2" s="809"/>
      <c r="C2" s="512"/>
      <c r="D2" s="512"/>
      <c r="E2" s="348"/>
    </row>
    <row r="3" spans="1:5" s="351" customFormat="1" ht="13">
      <c r="A3" s="355" t="str">
        <f>'WS1-RateBase'!A4</f>
        <v>12 Months Ending 09/30/2020 ESTIMATE</v>
      </c>
      <c r="B3" s="381"/>
      <c r="C3" s="512"/>
      <c r="D3" s="512"/>
      <c r="E3" s="348"/>
    </row>
    <row r="4" spans="1:5" s="351" customFormat="1" ht="31.9" customHeight="1">
      <c r="A4" s="691" t="s">
        <v>2452</v>
      </c>
      <c r="B4" s="692" t="s">
        <v>2501</v>
      </c>
      <c r="C4" s="512"/>
      <c r="D4" s="512"/>
      <c r="E4" s="348"/>
    </row>
    <row r="5" spans="1:5" ht="29.5" thickBot="1">
      <c r="A5" s="815" t="s">
        <v>2536</v>
      </c>
      <c r="B5" s="816" t="s">
        <v>2612</v>
      </c>
    </row>
  </sheetData>
  <pageMargins left="0.7" right="0.7" top="0.75" bottom="0.75" header="0.3" footer="0.3"/>
  <pageSetup scale="82" orientation="portrait" verticalDpi="1200" r:id="rId1"/>
  <headerFooter>
    <oddFooter>&amp;R&amp;A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D21"/>
  <sheetViews>
    <sheetView view="pageBreakPreview" zoomScale="110" zoomScaleNormal="100" zoomScaleSheetLayoutView="110" workbookViewId="0">
      <selection activeCell="B29" sqref="B29"/>
    </sheetView>
  </sheetViews>
  <sheetFormatPr defaultColWidth="13.1796875" defaultRowHeight="14.5"/>
  <cols>
    <col min="1" max="1" width="13.1796875" style="33"/>
    <col min="2" max="2" width="89.453125" style="33" bestFit="1" customWidth="1"/>
    <col min="3" max="3" width="14.81640625" style="33" customWidth="1"/>
    <col min="4" max="4" width="32.26953125" style="33" bestFit="1" customWidth="1"/>
    <col min="5" max="16384" width="13.1796875" style="33"/>
  </cols>
  <sheetData>
    <row r="1" spans="1:4">
      <c r="A1" s="347" t="str">
        <f>'Cover Sheets'!A10:B10</f>
        <v>WAPA-UGP 2020 Rate Estimate Calculation</v>
      </c>
      <c r="B1" s="395"/>
      <c r="C1" s="396"/>
      <c r="D1" s="397"/>
    </row>
    <row r="2" spans="1:4">
      <c r="A2" s="795" t="s">
        <v>2594</v>
      </c>
      <c r="B2" s="679"/>
      <c r="C2" s="398"/>
      <c r="D2" s="399"/>
    </row>
    <row r="3" spans="1:4">
      <c r="A3" s="168" t="str">
        <f>'Summary-ATRR'!A3</f>
        <v>12 Months Ending 09/30/2020 ESTIMATE</v>
      </c>
      <c r="B3" s="398"/>
      <c r="C3" s="398"/>
      <c r="D3" s="399"/>
    </row>
    <row r="4" spans="1:4">
      <c r="A4" s="168"/>
      <c r="B4" s="356" t="s">
        <v>2</v>
      </c>
      <c r="C4" s="357" t="s">
        <v>1048</v>
      </c>
      <c r="D4" s="358" t="s">
        <v>1047</v>
      </c>
    </row>
    <row r="5" spans="1:4" ht="15" thickBot="1">
      <c r="A5" s="359" t="s">
        <v>1046</v>
      </c>
      <c r="B5" s="360">
        <v>-1</v>
      </c>
      <c r="C5" s="360">
        <v>-2</v>
      </c>
      <c r="D5" s="361">
        <v>-3</v>
      </c>
    </row>
    <row r="6" spans="1:4">
      <c r="A6" s="400">
        <v>1</v>
      </c>
      <c r="B6" s="401" t="s">
        <v>1045</v>
      </c>
      <c r="C6" s="402">
        <f>'WS4-CostData'!K121</f>
        <v>9878571.0199999996</v>
      </c>
      <c r="D6" s="403" t="s">
        <v>1044</v>
      </c>
    </row>
    <row r="7" spans="1:4">
      <c r="A7" s="400">
        <f t="shared" ref="A7:A19" si="0">A6+1</f>
        <v>2</v>
      </c>
      <c r="B7" s="401" t="s">
        <v>1043</v>
      </c>
      <c r="C7" s="402">
        <f>'WS4-CostData'!C96</f>
        <v>173157.56306426573</v>
      </c>
      <c r="D7" s="403" t="s">
        <v>1042</v>
      </c>
    </row>
    <row r="8" spans="1:4">
      <c r="A8" s="400">
        <f t="shared" si="0"/>
        <v>3</v>
      </c>
      <c r="B8" s="401" t="s">
        <v>1041</v>
      </c>
      <c r="C8" s="402">
        <f>'WS4-CostData'!C49</f>
        <v>308765.47317710589</v>
      </c>
      <c r="D8" s="403" t="s">
        <v>1040</v>
      </c>
    </row>
    <row r="9" spans="1:4">
      <c r="A9" s="400">
        <f t="shared" si="0"/>
        <v>4</v>
      </c>
      <c r="B9" s="401" t="s">
        <v>1039</v>
      </c>
      <c r="C9" s="402">
        <v>0</v>
      </c>
      <c r="D9" s="403" t="s">
        <v>1038</v>
      </c>
    </row>
    <row r="10" spans="1:4" ht="39.5">
      <c r="A10" s="400">
        <f t="shared" si="0"/>
        <v>5</v>
      </c>
      <c r="B10" s="401" t="s">
        <v>1037</v>
      </c>
      <c r="C10" s="402">
        <v>0</v>
      </c>
      <c r="D10" s="404" t="s">
        <v>1036</v>
      </c>
    </row>
    <row r="11" spans="1:4">
      <c r="A11" s="400">
        <f t="shared" si="0"/>
        <v>6</v>
      </c>
      <c r="B11" s="401" t="s">
        <v>1035</v>
      </c>
      <c r="C11" s="405"/>
      <c r="D11" s="403"/>
    </row>
    <row r="12" spans="1:4">
      <c r="A12" s="400">
        <f t="shared" si="0"/>
        <v>7</v>
      </c>
      <c r="B12" s="406" t="s">
        <v>1034</v>
      </c>
      <c r="C12" s="407">
        <f>'WS4-CostData'!K72</f>
        <v>4.9173225919599932E-2</v>
      </c>
      <c r="D12" s="403" t="s">
        <v>1033</v>
      </c>
    </row>
    <row r="13" spans="1:4">
      <c r="A13" s="400">
        <f t="shared" si="0"/>
        <v>8</v>
      </c>
      <c r="B13" s="406" t="s">
        <v>1032</v>
      </c>
      <c r="C13" s="402">
        <f>'WS4-CostData'!C26</f>
        <v>6527156.8023318695</v>
      </c>
      <c r="D13" s="403"/>
    </row>
    <row r="14" spans="1:4">
      <c r="A14" s="400">
        <f t="shared" si="0"/>
        <v>9</v>
      </c>
      <c r="B14" s="406" t="s">
        <v>1031</v>
      </c>
      <c r="C14" s="402">
        <f>C12*C13</f>
        <v>320961.35605371848</v>
      </c>
      <c r="D14" s="403" t="s">
        <v>1030</v>
      </c>
    </row>
    <row r="15" spans="1:4">
      <c r="A15" s="400">
        <f t="shared" si="0"/>
        <v>10</v>
      </c>
      <c r="B15" s="401" t="s">
        <v>1029</v>
      </c>
      <c r="C15" s="407"/>
      <c r="D15" s="408"/>
    </row>
    <row r="16" spans="1:4" ht="15" thickBot="1">
      <c r="A16" s="400">
        <f t="shared" si="0"/>
        <v>11</v>
      </c>
      <c r="B16" s="409" t="s">
        <v>1028</v>
      </c>
      <c r="C16" s="410">
        <f>C6+C7+C8+C14</f>
        <v>10681455.41229509</v>
      </c>
      <c r="D16" s="411" t="s">
        <v>1027</v>
      </c>
    </row>
    <row r="17" spans="1:4">
      <c r="A17" s="400">
        <f t="shared" si="0"/>
        <v>12</v>
      </c>
      <c r="B17" s="412" t="s">
        <v>1026</v>
      </c>
      <c r="C17" s="479">
        <f>C16*C21</f>
        <v>742106.64373483718</v>
      </c>
      <c r="D17" s="482"/>
    </row>
    <row r="18" spans="1:4">
      <c r="A18" s="400">
        <f t="shared" si="0"/>
        <v>13</v>
      </c>
      <c r="B18" s="412" t="s">
        <v>1480</v>
      </c>
      <c r="C18" s="479">
        <v>1594814</v>
      </c>
      <c r="D18" s="482"/>
    </row>
    <row r="19" spans="1:4" ht="15" thickBot="1">
      <c r="A19" s="359">
        <f t="shared" si="0"/>
        <v>14</v>
      </c>
      <c r="B19" s="483" t="s">
        <v>1025</v>
      </c>
      <c r="C19" s="484">
        <f>C16-C17+C18</f>
        <v>11534162.768560253</v>
      </c>
      <c r="D19" s="485" t="s">
        <v>1484</v>
      </c>
    </row>
    <row r="20" spans="1:4">
      <c r="A20" s="35"/>
      <c r="B20" s="34"/>
      <c r="C20" s="34"/>
      <c r="D20" s="34"/>
    </row>
    <row r="21" spans="1:4">
      <c r="B21" s="33" t="s">
        <v>1483</v>
      </c>
      <c r="C21" s="33">
        <f>'WS8-TranFac'!H508/'WS8-TranFac'!K508</f>
        <v>6.9476172964278007E-2</v>
      </c>
    </row>
  </sheetData>
  <pageMargins left="0.7" right="0.7" top="0.75" bottom="0.75" header="0.3" footer="0.3"/>
  <pageSetup scale="81" fitToHeight="0" orientation="landscape" r:id="rId1"/>
  <headerFooter>
    <oddFooter>&amp;R&amp;A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N129"/>
  <sheetViews>
    <sheetView view="pageBreakPreview" zoomScaleNormal="100" zoomScaleSheetLayoutView="100" workbookViewId="0">
      <selection activeCell="H5" sqref="H5:H7"/>
    </sheetView>
  </sheetViews>
  <sheetFormatPr defaultColWidth="9.1796875" defaultRowHeight="13"/>
  <cols>
    <col min="1" max="1" width="22.1796875" style="351" customWidth="1"/>
    <col min="2" max="2" width="19.26953125" style="351" bestFit="1" customWidth="1"/>
    <col min="3" max="3" width="76.1796875" style="351" bestFit="1" customWidth="1"/>
    <col min="4" max="4" width="27.81640625" style="351" hidden="1" customWidth="1"/>
    <col min="5" max="5" width="22" style="570" customWidth="1"/>
    <col min="6" max="6" width="16.54296875" style="351" customWidth="1"/>
    <col min="7" max="7" width="15" style="571" customWidth="1"/>
    <col min="8" max="8" width="17.1796875" style="351" customWidth="1"/>
    <col min="9" max="9" width="16.453125" style="572" customWidth="1"/>
    <col min="10" max="10" width="12.7265625" style="351" bestFit="1" customWidth="1"/>
    <col min="11" max="11" width="11.54296875" style="351" bestFit="1" customWidth="1"/>
    <col min="12" max="16384" width="9.1796875" style="351"/>
  </cols>
  <sheetData>
    <row r="1" spans="1:14">
      <c r="A1" s="582" t="str">
        <f>'Cover Sheets'!A10:B10</f>
        <v>WAPA-UGP 2020 Rate Estimate Calculation</v>
      </c>
      <c r="B1" s="380"/>
      <c r="C1" s="353"/>
      <c r="D1" s="353"/>
      <c r="E1" s="578"/>
      <c r="F1" s="353"/>
      <c r="G1" s="558"/>
      <c r="H1" s="353"/>
      <c r="I1" s="559"/>
    </row>
    <row r="2" spans="1:14">
      <c r="A2" s="810" t="s">
        <v>2595</v>
      </c>
      <c r="B2" s="381"/>
      <c r="C2" s="354"/>
      <c r="D2" s="354"/>
      <c r="E2" s="576"/>
      <c r="F2" s="354"/>
      <c r="G2" s="542"/>
      <c r="H2" s="354"/>
      <c r="I2" s="543"/>
    </row>
    <row r="3" spans="1:14">
      <c r="A3" s="811" t="s">
        <v>2434</v>
      </c>
      <c r="B3" s="381"/>
      <c r="C3" s="354"/>
      <c r="D3" s="354"/>
      <c r="E3" s="576"/>
      <c r="F3" s="354"/>
      <c r="G3" s="542"/>
      <c r="H3" s="354"/>
      <c r="I3" s="543"/>
    </row>
    <row r="4" spans="1:14" s="3" customFormat="1" ht="52">
      <c r="A4" s="583" t="s">
        <v>2444</v>
      </c>
      <c r="B4" s="579" t="s">
        <v>1</v>
      </c>
      <c r="C4" s="534" t="s">
        <v>2</v>
      </c>
      <c r="D4" s="534" t="s">
        <v>954</v>
      </c>
      <c r="E4" s="573" t="s">
        <v>955</v>
      </c>
      <c r="F4" s="573" t="s">
        <v>2502</v>
      </c>
      <c r="G4" s="574" t="s">
        <v>2395</v>
      </c>
      <c r="H4" s="574" t="s">
        <v>2396</v>
      </c>
      <c r="I4" s="575" t="s">
        <v>2445</v>
      </c>
      <c r="J4" s="8"/>
      <c r="N4" s="8"/>
    </row>
    <row r="5" spans="1:14" ht="15" customHeight="1">
      <c r="A5" s="584"/>
      <c r="B5" s="580" t="s">
        <v>549</v>
      </c>
      <c r="C5" s="577" t="s">
        <v>550</v>
      </c>
      <c r="D5" s="510" t="s">
        <v>2392</v>
      </c>
      <c r="E5" s="327">
        <f>E41</f>
        <v>6006058.1099999985</v>
      </c>
      <c r="F5" s="517">
        <v>0</v>
      </c>
      <c r="G5" s="452">
        <v>0</v>
      </c>
      <c r="H5" s="817">
        <f>I5-E5</f>
        <v>-1501514.5274999989</v>
      </c>
      <c r="I5" s="518">
        <f>I41</f>
        <v>4504543.5824999996</v>
      </c>
      <c r="J5" s="514"/>
      <c r="L5" s="11"/>
      <c r="M5" s="11"/>
      <c r="N5" s="11"/>
    </row>
    <row r="6" spans="1:14">
      <c r="A6" s="584"/>
      <c r="B6" s="580" t="s">
        <v>551</v>
      </c>
      <c r="C6" s="510" t="s">
        <v>2390</v>
      </c>
      <c r="D6" s="510" t="s">
        <v>2392</v>
      </c>
      <c r="E6" s="327">
        <f>E48+E51</f>
        <v>1311373.0899999999</v>
      </c>
      <c r="F6" s="327">
        <v>0</v>
      </c>
      <c r="G6" s="452">
        <v>0</v>
      </c>
      <c r="H6" s="817">
        <f>I6-E6</f>
        <v>-412325.99526999984</v>
      </c>
      <c r="I6" s="518">
        <f>I48+I51</f>
        <v>899047.09473000001</v>
      </c>
      <c r="J6" s="515"/>
      <c r="L6" s="11"/>
      <c r="M6" s="11"/>
      <c r="N6" s="15"/>
    </row>
    <row r="7" spans="1:14" ht="13.5" thickBot="1">
      <c r="A7" s="585"/>
      <c r="B7" s="581" t="s">
        <v>988</v>
      </c>
      <c r="C7" s="519" t="s">
        <v>2391</v>
      </c>
      <c r="D7" s="519" t="s">
        <v>2392</v>
      </c>
      <c r="E7" s="520">
        <f>E99+E128</f>
        <v>12647186.09</v>
      </c>
      <c r="F7" s="520">
        <v>0</v>
      </c>
      <c r="G7" s="521">
        <v>0</v>
      </c>
      <c r="H7" s="818">
        <f>I7-E7</f>
        <v>-3161796.522499999</v>
      </c>
      <c r="I7" s="522">
        <f>I99+I128</f>
        <v>9485389.5675000008</v>
      </c>
      <c r="J7" s="515"/>
      <c r="L7" s="11"/>
      <c r="M7" s="11"/>
      <c r="N7" s="15"/>
    </row>
    <row r="8" spans="1:14">
      <c r="A8" s="523"/>
      <c r="B8" s="516"/>
      <c r="C8" s="524"/>
      <c r="D8" s="525" t="s">
        <v>1486</v>
      </c>
      <c r="E8" s="526">
        <f>SUM(E5:E7)</f>
        <v>19964617.289999999</v>
      </c>
      <c r="F8" s="527">
        <f t="shared" ref="F8:I8" si="0">SUM(F5:F7)</f>
        <v>0</v>
      </c>
      <c r="G8" s="528">
        <f t="shared" si="0"/>
        <v>0</v>
      </c>
      <c r="H8" s="529">
        <f t="shared" si="0"/>
        <v>-5075637.0452699978</v>
      </c>
      <c r="I8" s="530">
        <f t="shared" si="0"/>
        <v>14888980.244729999</v>
      </c>
      <c r="J8" s="14"/>
      <c r="K8" s="515"/>
      <c r="L8" s="11"/>
      <c r="M8" s="11"/>
      <c r="N8" s="15"/>
    </row>
    <row r="9" spans="1:14" ht="44.25" customHeight="1">
      <c r="A9" s="531" t="s">
        <v>2446</v>
      </c>
      <c r="B9" s="532" t="s">
        <v>1</v>
      </c>
      <c r="C9" s="533" t="s">
        <v>2</v>
      </c>
      <c r="D9" s="534" t="s">
        <v>2400</v>
      </c>
      <c r="E9" s="535" t="s">
        <v>2398</v>
      </c>
      <c r="F9" s="536" t="s">
        <v>2393</v>
      </c>
      <c r="G9" s="537" t="s">
        <v>2397</v>
      </c>
      <c r="H9" s="425" t="s">
        <v>2394</v>
      </c>
      <c r="I9" s="538" t="s">
        <v>2399</v>
      </c>
    </row>
    <row r="10" spans="1:14">
      <c r="A10" s="539"/>
      <c r="B10" s="540" t="s">
        <v>956</v>
      </c>
      <c r="C10" s="539" t="s">
        <v>957</v>
      </c>
      <c r="D10" s="510" t="s">
        <v>957</v>
      </c>
      <c r="E10" s="327">
        <f>298.8</f>
        <v>298.8</v>
      </c>
      <c r="F10" s="541">
        <v>0.75</v>
      </c>
      <c r="G10" s="542">
        <f t="shared" ref="G10:G40" si="1">F10*E10</f>
        <v>224.10000000000002</v>
      </c>
      <c r="H10" s="541">
        <v>0.75</v>
      </c>
      <c r="I10" s="543">
        <f>E10*H10</f>
        <v>224.10000000000002</v>
      </c>
    </row>
    <row r="11" spans="1:14">
      <c r="A11" s="539"/>
      <c r="B11" s="540" t="s">
        <v>956</v>
      </c>
      <c r="C11" s="539" t="s">
        <v>958</v>
      </c>
      <c r="D11" s="510" t="s">
        <v>959</v>
      </c>
      <c r="E11" s="327">
        <f>9789.59</f>
        <v>9789.59</v>
      </c>
      <c r="F11" s="541">
        <v>0.75</v>
      </c>
      <c r="G11" s="542">
        <f t="shared" si="1"/>
        <v>7342.1925000000001</v>
      </c>
      <c r="H11" s="541">
        <v>0.75</v>
      </c>
      <c r="I11" s="543">
        <f t="shared" ref="I11:I40" si="2">E11*H11</f>
        <v>7342.1925000000001</v>
      </c>
    </row>
    <row r="12" spans="1:14">
      <c r="A12" s="539"/>
      <c r="B12" s="540" t="s">
        <v>956</v>
      </c>
      <c r="C12" s="539" t="s">
        <v>960</v>
      </c>
      <c r="D12" s="510" t="s">
        <v>959</v>
      </c>
      <c r="E12" s="327">
        <f>1538.62</f>
        <v>1538.62</v>
      </c>
      <c r="F12" s="541">
        <v>0.75</v>
      </c>
      <c r="G12" s="542">
        <f t="shared" si="1"/>
        <v>1153.9649999999999</v>
      </c>
      <c r="H12" s="541">
        <v>0.75</v>
      </c>
      <c r="I12" s="543">
        <f t="shared" si="2"/>
        <v>1153.9649999999999</v>
      </c>
    </row>
    <row r="13" spans="1:14">
      <c r="A13" s="539"/>
      <c r="B13" s="540" t="s">
        <v>956</v>
      </c>
      <c r="C13" s="539" t="s">
        <v>961</v>
      </c>
      <c r="D13" s="510" t="s">
        <v>962</v>
      </c>
      <c r="E13" s="327">
        <f>295485.92</f>
        <v>295485.92</v>
      </c>
      <c r="F13" s="541">
        <v>0.75</v>
      </c>
      <c r="G13" s="542">
        <f t="shared" si="1"/>
        <v>221614.44</v>
      </c>
      <c r="H13" s="541">
        <v>0.75</v>
      </c>
      <c r="I13" s="543">
        <f t="shared" si="2"/>
        <v>221614.44</v>
      </c>
    </row>
    <row r="14" spans="1:14">
      <c r="A14" s="539"/>
      <c r="B14" s="540" t="s">
        <v>956</v>
      </c>
      <c r="C14" s="539" t="s">
        <v>957</v>
      </c>
      <c r="D14" s="510" t="s">
        <v>957</v>
      </c>
      <c r="E14" s="327">
        <f>57816.18</f>
        <v>57816.18</v>
      </c>
      <c r="F14" s="541">
        <v>0.75</v>
      </c>
      <c r="G14" s="542">
        <f t="shared" si="1"/>
        <v>43362.135000000002</v>
      </c>
      <c r="H14" s="541">
        <v>0.75</v>
      </c>
      <c r="I14" s="543">
        <f t="shared" si="2"/>
        <v>43362.135000000002</v>
      </c>
    </row>
    <row r="15" spans="1:14">
      <c r="A15" s="539"/>
      <c r="B15" s="540" t="s">
        <v>956</v>
      </c>
      <c r="C15" s="539" t="s">
        <v>957</v>
      </c>
      <c r="D15" s="510" t="s">
        <v>2303</v>
      </c>
      <c r="E15" s="327">
        <f>5246.19</f>
        <v>5246.19</v>
      </c>
      <c r="F15" s="541">
        <v>0.75</v>
      </c>
      <c r="G15" s="542">
        <f t="shared" si="1"/>
        <v>3934.6424999999999</v>
      </c>
      <c r="H15" s="541">
        <v>0.75</v>
      </c>
      <c r="I15" s="543">
        <f t="shared" si="2"/>
        <v>3934.6424999999999</v>
      </c>
    </row>
    <row r="16" spans="1:14">
      <c r="A16" s="539"/>
      <c r="B16" s="540" t="s">
        <v>956</v>
      </c>
      <c r="C16" s="539" t="s">
        <v>2376</v>
      </c>
      <c r="D16" s="510" t="s">
        <v>2303</v>
      </c>
      <c r="E16" s="327">
        <f>17479.6</f>
        <v>17479.599999999999</v>
      </c>
      <c r="F16" s="541">
        <v>0.75</v>
      </c>
      <c r="G16" s="542">
        <f t="shared" si="1"/>
        <v>13109.699999999999</v>
      </c>
      <c r="H16" s="541">
        <v>0.75</v>
      </c>
      <c r="I16" s="543">
        <f t="shared" si="2"/>
        <v>13109.699999999999</v>
      </c>
    </row>
    <row r="17" spans="1:9">
      <c r="A17" s="539"/>
      <c r="B17" s="540" t="s">
        <v>956</v>
      </c>
      <c r="C17" s="539" t="s">
        <v>977</v>
      </c>
      <c r="D17" s="510" t="s">
        <v>964</v>
      </c>
      <c r="E17" s="327">
        <f>122582.16</f>
        <v>122582.16</v>
      </c>
      <c r="F17" s="541">
        <v>0.75</v>
      </c>
      <c r="G17" s="542">
        <f t="shared" si="1"/>
        <v>91936.62</v>
      </c>
      <c r="H17" s="541">
        <v>0.75</v>
      </c>
      <c r="I17" s="543">
        <f t="shared" si="2"/>
        <v>91936.62</v>
      </c>
    </row>
    <row r="18" spans="1:9">
      <c r="A18" s="539"/>
      <c r="B18" s="540" t="s">
        <v>956</v>
      </c>
      <c r="C18" s="539" t="s">
        <v>977</v>
      </c>
      <c r="D18" s="510"/>
      <c r="E18" s="327">
        <f>12407.04</f>
        <v>12407.04</v>
      </c>
      <c r="F18" s="541">
        <v>0.75</v>
      </c>
      <c r="G18" s="542">
        <f t="shared" si="1"/>
        <v>9305.2800000000007</v>
      </c>
      <c r="H18" s="541">
        <v>0.75</v>
      </c>
      <c r="I18" s="543">
        <f t="shared" si="2"/>
        <v>9305.2800000000007</v>
      </c>
    </row>
    <row r="19" spans="1:9">
      <c r="A19" s="539"/>
      <c r="B19" s="540" t="s">
        <v>956</v>
      </c>
      <c r="C19" s="539" t="s">
        <v>963</v>
      </c>
      <c r="D19" s="510" t="s">
        <v>959</v>
      </c>
      <c r="E19" s="327">
        <f>20216.81</f>
        <v>20216.810000000001</v>
      </c>
      <c r="F19" s="541">
        <v>0.75</v>
      </c>
      <c r="G19" s="542">
        <f t="shared" si="1"/>
        <v>15162.607500000002</v>
      </c>
      <c r="H19" s="541">
        <v>0.75</v>
      </c>
      <c r="I19" s="543">
        <f t="shared" si="2"/>
        <v>15162.607500000002</v>
      </c>
    </row>
    <row r="20" spans="1:9">
      <c r="A20" s="539"/>
      <c r="B20" s="540" t="s">
        <v>956</v>
      </c>
      <c r="C20" s="539" t="s">
        <v>958</v>
      </c>
      <c r="D20" s="510" t="s">
        <v>966</v>
      </c>
      <c r="E20" s="327">
        <f>54137.52</f>
        <v>54137.52</v>
      </c>
      <c r="F20" s="541">
        <v>0.75</v>
      </c>
      <c r="G20" s="542">
        <f t="shared" si="1"/>
        <v>40603.14</v>
      </c>
      <c r="H20" s="541">
        <v>0.75</v>
      </c>
      <c r="I20" s="543">
        <f t="shared" si="2"/>
        <v>40603.14</v>
      </c>
    </row>
    <row r="21" spans="1:9">
      <c r="A21" s="539"/>
      <c r="B21" s="540" t="s">
        <v>956</v>
      </c>
      <c r="C21" s="539" t="s">
        <v>965</v>
      </c>
      <c r="D21" s="510" t="s">
        <v>967</v>
      </c>
      <c r="E21" s="327">
        <f>531049.1</f>
        <v>531049.1</v>
      </c>
      <c r="F21" s="541">
        <v>0.75</v>
      </c>
      <c r="G21" s="542">
        <f t="shared" si="1"/>
        <v>398286.82499999995</v>
      </c>
      <c r="H21" s="541">
        <v>0.75</v>
      </c>
      <c r="I21" s="543">
        <f t="shared" si="2"/>
        <v>398286.82499999995</v>
      </c>
    </row>
    <row r="22" spans="1:9">
      <c r="A22" s="539"/>
      <c r="B22" s="540" t="s">
        <v>956</v>
      </c>
      <c r="C22" s="539" t="s">
        <v>965</v>
      </c>
      <c r="D22" s="510" t="s">
        <v>969</v>
      </c>
      <c r="E22" s="327">
        <f>90309.47</f>
        <v>90309.47</v>
      </c>
      <c r="F22" s="541">
        <v>0.75</v>
      </c>
      <c r="G22" s="542">
        <f t="shared" si="1"/>
        <v>67732.102500000008</v>
      </c>
      <c r="H22" s="541">
        <v>0.75</v>
      </c>
      <c r="I22" s="543">
        <f t="shared" si="2"/>
        <v>67732.102500000008</v>
      </c>
    </row>
    <row r="23" spans="1:9">
      <c r="A23" s="539"/>
      <c r="B23" s="540" t="s">
        <v>956</v>
      </c>
      <c r="C23" s="539" t="s">
        <v>968</v>
      </c>
      <c r="D23" s="510" t="s">
        <v>970</v>
      </c>
      <c r="E23" s="327">
        <f>54257.11</f>
        <v>54257.11</v>
      </c>
      <c r="F23" s="541">
        <v>0.75</v>
      </c>
      <c r="G23" s="542">
        <f t="shared" si="1"/>
        <v>40692.832500000004</v>
      </c>
      <c r="H23" s="541">
        <v>0.75</v>
      </c>
      <c r="I23" s="543">
        <f t="shared" si="2"/>
        <v>40692.832500000004</v>
      </c>
    </row>
    <row r="24" spans="1:9">
      <c r="A24" s="539"/>
      <c r="B24" s="540" t="s">
        <v>956</v>
      </c>
      <c r="C24" s="539" t="s">
        <v>968</v>
      </c>
      <c r="D24" s="510" t="s">
        <v>972</v>
      </c>
      <c r="E24" s="327">
        <f>475745.99</f>
        <v>475745.99</v>
      </c>
      <c r="F24" s="541">
        <v>0.75</v>
      </c>
      <c r="G24" s="542">
        <f t="shared" si="1"/>
        <v>356809.49249999999</v>
      </c>
      <c r="H24" s="541">
        <v>0.75</v>
      </c>
      <c r="I24" s="543">
        <f t="shared" si="2"/>
        <v>356809.49249999999</v>
      </c>
    </row>
    <row r="25" spans="1:9">
      <c r="A25" s="539"/>
      <c r="B25" s="540" t="s">
        <v>956</v>
      </c>
      <c r="C25" s="539" t="s">
        <v>971</v>
      </c>
      <c r="D25" s="510" t="s">
        <v>973</v>
      </c>
      <c r="E25" s="327">
        <f>95962.39</f>
        <v>95962.39</v>
      </c>
      <c r="F25" s="541">
        <v>0.75</v>
      </c>
      <c r="G25" s="542">
        <f t="shared" si="1"/>
        <v>71971.792499999996</v>
      </c>
      <c r="H25" s="541">
        <v>0.75</v>
      </c>
      <c r="I25" s="543">
        <f t="shared" si="2"/>
        <v>71971.792499999996</v>
      </c>
    </row>
    <row r="26" spans="1:9">
      <c r="A26" s="539"/>
      <c r="B26" s="540" t="s">
        <v>956</v>
      </c>
      <c r="C26" s="539" t="s">
        <v>963</v>
      </c>
      <c r="D26" s="510" t="s">
        <v>974</v>
      </c>
      <c r="E26" s="327">
        <f>12679.49</f>
        <v>12679.49</v>
      </c>
      <c r="F26" s="541">
        <v>0.75</v>
      </c>
      <c r="G26" s="542">
        <f t="shared" si="1"/>
        <v>9509.6175000000003</v>
      </c>
      <c r="H26" s="541">
        <v>0.75</v>
      </c>
      <c r="I26" s="543">
        <f t="shared" si="2"/>
        <v>9509.6175000000003</v>
      </c>
    </row>
    <row r="27" spans="1:9">
      <c r="A27" s="539"/>
      <c r="B27" s="540" t="s">
        <v>956</v>
      </c>
      <c r="C27" s="539" t="s">
        <v>963</v>
      </c>
      <c r="D27" s="510" t="s">
        <v>975</v>
      </c>
      <c r="E27" s="327">
        <f>1022154.12</f>
        <v>1022154.12</v>
      </c>
      <c r="F27" s="541">
        <v>0.75</v>
      </c>
      <c r="G27" s="542">
        <f t="shared" si="1"/>
        <v>766615.59</v>
      </c>
      <c r="H27" s="541">
        <v>0.75</v>
      </c>
      <c r="I27" s="543">
        <f t="shared" si="2"/>
        <v>766615.59</v>
      </c>
    </row>
    <row r="28" spans="1:9">
      <c r="A28" s="539"/>
      <c r="B28" s="540" t="s">
        <v>956</v>
      </c>
      <c r="C28" s="539" t="s">
        <v>976</v>
      </c>
      <c r="D28" s="510" t="s">
        <v>977</v>
      </c>
      <c r="E28" s="327">
        <f>122476.25</f>
        <v>122476.25</v>
      </c>
      <c r="F28" s="541">
        <v>0.75</v>
      </c>
      <c r="G28" s="542">
        <f t="shared" si="1"/>
        <v>91857.1875</v>
      </c>
      <c r="H28" s="541">
        <v>0.75</v>
      </c>
      <c r="I28" s="543">
        <f t="shared" si="2"/>
        <v>91857.1875</v>
      </c>
    </row>
    <row r="29" spans="1:9">
      <c r="A29" s="539"/>
      <c r="B29" s="540" t="s">
        <v>956</v>
      </c>
      <c r="C29" s="539" t="s">
        <v>976</v>
      </c>
      <c r="D29" s="510" t="s">
        <v>978</v>
      </c>
      <c r="E29" s="327">
        <f>733679.47</f>
        <v>733679.47</v>
      </c>
      <c r="F29" s="541">
        <v>0.75</v>
      </c>
      <c r="G29" s="542">
        <f t="shared" si="1"/>
        <v>550259.60250000004</v>
      </c>
      <c r="H29" s="541">
        <v>0.75</v>
      </c>
      <c r="I29" s="543">
        <f t="shared" si="2"/>
        <v>550259.60250000004</v>
      </c>
    </row>
    <row r="30" spans="1:9">
      <c r="A30" s="539"/>
      <c r="B30" s="540" t="s">
        <v>956</v>
      </c>
      <c r="C30" s="539" t="s">
        <v>976</v>
      </c>
      <c r="D30" s="510" t="s">
        <v>979</v>
      </c>
      <c r="E30" s="327">
        <f>35291.83</f>
        <v>35291.83</v>
      </c>
      <c r="F30" s="541">
        <v>0.75</v>
      </c>
      <c r="G30" s="542">
        <f t="shared" si="1"/>
        <v>26468.872500000001</v>
      </c>
      <c r="H30" s="541">
        <v>0.75</v>
      </c>
      <c r="I30" s="543">
        <f t="shared" si="2"/>
        <v>26468.872500000001</v>
      </c>
    </row>
    <row r="31" spans="1:9">
      <c r="A31" s="539"/>
      <c r="B31" s="540" t="s">
        <v>956</v>
      </c>
      <c r="C31" s="539" t="s">
        <v>976</v>
      </c>
      <c r="D31" s="510"/>
      <c r="E31" s="327">
        <f>13959.4</f>
        <v>13959.4</v>
      </c>
      <c r="F31" s="541">
        <v>0.75</v>
      </c>
      <c r="G31" s="542">
        <f t="shared" si="1"/>
        <v>10469.549999999999</v>
      </c>
      <c r="H31" s="541">
        <v>0.75</v>
      </c>
      <c r="I31" s="543">
        <f t="shared" si="2"/>
        <v>10469.549999999999</v>
      </c>
    </row>
    <row r="32" spans="1:9">
      <c r="A32" s="539"/>
      <c r="B32" s="540" t="s">
        <v>956</v>
      </c>
      <c r="C32" s="539" t="s">
        <v>980</v>
      </c>
      <c r="D32" s="510" t="s">
        <v>981</v>
      </c>
      <c r="E32" s="327">
        <f>53112.38</f>
        <v>53112.38</v>
      </c>
      <c r="F32" s="541">
        <v>0.75</v>
      </c>
      <c r="G32" s="542">
        <f t="shared" si="1"/>
        <v>39834.284999999996</v>
      </c>
      <c r="H32" s="541">
        <v>0.75</v>
      </c>
      <c r="I32" s="543">
        <f t="shared" si="2"/>
        <v>39834.284999999996</v>
      </c>
    </row>
    <row r="33" spans="1:9">
      <c r="A33" s="539"/>
      <c r="B33" s="540" t="s">
        <v>956</v>
      </c>
      <c r="C33" s="539" t="s">
        <v>982</v>
      </c>
      <c r="D33" s="510" t="s">
        <v>983</v>
      </c>
      <c r="E33" s="327">
        <f>184306.99</f>
        <v>184306.99</v>
      </c>
      <c r="F33" s="541">
        <v>0.75</v>
      </c>
      <c r="G33" s="542">
        <f t="shared" si="1"/>
        <v>138230.24249999999</v>
      </c>
      <c r="H33" s="541">
        <v>0.75</v>
      </c>
      <c r="I33" s="543">
        <f t="shared" si="2"/>
        <v>138230.24249999999</v>
      </c>
    </row>
    <row r="34" spans="1:9">
      <c r="A34" s="539"/>
      <c r="B34" s="540" t="s">
        <v>956</v>
      </c>
      <c r="C34" s="539" t="s">
        <v>982</v>
      </c>
      <c r="D34" s="510" t="s">
        <v>984</v>
      </c>
      <c r="E34" s="327">
        <f>97180.43</f>
        <v>97180.43</v>
      </c>
      <c r="F34" s="541">
        <v>0.75</v>
      </c>
      <c r="G34" s="542">
        <f t="shared" si="1"/>
        <v>72885.322499999995</v>
      </c>
      <c r="H34" s="541">
        <v>0.75</v>
      </c>
      <c r="I34" s="543">
        <f t="shared" si="2"/>
        <v>72885.322499999995</v>
      </c>
    </row>
    <row r="35" spans="1:9">
      <c r="A35" s="539"/>
      <c r="B35" s="540" t="s">
        <v>956</v>
      </c>
      <c r="C35" s="539" t="s">
        <v>982</v>
      </c>
      <c r="D35" s="510" t="s">
        <v>985</v>
      </c>
      <c r="E35" s="327">
        <f>28884.55</f>
        <v>28884.55</v>
      </c>
      <c r="F35" s="541">
        <v>0.75</v>
      </c>
      <c r="G35" s="542">
        <f t="shared" si="1"/>
        <v>21663.412499999999</v>
      </c>
      <c r="H35" s="541">
        <v>0.75</v>
      </c>
      <c r="I35" s="543">
        <f t="shared" si="2"/>
        <v>21663.412499999999</v>
      </c>
    </row>
    <row r="36" spans="1:9">
      <c r="A36" s="539"/>
      <c r="B36" s="540" t="s">
        <v>956</v>
      </c>
      <c r="C36" s="539" t="s">
        <v>982</v>
      </c>
      <c r="D36" s="510" t="s">
        <v>986</v>
      </c>
      <c r="E36" s="327">
        <f>41065.94</f>
        <v>41065.94</v>
      </c>
      <c r="F36" s="541">
        <v>0.75</v>
      </c>
      <c r="G36" s="542">
        <f t="shared" si="1"/>
        <v>30799.455000000002</v>
      </c>
      <c r="H36" s="541">
        <v>0.75</v>
      </c>
      <c r="I36" s="543">
        <f t="shared" si="2"/>
        <v>30799.455000000002</v>
      </c>
    </row>
    <row r="37" spans="1:9">
      <c r="A37" s="539"/>
      <c r="B37" s="540" t="s">
        <v>956</v>
      </c>
      <c r="C37" s="539" t="s">
        <v>965</v>
      </c>
      <c r="D37" s="510" t="s">
        <v>966</v>
      </c>
      <c r="E37" s="327">
        <f>1320912.96</f>
        <v>1320912.96</v>
      </c>
      <c r="F37" s="541">
        <v>0.75</v>
      </c>
      <c r="G37" s="542">
        <f t="shared" si="1"/>
        <v>990684.72</v>
      </c>
      <c r="H37" s="541">
        <v>0.75</v>
      </c>
      <c r="I37" s="543">
        <f t="shared" si="2"/>
        <v>990684.72</v>
      </c>
    </row>
    <row r="38" spans="1:9">
      <c r="A38" s="539"/>
      <c r="B38" s="540" t="s">
        <v>956</v>
      </c>
      <c r="C38" s="539" t="s">
        <v>957</v>
      </c>
      <c r="D38" s="510" t="s">
        <v>957</v>
      </c>
      <c r="E38" s="327">
        <f>454812.77</f>
        <v>454812.77</v>
      </c>
      <c r="F38" s="541">
        <v>0.75</v>
      </c>
      <c r="G38" s="542">
        <f t="shared" si="1"/>
        <v>341109.57750000001</v>
      </c>
      <c r="H38" s="541">
        <v>0.75</v>
      </c>
      <c r="I38" s="543">
        <f t="shared" si="2"/>
        <v>341109.57750000001</v>
      </c>
    </row>
    <row r="39" spans="1:9">
      <c r="A39" s="539"/>
      <c r="B39" s="540" t="s">
        <v>956</v>
      </c>
      <c r="C39" s="539" t="s">
        <v>981</v>
      </c>
      <c r="D39" s="510" t="s">
        <v>981</v>
      </c>
      <c r="E39" s="327">
        <f>40641.57</f>
        <v>40641.57</v>
      </c>
      <c r="F39" s="541">
        <v>0.75</v>
      </c>
      <c r="G39" s="542">
        <f t="shared" si="1"/>
        <v>30481.177499999998</v>
      </c>
      <c r="H39" s="541">
        <v>0.75</v>
      </c>
      <c r="I39" s="543">
        <f t="shared" si="2"/>
        <v>30481.177499999998</v>
      </c>
    </row>
    <row r="40" spans="1:9">
      <c r="A40" s="539"/>
      <c r="B40" s="540" t="s">
        <v>956</v>
      </c>
      <c r="C40" s="539" t="s">
        <v>957</v>
      </c>
      <c r="D40" s="510" t="s">
        <v>957</v>
      </c>
      <c r="E40" s="327">
        <f>577.47</f>
        <v>577.47</v>
      </c>
      <c r="F40" s="541">
        <v>0.75</v>
      </c>
      <c r="G40" s="542">
        <f t="shared" si="1"/>
        <v>433.10250000000002</v>
      </c>
      <c r="H40" s="541">
        <v>0.75</v>
      </c>
      <c r="I40" s="543">
        <f t="shared" si="2"/>
        <v>433.10250000000002</v>
      </c>
    </row>
    <row r="41" spans="1:9" ht="13.5" thickBot="1">
      <c r="A41" s="539"/>
      <c r="B41" s="540"/>
      <c r="C41" s="544" t="s">
        <v>952</v>
      </c>
      <c r="D41" s="545"/>
      <c r="E41" s="546">
        <f>SUM(E10:E40)</f>
        <v>6006058.1099999985</v>
      </c>
      <c r="F41" s="547"/>
      <c r="G41" s="548">
        <f>SUM(G10:G40)</f>
        <v>4504543.5824999996</v>
      </c>
      <c r="H41" s="547"/>
      <c r="I41" s="549">
        <f>SUM(I10:I40)</f>
        <v>4504543.5824999996</v>
      </c>
    </row>
    <row r="42" spans="1:9" ht="13.5" thickTop="1">
      <c r="A42" s="539"/>
      <c r="B42" s="540" t="s">
        <v>551</v>
      </c>
      <c r="C42" s="539" t="s">
        <v>980</v>
      </c>
      <c r="D42" s="510" t="s">
        <v>987</v>
      </c>
      <c r="E42" s="327">
        <f>559892.23</f>
        <v>559892.23</v>
      </c>
      <c r="F42" s="541">
        <v>0.52300000000000002</v>
      </c>
      <c r="G42" s="542">
        <f t="shared" ref="G42:G47" si="3">F42*E42</f>
        <v>292823.63628999999</v>
      </c>
      <c r="H42" s="541">
        <v>0.66779999999999995</v>
      </c>
      <c r="I42" s="543">
        <f t="shared" ref="I42:I47" si="4">E42*H42</f>
        <v>373896.03119399998</v>
      </c>
    </row>
    <row r="43" spans="1:9">
      <c r="A43" s="539"/>
      <c r="B43" s="540" t="s">
        <v>551</v>
      </c>
      <c r="C43" s="539" t="s">
        <v>957</v>
      </c>
      <c r="D43" s="510" t="s">
        <v>957</v>
      </c>
      <c r="E43" s="327">
        <f>33279.98</f>
        <v>33279.980000000003</v>
      </c>
      <c r="F43" s="541">
        <v>0.52300000000000002</v>
      </c>
      <c r="G43" s="542">
        <f t="shared" si="3"/>
        <v>17405.429540000001</v>
      </c>
      <c r="H43" s="541">
        <v>0.66779999999999995</v>
      </c>
      <c r="I43" s="543">
        <f t="shared" si="4"/>
        <v>22224.370643999999</v>
      </c>
    </row>
    <row r="44" spans="1:9">
      <c r="A44" s="539"/>
      <c r="B44" s="540" t="s">
        <v>551</v>
      </c>
      <c r="C44" s="539" t="s">
        <v>1017</v>
      </c>
      <c r="D44" s="510"/>
      <c r="E44" s="327">
        <f>276283.57</f>
        <v>276283.57</v>
      </c>
      <c r="F44" s="541">
        <v>0.52300000000000002</v>
      </c>
      <c r="G44" s="542">
        <f t="shared" si="3"/>
        <v>144496.30711000002</v>
      </c>
      <c r="H44" s="541">
        <v>0.66779999999999995</v>
      </c>
      <c r="I44" s="543">
        <f t="shared" si="4"/>
        <v>184502.16804599998</v>
      </c>
    </row>
    <row r="45" spans="1:9">
      <c r="A45" s="539"/>
      <c r="B45" s="540" t="s">
        <v>551</v>
      </c>
      <c r="C45" s="539" t="s">
        <v>2377</v>
      </c>
      <c r="D45" s="510"/>
      <c r="E45" s="327">
        <f>153427.83</f>
        <v>153427.82999999999</v>
      </c>
      <c r="F45" s="541">
        <v>0.52300000000000002</v>
      </c>
      <c r="G45" s="542">
        <f t="shared" si="3"/>
        <v>80242.755089999991</v>
      </c>
      <c r="H45" s="541">
        <v>0.66779999999999995</v>
      </c>
      <c r="I45" s="543">
        <f t="shared" si="4"/>
        <v>102459.10487399998</v>
      </c>
    </row>
    <row r="46" spans="1:9">
      <c r="A46" s="539"/>
      <c r="B46" s="540" t="s">
        <v>551</v>
      </c>
      <c r="C46" s="539" t="s">
        <v>957</v>
      </c>
      <c r="D46" s="510"/>
      <c r="E46" s="327">
        <f>2051.63</f>
        <v>2051.63</v>
      </c>
      <c r="F46" s="541">
        <v>0.52300000000000002</v>
      </c>
      <c r="G46" s="542">
        <f t="shared" si="3"/>
        <v>1073.0024900000001</v>
      </c>
      <c r="H46" s="541">
        <v>0.66779999999999995</v>
      </c>
      <c r="I46" s="543">
        <f t="shared" si="4"/>
        <v>1370.078514</v>
      </c>
    </row>
    <row r="47" spans="1:9">
      <c r="A47" s="539"/>
      <c r="B47" s="540" t="s">
        <v>551</v>
      </c>
      <c r="C47" s="539" t="s">
        <v>957</v>
      </c>
      <c r="D47" s="510" t="s">
        <v>957</v>
      </c>
      <c r="E47" s="327">
        <f>2835.11</f>
        <v>2835.11</v>
      </c>
      <c r="F47" s="541">
        <v>0.52300000000000002</v>
      </c>
      <c r="G47" s="542">
        <f t="shared" si="3"/>
        <v>1482.7625300000002</v>
      </c>
      <c r="H47" s="541">
        <v>0.66779999999999995</v>
      </c>
      <c r="I47" s="543">
        <f t="shared" si="4"/>
        <v>1893.286458</v>
      </c>
    </row>
    <row r="48" spans="1:9" ht="13.5" thickBot="1">
      <c r="A48" s="539"/>
      <c r="B48" s="540"/>
      <c r="C48" s="544" t="s">
        <v>952</v>
      </c>
      <c r="D48" s="545"/>
      <c r="E48" s="546">
        <f>SUM(E42:E47)</f>
        <v>1027770.35</v>
      </c>
      <c r="F48" s="547"/>
      <c r="G48" s="548">
        <f>SUM(G42:G47)</f>
        <v>537523.89304999996</v>
      </c>
      <c r="H48" s="547"/>
      <c r="I48" s="549">
        <f>SUM(I42:I47)</f>
        <v>686345.03972999996</v>
      </c>
    </row>
    <row r="49" spans="1:9" ht="13.5" thickTop="1">
      <c r="A49" s="539"/>
      <c r="B49" s="540" t="s">
        <v>551</v>
      </c>
      <c r="C49" s="539" t="s">
        <v>983</v>
      </c>
      <c r="D49" s="510" t="s">
        <v>984</v>
      </c>
      <c r="E49" s="327">
        <f>267248.89</f>
        <v>267248.89</v>
      </c>
      <c r="F49" s="541">
        <v>0.75</v>
      </c>
      <c r="G49" s="542">
        <f>F49*E49</f>
        <v>200436.66750000001</v>
      </c>
      <c r="H49" s="541">
        <v>0.75</v>
      </c>
      <c r="I49" s="543">
        <f>E49*H49</f>
        <v>200436.66750000001</v>
      </c>
    </row>
    <row r="50" spans="1:9">
      <c r="A50" s="539"/>
      <c r="B50" s="540" t="s">
        <v>551</v>
      </c>
      <c r="C50" s="539" t="s">
        <v>957</v>
      </c>
      <c r="D50" s="510" t="s">
        <v>957</v>
      </c>
      <c r="E50" s="327">
        <f>16353.85</f>
        <v>16353.85</v>
      </c>
      <c r="F50" s="541">
        <v>0.75</v>
      </c>
      <c r="G50" s="542">
        <f>F50*E50</f>
        <v>12265.387500000001</v>
      </c>
      <c r="H50" s="541">
        <v>0.75</v>
      </c>
      <c r="I50" s="543">
        <f>E50*H50</f>
        <v>12265.387500000001</v>
      </c>
    </row>
    <row r="51" spans="1:9" ht="13.5" thickBot="1">
      <c r="A51" s="539"/>
      <c r="B51" s="540"/>
      <c r="C51" s="550" t="s">
        <v>952</v>
      </c>
      <c r="D51" s="551"/>
      <c r="E51" s="552">
        <f>SUM(E49:E50)</f>
        <v>283602.74</v>
      </c>
      <c r="F51" s="553"/>
      <c r="G51" s="554">
        <f>SUM(G49:G50)</f>
        <v>212702.05500000002</v>
      </c>
      <c r="H51" s="551"/>
      <c r="I51" s="555">
        <f>SUM(I49:I50)</f>
        <v>212702.05500000002</v>
      </c>
    </row>
    <row r="52" spans="1:9">
      <c r="A52" s="539"/>
      <c r="B52" s="540" t="s">
        <v>988</v>
      </c>
      <c r="C52" s="556" t="s">
        <v>2386</v>
      </c>
      <c r="D52" s="525" t="s">
        <v>989</v>
      </c>
      <c r="E52" s="526">
        <f>134174.04</f>
        <v>134174.04</v>
      </c>
      <c r="F52" s="557">
        <v>0.75</v>
      </c>
      <c r="G52" s="558">
        <f>E52*F52</f>
        <v>100630.53</v>
      </c>
      <c r="H52" s="557">
        <v>0.75</v>
      </c>
      <c r="I52" s="559">
        <f>E52*H52</f>
        <v>100630.53</v>
      </c>
    </row>
    <row r="53" spans="1:9">
      <c r="A53" s="355"/>
      <c r="B53" s="540" t="s">
        <v>988</v>
      </c>
      <c r="C53" s="560" t="s">
        <v>2381</v>
      </c>
      <c r="D53" s="510" t="s">
        <v>984</v>
      </c>
      <c r="E53" s="327">
        <f>59005.31</f>
        <v>59005.31</v>
      </c>
      <c r="F53" s="541">
        <v>0.75</v>
      </c>
      <c r="G53" s="542">
        <f t="shared" ref="G53:G98" si="5">E53*F53</f>
        <v>44253.982499999998</v>
      </c>
      <c r="H53" s="541">
        <v>0.75</v>
      </c>
      <c r="I53" s="543">
        <f t="shared" ref="I53:I98" si="6">E53*H53</f>
        <v>44253.982499999998</v>
      </c>
    </row>
    <row r="54" spans="1:9">
      <c r="A54" s="355"/>
      <c r="B54" s="540" t="s">
        <v>988</v>
      </c>
      <c r="C54" s="560" t="s">
        <v>990</v>
      </c>
      <c r="D54" s="510" t="s">
        <v>974</v>
      </c>
      <c r="E54" s="327">
        <f>119667.35</f>
        <v>119667.35</v>
      </c>
      <c r="F54" s="541">
        <v>0.75</v>
      </c>
      <c r="G54" s="542">
        <f t="shared" si="5"/>
        <v>89750.512500000012</v>
      </c>
      <c r="H54" s="541">
        <v>0.75</v>
      </c>
      <c r="I54" s="543">
        <f t="shared" si="6"/>
        <v>89750.512500000012</v>
      </c>
    </row>
    <row r="55" spans="1:9">
      <c r="A55" s="355"/>
      <c r="B55" s="540" t="s">
        <v>988</v>
      </c>
      <c r="C55" s="560" t="s">
        <v>991</v>
      </c>
      <c r="D55" s="510" t="s">
        <v>992</v>
      </c>
      <c r="E55" s="327">
        <f>19292.2</f>
        <v>19292.2</v>
      </c>
      <c r="F55" s="541">
        <v>0.75</v>
      </c>
      <c r="G55" s="542">
        <f t="shared" si="5"/>
        <v>14469.150000000001</v>
      </c>
      <c r="H55" s="541">
        <v>0.75</v>
      </c>
      <c r="I55" s="543">
        <f t="shared" si="6"/>
        <v>14469.150000000001</v>
      </c>
    </row>
    <row r="56" spans="1:9">
      <c r="A56" s="355"/>
      <c r="B56" s="540" t="s">
        <v>988</v>
      </c>
      <c r="C56" s="560" t="s">
        <v>982</v>
      </c>
      <c r="D56" s="510" t="s">
        <v>983</v>
      </c>
      <c r="E56" s="327">
        <f>53164.52</f>
        <v>53164.52</v>
      </c>
      <c r="F56" s="541">
        <v>0.75</v>
      </c>
      <c r="G56" s="542">
        <f t="shared" si="5"/>
        <v>39873.39</v>
      </c>
      <c r="H56" s="541">
        <v>0.75</v>
      </c>
      <c r="I56" s="543">
        <f t="shared" si="6"/>
        <v>39873.39</v>
      </c>
    </row>
    <row r="57" spans="1:9">
      <c r="A57" s="355"/>
      <c r="B57" s="540" t="s">
        <v>988</v>
      </c>
      <c r="C57" s="560" t="s">
        <v>982</v>
      </c>
      <c r="D57" s="510" t="s">
        <v>984</v>
      </c>
      <c r="E57" s="327">
        <f>307465.42</f>
        <v>307465.42</v>
      </c>
      <c r="F57" s="541">
        <v>0.75</v>
      </c>
      <c r="G57" s="542">
        <f t="shared" si="5"/>
        <v>230599.065</v>
      </c>
      <c r="H57" s="541">
        <v>0.75</v>
      </c>
      <c r="I57" s="543">
        <f t="shared" si="6"/>
        <v>230599.065</v>
      </c>
    </row>
    <row r="58" spans="1:9">
      <c r="A58" s="355"/>
      <c r="B58" s="540" t="s">
        <v>988</v>
      </c>
      <c r="C58" s="560" t="s">
        <v>982</v>
      </c>
      <c r="D58" s="510" t="s">
        <v>989</v>
      </c>
      <c r="E58" s="327">
        <f>12819.56</f>
        <v>12819.56</v>
      </c>
      <c r="F58" s="541">
        <v>0.75</v>
      </c>
      <c r="G58" s="542">
        <f t="shared" si="5"/>
        <v>9614.67</v>
      </c>
      <c r="H58" s="541">
        <v>0.75</v>
      </c>
      <c r="I58" s="543">
        <f t="shared" si="6"/>
        <v>9614.67</v>
      </c>
    </row>
    <row r="59" spans="1:9">
      <c r="A59" s="355"/>
      <c r="B59" s="540" t="s">
        <v>988</v>
      </c>
      <c r="C59" s="560" t="s">
        <v>982</v>
      </c>
      <c r="D59" s="510" t="s">
        <v>986</v>
      </c>
      <c r="E59" s="327">
        <f>415983</f>
        <v>415983</v>
      </c>
      <c r="F59" s="541">
        <v>0.75</v>
      </c>
      <c r="G59" s="542">
        <f t="shared" si="5"/>
        <v>311987.25</v>
      </c>
      <c r="H59" s="541">
        <v>0.75</v>
      </c>
      <c r="I59" s="543">
        <f t="shared" si="6"/>
        <v>311987.25</v>
      </c>
    </row>
    <row r="60" spans="1:9">
      <c r="A60" s="355"/>
      <c r="B60" s="540" t="s">
        <v>988</v>
      </c>
      <c r="C60" s="560" t="s">
        <v>957</v>
      </c>
      <c r="D60" s="510" t="s">
        <v>957</v>
      </c>
      <c r="E60" s="327">
        <f>150136.1</f>
        <v>150136.1</v>
      </c>
      <c r="F60" s="541">
        <v>0.75</v>
      </c>
      <c r="G60" s="542">
        <f t="shared" si="5"/>
        <v>112602.07500000001</v>
      </c>
      <c r="H60" s="541">
        <v>0.75</v>
      </c>
      <c r="I60" s="543">
        <f t="shared" si="6"/>
        <v>112602.07500000001</v>
      </c>
    </row>
    <row r="61" spans="1:9">
      <c r="A61" s="355"/>
      <c r="B61" s="540" t="s">
        <v>988</v>
      </c>
      <c r="C61" s="560" t="s">
        <v>957</v>
      </c>
      <c r="D61" s="510" t="s">
        <v>957</v>
      </c>
      <c r="E61" s="327">
        <f>2533.43</f>
        <v>2533.4299999999998</v>
      </c>
      <c r="F61" s="541">
        <v>0.75</v>
      </c>
      <c r="G61" s="542">
        <f t="shared" si="5"/>
        <v>1900.0724999999998</v>
      </c>
      <c r="H61" s="541">
        <v>0.75</v>
      </c>
      <c r="I61" s="543">
        <f t="shared" si="6"/>
        <v>1900.0724999999998</v>
      </c>
    </row>
    <row r="62" spans="1:9">
      <c r="A62" s="355"/>
      <c r="B62" s="540" t="s">
        <v>988</v>
      </c>
      <c r="C62" s="560" t="s">
        <v>980</v>
      </c>
      <c r="D62" s="510" t="s">
        <v>987</v>
      </c>
      <c r="E62" s="327">
        <f>31657.69</f>
        <v>31657.69</v>
      </c>
      <c r="F62" s="541">
        <v>0.75</v>
      </c>
      <c r="G62" s="542">
        <f t="shared" si="5"/>
        <v>23743.267499999998</v>
      </c>
      <c r="H62" s="541">
        <v>0.75</v>
      </c>
      <c r="I62" s="543">
        <f t="shared" si="6"/>
        <v>23743.267499999998</v>
      </c>
    </row>
    <row r="63" spans="1:9">
      <c r="A63" s="355"/>
      <c r="B63" s="540" t="s">
        <v>988</v>
      </c>
      <c r="C63" s="560" t="s">
        <v>976</v>
      </c>
      <c r="D63" s="510" t="s">
        <v>977</v>
      </c>
      <c r="E63" s="327">
        <f>85009.25</f>
        <v>85009.25</v>
      </c>
      <c r="F63" s="541">
        <v>0.75</v>
      </c>
      <c r="G63" s="542">
        <f t="shared" si="5"/>
        <v>63756.9375</v>
      </c>
      <c r="H63" s="541">
        <v>0.75</v>
      </c>
      <c r="I63" s="543">
        <f t="shared" si="6"/>
        <v>63756.9375</v>
      </c>
    </row>
    <row r="64" spans="1:9">
      <c r="A64" s="355"/>
      <c r="B64" s="540" t="s">
        <v>988</v>
      </c>
      <c r="C64" s="560" t="s">
        <v>983</v>
      </c>
      <c r="D64" s="510" t="s">
        <v>984</v>
      </c>
      <c r="E64" s="327">
        <f>108684.58</f>
        <v>108684.58</v>
      </c>
      <c r="F64" s="541">
        <v>0.75</v>
      </c>
      <c r="G64" s="542">
        <f t="shared" si="5"/>
        <v>81513.434999999998</v>
      </c>
      <c r="H64" s="541">
        <v>0.75</v>
      </c>
      <c r="I64" s="543">
        <f t="shared" si="6"/>
        <v>81513.434999999998</v>
      </c>
    </row>
    <row r="65" spans="1:9">
      <c r="A65" s="355"/>
      <c r="B65" s="540" t="s">
        <v>988</v>
      </c>
      <c r="C65" s="560" t="s">
        <v>983</v>
      </c>
      <c r="D65" s="510" t="s">
        <v>986</v>
      </c>
      <c r="E65" s="327">
        <f>1933.73</f>
        <v>1933.73</v>
      </c>
      <c r="F65" s="541">
        <v>0.75</v>
      </c>
      <c r="G65" s="542">
        <f t="shared" si="5"/>
        <v>1450.2975000000001</v>
      </c>
      <c r="H65" s="541">
        <v>0.75</v>
      </c>
      <c r="I65" s="543">
        <f t="shared" si="6"/>
        <v>1450.2975000000001</v>
      </c>
    </row>
    <row r="66" spans="1:9">
      <c r="A66" s="355"/>
      <c r="B66" s="540" t="s">
        <v>988</v>
      </c>
      <c r="C66" s="560" t="s">
        <v>983</v>
      </c>
      <c r="D66" s="510" t="s">
        <v>983</v>
      </c>
      <c r="E66" s="327">
        <f>38122.92</f>
        <v>38122.92</v>
      </c>
      <c r="F66" s="541">
        <v>0.75</v>
      </c>
      <c r="G66" s="542">
        <f t="shared" si="5"/>
        <v>28592.19</v>
      </c>
      <c r="H66" s="541">
        <v>0.75</v>
      </c>
      <c r="I66" s="543">
        <f t="shared" si="6"/>
        <v>28592.19</v>
      </c>
    </row>
    <row r="67" spans="1:9">
      <c r="A67" s="355"/>
      <c r="B67" s="540" t="s">
        <v>988</v>
      </c>
      <c r="C67" s="560" t="s">
        <v>957</v>
      </c>
      <c r="D67" s="510" t="s">
        <v>957</v>
      </c>
      <c r="E67" s="327">
        <f>23485.53</f>
        <v>23485.53</v>
      </c>
      <c r="F67" s="541">
        <v>0.75</v>
      </c>
      <c r="G67" s="542">
        <f t="shared" si="5"/>
        <v>17614.147499999999</v>
      </c>
      <c r="H67" s="541">
        <v>0.75</v>
      </c>
      <c r="I67" s="543">
        <f t="shared" si="6"/>
        <v>17614.147499999999</v>
      </c>
    </row>
    <row r="68" spans="1:9">
      <c r="A68" s="355"/>
      <c r="B68" s="540" t="s">
        <v>988</v>
      </c>
      <c r="C68" s="560" t="s">
        <v>2384</v>
      </c>
      <c r="D68" s="510" t="s">
        <v>984</v>
      </c>
      <c r="E68" s="327">
        <f>25031.95</f>
        <v>25031.95</v>
      </c>
      <c r="F68" s="541">
        <v>0.75</v>
      </c>
      <c r="G68" s="542">
        <f t="shared" si="5"/>
        <v>18773.962500000001</v>
      </c>
      <c r="H68" s="541">
        <v>0.75</v>
      </c>
      <c r="I68" s="543">
        <f t="shared" si="6"/>
        <v>18773.962500000001</v>
      </c>
    </row>
    <row r="69" spans="1:9">
      <c r="A69" s="355"/>
      <c r="B69" s="540" t="s">
        <v>988</v>
      </c>
      <c r="C69" s="560" t="s">
        <v>2383</v>
      </c>
      <c r="D69" s="510" t="s">
        <v>957</v>
      </c>
      <c r="E69" s="327">
        <f>513.75</f>
        <v>513.75</v>
      </c>
      <c r="F69" s="541">
        <v>0.75</v>
      </c>
      <c r="G69" s="542">
        <f t="shared" si="5"/>
        <v>385.3125</v>
      </c>
      <c r="H69" s="541">
        <v>0.75</v>
      </c>
      <c r="I69" s="543">
        <f t="shared" si="6"/>
        <v>385.3125</v>
      </c>
    </row>
    <row r="70" spans="1:9">
      <c r="A70" s="355"/>
      <c r="B70" s="540" t="s">
        <v>988</v>
      </c>
      <c r="C70" s="560" t="s">
        <v>957</v>
      </c>
      <c r="D70" s="510" t="s">
        <v>957</v>
      </c>
      <c r="E70" s="327">
        <f>18649.85</f>
        <v>18649.849999999999</v>
      </c>
      <c r="F70" s="541">
        <v>0.75</v>
      </c>
      <c r="G70" s="542">
        <f t="shared" si="5"/>
        <v>13987.387499999999</v>
      </c>
      <c r="H70" s="541">
        <v>0.75</v>
      </c>
      <c r="I70" s="543">
        <f t="shared" si="6"/>
        <v>13987.387499999999</v>
      </c>
    </row>
    <row r="71" spans="1:9">
      <c r="A71" s="355"/>
      <c r="B71" s="540" t="s">
        <v>988</v>
      </c>
      <c r="C71" s="560" t="s">
        <v>2382</v>
      </c>
      <c r="D71" s="510" t="s">
        <v>989</v>
      </c>
      <c r="E71" s="327">
        <f>2849.9</f>
        <v>2849.9</v>
      </c>
      <c r="F71" s="541">
        <v>0.75</v>
      </c>
      <c r="G71" s="542">
        <f t="shared" si="5"/>
        <v>2137.4250000000002</v>
      </c>
      <c r="H71" s="541">
        <v>0.75</v>
      </c>
      <c r="I71" s="543">
        <f t="shared" si="6"/>
        <v>2137.4250000000002</v>
      </c>
    </row>
    <row r="72" spans="1:9">
      <c r="A72" s="355"/>
      <c r="B72" s="540" t="s">
        <v>988</v>
      </c>
      <c r="C72" s="560" t="s">
        <v>2385</v>
      </c>
      <c r="D72" s="510" t="s">
        <v>989</v>
      </c>
      <c r="E72" s="327">
        <f>6624.56</f>
        <v>6624.56</v>
      </c>
      <c r="F72" s="541">
        <v>0.75</v>
      </c>
      <c r="G72" s="542">
        <f t="shared" si="5"/>
        <v>4968.42</v>
      </c>
      <c r="H72" s="541">
        <v>0.75</v>
      </c>
      <c r="I72" s="543">
        <f t="shared" si="6"/>
        <v>4968.42</v>
      </c>
    </row>
    <row r="73" spans="1:9">
      <c r="A73" s="355"/>
      <c r="B73" s="540" t="s">
        <v>988</v>
      </c>
      <c r="C73" s="560" t="s">
        <v>994</v>
      </c>
      <c r="D73" s="510" t="s">
        <v>995</v>
      </c>
      <c r="E73" s="327">
        <f>98002.74</f>
        <v>98002.74</v>
      </c>
      <c r="F73" s="541">
        <v>0.75</v>
      </c>
      <c r="G73" s="542">
        <f t="shared" si="5"/>
        <v>73502.055000000008</v>
      </c>
      <c r="H73" s="541">
        <v>0.75</v>
      </c>
      <c r="I73" s="543">
        <f t="shared" si="6"/>
        <v>73502.055000000008</v>
      </c>
    </row>
    <row r="74" spans="1:9">
      <c r="A74" s="355"/>
      <c r="B74" s="540" t="s">
        <v>988</v>
      </c>
      <c r="C74" s="560" t="s">
        <v>957</v>
      </c>
      <c r="D74" s="510" t="s">
        <v>957</v>
      </c>
      <c r="E74" s="327">
        <f>3247.51</f>
        <v>3247.51</v>
      </c>
      <c r="F74" s="541">
        <v>0.75</v>
      </c>
      <c r="G74" s="542">
        <f t="shared" si="5"/>
        <v>2435.6325000000002</v>
      </c>
      <c r="H74" s="541">
        <v>0.75</v>
      </c>
      <c r="I74" s="543">
        <f t="shared" si="6"/>
        <v>2435.6325000000002</v>
      </c>
    </row>
    <row r="75" spans="1:9">
      <c r="A75" s="355"/>
      <c r="B75" s="540" t="s">
        <v>988</v>
      </c>
      <c r="C75" s="560" t="s">
        <v>976</v>
      </c>
      <c r="D75" s="510" t="s">
        <v>977</v>
      </c>
      <c r="E75" s="327">
        <f>226333.26</f>
        <v>226333.26</v>
      </c>
      <c r="F75" s="541">
        <v>0.75</v>
      </c>
      <c r="G75" s="542">
        <f t="shared" si="5"/>
        <v>169749.94500000001</v>
      </c>
      <c r="H75" s="541">
        <v>0.75</v>
      </c>
      <c r="I75" s="543">
        <f t="shared" si="6"/>
        <v>169749.94500000001</v>
      </c>
    </row>
    <row r="76" spans="1:9">
      <c r="A76" s="355"/>
      <c r="B76" s="540" t="s">
        <v>988</v>
      </c>
      <c r="C76" s="560" t="s">
        <v>957</v>
      </c>
      <c r="D76" s="510" t="s">
        <v>957</v>
      </c>
      <c r="E76" s="327">
        <f>13470.93</f>
        <v>13470.93</v>
      </c>
      <c r="F76" s="541">
        <v>0.75</v>
      </c>
      <c r="G76" s="542">
        <f t="shared" si="5"/>
        <v>10103.1975</v>
      </c>
      <c r="H76" s="541">
        <v>0.75</v>
      </c>
      <c r="I76" s="543">
        <f t="shared" si="6"/>
        <v>10103.1975</v>
      </c>
    </row>
    <row r="77" spans="1:9">
      <c r="A77" s="355"/>
      <c r="B77" s="540" t="s">
        <v>988</v>
      </c>
      <c r="C77" s="560" t="s">
        <v>996</v>
      </c>
      <c r="D77" s="510" t="s">
        <v>987</v>
      </c>
      <c r="E77" s="327">
        <f>70114.66</f>
        <v>70114.66</v>
      </c>
      <c r="F77" s="541">
        <v>0.75</v>
      </c>
      <c r="G77" s="542">
        <f t="shared" si="5"/>
        <v>52585.995000000003</v>
      </c>
      <c r="H77" s="541">
        <v>0.75</v>
      </c>
      <c r="I77" s="543">
        <f t="shared" si="6"/>
        <v>52585.995000000003</v>
      </c>
    </row>
    <row r="78" spans="1:9">
      <c r="A78" s="355"/>
      <c r="B78" s="540" t="s">
        <v>988</v>
      </c>
      <c r="C78" s="560" t="s">
        <v>993</v>
      </c>
      <c r="D78" s="510" t="s">
        <v>957</v>
      </c>
      <c r="E78" s="327">
        <f>1421.38</f>
        <v>1421.38</v>
      </c>
      <c r="F78" s="541">
        <v>0.75</v>
      </c>
      <c r="G78" s="542">
        <f t="shared" si="5"/>
        <v>1066.0350000000001</v>
      </c>
      <c r="H78" s="541">
        <v>0.75</v>
      </c>
      <c r="I78" s="543">
        <f t="shared" si="6"/>
        <v>1066.0350000000001</v>
      </c>
    </row>
    <row r="79" spans="1:9">
      <c r="A79" s="355"/>
      <c r="B79" s="540" t="s">
        <v>988</v>
      </c>
      <c r="C79" s="560" t="s">
        <v>997</v>
      </c>
      <c r="D79" s="510" t="s">
        <v>987</v>
      </c>
      <c r="E79" s="327">
        <f>61004.73</f>
        <v>61004.73</v>
      </c>
      <c r="F79" s="541">
        <v>0.75</v>
      </c>
      <c r="G79" s="542">
        <f t="shared" si="5"/>
        <v>45753.547500000001</v>
      </c>
      <c r="H79" s="541">
        <v>0.75</v>
      </c>
      <c r="I79" s="543">
        <f t="shared" si="6"/>
        <v>45753.547500000001</v>
      </c>
    </row>
    <row r="80" spans="1:9">
      <c r="A80" s="355"/>
      <c r="B80" s="540" t="s">
        <v>988</v>
      </c>
      <c r="C80" s="560" t="s">
        <v>2319</v>
      </c>
      <c r="D80" s="510" t="s">
        <v>974</v>
      </c>
      <c r="E80" s="327">
        <f>202050</f>
        <v>202050</v>
      </c>
      <c r="F80" s="541">
        <v>0.75</v>
      </c>
      <c r="G80" s="542">
        <f t="shared" si="5"/>
        <v>151537.5</v>
      </c>
      <c r="H80" s="541">
        <v>0.75</v>
      </c>
      <c r="I80" s="543">
        <f t="shared" si="6"/>
        <v>151537.5</v>
      </c>
    </row>
    <row r="81" spans="1:9">
      <c r="A81" s="355"/>
      <c r="B81" s="540" t="s">
        <v>988</v>
      </c>
      <c r="C81" s="560" t="s">
        <v>957</v>
      </c>
      <c r="D81" s="510" t="s">
        <v>957</v>
      </c>
      <c r="E81" s="327">
        <f>6760.85</f>
        <v>6760.85</v>
      </c>
      <c r="F81" s="541">
        <v>0.75</v>
      </c>
      <c r="G81" s="542">
        <f t="shared" si="5"/>
        <v>5070.6375000000007</v>
      </c>
      <c r="H81" s="541">
        <v>0.75</v>
      </c>
      <c r="I81" s="543">
        <f t="shared" si="6"/>
        <v>5070.6375000000007</v>
      </c>
    </row>
    <row r="82" spans="1:9">
      <c r="A82" s="355"/>
      <c r="B82" s="540" t="s">
        <v>988</v>
      </c>
      <c r="C82" s="560" t="s">
        <v>957</v>
      </c>
      <c r="D82" s="510" t="s">
        <v>957</v>
      </c>
      <c r="E82" s="327">
        <f>10395.13</f>
        <v>10395.129999999999</v>
      </c>
      <c r="F82" s="541">
        <v>0.75</v>
      </c>
      <c r="G82" s="542">
        <f t="shared" si="5"/>
        <v>7796.3474999999999</v>
      </c>
      <c r="H82" s="541">
        <v>0.75</v>
      </c>
      <c r="I82" s="543">
        <f t="shared" si="6"/>
        <v>7796.3474999999999</v>
      </c>
    </row>
    <row r="83" spans="1:9">
      <c r="A83" s="355"/>
      <c r="B83" s="540" t="s">
        <v>988</v>
      </c>
      <c r="C83" s="560" t="s">
        <v>998</v>
      </c>
      <c r="D83" s="510" t="s">
        <v>974</v>
      </c>
      <c r="E83" s="327">
        <f>506492.73</f>
        <v>506492.73</v>
      </c>
      <c r="F83" s="541">
        <v>0.75</v>
      </c>
      <c r="G83" s="542">
        <f t="shared" si="5"/>
        <v>379869.54749999999</v>
      </c>
      <c r="H83" s="541">
        <v>0.75</v>
      </c>
      <c r="I83" s="543">
        <f t="shared" si="6"/>
        <v>379869.54749999999</v>
      </c>
    </row>
    <row r="84" spans="1:9">
      <c r="A84" s="355"/>
      <c r="B84" s="540" t="s">
        <v>988</v>
      </c>
      <c r="C84" s="560" t="s">
        <v>974</v>
      </c>
      <c r="D84" s="510" t="s">
        <v>975</v>
      </c>
      <c r="E84" s="327">
        <f>121027.36</f>
        <v>121027.36</v>
      </c>
      <c r="F84" s="541">
        <v>0.75</v>
      </c>
      <c r="G84" s="542">
        <f t="shared" si="5"/>
        <v>90770.52</v>
      </c>
      <c r="H84" s="541">
        <v>0.75</v>
      </c>
      <c r="I84" s="543">
        <f t="shared" si="6"/>
        <v>90770.52</v>
      </c>
    </row>
    <row r="85" spans="1:9">
      <c r="A85" s="355"/>
      <c r="B85" s="540" t="s">
        <v>988</v>
      </c>
      <c r="C85" s="560" t="s">
        <v>957</v>
      </c>
      <c r="D85" s="510" t="s">
        <v>957</v>
      </c>
      <c r="E85" s="327">
        <f>2483.93</f>
        <v>2483.9299999999998</v>
      </c>
      <c r="F85" s="541">
        <v>0.75</v>
      </c>
      <c r="G85" s="542">
        <f t="shared" si="5"/>
        <v>1862.9474999999998</v>
      </c>
      <c r="H85" s="541">
        <v>0.75</v>
      </c>
      <c r="I85" s="543">
        <f t="shared" si="6"/>
        <v>1862.9474999999998</v>
      </c>
    </row>
    <row r="86" spans="1:9">
      <c r="A86" s="355"/>
      <c r="B86" s="540" t="s">
        <v>988</v>
      </c>
      <c r="C86" s="560" t="s">
        <v>999</v>
      </c>
      <c r="D86" s="510" t="s">
        <v>972</v>
      </c>
      <c r="E86" s="327">
        <f>454503.96</f>
        <v>454503.96</v>
      </c>
      <c r="F86" s="541">
        <v>0.75</v>
      </c>
      <c r="G86" s="542">
        <f t="shared" si="5"/>
        <v>340877.97000000003</v>
      </c>
      <c r="H86" s="541">
        <v>0.75</v>
      </c>
      <c r="I86" s="543">
        <f t="shared" si="6"/>
        <v>340877.97000000003</v>
      </c>
    </row>
    <row r="87" spans="1:9">
      <c r="A87" s="355"/>
      <c r="B87" s="540" t="s">
        <v>988</v>
      </c>
      <c r="C87" s="560" t="s">
        <v>957</v>
      </c>
      <c r="D87" s="510" t="s">
        <v>957</v>
      </c>
      <c r="E87" s="327">
        <f>12877</f>
        <v>12877</v>
      </c>
      <c r="F87" s="541">
        <v>0.75</v>
      </c>
      <c r="G87" s="542">
        <f t="shared" si="5"/>
        <v>9657.75</v>
      </c>
      <c r="H87" s="541">
        <v>0.75</v>
      </c>
      <c r="I87" s="543">
        <f t="shared" si="6"/>
        <v>9657.75</v>
      </c>
    </row>
    <row r="88" spans="1:9">
      <c r="A88" s="355"/>
      <c r="B88" s="540" t="s">
        <v>988</v>
      </c>
      <c r="C88" s="560" t="s">
        <v>1000</v>
      </c>
      <c r="D88" s="510" t="s">
        <v>974</v>
      </c>
      <c r="E88" s="327">
        <f>20216.8</f>
        <v>20216.8</v>
      </c>
      <c r="F88" s="541">
        <v>0.75</v>
      </c>
      <c r="G88" s="542">
        <f t="shared" si="5"/>
        <v>15162.599999999999</v>
      </c>
      <c r="H88" s="541">
        <v>0.75</v>
      </c>
      <c r="I88" s="543">
        <f t="shared" si="6"/>
        <v>15162.599999999999</v>
      </c>
    </row>
    <row r="89" spans="1:9">
      <c r="A89" s="355"/>
      <c r="B89" s="540" t="s">
        <v>988</v>
      </c>
      <c r="C89" s="560" t="s">
        <v>957</v>
      </c>
      <c r="D89" s="510" t="s">
        <v>957</v>
      </c>
      <c r="E89" s="327">
        <f>1978.87</f>
        <v>1978.87</v>
      </c>
      <c r="F89" s="541">
        <v>0.75</v>
      </c>
      <c r="G89" s="542">
        <f t="shared" si="5"/>
        <v>1484.1524999999999</v>
      </c>
      <c r="H89" s="541">
        <v>0.75</v>
      </c>
      <c r="I89" s="543">
        <f t="shared" si="6"/>
        <v>1484.1524999999999</v>
      </c>
    </row>
    <row r="90" spans="1:9">
      <c r="A90" s="355"/>
      <c r="B90" s="540" t="s">
        <v>988</v>
      </c>
      <c r="C90" s="560" t="s">
        <v>1001</v>
      </c>
      <c r="D90" s="510" t="s">
        <v>978</v>
      </c>
      <c r="E90" s="327">
        <f>36320.07</f>
        <v>36320.07</v>
      </c>
      <c r="F90" s="541">
        <v>0.75</v>
      </c>
      <c r="G90" s="542">
        <f t="shared" si="5"/>
        <v>27240.052499999998</v>
      </c>
      <c r="H90" s="541">
        <v>0.75</v>
      </c>
      <c r="I90" s="543">
        <f t="shared" si="6"/>
        <v>27240.052499999998</v>
      </c>
    </row>
    <row r="91" spans="1:9">
      <c r="A91" s="355"/>
      <c r="B91" s="540" t="s">
        <v>988</v>
      </c>
      <c r="C91" s="560" t="s">
        <v>957</v>
      </c>
      <c r="D91" s="510" t="s">
        <v>957</v>
      </c>
      <c r="E91" s="327">
        <f>630.74</f>
        <v>630.74</v>
      </c>
      <c r="F91" s="541">
        <v>0.75</v>
      </c>
      <c r="G91" s="542">
        <f t="shared" si="5"/>
        <v>473.05500000000001</v>
      </c>
      <c r="H91" s="541">
        <v>0.75</v>
      </c>
      <c r="I91" s="543">
        <f t="shared" si="6"/>
        <v>473.05500000000001</v>
      </c>
    </row>
    <row r="92" spans="1:9">
      <c r="A92" s="355"/>
      <c r="B92" s="540" t="s">
        <v>988</v>
      </c>
      <c r="C92" s="560" t="s">
        <v>1002</v>
      </c>
      <c r="D92" s="510" t="s">
        <v>974</v>
      </c>
      <c r="E92" s="327">
        <f>23846.74</f>
        <v>23846.74</v>
      </c>
      <c r="F92" s="541">
        <v>0.75</v>
      </c>
      <c r="G92" s="542">
        <f t="shared" si="5"/>
        <v>17885.055</v>
      </c>
      <c r="H92" s="541">
        <v>0.75</v>
      </c>
      <c r="I92" s="543">
        <f t="shared" si="6"/>
        <v>17885.055</v>
      </c>
    </row>
    <row r="93" spans="1:9">
      <c r="A93" s="355"/>
      <c r="B93" s="540" t="s">
        <v>988</v>
      </c>
      <c r="C93" s="560" t="s">
        <v>1003</v>
      </c>
      <c r="D93" s="510" t="s">
        <v>1004</v>
      </c>
      <c r="E93" s="327">
        <f>57731</f>
        <v>57731</v>
      </c>
      <c r="F93" s="541">
        <v>0.75</v>
      </c>
      <c r="G93" s="542">
        <f t="shared" si="5"/>
        <v>43298.25</v>
      </c>
      <c r="H93" s="541">
        <v>0.75</v>
      </c>
      <c r="I93" s="543">
        <f t="shared" si="6"/>
        <v>43298.25</v>
      </c>
    </row>
    <row r="94" spans="1:9">
      <c r="A94" s="355"/>
      <c r="B94" s="540" t="s">
        <v>988</v>
      </c>
      <c r="C94" s="560" t="s">
        <v>980</v>
      </c>
      <c r="D94" s="510" t="s">
        <v>981</v>
      </c>
      <c r="E94" s="327">
        <f>144190.32</f>
        <v>144190.32</v>
      </c>
      <c r="F94" s="541">
        <v>0.75</v>
      </c>
      <c r="G94" s="542">
        <f t="shared" si="5"/>
        <v>108142.74</v>
      </c>
      <c r="H94" s="541">
        <v>0.75</v>
      </c>
      <c r="I94" s="543">
        <f t="shared" si="6"/>
        <v>108142.74</v>
      </c>
    </row>
    <row r="95" spans="1:9">
      <c r="A95" s="355"/>
      <c r="B95" s="540" t="s">
        <v>988</v>
      </c>
      <c r="C95" s="560" t="s">
        <v>963</v>
      </c>
      <c r="D95" s="510"/>
      <c r="E95" s="327">
        <f>1233220.06</f>
        <v>1233220.06</v>
      </c>
      <c r="F95" s="541">
        <v>0.75</v>
      </c>
      <c r="G95" s="542">
        <f t="shared" si="5"/>
        <v>924915.04500000004</v>
      </c>
      <c r="H95" s="541">
        <v>0.75</v>
      </c>
      <c r="I95" s="543">
        <f t="shared" si="6"/>
        <v>924915.04500000004</v>
      </c>
    </row>
    <row r="96" spans="1:9">
      <c r="A96" s="355"/>
      <c r="B96" s="540" t="s">
        <v>988</v>
      </c>
      <c r="C96" s="560" t="s">
        <v>957</v>
      </c>
      <c r="D96" s="510"/>
      <c r="E96" s="327">
        <f>15693.5</f>
        <v>15693.5</v>
      </c>
      <c r="F96" s="541">
        <v>0.75</v>
      </c>
      <c r="G96" s="542">
        <f t="shared" si="5"/>
        <v>11770.125</v>
      </c>
      <c r="H96" s="541">
        <v>0.75</v>
      </c>
      <c r="I96" s="543">
        <f t="shared" si="6"/>
        <v>11770.125</v>
      </c>
    </row>
    <row r="97" spans="1:9">
      <c r="A97" s="355"/>
      <c r="B97" s="540" t="s">
        <v>988</v>
      </c>
      <c r="C97" s="560" t="s">
        <v>981</v>
      </c>
      <c r="D97" s="510" t="s">
        <v>981</v>
      </c>
      <c r="E97" s="327">
        <f>167020.06</f>
        <v>167020.06</v>
      </c>
      <c r="F97" s="541">
        <v>0.75</v>
      </c>
      <c r="G97" s="542">
        <f t="shared" si="5"/>
        <v>125265.045</v>
      </c>
      <c r="H97" s="541">
        <v>0.75</v>
      </c>
      <c r="I97" s="543">
        <f t="shared" si="6"/>
        <v>125265.045</v>
      </c>
    </row>
    <row r="98" spans="1:9">
      <c r="A98" s="355"/>
      <c r="B98" s="540" t="s">
        <v>988</v>
      </c>
      <c r="C98" s="560" t="s">
        <v>957</v>
      </c>
      <c r="D98" s="510" t="s">
        <v>957</v>
      </c>
      <c r="E98" s="327">
        <f>2373.14</f>
        <v>2373.14</v>
      </c>
      <c r="F98" s="541">
        <v>0.75</v>
      </c>
      <c r="G98" s="542">
        <f t="shared" si="5"/>
        <v>1779.855</v>
      </c>
      <c r="H98" s="541">
        <v>0.75</v>
      </c>
      <c r="I98" s="543">
        <f t="shared" si="6"/>
        <v>1779.855</v>
      </c>
    </row>
    <row r="99" spans="1:9" s="562" customFormat="1" ht="13.5" thickBot="1">
      <c r="A99" s="355"/>
      <c r="B99" s="540"/>
      <c r="C99" s="561" t="s">
        <v>952</v>
      </c>
      <c r="D99" s="545"/>
      <c r="E99" s="546">
        <f>SUM(E52:E98)</f>
        <v>5110212.1099999994</v>
      </c>
      <c r="F99" s="547"/>
      <c r="G99" s="548">
        <f>SUM(G52:G98)</f>
        <v>3832659.0825000005</v>
      </c>
      <c r="H99" s="545"/>
      <c r="I99" s="549">
        <f>SUM(I52:I98)</f>
        <v>3832659.0825000005</v>
      </c>
    </row>
    <row r="100" spans="1:9" ht="13.5" thickTop="1">
      <c r="A100" s="355"/>
      <c r="B100" s="540" t="s">
        <v>988</v>
      </c>
      <c r="C100" s="560" t="s">
        <v>1005</v>
      </c>
      <c r="D100" s="510" t="s">
        <v>1006</v>
      </c>
      <c r="E100" s="327">
        <f>636801.91</f>
        <v>636801.91</v>
      </c>
      <c r="F100" s="541">
        <v>0.52300000000000002</v>
      </c>
      <c r="G100" s="542">
        <f>E100*F100</f>
        <v>333047.39893000002</v>
      </c>
      <c r="H100" s="541">
        <v>0.75</v>
      </c>
      <c r="I100" s="543">
        <f>E100*H100</f>
        <v>477601.4325</v>
      </c>
    </row>
    <row r="101" spans="1:9">
      <c r="A101" s="355"/>
      <c r="B101" s="540" t="s">
        <v>988</v>
      </c>
      <c r="C101" s="560" t="s">
        <v>957</v>
      </c>
      <c r="D101" s="510" t="s">
        <v>957</v>
      </c>
      <c r="E101" s="327">
        <f>3422.21</f>
        <v>3422.21</v>
      </c>
      <c r="F101" s="541">
        <v>0.52300000000000002</v>
      </c>
      <c r="G101" s="542">
        <f t="shared" ref="G101:G127" si="7">E101*F101</f>
        <v>1789.81583</v>
      </c>
      <c r="H101" s="541">
        <v>0.75</v>
      </c>
      <c r="I101" s="543">
        <f t="shared" ref="I101:I127" si="8">E101*H101</f>
        <v>2566.6575000000003</v>
      </c>
    </row>
    <row r="102" spans="1:9">
      <c r="A102" s="355"/>
      <c r="B102" s="540" t="s">
        <v>988</v>
      </c>
      <c r="C102" s="560" t="s">
        <v>1007</v>
      </c>
      <c r="D102" s="510" t="s">
        <v>1008</v>
      </c>
      <c r="E102" s="327">
        <f>152203.76</f>
        <v>152203.76</v>
      </c>
      <c r="F102" s="541">
        <v>0.52300000000000002</v>
      </c>
      <c r="G102" s="542">
        <f t="shared" si="7"/>
        <v>79602.566480000009</v>
      </c>
      <c r="H102" s="541">
        <v>0.75</v>
      </c>
      <c r="I102" s="543">
        <f t="shared" si="8"/>
        <v>114152.82</v>
      </c>
    </row>
    <row r="103" spans="1:9">
      <c r="A103" s="355"/>
      <c r="B103" s="540" t="s">
        <v>988</v>
      </c>
      <c r="C103" s="560" t="s">
        <v>1009</v>
      </c>
      <c r="D103" s="510" t="s">
        <v>1010</v>
      </c>
      <c r="E103" s="327">
        <f>41538.31</f>
        <v>41538.31</v>
      </c>
      <c r="F103" s="541">
        <v>0.52300000000000002</v>
      </c>
      <c r="G103" s="542">
        <f t="shared" si="7"/>
        <v>21724.53613</v>
      </c>
      <c r="H103" s="541">
        <v>0.75</v>
      </c>
      <c r="I103" s="543">
        <f t="shared" si="8"/>
        <v>31153.732499999998</v>
      </c>
    </row>
    <row r="104" spans="1:9">
      <c r="A104" s="355"/>
      <c r="B104" s="540" t="s">
        <v>988</v>
      </c>
      <c r="C104" s="560" t="s">
        <v>957</v>
      </c>
      <c r="D104" s="510" t="s">
        <v>957</v>
      </c>
      <c r="E104" s="327">
        <f>6304.24</f>
        <v>6304.24</v>
      </c>
      <c r="F104" s="541">
        <v>0.52300000000000002</v>
      </c>
      <c r="G104" s="542">
        <f t="shared" si="7"/>
        <v>3297.1175200000002</v>
      </c>
      <c r="H104" s="541">
        <v>0.75</v>
      </c>
      <c r="I104" s="543">
        <f t="shared" si="8"/>
        <v>4728.18</v>
      </c>
    </row>
    <row r="105" spans="1:9">
      <c r="A105" s="355"/>
      <c r="B105" s="540" t="s">
        <v>988</v>
      </c>
      <c r="C105" s="560" t="s">
        <v>976</v>
      </c>
      <c r="D105" s="510" t="s">
        <v>1011</v>
      </c>
      <c r="E105" s="327">
        <f>20893.47</f>
        <v>20893.47</v>
      </c>
      <c r="F105" s="541">
        <v>0.52300000000000002</v>
      </c>
      <c r="G105" s="542">
        <f t="shared" si="7"/>
        <v>10927.284810000001</v>
      </c>
      <c r="H105" s="541">
        <v>0.75</v>
      </c>
      <c r="I105" s="543">
        <f t="shared" si="8"/>
        <v>15670.102500000001</v>
      </c>
    </row>
    <row r="106" spans="1:9">
      <c r="A106" s="355"/>
      <c r="B106" s="540" t="s">
        <v>988</v>
      </c>
      <c r="C106" s="560" t="s">
        <v>976</v>
      </c>
      <c r="D106" s="510" t="s">
        <v>1012</v>
      </c>
      <c r="E106" s="327">
        <f>20481.87</f>
        <v>20481.87</v>
      </c>
      <c r="F106" s="541">
        <v>0.52300000000000002</v>
      </c>
      <c r="G106" s="542">
        <f t="shared" si="7"/>
        <v>10712.01801</v>
      </c>
      <c r="H106" s="541">
        <v>0.75</v>
      </c>
      <c r="I106" s="543">
        <f t="shared" si="8"/>
        <v>15361.4025</v>
      </c>
    </row>
    <row r="107" spans="1:9">
      <c r="A107" s="355"/>
      <c r="B107" s="540" t="s">
        <v>988</v>
      </c>
      <c r="C107" s="560" t="s">
        <v>957</v>
      </c>
      <c r="D107" s="510" t="s">
        <v>957</v>
      </c>
      <c r="E107" s="327">
        <f>405078.07</f>
        <v>405078.07</v>
      </c>
      <c r="F107" s="541">
        <v>0.52300000000000002</v>
      </c>
      <c r="G107" s="542">
        <f t="shared" si="7"/>
        <v>211855.83061</v>
      </c>
      <c r="H107" s="541">
        <v>0.75</v>
      </c>
      <c r="I107" s="543">
        <f t="shared" si="8"/>
        <v>303808.55249999999</v>
      </c>
    </row>
    <row r="108" spans="1:9">
      <c r="A108" s="355"/>
      <c r="B108" s="540" t="s">
        <v>988</v>
      </c>
      <c r="C108" s="560" t="s">
        <v>1013</v>
      </c>
      <c r="D108" s="510" t="s">
        <v>1014</v>
      </c>
      <c r="E108" s="327">
        <f>651815.82</f>
        <v>651815.81999999995</v>
      </c>
      <c r="F108" s="541">
        <v>0.52300000000000002</v>
      </c>
      <c r="G108" s="542">
        <f t="shared" si="7"/>
        <v>340899.67385999998</v>
      </c>
      <c r="H108" s="541">
        <v>0.75</v>
      </c>
      <c r="I108" s="543">
        <f t="shared" si="8"/>
        <v>488861.86499999999</v>
      </c>
    </row>
    <row r="109" spans="1:9">
      <c r="A109" s="355"/>
      <c r="B109" s="540" t="s">
        <v>988</v>
      </c>
      <c r="C109" s="560" t="s">
        <v>957</v>
      </c>
      <c r="D109" s="510" t="s">
        <v>957</v>
      </c>
      <c r="E109" s="327">
        <f>39508.27</f>
        <v>39508.269999999997</v>
      </c>
      <c r="F109" s="541">
        <v>0.52300000000000002</v>
      </c>
      <c r="G109" s="542">
        <f t="shared" si="7"/>
        <v>20662.825209999999</v>
      </c>
      <c r="H109" s="541">
        <v>0.75</v>
      </c>
      <c r="I109" s="543">
        <f t="shared" si="8"/>
        <v>29631.202499999999</v>
      </c>
    </row>
    <row r="110" spans="1:9">
      <c r="A110" s="355"/>
      <c r="B110" s="540" t="s">
        <v>988</v>
      </c>
      <c r="C110" s="560" t="s">
        <v>957</v>
      </c>
      <c r="D110" s="510" t="s">
        <v>957</v>
      </c>
      <c r="E110" s="327">
        <f>1653.98</f>
        <v>1653.98</v>
      </c>
      <c r="F110" s="541">
        <v>0.52300000000000002</v>
      </c>
      <c r="G110" s="542">
        <f t="shared" si="7"/>
        <v>865.03154000000006</v>
      </c>
      <c r="H110" s="541">
        <v>0.75</v>
      </c>
      <c r="I110" s="543">
        <f t="shared" si="8"/>
        <v>1240.4850000000001</v>
      </c>
    </row>
    <row r="111" spans="1:9">
      <c r="A111" s="355"/>
      <c r="B111" s="540" t="s">
        <v>988</v>
      </c>
      <c r="C111" s="560" t="s">
        <v>968</v>
      </c>
      <c r="D111" s="510" t="s">
        <v>1015</v>
      </c>
      <c r="E111" s="327">
        <f>15702.99</f>
        <v>15702.99</v>
      </c>
      <c r="F111" s="541">
        <v>0.52300000000000002</v>
      </c>
      <c r="G111" s="542">
        <f t="shared" si="7"/>
        <v>8212.663770000001</v>
      </c>
      <c r="H111" s="541">
        <v>0.75</v>
      </c>
      <c r="I111" s="543">
        <f t="shared" si="8"/>
        <v>11777.2425</v>
      </c>
    </row>
    <row r="112" spans="1:9">
      <c r="A112" s="355"/>
      <c r="B112" s="540" t="s">
        <v>988</v>
      </c>
      <c r="C112" s="560" t="s">
        <v>957</v>
      </c>
      <c r="D112" s="510" t="s">
        <v>957</v>
      </c>
      <c r="E112" s="327">
        <f>8042.02</f>
        <v>8042.02</v>
      </c>
      <c r="F112" s="541">
        <v>0.52300000000000002</v>
      </c>
      <c r="G112" s="542">
        <f t="shared" si="7"/>
        <v>4205.9764600000008</v>
      </c>
      <c r="H112" s="541">
        <v>0.75</v>
      </c>
      <c r="I112" s="543">
        <f t="shared" si="8"/>
        <v>6031.5150000000003</v>
      </c>
    </row>
    <row r="113" spans="1:9">
      <c r="A113" s="355"/>
      <c r="B113" s="540" t="s">
        <v>988</v>
      </c>
      <c r="C113" s="560" t="s">
        <v>957</v>
      </c>
      <c r="D113" s="510" t="s">
        <v>957</v>
      </c>
      <c r="E113" s="327">
        <f>8042</f>
        <v>8042</v>
      </c>
      <c r="F113" s="541">
        <v>0.52300000000000002</v>
      </c>
      <c r="G113" s="542">
        <f t="shared" si="7"/>
        <v>4205.9660000000003</v>
      </c>
      <c r="H113" s="541">
        <v>0.75</v>
      </c>
      <c r="I113" s="543">
        <f t="shared" si="8"/>
        <v>6031.5</v>
      </c>
    </row>
    <row r="114" spans="1:9">
      <c r="A114" s="355"/>
      <c r="B114" s="540" t="s">
        <v>988</v>
      </c>
      <c r="C114" s="560" t="s">
        <v>965</v>
      </c>
      <c r="D114" s="510" t="s">
        <v>1016</v>
      </c>
      <c r="E114" s="327">
        <f>81569.43</f>
        <v>81569.429999999993</v>
      </c>
      <c r="F114" s="541">
        <v>0.52300000000000002</v>
      </c>
      <c r="G114" s="542">
        <f t="shared" si="7"/>
        <v>42660.811889999997</v>
      </c>
      <c r="H114" s="541">
        <v>0.75</v>
      </c>
      <c r="I114" s="543">
        <f t="shared" si="8"/>
        <v>61177.072499999995</v>
      </c>
    </row>
    <row r="115" spans="1:9">
      <c r="A115" s="355"/>
      <c r="B115" s="540" t="s">
        <v>988</v>
      </c>
      <c r="C115" s="560" t="s">
        <v>965</v>
      </c>
      <c r="D115" s="510" t="s">
        <v>1017</v>
      </c>
      <c r="E115" s="327">
        <f>81569.42</f>
        <v>81569.42</v>
      </c>
      <c r="F115" s="541">
        <v>0.52300000000000002</v>
      </c>
      <c r="G115" s="542">
        <f t="shared" si="7"/>
        <v>42660.806660000002</v>
      </c>
      <c r="H115" s="541">
        <v>0.75</v>
      </c>
      <c r="I115" s="543">
        <f t="shared" si="8"/>
        <v>61177.065000000002</v>
      </c>
    </row>
    <row r="116" spans="1:9">
      <c r="A116" s="355"/>
      <c r="B116" s="540" t="s">
        <v>988</v>
      </c>
      <c r="C116" s="560" t="s">
        <v>965</v>
      </c>
      <c r="D116" s="510" t="s">
        <v>1016</v>
      </c>
      <c r="E116" s="327">
        <f>818051.19</f>
        <v>818051.19</v>
      </c>
      <c r="F116" s="541">
        <v>0.52300000000000002</v>
      </c>
      <c r="G116" s="542">
        <f t="shared" si="7"/>
        <v>427840.77236999996</v>
      </c>
      <c r="H116" s="541">
        <v>0.75</v>
      </c>
      <c r="I116" s="543">
        <f t="shared" si="8"/>
        <v>613538.39249999996</v>
      </c>
    </row>
    <row r="117" spans="1:9">
      <c r="A117" s="355"/>
      <c r="B117" s="540" t="s">
        <v>988</v>
      </c>
      <c r="C117" s="560" t="s">
        <v>957</v>
      </c>
      <c r="D117" s="510" t="s">
        <v>957</v>
      </c>
      <c r="E117" s="327">
        <f>66516.55</f>
        <v>66516.55</v>
      </c>
      <c r="F117" s="541">
        <v>0.52300000000000002</v>
      </c>
      <c r="G117" s="542">
        <f t="shared" si="7"/>
        <v>34788.155650000001</v>
      </c>
      <c r="H117" s="541">
        <v>0.75</v>
      </c>
      <c r="I117" s="543">
        <f t="shared" si="8"/>
        <v>49887.412500000006</v>
      </c>
    </row>
    <row r="118" spans="1:9">
      <c r="A118" s="355"/>
      <c r="B118" s="540" t="s">
        <v>988</v>
      </c>
      <c r="C118" s="560" t="s">
        <v>980</v>
      </c>
      <c r="D118" s="510" t="s">
        <v>987</v>
      </c>
      <c r="E118" s="327">
        <f>146114.62</f>
        <v>146114.62</v>
      </c>
      <c r="F118" s="541">
        <v>0.52300000000000002</v>
      </c>
      <c r="G118" s="542">
        <f t="shared" si="7"/>
        <v>76417.946259999997</v>
      </c>
      <c r="H118" s="541">
        <v>0.75</v>
      </c>
      <c r="I118" s="543">
        <f t="shared" si="8"/>
        <v>109585.965</v>
      </c>
    </row>
    <row r="119" spans="1:9">
      <c r="A119" s="355"/>
      <c r="B119" s="540" t="s">
        <v>988</v>
      </c>
      <c r="C119" s="560" t="s">
        <v>2387</v>
      </c>
      <c r="D119" s="510" t="s">
        <v>957</v>
      </c>
      <c r="E119" s="327">
        <f>1844.89</f>
        <v>1844.89</v>
      </c>
      <c r="F119" s="541">
        <v>0.52300000000000002</v>
      </c>
      <c r="G119" s="542">
        <f t="shared" si="7"/>
        <v>964.87747000000013</v>
      </c>
      <c r="H119" s="541">
        <v>0.75</v>
      </c>
      <c r="I119" s="543">
        <f t="shared" si="8"/>
        <v>1383.6675</v>
      </c>
    </row>
    <row r="120" spans="1:9">
      <c r="A120" s="355"/>
      <c r="B120" s="540" t="s">
        <v>988</v>
      </c>
      <c r="C120" s="560" t="s">
        <v>2388</v>
      </c>
      <c r="D120" s="510" t="s">
        <v>957</v>
      </c>
      <c r="E120" s="327">
        <f>3844.64</f>
        <v>3844.64</v>
      </c>
      <c r="F120" s="541">
        <v>0.52300000000000002</v>
      </c>
      <c r="G120" s="542">
        <f t="shared" si="7"/>
        <v>2010.7467200000001</v>
      </c>
      <c r="H120" s="541">
        <v>0.75</v>
      </c>
      <c r="I120" s="543">
        <f t="shared" si="8"/>
        <v>2883.48</v>
      </c>
    </row>
    <row r="121" spans="1:9">
      <c r="A121" s="355"/>
      <c r="B121" s="540" t="s">
        <v>988</v>
      </c>
      <c r="C121" s="560" t="s">
        <v>965</v>
      </c>
      <c r="D121" s="510" t="s">
        <v>1018</v>
      </c>
      <c r="E121" s="327">
        <f>220907.89</f>
        <v>220907.89</v>
      </c>
      <c r="F121" s="541">
        <v>0.52300000000000002</v>
      </c>
      <c r="G121" s="542">
        <f t="shared" si="7"/>
        <v>115534.82647000001</v>
      </c>
      <c r="H121" s="541">
        <v>0.75</v>
      </c>
      <c r="I121" s="543">
        <f t="shared" si="8"/>
        <v>165680.91750000001</v>
      </c>
    </row>
    <row r="122" spans="1:9">
      <c r="A122" s="355"/>
      <c r="B122" s="540" t="s">
        <v>988</v>
      </c>
      <c r="C122" s="560" t="s">
        <v>957</v>
      </c>
      <c r="D122" s="510" t="s">
        <v>957</v>
      </c>
      <c r="E122" s="327">
        <f>5014.67</f>
        <v>5014.67</v>
      </c>
      <c r="F122" s="541">
        <v>0.52300000000000002</v>
      </c>
      <c r="G122" s="542">
        <f t="shared" si="7"/>
        <v>2622.6724100000001</v>
      </c>
      <c r="H122" s="541">
        <v>0.75</v>
      </c>
      <c r="I122" s="543">
        <f t="shared" si="8"/>
        <v>3761.0025000000001</v>
      </c>
    </row>
    <row r="123" spans="1:9">
      <c r="A123" s="355"/>
      <c r="B123" s="540" t="s">
        <v>988</v>
      </c>
      <c r="C123" s="560" t="s">
        <v>1019</v>
      </c>
      <c r="D123" s="510" t="s">
        <v>1020</v>
      </c>
      <c r="E123" s="327">
        <f>219050.16</f>
        <v>219050.16</v>
      </c>
      <c r="F123" s="541">
        <v>0.52300000000000002</v>
      </c>
      <c r="G123" s="542">
        <f t="shared" si="7"/>
        <v>114563.23368</v>
      </c>
      <c r="H123" s="541">
        <v>0.75</v>
      </c>
      <c r="I123" s="543">
        <f t="shared" si="8"/>
        <v>164287.62</v>
      </c>
    </row>
    <row r="124" spans="1:9">
      <c r="A124" s="355"/>
      <c r="B124" s="540" t="s">
        <v>988</v>
      </c>
      <c r="C124" s="560" t="s">
        <v>957</v>
      </c>
      <c r="D124" s="510" t="s">
        <v>957</v>
      </c>
      <c r="E124" s="327">
        <f>285734.43</f>
        <v>285734.43</v>
      </c>
      <c r="F124" s="541">
        <v>0.52300000000000002</v>
      </c>
      <c r="G124" s="542">
        <f t="shared" si="7"/>
        <v>149439.10689</v>
      </c>
      <c r="H124" s="541">
        <v>0.75</v>
      </c>
      <c r="I124" s="543">
        <f t="shared" si="8"/>
        <v>214300.82250000001</v>
      </c>
    </row>
    <row r="125" spans="1:9">
      <c r="A125" s="355"/>
      <c r="B125" s="540" t="s">
        <v>988</v>
      </c>
      <c r="C125" s="560" t="s">
        <v>2389</v>
      </c>
      <c r="D125" s="510" t="s">
        <v>1021</v>
      </c>
      <c r="E125" s="327">
        <f>1929776.32</f>
        <v>1929776.32</v>
      </c>
      <c r="F125" s="541">
        <v>0.52300000000000002</v>
      </c>
      <c r="G125" s="542">
        <f t="shared" si="7"/>
        <v>1009273.0153600001</v>
      </c>
      <c r="H125" s="541">
        <v>0.75</v>
      </c>
      <c r="I125" s="543">
        <f t="shared" si="8"/>
        <v>1447332.24</v>
      </c>
    </row>
    <row r="126" spans="1:9">
      <c r="A126" s="355"/>
      <c r="B126" s="540" t="s">
        <v>988</v>
      </c>
      <c r="C126" s="560" t="s">
        <v>1022</v>
      </c>
      <c r="D126" s="510" t="s">
        <v>1021</v>
      </c>
      <c r="E126" s="327">
        <f>303096.04</f>
        <v>303096.03999999998</v>
      </c>
      <c r="F126" s="541">
        <v>0.52300000000000002</v>
      </c>
      <c r="G126" s="542">
        <f t="shared" si="7"/>
        <v>158519.22891999999</v>
      </c>
      <c r="H126" s="541">
        <v>0.75</v>
      </c>
      <c r="I126" s="543">
        <f t="shared" si="8"/>
        <v>227322.02999999997</v>
      </c>
    </row>
    <row r="127" spans="1:9">
      <c r="A127" s="355"/>
      <c r="B127" s="540" t="s">
        <v>988</v>
      </c>
      <c r="C127" s="563" t="s">
        <v>1023</v>
      </c>
      <c r="D127" s="510" t="s">
        <v>1021</v>
      </c>
      <c r="E127" s="327">
        <f>1362394.81</f>
        <v>1362394.81</v>
      </c>
      <c r="F127" s="541">
        <v>0.52300000000000002</v>
      </c>
      <c r="G127" s="542">
        <f t="shared" si="7"/>
        <v>712532.48563000001</v>
      </c>
      <c r="H127" s="541">
        <v>0.75</v>
      </c>
      <c r="I127" s="543">
        <f t="shared" si="8"/>
        <v>1021796.1075</v>
      </c>
    </row>
    <row r="128" spans="1:9" ht="13.5" thickBot="1">
      <c r="A128" s="564"/>
      <c r="B128" s="481"/>
      <c r="C128" s="565" t="s">
        <v>952</v>
      </c>
      <c r="D128" s="566"/>
      <c r="E128" s="567">
        <f>SUM(E100:E127)</f>
        <v>7536973.9800000004</v>
      </c>
      <c r="F128" s="566"/>
      <c r="G128" s="568">
        <f>SUM(G100:G127)</f>
        <v>3941837.3915400007</v>
      </c>
      <c r="H128" s="566"/>
      <c r="I128" s="569">
        <f>SUM(I100:I127)</f>
        <v>5652730.4850000003</v>
      </c>
    </row>
    <row r="129" spans="2:2">
      <c r="B129" s="562"/>
    </row>
  </sheetData>
  <pageMargins left="0.7" right="0.7" top="0.75" bottom="0.75" header="0.3" footer="0.3"/>
  <pageSetup scale="59" fitToHeight="0" orientation="landscape" r:id="rId1"/>
  <headerFooter>
    <oddFooter>&amp;R&amp;A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D32"/>
  <sheetViews>
    <sheetView view="pageBreakPreview" topLeftCell="A7" zoomScale="110" zoomScaleNormal="100" zoomScaleSheetLayoutView="110" workbookViewId="0">
      <selection activeCell="C12" sqref="C12"/>
    </sheetView>
  </sheetViews>
  <sheetFormatPr defaultColWidth="9.1796875" defaultRowHeight="13"/>
  <cols>
    <col min="1" max="1" width="9.1796875" style="351"/>
    <col min="2" max="2" width="47.26953125" style="351" customWidth="1"/>
    <col min="3" max="3" width="38.54296875" style="351" customWidth="1"/>
    <col min="4" max="4" width="21" style="351" customWidth="1"/>
    <col min="5" max="16384" width="9.1796875" style="351"/>
  </cols>
  <sheetData>
    <row r="1" spans="1:4">
      <c r="A1" s="347" t="str">
        <f>'Cover Sheets'!A10:B10</f>
        <v>WAPA-UGP 2020 Rate Estimate Calculation</v>
      </c>
      <c r="B1" s="353"/>
      <c r="C1" s="353"/>
      <c r="D1" s="380"/>
    </row>
    <row r="2" spans="1:4">
      <c r="A2" s="795" t="s">
        <v>2596</v>
      </c>
      <c r="B2" s="354"/>
      <c r="C2" s="354"/>
      <c r="D2" s="381"/>
    </row>
    <row r="3" spans="1:4">
      <c r="A3" s="355" t="str">
        <f>'WS1-RateBase'!A4</f>
        <v>12 Months Ending 09/30/2020 ESTIMATE</v>
      </c>
      <c r="B3" s="354"/>
      <c r="C3" s="354"/>
      <c r="D3" s="381"/>
    </row>
    <row r="4" spans="1:4">
      <c r="A4" s="168"/>
      <c r="B4" s="356" t="s">
        <v>2</v>
      </c>
      <c r="C4" s="357" t="s">
        <v>1448</v>
      </c>
      <c r="D4" s="358" t="s">
        <v>1047</v>
      </c>
    </row>
    <row r="5" spans="1:4" ht="13.5" thickBot="1">
      <c r="A5" s="359" t="s">
        <v>1046</v>
      </c>
      <c r="B5" s="360">
        <v>-1</v>
      </c>
      <c r="C5" s="360">
        <v>-2</v>
      </c>
      <c r="D5" s="361">
        <v>-3</v>
      </c>
    </row>
    <row r="6" spans="1:4">
      <c r="A6" s="362">
        <v>1</v>
      </c>
      <c r="B6" s="500" t="s">
        <v>1447</v>
      </c>
      <c r="C6" s="382">
        <f>C27</f>
        <v>291973.43656167539</v>
      </c>
      <c r="D6" s="383" t="s">
        <v>1289</v>
      </c>
    </row>
    <row r="7" spans="1:4">
      <c r="A7" s="362">
        <v>2</v>
      </c>
      <c r="B7" s="500" t="s">
        <v>2503</v>
      </c>
      <c r="C7" s="384">
        <v>108955</v>
      </c>
      <c r="D7" s="368" t="s">
        <v>1288</v>
      </c>
    </row>
    <row r="8" spans="1:4">
      <c r="A8" s="362">
        <v>3</v>
      </c>
      <c r="B8" s="500" t="s">
        <v>2436</v>
      </c>
      <c r="C8" s="327">
        <f>168000</f>
        <v>168000</v>
      </c>
      <c r="D8" s="385"/>
    </row>
    <row r="9" spans="1:4">
      <c r="A9" s="362">
        <v>4</v>
      </c>
      <c r="B9" s="500" t="s">
        <v>2437</v>
      </c>
      <c r="C9" s="327">
        <f>168000</f>
        <v>168000</v>
      </c>
      <c r="D9" s="375" t="s">
        <v>1287</v>
      </c>
    </row>
    <row r="10" spans="1:4">
      <c r="A10" s="362">
        <v>5</v>
      </c>
      <c r="B10" s="500" t="s">
        <v>1472</v>
      </c>
      <c r="C10" s="386">
        <f>C8/C9</f>
        <v>1</v>
      </c>
      <c r="D10" s="385" t="s">
        <v>1471</v>
      </c>
    </row>
    <row r="11" spans="1:4">
      <c r="A11" s="362">
        <v>6</v>
      </c>
      <c r="B11" s="500" t="s">
        <v>2613</v>
      </c>
      <c r="C11" s="384">
        <v>108955</v>
      </c>
      <c r="D11" s="385" t="s">
        <v>1470</v>
      </c>
    </row>
    <row r="12" spans="1:4">
      <c r="A12" s="362">
        <v>7</v>
      </c>
      <c r="B12" s="500" t="s">
        <v>1469</v>
      </c>
      <c r="C12" s="387">
        <f>SUM(C6,C11)</f>
        <v>400928.43656167539</v>
      </c>
      <c r="D12" s="385" t="s">
        <v>1468</v>
      </c>
    </row>
    <row r="13" spans="1:4">
      <c r="A13" s="388" t="s">
        <v>1467</v>
      </c>
      <c r="B13" s="500" t="s">
        <v>1446</v>
      </c>
      <c r="C13" s="354"/>
      <c r="D13" s="385"/>
    </row>
    <row r="14" spans="1:4">
      <c r="A14" s="388"/>
      <c r="B14" s="500" t="s">
        <v>2438</v>
      </c>
      <c r="C14" s="354"/>
      <c r="D14" s="385"/>
    </row>
    <row r="15" spans="1:4">
      <c r="A15" s="388" t="s">
        <v>1466</v>
      </c>
      <c r="B15" s="500" t="s">
        <v>2439</v>
      </c>
      <c r="C15" s="354"/>
      <c r="D15" s="385"/>
    </row>
    <row r="16" spans="1:4">
      <c r="A16" s="388" t="s">
        <v>1287</v>
      </c>
      <c r="B16" s="500" t="s">
        <v>2440</v>
      </c>
      <c r="C16" s="354"/>
      <c r="D16" s="385"/>
    </row>
    <row r="17" spans="1:4">
      <c r="A17" s="388"/>
      <c r="B17" s="500"/>
      <c r="C17" s="354"/>
      <c r="D17" s="385"/>
    </row>
    <row r="18" spans="1:4">
      <c r="A18" s="355"/>
      <c r="B18" s="501" t="s">
        <v>1465</v>
      </c>
      <c r="C18" s="354"/>
      <c r="D18" s="385"/>
    </row>
    <row r="19" spans="1:4">
      <c r="A19" s="389">
        <v>11</v>
      </c>
      <c r="B19" s="366" t="s">
        <v>1464</v>
      </c>
      <c r="C19" s="390">
        <f>'WS2-AllocFactor'!E34</f>
        <v>0.14346378542148058</v>
      </c>
      <c r="D19" s="375" t="s">
        <v>1286</v>
      </c>
    </row>
    <row r="20" spans="1:4" ht="13.5" thickBot="1">
      <c r="A20" s="389">
        <v>12</v>
      </c>
      <c r="B20" s="502" t="s">
        <v>1463</v>
      </c>
      <c r="C20" s="391">
        <f>'WS2-AllocFactor'!E35</f>
        <v>525042604.00851512</v>
      </c>
      <c r="D20" s="375" t="s">
        <v>1285</v>
      </c>
    </row>
    <row r="21" spans="1:4" ht="13.5" thickTop="1">
      <c r="A21" s="389">
        <v>13</v>
      </c>
      <c r="B21" s="502" t="s">
        <v>1462</v>
      </c>
      <c r="C21" s="369">
        <f>C19*C20</f>
        <v>75324599.478613019</v>
      </c>
      <c r="D21" s="385" t="s">
        <v>1461</v>
      </c>
    </row>
    <row r="22" spans="1:4" ht="13.5" thickBot="1">
      <c r="A22" s="389">
        <v>14</v>
      </c>
      <c r="B22" s="502" t="s">
        <v>1460</v>
      </c>
      <c r="C22" s="791">
        <f>2286000</f>
        <v>2286000</v>
      </c>
      <c r="D22" s="385"/>
    </row>
    <row r="23" spans="1:4" ht="13.5" thickTop="1">
      <c r="A23" s="389">
        <v>15</v>
      </c>
      <c r="B23" s="366" t="s">
        <v>1459</v>
      </c>
      <c r="C23" s="371">
        <f>C21/C22</f>
        <v>32.950393472709109</v>
      </c>
      <c r="D23" s="385" t="s">
        <v>1458</v>
      </c>
    </row>
    <row r="24" spans="1:4">
      <c r="A24" s="389">
        <v>16</v>
      </c>
      <c r="B24" s="366" t="s">
        <v>1457</v>
      </c>
      <c r="C24" s="392">
        <f>8861</f>
        <v>8861</v>
      </c>
      <c r="D24" s="385"/>
    </row>
    <row r="25" spans="1:4">
      <c r="A25" s="389">
        <v>17</v>
      </c>
      <c r="B25" s="366" t="s">
        <v>1456</v>
      </c>
      <c r="C25" s="393">
        <f>C24*C23</f>
        <v>291973.43656167539</v>
      </c>
      <c r="D25" s="385"/>
    </row>
    <row r="26" spans="1:4">
      <c r="A26" s="389">
        <v>18</v>
      </c>
      <c r="B26" s="366" t="s">
        <v>1455</v>
      </c>
      <c r="C26" s="486">
        <v>0</v>
      </c>
      <c r="D26" s="375" t="s">
        <v>1454</v>
      </c>
    </row>
    <row r="27" spans="1:4">
      <c r="A27" s="389">
        <v>19</v>
      </c>
      <c r="B27" s="366" t="s">
        <v>1453</v>
      </c>
      <c r="C27" s="393">
        <f>C25+C26</f>
        <v>291973.43656167539</v>
      </c>
      <c r="D27" s="385"/>
    </row>
    <row r="28" spans="1:4">
      <c r="A28" s="394" t="s">
        <v>1452</v>
      </c>
      <c r="B28" s="366" t="s">
        <v>1451</v>
      </c>
      <c r="C28" s="354"/>
      <c r="D28" s="385"/>
    </row>
    <row r="29" spans="1:4">
      <c r="A29" s="394"/>
      <c r="B29" s="366" t="s">
        <v>2441</v>
      </c>
      <c r="C29" s="354"/>
      <c r="D29" s="385"/>
    </row>
    <row r="30" spans="1:4">
      <c r="A30" s="394" t="s">
        <v>1285</v>
      </c>
      <c r="B30" s="503" t="s">
        <v>1450</v>
      </c>
      <c r="C30" s="354"/>
      <c r="D30" s="385"/>
    </row>
    <row r="31" spans="1:4">
      <c r="A31" s="394"/>
      <c r="B31" s="503" t="s">
        <v>2404</v>
      </c>
      <c r="C31" s="354"/>
      <c r="D31" s="385"/>
    </row>
    <row r="32" spans="1:4" ht="13.5" thickBot="1">
      <c r="A32" s="480" t="s">
        <v>1449</v>
      </c>
      <c r="B32" s="504" t="s">
        <v>2405</v>
      </c>
      <c r="C32" s="379"/>
      <c r="D32" s="481"/>
    </row>
  </sheetData>
  <pageMargins left="0.7" right="0.7" top="0.75" bottom="0.75" header="0.3" footer="0.3"/>
  <pageSetup fitToHeight="0" orientation="landscape" r:id="rId1"/>
  <headerFooter>
    <oddFooter>&amp;R&amp;A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D25"/>
  <sheetViews>
    <sheetView view="pageBreakPreview" zoomScaleNormal="100" zoomScaleSheetLayoutView="100" workbookViewId="0">
      <selection activeCell="C17" sqref="C17"/>
    </sheetView>
  </sheetViews>
  <sheetFormatPr defaultColWidth="9.1796875" defaultRowHeight="13"/>
  <cols>
    <col min="1" max="1" width="9.1796875" style="351"/>
    <col min="2" max="2" width="44.26953125" style="351" customWidth="1"/>
    <col min="3" max="3" width="39.26953125" style="351" customWidth="1"/>
    <col min="4" max="4" width="18.7265625" style="351" customWidth="1"/>
    <col min="5" max="16384" width="9.1796875" style="351"/>
  </cols>
  <sheetData>
    <row r="1" spans="1:4">
      <c r="A1" s="347" t="str">
        <f>'Cover Sheets'!A10:B10</f>
        <v>WAPA-UGP 2020 Rate Estimate Calculation</v>
      </c>
      <c r="B1" s="353"/>
      <c r="C1" s="353"/>
      <c r="D1" s="380"/>
    </row>
    <row r="2" spans="1:4">
      <c r="A2" s="795" t="s">
        <v>2597</v>
      </c>
      <c r="B2" s="354"/>
      <c r="C2" s="354"/>
      <c r="D2" s="381"/>
    </row>
    <row r="3" spans="1:4">
      <c r="A3" s="355" t="str">
        <f>'WS1-RateBase'!A4</f>
        <v>12 Months Ending 09/30/2020 ESTIMATE</v>
      </c>
      <c r="B3" s="354"/>
      <c r="C3" s="354"/>
      <c r="D3" s="381"/>
    </row>
    <row r="4" spans="1:4">
      <c r="A4" s="168"/>
      <c r="B4" s="356" t="s">
        <v>2</v>
      </c>
      <c r="C4" s="357" t="s">
        <v>1482</v>
      </c>
      <c r="D4" s="358" t="s">
        <v>1047</v>
      </c>
    </row>
    <row r="5" spans="1:4" ht="13.5" thickBot="1">
      <c r="A5" s="359" t="s">
        <v>1046</v>
      </c>
      <c r="B5" s="360">
        <v>-1</v>
      </c>
      <c r="C5" s="360">
        <v>-2</v>
      </c>
      <c r="D5" s="361">
        <v>-3</v>
      </c>
    </row>
    <row r="6" spans="1:4">
      <c r="A6" s="362">
        <v>1</v>
      </c>
      <c r="B6" s="363" t="s">
        <v>1464</v>
      </c>
      <c r="C6" s="364">
        <f>'WS2-AllocFactor'!E34</f>
        <v>0.14346378542148058</v>
      </c>
      <c r="D6" s="365" t="s">
        <v>1289</v>
      </c>
    </row>
    <row r="7" spans="1:4" ht="13.5" thickBot="1">
      <c r="A7" s="362">
        <v>2</v>
      </c>
      <c r="B7" s="366" t="s">
        <v>1463</v>
      </c>
      <c r="C7" s="367">
        <f>'WS2-AllocFactor'!E35</f>
        <v>525042604.00851512</v>
      </c>
      <c r="D7" s="368" t="s">
        <v>1288</v>
      </c>
    </row>
    <row r="8" spans="1:4" ht="13.5" thickTop="1">
      <c r="A8" s="362">
        <v>3</v>
      </c>
      <c r="B8" s="366" t="s">
        <v>1462</v>
      </c>
      <c r="C8" s="369">
        <f>C6*C7</f>
        <v>75324599.478613019</v>
      </c>
      <c r="D8" s="385" t="s">
        <v>1461</v>
      </c>
    </row>
    <row r="9" spans="1:4" ht="13.5" thickBot="1">
      <c r="A9" s="362">
        <v>4</v>
      </c>
      <c r="B9" s="370" t="s">
        <v>1460</v>
      </c>
      <c r="C9" s="790">
        <f>2286000</f>
        <v>2286000</v>
      </c>
      <c r="D9" s="385"/>
    </row>
    <row r="10" spans="1:4" ht="13.5" thickTop="1">
      <c r="A10" s="362">
        <v>5</v>
      </c>
      <c r="B10" s="370" t="s">
        <v>1481</v>
      </c>
      <c r="C10" s="371">
        <f>C8/C9</f>
        <v>32.950393472709109</v>
      </c>
      <c r="D10" s="385" t="s">
        <v>1458</v>
      </c>
    </row>
    <row r="11" spans="1:4">
      <c r="A11" s="362">
        <v>6</v>
      </c>
      <c r="B11" s="370" t="s">
        <v>1475</v>
      </c>
      <c r="C11" s="372">
        <f>C10/12</f>
        <v>2.7458661227257593</v>
      </c>
      <c r="D11" s="385"/>
    </row>
    <row r="12" spans="1:4">
      <c r="A12" s="362">
        <v>7</v>
      </c>
      <c r="B12" s="373" t="s">
        <v>1479</v>
      </c>
      <c r="C12" s="374">
        <f>168000</f>
        <v>168000</v>
      </c>
      <c r="D12" s="375" t="s">
        <v>1287</v>
      </c>
    </row>
    <row r="13" spans="1:4">
      <c r="A13" s="362">
        <v>8</v>
      </c>
      <c r="B13" s="373" t="s">
        <v>1478</v>
      </c>
      <c r="C13" s="374">
        <f>97500</f>
        <v>97500</v>
      </c>
      <c r="D13" s="375" t="s">
        <v>1286</v>
      </c>
    </row>
    <row r="14" spans="1:4">
      <c r="A14" s="362">
        <v>9</v>
      </c>
      <c r="B14" s="373" t="s">
        <v>1477</v>
      </c>
      <c r="C14" s="376">
        <f xml:space="preserve"> (0.03*C12) + (0.03 *C13)</f>
        <v>7965</v>
      </c>
      <c r="D14" s="385" t="s">
        <v>2489</v>
      </c>
    </row>
    <row r="15" spans="1:4">
      <c r="A15" s="362">
        <v>10</v>
      </c>
      <c r="B15" s="377" t="s">
        <v>1476</v>
      </c>
      <c r="C15" s="786">
        <f>C10*C14</f>
        <v>262449.88401012804</v>
      </c>
      <c r="D15" s="385" t="s">
        <v>2490</v>
      </c>
    </row>
    <row r="16" spans="1:4">
      <c r="A16" s="362">
        <v>11</v>
      </c>
      <c r="B16" s="500" t="s">
        <v>2504</v>
      </c>
      <c r="C16" s="787">
        <v>93011</v>
      </c>
      <c r="D16" s="381"/>
    </row>
    <row r="17" spans="1:4">
      <c r="A17" s="362">
        <v>12</v>
      </c>
      <c r="B17" s="500" t="s">
        <v>2487</v>
      </c>
      <c r="C17" s="788">
        <v>68304.600000000006</v>
      </c>
      <c r="D17" s="375" t="s">
        <v>1285</v>
      </c>
    </row>
    <row r="18" spans="1:4">
      <c r="A18" s="362">
        <v>13</v>
      </c>
      <c r="B18" s="500" t="s">
        <v>2310</v>
      </c>
      <c r="C18" s="789">
        <f>C15+C16+C17</f>
        <v>423765.48401012807</v>
      </c>
      <c r="D18" s="381" t="s">
        <v>2491</v>
      </c>
    </row>
    <row r="19" spans="1:4">
      <c r="A19" s="378" t="s">
        <v>1289</v>
      </c>
      <c r="B19" s="505" t="s">
        <v>1474</v>
      </c>
      <c r="C19" s="354"/>
      <c r="D19" s="381"/>
    </row>
    <row r="20" spans="1:4">
      <c r="A20" s="378"/>
      <c r="B20" s="505" t="s">
        <v>2442</v>
      </c>
      <c r="C20" s="354"/>
      <c r="D20" s="381"/>
    </row>
    <row r="21" spans="1:4">
      <c r="A21" s="378" t="s">
        <v>1288</v>
      </c>
      <c r="B21" s="505" t="s">
        <v>1473</v>
      </c>
      <c r="C21" s="354"/>
      <c r="D21" s="381"/>
    </row>
    <row r="22" spans="1:4">
      <c r="A22" s="378"/>
      <c r="B22" s="505" t="s">
        <v>2402</v>
      </c>
      <c r="C22" s="354"/>
      <c r="D22" s="381"/>
    </row>
    <row r="23" spans="1:4">
      <c r="A23" s="378" t="s">
        <v>1287</v>
      </c>
      <c r="B23" s="505" t="s">
        <v>2443</v>
      </c>
      <c r="C23" s="354"/>
      <c r="D23" s="381"/>
    </row>
    <row r="24" spans="1:4">
      <c r="A24" s="378" t="s">
        <v>1286</v>
      </c>
      <c r="B24" s="505" t="s">
        <v>2403</v>
      </c>
      <c r="C24" s="354"/>
      <c r="D24" s="381"/>
    </row>
    <row r="25" spans="1:4" ht="13.5" thickBot="1">
      <c r="A25" s="378" t="s">
        <v>1285</v>
      </c>
      <c r="B25" s="379" t="s">
        <v>2488</v>
      </c>
      <c r="C25" s="379"/>
      <c r="D25" s="448"/>
    </row>
  </sheetData>
  <pageMargins left="0.7" right="0.7" top="0.75" bottom="0.75" header="0.3" footer="0.3"/>
  <pageSetup orientation="landscape" r:id="rId1"/>
  <headerFooter>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workbookViewId="0">
      <selection activeCell="D15" sqref="D15"/>
    </sheetView>
  </sheetViews>
  <sheetFormatPr defaultRowHeight="14.5"/>
  <cols>
    <col min="2" max="2" width="47.81640625" bestFit="1" customWidth="1"/>
    <col min="4" max="4" width="14.81640625" bestFit="1" customWidth="1"/>
    <col min="7" max="7" width="18.26953125" bestFit="1" customWidth="1"/>
    <col min="8" max="9" width="8.54296875" customWidth="1"/>
  </cols>
  <sheetData>
    <row r="1" spans="1:10">
      <c r="A1" s="828" t="str">
        <f>'Cover Sheets'!A10:B10</f>
        <v>WAPA-UGP 2020 Rate Estimate Calculation</v>
      </c>
      <c r="B1" s="706"/>
      <c r="C1" s="706"/>
      <c r="D1" s="707"/>
      <c r="E1" s="244"/>
      <c r="F1" s="242"/>
      <c r="G1" s="708"/>
      <c r="H1" s="242"/>
      <c r="I1" s="709"/>
    </row>
    <row r="2" spans="1:10">
      <c r="A2" s="811" t="s">
        <v>2619</v>
      </c>
      <c r="B2" s="204"/>
      <c r="C2" s="204"/>
      <c r="D2" s="343"/>
      <c r="E2" s="165"/>
      <c r="F2" s="184"/>
      <c r="G2" s="342"/>
      <c r="H2" s="184"/>
      <c r="I2" s="302"/>
    </row>
    <row r="3" spans="1:10">
      <c r="A3" s="811" t="s">
        <v>2434</v>
      </c>
      <c r="B3" s="204"/>
      <c r="C3" s="204"/>
      <c r="D3" s="343"/>
      <c r="E3" s="165"/>
      <c r="F3" s="184"/>
      <c r="G3" s="342" t="s">
        <v>1295</v>
      </c>
      <c r="H3" s="184"/>
      <c r="I3" s="302"/>
    </row>
    <row r="4" spans="1:10">
      <c r="A4" s="170" t="s">
        <v>1294</v>
      </c>
      <c r="B4" s="163"/>
      <c r="C4" s="342" t="s">
        <v>1047</v>
      </c>
      <c r="D4" s="342" t="s">
        <v>1293</v>
      </c>
      <c r="E4" s="342" t="s">
        <v>1292</v>
      </c>
      <c r="F4" s="342" t="s">
        <v>2514</v>
      </c>
      <c r="G4" s="342" t="s">
        <v>1291</v>
      </c>
      <c r="H4" s="163"/>
      <c r="I4" s="161"/>
    </row>
    <row r="5" spans="1:10" ht="15" thickBot="1">
      <c r="A5" s="175" t="s">
        <v>1290</v>
      </c>
      <c r="B5" s="203" t="s">
        <v>1289</v>
      </c>
      <c r="C5" s="203" t="s">
        <v>1288</v>
      </c>
      <c r="D5" s="203" t="s">
        <v>1287</v>
      </c>
      <c r="E5" s="158"/>
      <c r="F5" s="340" t="s">
        <v>1286</v>
      </c>
      <c r="G5" s="340" t="s">
        <v>1285</v>
      </c>
      <c r="H5" s="156"/>
      <c r="I5" s="154"/>
    </row>
    <row r="6" spans="1:10">
      <c r="A6" s="247">
        <v>1</v>
      </c>
      <c r="B6" s="339" t="s">
        <v>2561</v>
      </c>
      <c r="C6" s="711" t="s">
        <v>2560</v>
      </c>
      <c r="D6" s="712"/>
      <c r="E6" s="713"/>
      <c r="F6" s="242"/>
      <c r="G6" s="714">
        <f>'WS1-RateBase'!H7</f>
        <v>157207634.5179646</v>
      </c>
      <c r="H6" s="243"/>
      <c r="I6" s="715"/>
    </row>
    <row r="7" spans="1:10">
      <c r="A7" s="173">
        <v>2</v>
      </c>
      <c r="B7" s="782" t="s">
        <v>1134</v>
      </c>
      <c r="C7" s="333"/>
      <c r="D7" s="197"/>
      <c r="E7" s="299"/>
      <c r="F7" s="184"/>
      <c r="G7" s="332"/>
      <c r="H7" s="163"/>
      <c r="I7" s="161"/>
    </row>
    <row r="8" spans="1:10">
      <c r="A8" s="173">
        <v>3</v>
      </c>
      <c r="B8" s="782" t="s">
        <v>2573</v>
      </c>
      <c r="C8" s="328" t="s">
        <v>2616</v>
      </c>
      <c r="D8" s="330">
        <f>'WS3-RevCredits'!H11</f>
        <v>4837343</v>
      </c>
      <c r="E8" s="299" t="s">
        <v>483</v>
      </c>
      <c r="F8" s="710">
        <v>1</v>
      </c>
      <c r="G8" s="491">
        <f>D8*F8</f>
        <v>4837343</v>
      </c>
      <c r="H8" s="163"/>
      <c r="I8" s="161"/>
    </row>
    <row r="9" spans="1:10">
      <c r="A9" s="173">
        <v>4</v>
      </c>
      <c r="B9" s="782" t="s">
        <v>2574</v>
      </c>
      <c r="C9" s="328" t="s">
        <v>2617</v>
      </c>
      <c r="D9" s="330">
        <f>'WS3-RevCredits'!H14</f>
        <v>2255482</v>
      </c>
      <c r="E9" s="299" t="s">
        <v>483</v>
      </c>
      <c r="F9" s="710">
        <v>1</v>
      </c>
      <c r="G9" s="331">
        <f>D9*F9</f>
        <v>2255482</v>
      </c>
      <c r="H9" s="163"/>
      <c r="I9" s="161"/>
    </row>
    <row r="10" spans="1:10">
      <c r="A10" s="173">
        <v>5</v>
      </c>
      <c r="B10" s="782" t="s">
        <v>2575</v>
      </c>
      <c r="C10" s="328"/>
      <c r="D10" s="330">
        <f>'WS3-RevCredits'!H17</f>
        <v>1141626</v>
      </c>
      <c r="E10" s="299" t="s">
        <v>483</v>
      </c>
      <c r="F10" s="710">
        <v>1</v>
      </c>
      <c r="G10" s="263">
        <f>D10*F10</f>
        <v>1141626</v>
      </c>
      <c r="H10" s="163"/>
      <c r="I10" s="161"/>
    </row>
    <row r="11" spans="1:10">
      <c r="A11" s="173">
        <v>6</v>
      </c>
      <c r="B11" s="782" t="s">
        <v>2576</v>
      </c>
      <c r="C11" s="328" t="s">
        <v>2558</v>
      </c>
      <c r="D11" s="330">
        <f>'WS3-RevCredits'!H20</f>
        <v>10681455</v>
      </c>
      <c r="E11" s="299" t="s">
        <v>483</v>
      </c>
      <c r="F11" s="710">
        <v>1</v>
      </c>
      <c r="G11" s="263">
        <f>D11*F11</f>
        <v>10681455</v>
      </c>
      <c r="H11" s="163"/>
      <c r="I11" s="161"/>
    </row>
    <row r="12" spans="1:10">
      <c r="A12" s="173">
        <v>7</v>
      </c>
      <c r="B12" s="783" t="s">
        <v>2577</v>
      </c>
      <c r="C12" s="274"/>
      <c r="D12" s="329">
        <f>'WS3-RevCredits'!H23</f>
        <v>79567</v>
      </c>
      <c r="E12" s="299" t="s">
        <v>1182</v>
      </c>
      <c r="F12" s="710">
        <v>1</v>
      </c>
      <c r="G12" s="263">
        <f t="shared" ref="G12:G13" si="0">D12*F12</f>
        <v>79567</v>
      </c>
      <c r="H12" s="163"/>
      <c r="I12" s="161"/>
    </row>
    <row r="13" spans="1:10">
      <c r="A13" s="173">
        <v>8</v>
      </c>
      <c r="B13" s="783" t="s">
        <v>2578</v>
      </c>
      <c r="C13" s="274"/>
      <c r="D13" s="718">
        <f>'WS3-RevCredits'!H8</f>
        <v>-231453</v>
      </c>
      <c r="E13" s="299" t="s">
        <v>483</v>
      </c>
      <c r="F13" s="710">
        <v>1</v>
      </c>
      <c r="G13" s="491">
        <f t="shared" si="0"/>
        <v>-231453</v>
      </c>
      <c r="H13" s="163"/>
      <c r="I13" s="161"/>
    </row>
    <row r="14" spans="1:10">
      <c r="A14" s="173">
        <v>9</v>
      </c>
      <c r="B14" s="782" t="s">
        <v>1284</v>
      </c>
      <c r="C14" s="328"/>
      <c r="D14" s="716">
        <f>SUM(D8:D13)</f>
        <v>18764020</v>
      </c>
      <c r="E14" s="296"/>
      <c r="F14" s="184"/>
      <c r="G14" s="293">
        <f>SUM(G8:G13)</f>
        <v>18764020</v>
      </c>
      <c r="H14" s="717"/>
      <c r="I14" s="292"/>
    </row>
    <row r="15" spans="1:10">
      <c r="A15" s="173">
        <v>10</v>
      </c>
      <c r="B15" s="782" t="s">
        <v>2513</v>
      </c>
      <c r="C15" s="328"/>
      <c r="D15" s="327">
        <f>'WS1-RateBase'!D9</f>
        <v>-1753159</v>
      </c>
      <c r="E15" s="296"/>
      <c r="F15" s="184"/>
      <c r="G15" s="491">
        <f>D15</f>
        <v>-1753159</v>
      </c>
      <c r="H15" s="163"/>
      <c r="I15" s="161"/>
    </row>
    <row r="16" spans="1:10">
      <c r="A16" s="173">
        <v>11</v>
      </c>
      <c r="B16" s="782" t="s">
        <v>2564</v>
      </c>
      <c r="C16" s="328" t="s">
        <v>2560</v>
      </c>
      <c r="D16" s="163"/>
      <c r="E16" s="296"/>
      <c r="F16" s="184"/>
      <c r="G16" s="263">
        <f>G6-G14+G15</f>
        <v>136690455.5179646</v>
      </c>
      <c r="H16" s="163"/>
      <c r="I16" s="161"/>
      <c r="J16" s="825"/>
    </row>
    <row r="17" spans="1:9">
      <c r="A17" s="173">
        <v>12</v>
      </c>
      <c r="B17" s="782"/>
      <c r="C17" s="328"/>
      <c r="D17" s="163"/>
      <c r="E17" s="296"/>
      <c r="F17" s="184"/>
      <c r="G17" s="263"/>
      <c r="H17" s="163"/>
      <c r="I17" s="161"/>
    </row>
    <row r="18" spans="1:9">
      <c r="A18" s="173">
        <v>13</v>
      </c>
      <c r="B18" s="782"/>
      <c r="C18" s="328"/>
      <c r="D18" s="163"/>
      <c r="E18" s="296"/>
      <c r="F18" s="184"/>
      <c r="G18" s="263"/>
      <c r="H18" s="163"/>
      <c r="I18" s="161"/>
    </row>
    <row r="19" spans="1:9">
      <c r="A19" s="173">
        <v>14</v>
      </c>
      <c r="B19" s="782" t="s">
        <v>2562</v>
      </c>
      <c r="C19" s="328" t="s">
        <v>2559</v>
      </c>
      <c r="D19" s="327">
        <f>'WS5-BPUz'!M19</f>
        <v>703531.27935576171</v>
      </c>
      <c r="E19" s="296"/>
      <c r="F19" s="184"/>
      <c r="G19" s="491">
        <f>D19</f>
        <v>703531.27935576171</v>
      </c>
      <c r="H19" s="163"/>
      <c r="I19" s="161"/>
    </row>
    <row r="20" spans="1:9">
      <c r="A20" s="173">
        <v>15</v>
      </c>
      <c r="B20" s="782" t="s">
        <v>1134</v>
      </c>
      <c r="C20" s="328"/>
      <c r="D20" s="163"/>
      <c r="E20" s="296"/>
      <c r="F20" s="184"/>
      <c r="G20" s="263"/>
      <c r="H20" s="163"/>
      <c r="I20" s="161"/>
    </row>
    <row r="21" spans="1:9" ht="15" customHeight="1">
      <c r="A21" s="173">
        <v>16</v>
      </c>
      <c r="B21" s="782" t="s">
        <v>2579</v>
      </c>
      <c r="C21" s="328" t="s">
        <v>2559</v>
      </c>
      <c r="D21" s="327">
        <v>18333</v>
      </c>
      <c r="E21" s="296"/>
      <c r="F21" s="184"/>
      <c r="G21" s="263"/>
      <c r="H21" s="163"/>
      <c r="I21" s="161"/>
    </row>
    <row r="22" spans="1:9">
      <c r="A22" s="173">
        <v>17</v>
      </c>
      <c r="B22" s="782" t="s">
        <v>2567</v>
      </c>
      <c r="C22" s="328"/>
      <c r="D22" s="327"/>
      <c r="E22" s="296"/>
      <c r="F22" s="781">
        <f>D19/(D19+D26)</f>
        <v>0.86210283252089848</v>
      </c>
      <c r="G22" s="721">
        <f>D21*F22</f>
        <v>15804.931228605632</v>
      </c>
      <c r="H22" s="717"/>
      <c r="I22" s="292"/>
    </row>
    <row r="23" spans="1:9">
      <c r="A23" s="173">
        <v>18</v>
      </c>
      <c r="B23" s="782" t="s">
        <v>2513</v>
      </c>
      <c r="C23" s="328"/>
      <c r="D23" s="327">
        <v>0</v>
      </c>
      <c r="E23" s="296"/>
      <c r="F23" s="184"/>
      <c r="G23" s="491">
        <v>0</v>
      </c>
      <c r="H23" s="163"/>
      <c r="I23" s="161"/>
    </row>
    <row r="24" spans="1:9">
      <c r="A24" s="173">
        <v>19</v>
      </c>
      <c r="B24" s="782" t="s">
        <v>2569</v>
      </c>
      <c r="C24" s="328" t="s">
        <v>2559</v>
      </c>
      <c r="D24" s="328"/>
      <c r="E24" s="296"/>
      <c r="F24" s="792"/>
      <c r="G24" s="164">
        <f>G19-G22-G23</f>
        <v>687726.34812715603</v>
      </c>
      <c r="H24" s="163"/>
      <c r="I24" s="161"/>
    </row>
    <row r="25" spans="1:9">
      <c r="A25" s="173">
        <v>20</v>
      </c>
      <c r="B25" s="782"/>
      <c r="C25" s="328"/>
      <c r="D25" s="163"/>
      <c r="E25" s="296"/>
      <c r="F25" s="792"/>
      <c r="G25" s="164"/>
      <c r="H25" s="163"/>
      <c r="I25" s="161"/>
    </row>
    <row r="26" spans="1:9">
      <c r="A26" s="173">
        <v>21</v>
      </c>
      <c r="B26" s="782" t="s">
        <v>2563</v>
      </c>
      <c r="C26" s="328" t="s">
        <v>2559</v>
      </c>
      <c r="D26" s="327">
        <f>'WS6-BPUr'!M19</f>
        <v>112532.94502283895</v>
      </c>
      <c r="E26" s="296"/>
      <c r="F26" s="184"/>
      <c r="G26" s="491">
        <f>D26</f>
        <v>112532.94502283895</v>
      </c>
      <c r="H26" s="163"/>
      <c r="I26" s="161"/>
    </row>
    <row r="27" spans="1:9">
      <c r="A27" s="173">
        <v>22</v>
      </c>
      <c r="B27" s="782" t="s">
        <v>1134</v>
      </c>
      <c r="C27" s="328"/>
      <c r="D27" s="163"/>
      <c r="E27" s="296"/>
      <c r="F27" s="184"/>
      <c r="G27" s="263"/>
      <c r="H27" s="163"/>
      <c r="I27" s="161"/>
    </row>
    <row r="28" spans="1:9" ht="15" customHeight="1">
      <c r="A28" s="173">
        <v>23</v>
      </c>
      <c r="B28" s="782" t="s">
        <v>2579</v>
      </c>
      <c r="C28" s="328" t="s">
        <v>2559</v>
      </c>
      <c r="D28" s="327">
        <v>18333</v>
      </c>
      <c r="E28" s="296"/>
      <c r="F28" s="184"/>
      <c r="G28" s="263"/>
      <c r="H28" s="163"/>
      <c r="I28" s="161"/>
    </row>
    <row r="29" spans="1:9">
      <c r="A29" s="173">
        <v>24</v>
      </c>
      <c r="B29" s="782" t="s">
        <v>2568</v>
      </c>
      <c r="C29" s="328"/>
      <c r="D29" s="327"/>
      <c r="E29" s="296"/>
      <c r="F29" s="781">
        <f>D26/(G26+G19)</f>
        <v>0.13789716747910147</v>
      </c>
      <c r="G29" s="721">
        <f>D28*F29</f>
        <v>2528.0687713943671</v>
      </c>
      <c r="H29" s="717"/>
      <c r="I29" s="292"/>
    </row>
    <row r="30" spans="1:9">
      <c r="A30" s="173">
        <v>25</v>
      </c>
      <c r="B30" s="782" t="s">
        <v>2513</v>
      </c>
      <c r="C30" s="328"/>
      <c r="D30" s="327">
        <v>0</v>
      </c>
      <c r="E30" s="296"/>
      <c r="F30" s="184"/>
      <c r="G30" s="491">
        <v>0</v>
      </c>
      <c r="H30" s="163"/>
      <c r="I30" s="161"/>
    </row>
    <row r="31" spans="1:9">
      <c r="A31" s="173">
        <v>26</v>
      </c>
      <c r="B31" s="782" t="s">
        <v>2570</v>
      </c>
      <c r="C31" s="328" t="s">
        <v>2559</v>
      </c>
      <c r="D31" s="327"/>
      <c r="E31" s="296"/>
      <c r="F31" s="184"/>
      <c r="G31" s="491">
        <f>G26-G29-G30</f>
        <v>110004.87625144458</v>
      </c>
      <c r="H31" s="163"/>
      <c r="I31" s="161"/>
    </row>
    <row r="32" spans="1:9">
      <c r="A32" s="173">
        <v>27</v>
      </c>
      <c r="B32" s="782"/>
      <c r="C32" s="328"/>
      <c r="D32" s="327"/>
      <c r="E32" s="296"/>
      <c r="F32" s="184"/>
      <c r="G32" s="491"/>
      <c r="H32" s="163"/>
      <c r="I32" s="161"/>
    </row>
    <row r="33" spans="1:9" ht="15" thickBot="1">
      <c r="A33" s="181">
        <v>28</v>
      </c>
      <c r="B33" s="185" t="s">
        <v>2581</v>
      </c>
      <c r="C33" s="291" t="s">
        <v>2580</v>
      </c>
      <c r="D33" s="326" t="s">
        <v>236</v>
      </c>
      <c r="E33" s="290"/>
      <c r="F33" s="178"/>
      <c r="G33" s="325">
        <f>G24+G31</f>
        <v>797731.2243786006</v>
      </c>
      <c r="H33" s="155"/>
      <c r="I33" s="287"/>
    </row>
    <row r="35" spans="1:9">
      <c r="B35" s="722"/>
    </row>
    <row r="36" spans="1:9">
      <c r="B36" s="722"/>
    </row>
    <row r="37" spans="1:9">
      <c r="B37" s="722"/>
    </row>
  </sheetData>
  <pageMargins left="0.7" right="0.7" top="0.75" bottom="0.75" header="0.3" footer="0.3"/>
  <pageSetup scale="93" fitToHeight="0"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250"/>
  <sheetViews>
    <sheetView view="pageBreakPreview" zoomScale="120" zoomScaleNormal="75" zoomScaleSheetLayoutView="120" workbookViewId="0">
      <selection activeCell="D9" sqref="D9"/>
    </sheetView>
  </sheetViews>
  <sheetFormatPr defaultColWidth="9.1796875" defaultRowHeight="13"/>
  <cols>
    <col min="1" max="1" width="7.7265625" style="37" customWidth="1"/>
    <col min="2" max="2" width="54.26953125" style="37" customWidth="1"/>
    <col min="3" max="3" width="24.81640625" style="37" customWidth="1"/>
    <col min="4" max="4" width="20" style="37" customWidth="1"/>
    <col min="5" max="5" width="13.1796875" style="40" customWidth="1"/>
    <col min="6" max="6" width="14.1796875" style="39" customWidth="1"/>
    <col min="7" max="7" width="13.453125" style="37" customWidth="1"/>
    <col min="8" max="8" width="17.26953125" style="37" customWidth="1"/>
    <col min="9" max="9" width="15.54296875" style="37" customWidth="1"/>
    <col min="10" max="10" width="34" style="38" customWidth="1"/>
    <col min="11" max="11" width="21.26953125" style="38" customWidth="1"/>
    <col min="12" max="12" width="20.81640625" style="38" customWidth="1"/>
    <col min="13" max="13" width="19.7265625" style="38" customWidth="1"/>
    <col min="14" max="14" width="22.453125" style="38" customWidth="1"/>
    <col min="15" max="15" width="15.54296875" style="38" customWidth="1"/>
    <col min="16" max="16384" width="9.1796875" style="37"/>
  </cols>
  <sheetData>
    <row r="1" spans="1:12">
      <c r="A1" s="347" t="str">
        <f>'Cover Sheets'!A10:B10</f>
        <v>WAPA-UGP 2020 Rate Estimate Calculation</v>
      </c>
      <c r="B1" s="245"/>
      <c r="C1" s="245"/>
      <c r="D1" s="245"/>
      <c r="E1" s="320"/>
      <c r="F1" s="346"/>
      <c r="G1" s="346"/>
      <c r="H1" s="346"/>
      <c r="I1" s="345"/>
      <c r="J1" s="56"/>
    </row>
    <row r="2" spans="1:12">
      <c r="A2" s="36" t="s">
        <v>2620</v>
      </c>
      <c r="B2" s="204"/>
      <c r="C2" s="204"/>
      <c r="D2" s="343"/>
      <c r="E2" s="165"/>
      <c r="F2" s="184"/>
      <c r="G2" s="163"/>
      <c r="H2" s="184"/>
      <c r="I2" s="302"/>
      <c r="J2" s="56"/>
      <c r="L2" s="56"/>
    </row>
    <row r="3" spans="1:12">
      <c r="A3" s="344" t="s">
        <v>1296</v>
      </c>
      <c r="B3" s="204"/>
      <c r="C3" s="204"/>
      <c r="D3" s="343"/>
      <c r="E3" s="165"/>
      <c r="F3" s="184"/>
      <c r="G3" s="163"/>
      <c r="H3" s="184"/>
      <c r="I3" s="302"/>
      <c r="J3" s="56"/>
      <c r="L3" s="56"/>
    </row>
    <row r="4" spans="1:12">
      <c r="A4" s="826" t="s">
        <v>2434</v>
      </c>
      <c r="B4" s="827"/>
      <c r="C4" s="204"/>
      <c r="D4" s="343"/>
      <c r="E4" s="165"/>
      <c r="F4" s="184"/>
      <c r="G4" s="163"/>
      <c r="H4" s="342" t="s">
        <v>1295</v>
      </c>
      <c r="I4" s="302"/>
      <c r="J4" s="56"/>
      <c r="L4" s="56"/>
    </row>
    <row r="5" spans="1:12">
      <c r="A5" s="170" t="s">
        <v>1294</v>
      </c>
      <c r="B5" s="163"/>
      <c r="C5" s="342" t="s">
        <v>1047</v>
      </c>
      <c r="D5" s="342" t="s">
        <v>1293</v>
      </c>
      <c r="E5" s="342" t="s">
        <v>1292</v>
      </c>
      <c r="F5" s="184"/>
      <c r="G5" s="163"/>
      <c r="H5" s="342" t="s">
        <v>1291</v>
      </c>
      <c r="I5" s="161"/>
      <c r="J5" s="56"/>
      <c r="L5" s="56"/>
    </row>
    <row r="6" spans="1:12" ht="13.5" thickBot="1">
      <c r="A6" s="175" t="s">
        <v>1290</v>
      </c>
      <c r="B6" s="203" t="s">
        <v>1289</v>
      </c>
      <c r="C6" s="203" t="s">
        <v>1288</v>
      </c>
      <c r="D6" s="203" t="s">
        <v>1287</v>
      </c>
      <c r="E6" s="158"/>
      <c r="F6" s="341" t="s">
        <v>1286</v>
      </c>
      <c r="G6" s="156"/>
      <c r="H6" s="340" t="s">
        <v>1285</v>
      </c>
      <c r="I6" s="154"/>
      <c r="J6" s="56"/>
      <c r="L6" s="56"/>
    </row>
    <row r="7" spans="1:12" ht="13.5" thickBot="1">
      <c r="A7" s="247">
        <v>1</v>
      </c>
      <c r="B7" s="339" t="s">
        <v>2571</v>
      </c>
      <c r="C7" s="338" t="str">
        <f>"(line "&amp;A90&amp;")"</f>
        <v>(line 75)</v>
      </c>
      <c r="D7" s="337">
        <f>+H90</f>
        <v>157207634.5179646</v>
      </c>
      <c r="E7" s="336"/>
      <c r="F7" s="242"/>
      <c r="G7" s="243"/>
      <c r="H7" s="335">
        <f>+H90</f>
        <v>157207634.5179646</v>
      </c>
      <c r="I7" s="334"/>
      <c r="J7" s="56"/>
      <c r="L7" s="56"/>
    </row>
    <row r="8" spans="1:12" ht="13.5" thickTop="1">
      <c r="A8" s="173">
        <f>A7+1</f>
        <v>2</v>
      </c>
      <c r="B8" s="167" t="s">
        <v>1134</v>
      </c>
      <c r="C8" s="328"/>
      <c r="D8" s="721">
        <f>'Summary-ATRR'!D14</f>
        <v>18764020</v>
      </c>
      <c r="E8" s="296"/>
      <c r="F8" s="184"/>
      <c r="G8" s="163"/>
      <c r="H8" s="721">
        <f>'Summary-ATRR'!G14</f>
        <v>18764020</v>
      </c>
      <c r="I8" s="292"/>
      <c r="J8" s="56"/>
      <c r="L8" s="56"/>
    </row>
    <row r="9" spans="1:12">
      <c r="A9" s="173">
        <f t="shared" ref="A9" si="0">A8+1</f>
        <v>3</v>
      </c>
      <c r="B9" s="167" t="s">
        <v>2323</v>
      </c>
      <c r="C9" s="328"/>
      <c r="D9" s="491">
        <v>-1753159</v>
      </c>
      <c r="E9" s="296"/>
      <c r="F9" s="184"/>
      <c r="G9" s="163"/>
      <c r="H9" s="491">
        <v>-1753159</v>
      </c>
      <c r="I9" s="161"/>
      <c r="J9" s="56"/>
      <c r="L9" s="56"/>
    </row>
    <row r="10" spans="1:12" ht="13.5" thickBot="1">
      <c r="A10" s="173">
        <f>9+1</f>
        <v>10</v>
      </c>
      <c r="B10" s="185" t="s">
        <v>1283</v>
      </c>
      <c r="C10" s="291" t="str">
        <f>"(line "&amp;A7&amp;" - line "&amp;A8&amp;" + line "&amp;A9&amp;")"</f>
        <v>(line 1 - line 2 + line 3)</v>
      </c>
      <c r="D10" s="325">
        <f>+D7-D8+D9</f>
        <v>136690455.5179646</v>
      </c>
      <c r="E10" s="290"/>
      <c r="F10" s="178"/>
      <c r="G10" s="155"/>
      <c r="H10" s="325">
        <f>+H7-H8+H9</f>
        <v>136690455.5179646</v>
      </c>
      <c r="I10" s="287"/>
      <c r="J10" s="56"/>
      <c r="L10" s="56"/>
    </row>
    <row r="11" spans="1:12">
      <c r="A11" s="247"/>
      <c r="B11" s="246" t="s">
        <v>1282</v>
      </c>
      <c r="C11" s="324"/>
      <c r="D11" s="324"/>
      <c r="E11" s="323"/>
      <c r="F11" s="322"/>
      <c r="G11" s="321"/>
      <c r="H11" s="320" t="s">
        <v>1281</v>
      </c>
      <c r="I11" s="319"/>
      <c r="J11" s="56"/>
      <c r="L11" s="56"/>
    </row>
    <row r="12" spans="1:12">
      <c r="A12" s="173"/>
      <c r="B12" s="188" t="s">
        <v>1280</v>
      </c>
      <c r="C12" s="274" t="s">
        <v>1279</v>
      </c>
      <c r="D12" s="274"/>
      <c r="E12" s="299"/>
      <c r="F12" s="263"/>
      <c r="G12" s="298"/>
      <c r="H12" s="162"/>
      <c r="I12" s="174"/>
      <c r="J12" s="56"/>
      <c r="L12" s="56"/>
    </row>
    <row r="13" spans="1:12">
      <c r="A13" s="173">
        <f>A10+1</f>
        <v>11</v>
      </c>
      <c r="B13" s="188" t="s">
        <v>1180</v>
      </c>
      <c r="C13" s="301" t="s">
        <v>1278</v>
      </c>
      <c r="D13" s="318">
        <f>F196</f>
        <v>1109513660.0704701</v>
      </c>
      <c r="E13" s="299" t="s">
        <v>483</v>
      </c>
      <c r="F13" s="279" t="s">
        <v>236</v>
      </c>
      <c r="G13" s="298"/>
      <c r="H13" s="162" t="s">
        <v>236</v>
      </c>
      <c r="I13" s="174"/>
    </row>
    <row r="14" spans="1:12">
      <c r="A14" s="173">
        <f>A13+1</f>
        <v>12</v>
      </c>
      <c r="B14" s="188" t="s">
        <v>1179</v>
      </c>
      <c r="C14" s="301" t="s">
        <v>1278</v>
      </c>
      <c r="D14" s="318">
        <f>F197</f>
        <v>1522421803.0495305</v>
      </c>
      <c r="E14" s="299" t="s">
        <v>1182</v>
      </c>
      <c r="F14" s="279">
        <f>H103</f>
        <v>1</v>
      </c>
      <c r="G14" s="298"/>
      <c r="H14" s="164">
        <f>+F14*D14</f>
        <v>1522421803.0495305</v>
      </c>
      <c r="I14" s="174"/>
    </row>
    <row r="15" spans="1:12">
      <c r="A15" s="173">
        <f>A14+1</f>
        <v>13</v>
      </c>
      <c r="B15" s="188" t="s">
        <v>1178</v>
      </c>
      <c r="C15" s="301" t="s">
        <v>1278</v>
      </c>
      <c r="D15" s="318">
        <f>F198</f>
        <v>55291886.999999613</v>
      </c>
      <c r="E15" s="299" t="s">
        <v>483</v>
      </c>
      <c r="F15" s="279" t="s">
        <v>236</v>
      </c>
      <c r="G15" s="298"/>
      <c r="H15" s="164" t="s">
        <v>236</v>
      </c>
      <c r="I15" s="317"/>
    </row>
    <row r="16" spans="1:12" ht="26">
      <c r="A16" s="173">
        <f>A15+1</f>
        <v>14</v>
      </c>
      <c r="B16" s="218" t="s">
        <v>1277</v>
      </c>
      <c r="C16" s="308" t="s">
        <v>1276</v>
      </c>
      <c r="D16" s="316">
        <v>0</v>
      </c>
      <c r="E16" s="306" t="s">
        <v>1222</v>
      </c>
      <c r="F16" s="305">
        <f>H111</f>
        <v>1</v>
      </c>
      <c r="G16" s="304"/>
      <c r="H16" s="303">
        <f>+F16*D16</f>
        <v>0</v>
      </c>
      <c r="I16" s="174"/>
    </row>
    <row r="17" spans="1:12">
      <c r="A17" s="173">
        <f>A16+1</f>
        <v>15</v>
      </c>
      <c r="B17" s="188" t="s">
        <v>1236</v>
      </c>
      <c r="C17" s="274"/>
      <c r="D17" s="315">
        <v>0</v>
      </c>
      <c r="E17" s="299" t="s">
        <v>1157</v>
      </c>
      <c r="F17" s="279">
        <f>I124</f>
        <v>0</v>
      </c>
      <c r="G17" s="298"/>
      <c r="H17" s="164">
        <f>+F17*D17</f>
        <v>0</v>
      </c>
      <c r="I17" s="174"/>
    </row>
    <row r="18" spans="1:12">
      <c r="A18" s="173">
        <f>A17+1</f>
        <v>16</v>
      </c>
      <c r="B18" s="188" t="s">
        <v>1275</v>
      </c>
      <c r="C18" s="274" t="str">
        <f>"(sum lines "&amp;A13&amp;" to "&amp;A17&amp;")"</f>
        <v>(sum lines 11 to 15)</v>
      </c>
      <c r="D18" s="258">
        <f>SUM(D13:D17)</f>
        <v>2687227350.1200004</v>
      </c>
      <c r="E18" s="299" t="s">
        <v>1274</v>
      </c>
      <c r="F18" s="309">
        <f>IF(H18&gt;0,H18/D18,0)</f>
        <v>0.56654000748449718</v>
      </c>
      <c r="G18" s="298"/>
      <c r="H18" s="255">
        <f>SUM(H13:H17)</f>
        <v>1522421803.0495305</v>
      </c>
      <c r="I18" s="313"/>
    </row>
    <row r="19" spans="1:12">
      <c r="A19" s="173"/>
      <c r="B19" s="188" t="s">
        <v>1273</v>
      </c>
      <c r="C19" s="265"/>
      <c r="D19" s="274"/>
      <c r="E19" s="310"/>
      <c r="F19" s="263"/>
      <c r="G19" s="162"/>
      <c r="H19" s="263"/>
      <c r="I19" s="269"/>
    </row>
    <row r="20" spans="1:12">
      <c r="A20" s="173">
        <f>A18+1</f>
        <v>17</v>
      </c>
      <c r="B20" s="204" t="str">
        <f>+B13</f>
        <v xml:space="preserve">  Production</v>
      </c>
      <c r="C20" s="301" t="s">
        <v>1232</v>
      </c>
      <c r="D20" s="274">
        <f>F205</f>
        <v>575084958.96975303</v>
      </c>
      <c r="E20" s="299" t="str">
        <f>+E13</f>
        <v>NA</v>
      </c>
      <c r="F20" s="279" t="str">
        <f>+F13</f>
        <v xml:space="preserve"> </v>
      </c>
      <c r="G20" s="298"/>
      <c r="H20" s="164" t="s">
        <v>236</v>
      </c>
      <c r="I20" s="269"/>
    </row>
    <row r="21" spans="1:12">
      <c r="A21" s="173">
        <f>A20+1</f>
        <v>18</v>
      </c>
      <c r="B21" s="204" t="str">
        <f>+B14</f>
        <v xml:space="preserve">  Transmission</v>
      </c>
      <c r="C21" s="301" t="s">
        <v>1232</v>
      </c>
      <c r="D21" s="274">
        <f>F206</f>
        <v>761487844.47064865</v>
      </c>
      <c r="E21" s="299" t="str">
        <f>+E14</f>
        <v>TP</v>
      </c>
      <c r="F21" s="279">
        <f>H103</f>
        <v>1</v>
      </c>
      <c r="G21" s="298"/>
      <c r="H21" s="164">
        <f>+F21*D21</f>
        <v>761487844.47064865</v>
      </c>
      <c r="I21" s="269"/>
    </row>
    <row r="22" spans="1:12">
      <c r="A22" s="173">
        <f>A21+1</f>
        <v>19</v>
      </c>
      <c r="B22" s="204" t="str">
        <f>+B15</f>
        <v xml:space="preserve">  Distribution</v>
      </c>
      <c r="C22" s="301" t="s">
        <v>1232</v>
      </c>
      <c r="D22" s="274">
        <f>F207</f>
        <v>27592796.643054485</v>
      </c>
      <c r="E22" s="299" t="str">
        <f>+E15</f>
        <v>NA</v>
      </c>
      <c r="F22" s="279" t="str">
        <f>+F15</f>
        <v xml:space="preserve"> </v>
      </c>
      <c r="G22" s="298"/>
      <c r="H22" s="164" t="s">
        <v>236</v>
      </c>
      <c r="I22" s="269"/>
    </row>
    <row r="23" spans="1:12" ht="26">
      <c r="A23" s="173">
        <f>A22+1</f>
        <v>20</v>
      </c>
      <c r="B23" s="314" t="str">
        <f>+B16</f>
        <v xml:space="preserve">  General &amp; Intangible</v>
      </c>
      <c r="C23" s="308" t="s">
        <v>1272</v>
      </c>
      <c r="D23" s="307">
        <v>0</v>
      </c>
      <c r="E23" s="306" t="str">
        <f>+E16</f>
        <v>W/S</v>
      </c>
      <c r="F23" s="305">
        <f>+F16</f>
        <v>1</v>
      </c>
      <c r="G23" s="304"/>
      <c r="H23" s="303">
        <f>+F23*D23</f>
        <v>0</v>
      </c>
      <c r="I23" s="269"/>
    </row>
    <row r="24" spans="1:12">
      <c r="A24" s="173">
        <f>A23+1</f>
        <v>21</v>
      </c>
      <c r="B24" s="204" t="str">
        <f>+B17</f>
        <v xml:space="preserve">  Common</v>
      </c>
      <c r="C24" s="274"/>
      <c r="D24" s="311">
        <v>0</v>
      </c>
      <c r="E24" s="299" t="str">
        <f>+E17</f>
        <v>CE</v>
      </c>
      <c r="F24" s="279">
        <f>+F17</f>
        <v>0</v>
      </c>
      <c r="G24" s="298"/>
      <c r="H24" s="164">
        <f>+F24*D24</f>
        <v>0</v>
      </c>
      <c r="I24" s="174"/>
    </row>
    <row r="25" spans="1:12">
      <c r="A25" s="173">
        <f>A24+1</f>
        <v>22</v>
      </c>
      <c r="B25" s="188" t="s">
        <v>1271</v>
      </c>
      <c r="C25" s="265" t="str">
        <f>"(sum lines "&amp;A20&amp;" to "&amp;A24&amp;")"</f>
        <v>(sum lines 17 to 21)</v>
      </c>
      <c r="D25" s="258">
        <f>SUM(D20:D24)</f>
        <v>1364165600.083456</v>
      </c>
      <c r="E25" s="310"/>
      <c r="F25" s="263"/>
      <c r="G25" s="298"/>
      <c r="H25" s="255">
        <f>SUM(H20:H24)</f>
        <v>761487844.47064865</v>
      </c>
      <c r="I25" s="313"/>
    </row>
    <row r="26" spans="1:12">
      <c r="A26" s="173"/>
      <c r="B26" s="188" t="s">
        <v>1270</v>
      </c>
      <c r="C26" s="274"/>
      <c r="D26" s="274"/>
      <c r="E26" s="299"/>
      <c r="F26" s="263"/>
      <c r="G26" s="162"/>
      <c r="H26" s="263"/>
      <c r="I26" s="269"/>
    </row>
    <row r="27" spans="1:12">
      <c r="A27" s="173">
        <f>A25+1</f>
        <v>23</v>
      </c>
      <c r="B27" s="204" t="str">
        <f>+B20</f>
        <v xml:space="preserve">  Production</v>
      </c>
      <c r="C27" s="274" t="str">
        <f>"(line "&amp;A13&amp; " - line "&amp;A20&amp;")"</f>
        <v>(line 11 - line 17)</v>
      </c>
      <c r="D27" s="274">
        <f>D13-D20</f>
        <v>534428701.10071707</v>
      </c>
      <c r="E27" s="299"/>
      <c r="F27" s="309"/>
      <c r="G27" s="298"/>
      <c r="H27" s="164" t="s">
        <v>236</v>
      </c>
      <c r="I27" s="269"/>
    </row>
    <row r="28" spans="1:12">
      <c r="A28" s="173">
        <f>A27+1</f>
        <v>24</v>
      </c>
      <c r="B28" s="204" t="str">
        <f>+B21</f>
        <v xml:space="preserve">  Transmission</v>
      </c>
      <c r="C28" s="274" t="str">
        <f>"(line "&amp;A14&amp;" - line "&amp;A21&amp;")"</f>
        <v>(line 12 - line 18)</v>
      </c>
      <c r="D28" s="274">
        <f>D14-D21</f>
        <v>760933958.57888186</v>
      </c>
      <c r="E28" s="299"/>
      <c r="F28" s="279"/>
      <c r="G28" s="298"/>
      <c r="H28" s="164">
        <f>H14-H21</f>
        <v>760933958.57888186</v>
      </c>
      <c r="I28" s="269"/>
    </row>
    <row r="29" spans="1:12">
      <c r="A29" s="173">
        <f>A28+1</f>
        <v>25</v>
      </c>
      <c r="B29" s="204" t="str">
        <f>+B22</f>
        <v xml:space="preserve">  Distribution</v>
      </c>
      <c r="C29" s="274" t="str">
        <f>"(line "&amp;A15&amp;" - line "&amp;A22&amp;")"</f>
        <v>(line 13 - line 19)</v>
      </c>
      <c r="D29" s="274">
        <f>D15-D22</f>
        <v>27699090.356945127</v>
      </c>
      <c r="E29" s="299"/>
      <c r="F29" s="309"/>
      <c r="G29" s="298"/>
      <c r="H29" s="164" t="s">
        <v>236</v>
      </c>
      <c r="I29" s="269"/>
    </row>
    <row r="30" spans="1:12">
      <c r="A30" s="173">
        <f>A29+1</f>
        <v>26</v>
      </c>
      <c r="B30" s="204" t="str">
        <f>+B23</f>
        <v xml:space="preserve">  General &amp; Intangible</v>
      </c>
      <c r="C30" s="274" t="str">
        <f>"(line "&amp;A16&amp;" - line "&amp;A23&amp;")"</f>
        <v>(line 14 - line 20)</v>
      </c>
      <c r="D30" s="274">
        <f>D16-D23</f>
        <v>0</v>
      </c>
      <c r="E30" s="299"/>
      <c r="F30" s="309"/>
      <c r="G30" s="298"/>
      <c r="H30" s="164">
        <f>H16-H23</f>
        <v>0</v>
      </c>
      <c r="I30" s="174"/>
    </row>
    <row r="31" spans="1:12">
      <c r="A31" s="173">
        <f>A30+1</f>
        <v>27</v>
      </c>
      <c r="B31" s="204" t="str">
        <f>+B24</f>
        <v xml:space="preserve">  Common</v>
      </c>
      <c r="C31" s="274" t="str">
        <f>"(line "&amp;A17&amp;" - line "&amp;A24&amp;")"</f>
        <v>(line 15 - line 21)</v>
      </c>
      <c r="D31" s="274">
        <f>D17-D24</f>
        <v>0</v>
      </c>
      <c r="E31" s="299"/>
      <c r="F31" s="309"/>
      <c r="G31" s="298"/>
      <c r="H31" s="164">
        <f>H17-H24</f>
        <v>0</v>
      </c>
      <c r="I31" s="174"/>
      <c r="J31" s="56"/>
      <c r="L31" s="56"/>
    </row>
    <row r="32" spans="1:12">
      <c r="A32" s="173">
        <f>A31+1</f>
        <v>28</v>
      </c>
      <c r="B32" s="188" t="s">
        <v>1269</v>
      </c>
      <c r="C32" s="274" t="str">
        <f>"(sum lines "&amp;A27&amp;" to "&amp;A31&amp;")"</f>
        <v>(sum lines 23 to 27)</v>
      </c>
      <c r="D32" s="258">
        <f>SUM(D27:D31)</f>
        <v>1323061750.0365438</v>
      </c>
      <c r="E32" s="299" t="s">
        <v>1268</v>
      </c>
      <c r="F32" s="309">
        <f>IF(H32&gt;0,H32/D32,0)</f>
        <v>0.5751310991779971</v>
      </c>
      <c r="G32" s="298"/>
      <c r="H32" s="255">
        <f>SUM(H27:H31)</f>
        <v>760933958.57888186</v>
      </c>
      <c r="I32" s="313"/>
      <c r="J32" s="56"/>
      <c r="L32" s="56"/>
    </row>
    <row r="33" spans="1:21">
      <c r="A33" s="173"/>
      <c r="B33" s="188" t="s">
        <v>1267</v>
      </c>
      <c r="C33" s="265" t="s">
        <v>1266</v>
      </c>
      <c r="D33" s="274"/>
      <c r="E33" s="310"/>
      <c r="F33" s="263"/>
      <c r="G33" s="162"/>
      <c r="H33" s="263"/>
      <c r="I33" s="174"/>
      <c r="J33" s="56"/>
      <c r="L33" s="56"/>
    </row>
    <row r="34" spans="1:21">
      <c r="A34" s="173">
        <f>A32+1</f>
        <v>29</v>
      </c>
      <c r="B34" s="188" t="s">
        <v>1265</v>
      </c>
      <c r="C34" s="274" t="s">
        <v>1209</v>
      </c>
      <c r="D34" s="311">
        <v>0</v>
      </c>
      <c r="E34" s="299"/>
      <c r="F34" s="279">
        <v>0</v>
      </c>
      <c r="G34" s="298"/>
      <c r="H34" s="164">
        <v>0</v>
      </c>
      <c r="I34" s="174"/>
      <c r="J34" s="56"/>
      <c r="L34" s="56"/>
    </row>
    <row r="35" spans="1:21">
      <c r="A35" s="173">
        <f t="shared" ref="A35:A40" si="1">A34+1</f>
        <v>30</v>
      </c>
      <c r="B35" s="188" t="s">
        <v>1264</v>
      </c>
      <c r="C35" s="274" t="s">
        <v>1209</v>
      </c>
      <c r="D35" s="311">
        <v>0</v>
      </c>
      <c r="E35" s="299" t="s">
        <v>1206</v>
      </c>
      <c r="F35" s="279">
        <f>+F32</f>
        <v>0.5751310991779971</v>
      </c>
      <c r="G35" s="298"/>
      <c r="H35" s="164">
        <f>D35*F35</f>
        <v>0</v>
      </c>
      <c r="I35" s="269"/>
      <c r="J35" s="56"/>
      <c r="L35" s="56"/>
    </row>
    <row r="36" spans="1:21">
      <c r="A36" s="173">
        <f t="shared" si="1"/>
        <v>31</v>
      </c>
      <c r="B36" s="188" t="s">
        <v>1263</v>
      </c>
      <c r="C36" s="274" t="s">
        <v>1209</v>
      </c>
      <c r="D36" s="311">
        <v>0</v>
      </c>
      <c r="E36" s="299" t="s">
        <v>1206</v>
      </c>
      <c r="F36" s="279">
        <f>+F35</f>
        <v>0.5751310991779971</v>
      </c>
      <c r="G36" s="298"/>
      <c r="H36" s="164">
        <f>D36*F36</f>
        <v>0</v>
      </c>
      <c r="I36" s="312"/>
      <c r="J36" s="56"/>
      <c r="L36" s="56"/>
    </row>
    <row r="37" spans="1:21">
      <c r="A37" s="173">
        <f t="shared" si="1"/>
        <v>32</v>
      </c>
      <c r="B37" s="188" t="s">
        <v>1262</v>
      </c>
      <c r="C37" s="274"/>
      <c r="D37" s="311">
        <v>0</v>
      </c>
      <c r="E37" s="299" t="str">
        <f>+E36</f>
        <v>NP</v>
      </c>
      <c r="F37" s="279">
        <f>+F36</f>
        <v>0.5751310991779971</v>
      </c>
      <c r="G37" s="298"/>
      <c r="H37" s="164">
        <f>D37*F37</f>
        <v>0</v>
      </c>
      <c r="I37" s="269"/>
      <c r="J37" s="56"/>
      <c r="L37" s="56"/>
    </row>
    <row r="38" spans="1:21">
      <c r="A38" s="173">
        <f t="shared" si="1"/>
        <v>33</v>
      </c>
      <c r="B38" s="188" t="s">
        <v>1261</v>
      </c>
      <c r="C38" s="274" t="s">
        <v>1209</v>
      </c>
      <c r="D38" s="311">
        <v>0</v>
      </c>
      <c r="E38" s="299" t="s">
        <v>1206</v>
      </c>
      <c r="F38" s="279">
        <f>+F36</f>
        <v>0.5751310991779971</v>
      </c>
      <c r="G38" s="298"/>
      <c r="H38" s="164">
        <f>D38*F38</f>
        <v>0</v>
      </c>
      <c r="I38" s="161"/>
      <c r="J38" s="56"/>
      <c r="L38" s="56"/>
    </row>
    <row r="39" spans="1:21">
      <c r="A39" s="173">
        <f t="shared" si="1"/>
        <v>34</v>
      </c>
      <c r="B39" s="188" t="s">
        <v>1260</v>
      </c>
      <c r="C39" s="274" t="str">
        <f>"(sum lines "&amp;A34&amp;" to "&amp;A38&amp;")"</f>
        <v>(sum lines 29 to 33)</v>
      </c>
      <c r="D39" s="258">
        <f>SUM(D34:D38)</f>
        <v>0</v>
      </c>
      <c r="E39" s="299"/>
      <c r="F39" s="263"/>
      <c r="G39" s="298"/>
      <c r="H39" s="255">
        <f>SUM(H34:H38)</f>
        <v>0</v>
      </c>
      <c r="I39" s="278"/>
      <c r="J39" s="56"/>
      <c r="L39" s="56"/>
    </row>
    <row r="40" spans="1:21">
      <c r="A40" s="173">
        <f t="shared" si="1"/>
        <v>35</v>
      </c>
      <c r="B40" s="188" t="s">
        <v>1259</v>
      </c>
      <c r="C40" s="265" t="s">
        <v>1258</v>
      </c>
      <c r="D40" s="311">
        <v>0</v>
      </c>
      <c r="E40" s="310" t="str">
        <f>+E21</f>
        <v>TP</v>
      </c>
      <c r="F40" s="279">
        <f>+F21</f>
        <v>1</v>
      </c>
      <c r="G40" s="162"/>
      <c r="H40" s="263">
        <f>+F40*D40</f>
        <v>0</v>
      </c>
      <c r="I40" s="161"/>
      <c r="J40" s="56"/>
      <c r="L40" s="56"/>
    </row>
    <row r="41" spans="1:21">
      <c r="A41" s="173"/>
      <c r="B41" s="188" t="s">
        <v>1257</v>
      </c>
      <c r="C41" s="301" t="s">
        <v>1256</v>
      </c>
      <c r="D41" s="274"/>
      <c r="E41" s="299"/>
      <c r="F41" s="263"/>
      <c r="G41" s="298"/>
      <c r="H41" s="164"/>
      <c r="I41" s="193"/>
      <c r="J41" s="56"/>
    </row>
    <row r="42" spans="1:21">
      <c r="A42" s="173">
        <f>A40+1</f>
        <v>36</v>
      </c>
      <c r="B42" s="188" t="s">
        <v>1255</v>
      </c>
      <c r="C42" s="274" t="s">
        <v>1254</v>
      </c>
      <c r="D42" s="274">
        <f>D61/8</f>
        <v>23395796.991250001</v>
      </c>
      <c r="E42" s="299"/>
      <c r="F42" s="309"/>
      <c r="G42" s="298"/>
      <c r="H42" s="164">
        <v>0</v>
      </c>
      <c r="I42" s="302"/>
      <c r="J42" s="56"/>
      <c r="L42" s="56"/>
    </row>
    <row r="43" spans="1:21" ht="26">
      <c r="A43" s="173">
        <f>A42+1</f>
        <v>37</v>
      </c>
      <c r="B43" s="218" t="s">
        <v>1253</v>
      </c>
      <c r="C43" s="308" t="s">
        <v>1252</v>
      </c>
      <c r="D43" s="307">
        <v>0</v>
      </c>
      <c r="E43" s="306" t="s">
        <v>934</v>
      </c>
      <c r="F43" s="305">
        <f>H104</f>
        <v>0</v>
      </c>
      <c r="G43" s="304"/>
      <c r="H43" s="303">
        <f>+F43*D43</f>
        <v>0</v>
      </c>
      <c r="I43" s="302"/>
      <c r="J43" s="56"/>
      <c r="L43" s="56"/>
    </row>
    <row r="44" spans="1:21">
      <c r="A44" s="173">
        <f>A43+1</f>
        <v>38</v>
      </c>
      <c r="B44" s="188" t="s">
        <v>1251</v>
      </c>
      <c r="C44" s="301" t="s">
        <v>1250</v>
      </c>
      <c r="D44" s="300">
        <v>0</v>
      </c>
      <c r="E44" s="299" t="s">
        <v>724</v>
      </c>
      <c r="F44" s="279">
        <f>+F18</f>
        <v>0.56654000748449718</v>
      </c>
      <c r="G44" s="298"/>
      <c r="H44" s="164">
        <f>+F44*D44</f>
        <v>0</v>
      </c>
      <c r="I44" s="190"/>
      <c r="J44" s="56"/>
      <c r="L44" s="56"/>
    </row>
    <row r="45" spans="1:21">
      <c r="A45" s="173">
        <f>A44+1</f>
        <v>39</v>
      </c>
      <c r="B45" s="188" t="s">
        <v>1249</v>
      </c>
      <c r="C45" s="274" t="str">
        <f>"(sum lines "&amp;A42&amp;" to "&amp;A44&amp;")"</f>
        <v>(sum lines 36 to 38)</v>
      </c>
      <c r="D45" s="297">
        <f>D42+D43+D44</f>
        <v>23395796.991250001</v>
      </c>
      <c r="E45" s="296"/>
      <c r="F45" s="295"/>
      <c r="G45" s="294"/>
      <c r="H45" s="293">
        <f>H42+H43+H44</f>
        <v>0</v>
      </c>
      <c r="I45" s="292"/>
      <c r="J45" s="56"/>
      <c r="L45" s="56"/>
    </row>
    <row r="46" spans="1:21" ht="13.5" thickBot="1">
      <c r="A46" s="181">
        <f>A45+1</f>
        <v>40</v>
      </c>
      <c r="B46" s="185" t="s">
        <v>1248</v>
      </c>
      <c r="C46" s="291" t="str">
        <f>"(sum lines "&amp;A32&amp;", "&amp;A39&amp;", "&amp;A40&amp;", "&amp;A45&amp;")"</f>
        <v>(sum lines 28, 34, 35, 39)</v>
      </c>
      <c r="D46" s="291">
        <f>+D45+D40+D39+D32</f>
        <v>1346457547.0277939</v>
      </c>
      <c r="E46" s="290"/>
      <c r="F46" s="289"/>
      <c r="G46" s="288"/>
      <c r="H46" s="178">
        <f>+H45+H40+H39+H32</f>
        <v>760933958.57888186</v>
      </c>
      <c r="I46" s="287"/>
      <c r="J46" s="56"/>
      <c r="L46" s="79"/>
    </row>
    <row r="47" spans="1:21">
      <c r="A47" s="247"/>
      <c r="B47" s="245" t="s">
        <v>507</v>
      </c>
      <c r="C47" s="286"/>
      <c r="D47" s="286"/>
      <c r="E47" s="285"/>
      <c r="F47" s="283"/>
      <c r="G47" s="284"/>
      <c r="H47" s="283"/>
      <c r="I47" s="282"/>
      <c r="M47" s="60"/>
      <c r="N47" s="60"/>
      <c r="O47" s="60"/>
      <c r="P47" s="238"/>
      <c r="Q47" s="238"/>
      <c r="R47" s="238"/>
      <c r="S47" s="238"/>
      <c r="T47" s="238"/>
      <c r="U47" s="238"/>
    </row>
    <row r="48" spans="1:21">
      <c r="A48" s="173"/>
      <c r="B48" s="188" t="s">
        <v>1247</v>
      </c>
      <c r="C48" s="259" t="s">
        <v>1246</v>
      </c>
      <c r="D48" s="259"/>
      <c r="E48" s="257"/>
      <c r="F48" s="266"/>
      <c r="G48" s="188"/>
      <c r="H48" s="266"/>
      <c r="I48" s="174"/>
    </row>
    <row r="49" spans="1:9" s="277" customFormat="1">
      <c r="A49" s="173">
        <f>A46+1</f>
        <v>41</v>
      </c>
      <c r="B49" s="188" t="s">
        <v>1231</v>
      </c>
      <c r="C49" s="259"/>
      <c r="D49" s="265">
        <f>C186</f>
        <v>64251178.399999999</v>
      </c>
      <c r="E49" s="257" t="s">
        <v>1169</v>
      </c>
      <c r="F49" s="279">
        <f>H116</f>
        <v>0.95041333355496249</v>
      </c>
      <c r="G49" s="162"/>
      <c r="H49" s="263">
        <f>+F49*D49</f>
        <v>61065176.647978596</v>
      </c>
      <c r="I49" s="174"/>
    </row>
    <row r="50" spans="1:9">
      <c r="A50" s="173">
        <f>A49+1</f>
        <v>42</v>
      </c>
      <c r="B50" s="188" t="s">
        <v>1230</v>
      </c>
      <c r="C50" s="259"/>
      <c r="D50" s="265">
        <f>D186</f>
        <v>46417099</v>
      </c>
      <c r="E50" s="257" t="s">
        <v>1165</v>
      </c>
      <c r="F50" s="279">
        <f>H119</f>
        <v>1.2462434153802134E-2</v>
      </c>
      <c r="G50" s="162"/>
      <c r="H50" s="263">
        <f>+F50*D50</f>
        <v>578470.03989801486</v>
      </c>
      <c r="I50" s="174"/>
    </row>
    <row r="51" spans="1:9">
      <c r="A51" s="173">
        <f>A50+1</f>
        <v>43</v>
      </c>
      <c r="B51" s="188" t="s">
        <v>1229</v>
      </c>
      <c r="C51" s="259" t="s">
        <v>1245</v>
      </c>
      <c r="D51" s="265">
        <f>E186</f>
        <v>46743530</v>
      </c>
      <c r="E51" s="257" t="s">
        <v>1161</v>
      </c>
      <c r="F51" s="279">
        <f>H122</f>
        <v>7.8961087910184413E-2</v>
      </c>
      <c r="G51" s="162"/>
      <c r="H51" s="263">
        <f>+F51*D51</f>
        <v>3690919.9815623425</v>
      </c>
      <c r="I51" s="174"/>
    </row>
    <row r="52" spans="1:9">
      <c r="A52" s="173">
        <f>A51+1</f>
        <v>44</v>
      </c>
      <c r="B52" s="188" t="s">
        <v>1244</v>
      </c>
      <c r="C52" s="259" t="s">
        <v>1243</v>
      </c>
      <c r="D52" s="265"/>
      <c r="E52" s="257" t="s">
        <v>483</v>
      </c>
      <c r="F52" s="279">
        <v>1</v>
      </c>
      <c r="G52" s="162"/>
      <c r="H52" s="263">
        <f>+F52*D52</f>
        <v>0</v>
      </c>
      <c r="I52" s="174"/>
    </row>
    <row r="53" spans="1:9">
      <c r="A53" s="173"/>
      <c r="B53" s="188" t="s">
        <v>1242</v>
      </c>
      <c r="C53" s="259" t="s">
        <v>1241</v>
      </c>
      <c r="D53" s="265"/>
      <c r="E53" s="264"/>
      <c r="F53" s="266"/>
      <c r="G53" s="188"/>
      <c r="H53" s="266"/>
      <c r="I53" s="174"/>
    </row>
    <row r="54" spans="1:9">
      <c r="A54" s="173">
        <f>A52+1</f>
        <v>45</v>
      </c>
      <c r="B54" s="188" t="s">
        <v>1231</v>
      </c>
      <c r="C54" s="259"/>
      <c r="D54" s="265">
        <f>C188</f>
        <v>19840517</v>
      </c>
      <c r="E54" s="257" t="str">
        <f>E49</f>
        <v>PTP/UGP</v>
      </c>
      <c r="F54" s="279">
        <f>F49</f>
        <v>0.95041333355496249</v>
      </c>
      <c r="G54" s="162"/>
      <c r="H54" s="263">
        <f t="shared" ref="H54:H60" si="2">+F54*D54</f>
        <v>18856691.901423905</v>
      </c>
      <c r="I54" s="269"/>
    </row>
    <row r="55" spans="1:9">
      <c r="A55" s="173">
        <f t="shared" ref="A55:A61" si="3">A54+1</f>
        <v>46</v>
      </c>
      <c r="B55" s="188" t="s">
        <v>1230</v>
      </c>
      <c r="C55" s="259"/>
      <c r="D55" s="265">
        <f>D188</f>
        <v>9914051.5299999993</v>
      </c>
      <c r="E55" s="257" t="str">
        <f>E50</f>
        <v>PTP/RMR</v>
      </c>
      <c r="F55" s="279">
        <f>F50</f>
        <v>1.2462434153802134E-2</v>
      </c>
      <c r="G55" s="162"/>
      <c r="H55" s="263">
        <f t="shared" si="2"/>
        <v>123553.21439002629</v>
      </c>
      <c r="I55" s="269"/>
    </row>
    <row r="56" spans="1:9">
      <c r="A56" s="173">
        <f t="shared" si="3"/>
        <v>47</v>
      </c>
      <c r="B56" s="188" t="s">
        <v>1240</v>
      </c>
      <c r="C56" s="265"/>
      <c r="D56" s="280">
        <v>0</v>
      </c>
      <c r="E56" s="257" t="s">
        <v>1222</v>
      </c>
      <c r="F56" s="279">
        <f>H111</f>
        <v>1</v>
      </c>
      <c r="G56" s="162"/>
      <c r="H56" s="263">
        <f t="shared" si="2"/>
        <v>0</v>
      </c>
      <c r="I56" s="269"/>
    </row>
    <row r="57" spans="1:9">
      <c r="A57" s="173">
        <f t="shared" si="3"/>
        <v>48</v>
      </c>
      <c r="B57" s="188" t="s">
        <v>1239</v>
      </c>
      <c r="C57" s="265" t="s">
        <v>1237</v>
      </c>
      <c r="D57" s="280">
        <v>0</v>
      </c>
      <c r="E57" s="257" t="str">
        <f>+E56</f>
        <v>W/S</v>
      </c>
      <c r="F57" s="279">
        <f>H111</f>
        <v>1</v>
      </c>
      <c r="G57" s="162"/>
      <c r="H57" s="263">
        <f t="shared" si="2"/>
        <v>0</v>
      </c>
      <c r="I57" s="269"/>
    </row>
    <row r="58" spans="1:9">
      <c r="A58" s="173">
        <f t="shared" si="3"/>
        <v>49</v>
      </c>
      <c r="B58" s="188" t="s">
        <v>1238</v>
      </c>
      <c r="C58" s="265" t="s">
        <v>1237</v>
      </c>
      <c r="D58" s="280">
        <v>0</v>
      </c>
      <c r="E58" s="257" t="s">
        <v>934</v>
      </c>
      <c r="F58" s="279">
        <f>H104</f>
        <v>0</v>
      </c>
      <c r="G58" s="162"/>
      <c r="H58" s="263">
        <f t="shared" si="2"/>
        <v>0</v>
      </c>
      <c r="I58" s="269"/>
    </row>
    <row r="59" spans="1:9">
      <c r="A59" s="173">
        <f t="shared" si="3"/>
        <v>50</v>
      </c>
      <c r="B59" s="188" t="s">
        <v>1236</v>
      </c>
      <c r="C59" s="265"/>
      <c r="D59" s="280">
        <v>0</v>
      </c>
      <c r="E59" s="257" t="s">
        <v>1157</v>
      </c>
      <c r="F59" s="279">
        <f>I124</f>
        <v>0</v>
      </c>
      <c r="G59" s="162"/>
      <c r="H59" s="263">
        <f t="shared" si="2"/>
        <v>0</v>
      </c>
      <c r="I59" s="174"/>
    </row>
    <row r="60" spans="1:9">
      <c r="A60" s="173">
        <f t="shared" si="3"/>
        <v>51</v>
      </c>
      <c r="B60" s="188" t="s">
        <v>1235</v>
      </c>
      <c r="C60" s="265"/>
      <c r="D60" s="281">
        <v>0</v>
      </c>
      <c r="E60" s="257" t="s">
        <v>483</v>
      </c>
      <c r="F60" s="279">
        <v>1</v>
      </c>
      <c r="G60" s="162"/>
      <c r="H60" s="263">
        <f t="shared" si="2"/>
        <v>0</v>
      </c>
      <c r="I60" s="174"/>
    </row>
    <row r="61" spans="1:9" ht="26">
      <c r="A61" s="173">
        <f t="shared" si="3"/>
        <v>52</v>
      </c>
      <c r="B61" s="188" t="s">
        <v>1234</v>
      </c>
      <c r="C61" s="273" t="str">
        <f>"(sum lines "&amp;A49&amp;", "&amp;A50&amp;", "&amp;A51&amp;", "&amp;A54&amp;", "&amp;A55&amp;", "&amp;A58&amp;", "&amp;A59&amp;" less "&amp;A52&amp;", "&amp;A56&amp;", "&amp;A57&amp;")"</f>
        <v>(sum lines 41, 42, 43, 45, 46, 49, 50 less 44, 47, 48)</v>
      </c>
      <c r="D61" s="258">
        <f>+D49+D50+D51-D52+D54+D55-D56-D57+D58+D59+D60</f>
        <v>187166375.93000001</v>
      </c>
      <c r="E61" s="257"/>
      <c r="F61" s="263"/>
      <c r="G61" s="162"/>
      <c r="H61" s="255">
        <f>+H49+H50+H51-H52+H54+H55-H56-H57+H58+H59+H60</f>
        <v>84314811.785252884</v>
      </c>
      <c r="I61" s="278"/>
    </row>
    <row r="62" spans="1:9">
      <c r="A62" s="173"/>
      <c r="B62" s="188" t="s">
        <v>1233</v>
      </c>
      <c r="C62" s="265"/>
      <c r="D62" s="274"/>
      <c r="E62" s="187"/>
      <c r="F62" s="263"/>
      <c r="G62" s="162"/>
      <c r="H62" s="263"/>
      <c r="I62" s="269"/>
    </row>
    <row r="63" spans="1:9">
      <c r="A63" s="173">
        <f>A61+1</f>
        <v>53</v>
      </c>
      <c r="B63" s="204" t="str">
        <f>+B48</f>
        <v xml:space="preserve">  Transmission </v>
      </c>
      <c r="C63" s="259" t="s">
        <v>1232</v>
      </c>
      <c r="D63" s="265"/>
      <c r="E63" s="257"/>
      <c r="F63" s="279"/>
      <c r="G63" s="162"/>
      <c r="H63" s="263"/>
      <c r="I63" s="269"/>
    </row>
    <row r="64" spans="1:9">
      <c r="A64" s="173">
        <f t="shared" ref="A64:A69" si="4">A63+1</f>
        <v>54</v>
      </c>
      <c r="B64" s="188" t="s">
        <v>1231</v>
      </c>
      <c r="C64" s="259"/>
      <c r="D64" s="267">
        <f>'WS4-CostData'!C46</f>
        <v>35378568</v>
      </c>
      <c r="E64" s="257" t="str">
        <f>E49</f>
        <v>PTP/UGP</v>
      </c>
      <c r="F64" s="279">
        <f>F49</f>
        <v>0.95041333355496249</v>
      </c>
      <c r="G64" s="162"/>
      <c r="H64" s="263">
        <f>+F64*D64</f>
        <v>33624262.749280922</v>
      </c>
      <c r="I64" s="269"/>
    </row>
    <row r="65" spans="1:15">
      <c r="A65" s="173">
        <f t="shared" si="4"/>
        <v>55</v>
      </c>
      <c r="B65" s="188" t="s">
        <v>1230</v>
      </c>
      <c r="C65" s="259"/>
      <c r="D65" s="267">
        <f>'WS4-CostData'!E46</f>
        <v>19115399.030000001</v>
      </c>
      <c r="E65" s="257" t="str">
        <f>E50</f>
        <v>PTP/RMR</v>
      </c>
      <c r="F65" s="279">
        <f>F50</f>
        <v>1.2462434153802134E-2</v>
      </c>
      <c r="G65" s="162"/>
      <c r="H65" s="263">
        <f>+F65*D65</f>
        <v>238224.40173502819</v>
      </c>
      <c r="I65" s="269"/>
    </row>
    <row r="66" spans="1:15">
      <c r="A66" s="173">
        <f t="shared" si="4"/>
        <v>56</v>
      </c>
      <c r="B66" s="188" t="s">
        <v>1229</v>
      </c>
      <c r="C66" s="259"/>
      <c r="D66" s="267">
        <f>'WS4-CostData'!G46</f>
        <v>15118338</v>
      </c>
      <c r="E66" s="257" t="s">
        <v>1161</v>
      </c>
      <c r="F66" s="279">
        <f>F51</f>
        <v>7.8961087910184413E-2</v>
      </c>
      <c r="G66" s="162"/>
      <c r="H66" s="263">
        <f>+F66*D66</f>
        <v>1193760.4158738817</v>
      </c>
      <c r="I66" s="269"/>
    </row>
    <row r="67" spans="1:15">
      <c r="A67" s="173">
        <f t="shared" si="4"/>
        <v>57</v>
      </c>
      <c r="B67" s="188" t="s">
        <v>1228</v>
      </c>
      <c r="C67" s="259"/>
      <c r="D67" s="280">
        <v>0</v>
      </c>
      <c r="E67" s="257" t="s">
        <v>1222</v>
      </c>
      <c r="F67" s="279">
        <f>H111</f>
        <v>1</v>
      </c>
      <c r="G67" s="162"/>
      <c r="H67" s="263">
        <f>+F67*D67</f>
        <v>0</v>
      </c>
      <c r="I67" s="269"/>
    </row>
    <row r="68" spans="1:15">
      <c r="A68" s="173">
        <f t="shared" si="4"/>
        <v>58</v>
      </c>
      <c r="B68" s="204" t="str">
        <f>+B59</f>
        <v xml:space="preserve">  Common</v>
      </c>
      <c r="C68" s="265"/>
      <c r="D68" s="280">
        <v>0</v>
      </c>
      <c r="E68" s="257" t="s">
        <v>1157</v>
      </c>
      <c r="F68" s="279">
        <f>+F59</f>
        <v>0</v>
      </c>
      <c r="G68" s="162"/>
      <c r="H68" s="263">
        <f>+F68*D68</f>
        <v>0</v>
      </c>
      <c r="I68" s="269"/>
      <c r="J68" s="79"/>
      <c r="L68" s="79"/>
    </row>
    <row r="69" spans="1:15">
      <c r="A69" s="173">
        <f t="shared" si="4"/>
        <v>59</v>
      </c>
      <c r="B69" s="188" t="s">
        <v>1227</v>
      </c>
      <c r="C69" s="265" t="str">
        <f>"(sum lines "&amp;A63&amp;" to "&amp;A68&amp;")"</f>
        <v>(sum lines 53 to 58)</v>
      </c>
      <c r="D69" s="258">
        <f>SUM(D63:D68)</f>
        <v>69612305.030000001</v>
      </c>
      <c r="E69" s="257"/>
      <c r="F69" s="263"/>
      <c r="G69" s="162"/>
      <c r="H69" s="255">
        <f>SUM(H63:H68)</f>
        <v>35056247.566889837</v>
      </c>
      <c r="I69" s="278"/>
      <c r="J69" s="79"/>
      <c r="L69" s="79"/>
    </row>
    <row r="70" spans="1:15">
      <c r="A70" s="173"/>
      <c r="B70" s="188" t="s">
        <v>1226</v>
      </c>
      <c r="C70" s="259" t="s">
        <v>1225</v>
      </c>
      <c r="D70" s="274"/>
      <c r="E70" s="187"/>
      <c r="F70" s="263"/>
      <c r="G70" s="162"/>
      <c r="H70" s="263"/>
      <c r="I70" s="174"/>
      <c r="J70" s="79"/>
      <c r="L70" s="79"/>
    </row>
    <row r="71" spans="1:15" s="277" customFormat="1">
      <c r="A71" s="173"/>
      <c r="B71" s="188" t="s">
        <v>1224</v>
      </c>
      <c r="C71" s="259"/>
      <c r="D71" s="259"/>
      <c r="E71" s="257"/>
      <c r="F71" s="266"/>
      <c r="G71" s="162"/>
      <c r="H71" s="266"/>
      <c r="I71" s="190"/>
      <c r="J71" s="79"/>
      <c r="K71" s="38"/>
      <c r="L71" s="79"/>
      <c r="M71" s="151"/>
      <c r="N71" s="151"/>
      <c r="O71" s="151"/>
    </row>
    <row r="72" spans="1:15">
      <c r="A72" s="173">
        <f>A69+1</f>
        <v>60</v>
      </c>
      <c r="B72" s="188" t="s">
        <v>1223</v>
      </c>
      <c r="C72" s="265"/>
      <c r="D72" s="267">
        <v>0</v>
      </c>
      <c r="E72" s="257" t="s">
        <v>1222</v>
      </c>
      <c r="F72" s="256">
        <f>+F67</f>
        <v>1</v>
      </c>
      <c r="G72" s="162"/>
      <c r="H72" s="263">
        <f>+F72*D72</f>
        <v>0</v>
      </c>
      <c r="I72" s="190"/>
      <c r="J72" s="79"/>
      <c r="L72" s="79"/>
    </row>
    <row r="73" spans="1:15">
      <c r="A73" s="173">
        <f>A72+1</f>
        <v>61</v>
      </c>
      <c r="B73" s="188" t="s">
        <v>1221</v>
      </c>
      <c r="C73" s="265"/>
      <c r="D73" s="267">
        <v>0</v>
      </c>
      <c r="E73" s="257" t="str">
        <f>+E72</f>
        <v>W/S</v>
      </c>
      <c r="F73" s="256">
        <f>+F72</f>
        <v>1</v>
      </c>
      <c r="G73" s="162"/>
      <c r="H73" s="263">
        <f>+F73*D73</f>
        <v>0</v>
      </c>
      <c r="I73" s="190"/>
      <c r="J73" s="276"/>
      <c r="K73" s="151"/>
      <c r="L73" s="276"/>
    </row>
    <row r="74" spans="1:15">
      <c r="A74" s="173"/>
      <c r="B74" s="188" t="s">
        <v>1220</v>
      </c>
      <c r="C74" s="265"/>
      <c r="D74" s="259"/>
      <c r="E74" s="257"/>
      <c r="F74" s="266"/>
      <c r="G74" s="162"/>
      <c r="H74" s="266"/>
      <c r="I74" s="190"/>
      <c r="J74" s="79"/>
      <c r="L74" s="79"/>
    </row>
    <row r="75" spans="1:15">
      <c r="A75" s="173">
        <f>A73+1</f>
        <v>62</v>
      </c>
      <c r="B75" s="188" t="s">
        <v>1219</v>
      </c>
      <c r="C75" s="265"/>
      <c r="D75" s="267">
        <v>0</v>
      </c>
      <c r="E75" s="257" t="s">
        <v>724</v>
      </c>
      <c r="F75" s="256">
        <f>+F18</f>
        <v>0.56654000748449718</v>
      </c>
      <c r="G75" s="162"/>
      <c r="H75" s="263">
        <f>+F75*D75</f>
        <v>0</v>
      </c>
      <c r="I75" s="190"/>
      <c r="J75" s="79"/>
      <c r="L75" s="79"/>
    </row>
    <row r="76" spans="1:15">
      <c r="A76" s="173">
        <f>A75+1</f>
        <v>63</v>
      </c>
      <c r="B76" s="188" t="s">
        <v>1218</v>
      </c>
      <c r="C76" s="265"/>
      <c r="D76" s="267">
        <v>0</v>
      </c>
      <c r="E76" s="257"/>
      <c r="F76" s="256">
        <v>0</v>
      </c>
      <c r="G76" s="162"/>
      <c r="H76" s="263">
        <v>0</v>
      </c>
      <c r="I76" s="190"/>
      <c r="J76" s="79"/>
      <c r="L76" s="79"/>
    </row>
    <row r="77" spans="1:15">
      <c r="A77" s="173">
        <f>A76+1</f>
        <v>64</v>
      </c>
      <c r="B77" s="188" t="s">
        <v>1217</v>
      </c>
      <c r="C77" s="265"/>
      <c r="D77" s="267">
        <v>0</v>
      </c>
      <c r="E77" s="257" t="str">
        <f>+E75</f>
        <v>GP</v>
      </c>
      <c r="F77" s="256">
        <f>+F75</f>
        <v>0.56654000748449718</v>
      </c>
      <c r="G77" s="162"/>
      <c r="H77" s="263">
        <f>+F77*D77</f>
        <v>0</v>
      </c>
      <c r="I77" s="190"/>
      <c r="J77" s="79"/>
      <c r="L77" s="79"/>
    </row>
    <row r="78" spans="1:15">
      <c r="A78" s="173">
        <f>A77+1</f>
        <v>65</v>
      </c>
      <c r="B78" s="188" t="s">
        <v>1216</v>
      </c>
      <c r="C78" s="265"/>
      <c r="D78" s="267">
        <v>0</v>
      </c>
      <c r="E78" s="257" t="s">
        <v>724</v>
      </c>
      <c r="F78" s="256">
        <f>+F77</f>
        <v>0.56654000748449718</v>
      </c>
      <c r="G78" s="162"/>
      <c r="H78" s="263">
        <f>+F78*D78</f>
        <v>0</v>
      </c>
      <c r="I78" s="190"/>
      <c r="J78" s="79"/>
      <c r="L78" s="79"/>
    </row>
    <row r="79" spans="1:15">
      <c r="A79" s="173">
        <f>A78+1</f>
        <v>66</v>
      </c>
      <c r="B79" s="188" t="s">
        <v>1215</v>
      </c>
      <c r="C79" s="265" t="str">
        <f>"(sum lines "&amp;A72&amp;" to "&amp;A78&amp;")"</f>
        <v>(sum lines 60 to 65)</v>
      </c>
      <c r="D79" s="258">
        <f>SUM(D72:D78)</f>
        <v>0</v>
      </c>
      <c r="E79" s="257"/>
      <c r="F79" s="256"/>
      <c r="G79" s="162"/>
      <c r="H79" s="255">
        <f>SUM(H72:H78)</f>
        <v>0</v>
      </c>
      <c r="I79" s="275"/>
      <c r="J79" s="79"/>
      <c r="L79" s="79"/>
    </row>
    <row r="80" spans="1:15">
      <c r="A80" s="173"/>
      <c r="B80" s="188" t="s">
        <v>1214</v>
      </c>
      <c r="C80" s="261" t="s">
        <v>1213</v>
      </c>
      <c r="D80" s="274"/>
      <c r="E80" s="187" t="s">
        <v>483</v>
      </c>
      <c r="F80" s="256"/>
      <c r="G80" s="162"/>
      <c r="H80" s="263"/>
      <c r="I80" s="190"/>
      <c r="J80" s="79"/>
      <c r="L80" s="79"/>
    </row>
    <row r="81" spans="1:12">
      <c r="A81" s="173">
        <f>A79+1</f>
        <v>67</v>
      </c>
      <c r="B81" s="262" t="s">
        <v>1212</v>
      </c>
      <c r="C81" s="273"/>
      <c r="D81" s="272">
        <f>IF(D160&gt;0,1-(((1-D161)*(1-D160))/(1-D161*D160*D162)),0)</f>
        <v>0</v>
      </c>
      <c r="E81" s="257"/>
      <c r="F81" s="256"/>
      <c r="G81" s="162"/>
      <c r="H81" s="266"/>
      <c r="I81" s="174"/>
      <c r="J81" s="79"/>
      <c r="L81" s="79"/>
    </row>
    <row r="82" spans="1:12" ht="14">
      <c r="A82" s="173">
        <f>A81+1</f>
        <v>68</v>
      </c>
      <c r="B82" s="188" t="s">
        <v>1211</v>
      </c>
      <c r="C82" s="273"/>
      <c r="D82" s="272">
        <f>IF(H135&gt;0,(D81/(1-D81))*(1-H133/H135),0)</f>
        <v>0</v>
      </c>
      <c r="E82" s="257"/>
      <c r="F82" s="271"/>
      <c r="G82" s="162"/>
      <c r="H82" s="266"/>
      <c r="I82" s="190"/>
      <c r="J82" s="79"/>
      <c r="L82" s="79"/>
    </row>
    <row r="83" spans="1:12" ht="26">
      <c r="A83" s="173"/>
      <c r="B83" s="270" t="str">
        <f>"     where WCLTD= (line "&amp;A133&amp;") and R= (line "&amp;A135&amp;") and FIT, SIT &amp; p are as given in footnote I."</f>
        <v xml:space="preserve">     where WCLTD= (line 106) and R= (line 108) and FIT, SIT &amp; p are as given in footnote I.</v>
      </c>
      <c r="C83" s="265"/>
      <c r="D83" s="265"/>
      <c r="E83" s="257"/>
      <c r="F83" s="256"/>
      <c r="G83" s="162"/>
      <c r="H83" s="266"/>
      <c r="I83" s="269"/>
      <c r="J83" s="79"/>
      <c r="L83" s="79"/>
    </row>
    <row r="84" spans="1:12">
      <c r="A84" s="173">
        <f>A82+1</f>
        <v>69</v>
      </c>
      <c r="B84" s="262" t="str">
        <f>"      1 / (1 - T)  = (from line "&amp;A81&amp;")"</f>
        <v xml:space="preserve">      1 / (1 - T)  = (from line 67)</v>
      </c>
      <c r="C84" s="265"/>
      <c r="D84" s="268">
        <f>IF(D81&gt;0,1/(1-D81),0)</f>
        <v>0</v>
      </c>
      <c r="E84" s="257"/>
      <c r="F84" s="256"/>
      <c r="G84" s="162"/>
      <c r="H84" s="266"/>
      <c r="I84" s="161"/>
      <c r="J84" s="79"/>
      <c r="L84" s="79"/>
    </row>
    <row r="85" spans="1:12">
      <c r="A85" s="173">
        <f t="shared" ref="A85:A90" si="5">A84+1</f>
        <v>70</v>
      </c>
      <c r="B85" s="188" t="s">
        <v>1210</v>
      </c>
      <c r="C85" s="265" t="s">
        <v>1209</v>
      </c>
      <c r="D85" s="267">
        <v>0</v>
      </c>
      <c r="E85" s="257"/>
      <c r="F85" s="256"/>
      <c r="G85" s="162"/>
      <c r="H85" s="266">
        <v>0</v>
      </c>
      <c r="I85" s="161"/>
      <c r="J85" s="56"/>
      <c r="L85" s="79"/>
    </row>
    <row r="86" spans="1:12">
      <c r="A86" s="173">
        <f t="shared" si="5"/>
        <v>71</v>
      </c>
      <c r="B86" s="262" t="s">
        <v>1208</v>
      </c>
      <c r="C86" s="261" t="str">
        <f>"(line "&amp;A82&amp;" * line "&amp;A89&amp;")"</f>
        <v>(line 68 * line 74)</v>
      </c>
      <c r="D86" s="265">
        <f>D82*D89</f>
        <v>0</v>
      </c>
      <c r="E86" s="257" t="s">
        <v>483</v>
      </c>
      <c r="F86" s="256"/>
      <c r="G86" s="162"/>
      <c r="H86" s="263">
        <f>D82*H89</f>
        <v>0</v>
      </c>
      <c r="I86" s="161"/>
      <c r="J86" s="56"/>
      <c r="L86" s="56"/>
    </row>
    <row r="87" spans="1:12">
      <c r="A87" s="173">
        <f t="shared" si="5"/>
        <v>72</v>
      </c>
      <c r="B87" s="188" t="s">
        <v>1207</v>
      </c>
      <c r="C87" s="261" t="str">
        <f>"(line "&amp;A84&amp;" * line "&amp;A85&amp;")"</f>
        <v>(line 69 * line 70)</v>
      </c>
      <c r="D87" s="265">
        <f>D84*D85</f>
        <v>0</v>
      </c>
      <c r="E87" s="264" t="s">
        <v>1206</v>
      </c>
      <c r="F87" s="256">
        <f>F32</f>
        <v>0.5751310991779971</v>
      </c>
      <c r="G87" s="162"/>
      <c r="H87" s="263">
        <f>F87*D87</f>
        <v>0</v>
      </c>
      <c r="I87" s="161"/>
      <c r="J87" s="56"/>
      <c r="L87" s="56"/>
    </row>
    <row r="88" spans="1:12">
      <c r="A88" s="173">
        <f t="shared" si="5"/>
        <v>73</v>
      </c>
      <c r="B88" s="262" t="s">
        <v>1205</v>
      </c>
      <c r="C88" s="261" t="str">
        <f>"(line "&amp;A86&amp;" + line "&amp;A87&amp;")"</f>
        <v>(line 71 + line 72)</v>
      </c>
      <c r="D88" s="260">
        <f>+D86+D87</f>
        <v>0</v>
      </c>
      <c r="E88" s="187" t="s">
        <v>236</v>
      </c>
      <c r="F88" s="256" t="s">
        <v>236</v>
      </c>
      <c r="G88" s="162"/>
      <c r="H88" s="255">
        <f>+H86+H87</f>
        <v>0</v>
      </c>
      <c r="I88" s="254"/>
      <c r="J88" s="56"/>
      <c r="L88" s="56"/>
    </row>
    <row r="89" spans="1:12">
      <c r="A89" s="173">
        <f t="shared" si="5"/>
        <v>74</v>
      </c>
      <c r="B89" s="188" t="s">
        <v>1204</v>
      </c>
      <c r="C89" s="259" t="str">
        <f>"(line "&amp;A46&amp;" * line "&amp;A130&amp;")"</f>
        <v>(line 40 * line 105)</v>
      </c>
      <c r="D89" s="258">
        <f>+$H135*D46</f>
        <v>66951069.289706364</v>
      </c>
      <c r="E89" s="257" t="s">
        <v>483</v>
      </c>
      <c r="F89" s="256"/>
      <c r="G89" s="162"/>
      <c r="H89" s="255">
        <f>+$H135*H46</f>
        <v>37836575.16582188</v>
      </c>
      <c r="I89" s="254"/>
      <c r="J89" s="56"/>
      <c r="L89" s="79"/>
    </row>
    <row r="90" spans="1:12" ht="13.5" thickBot="1">
      <c r="A90" s="181">
        <f t="shared" si="5"/>
        <v>75</v>
      </c>
      <c r="B90" s="185" t="s">
        <v>1203</v>
      </c>
      <c r="C90" s="253" t="str">
        <f>"(sum lines "&amp;A61&amp;", "&amp;A69&amp;" ,"&amp;A79&amp;", "&amp;A88&amp;", "&amp;A89&amp;")"</f>
        <v>(sum lines 52, 59 ,66, 73, 74)</v>
      </c>
      <c r="D90" s="252">
        <f>+D89+D88+D79+D69+D61</f>
        <v>323729750.24970639</v>
      </c>
      <c r="E90" s="251"/>
      <c r="F90" s="250"/>
      <c r="G90" s="155"/>
      <c r="H90" s="249">
        <f>+H89+H88+H79+H69+H61</f>
        <v>157207634.5179646</v>
      </c>
      <c r="I90" s="248"/>
      <c r="J90" s="79"/>
      <c r="L90" s="79"/>
    </row>
    <row r="91" spans="1:12">
      <c r="A91" s="247"/>
      <c r="B91" s="245"/>
      <c r="C91" s="246" t="s">
        <v>1202</v>
      </c>
      <c r="D91" s="245"/>
      <c r="E91" s="244"/>
      <c r="F91" s="242"/>
      <c r="G91" s="243"/>
      <c r="H91" s="242"/>
      <c r="I91" s="241"/>
      <c r="J91" s="124"/>
      <c r="L91" s="124"/>
    </row>
    <row r="92" spans="1:12">
      <c r="A92" s="173"/>
      <c r="B92" s="188" t="s">
        <v>1201</v>
      </c>
      <c r="C92" s="163"/>
      <c r="D92" s="163"/>
      <c r="E92" s="165"/>
      <c r="F92" s="184"/>
      <c r="G92" s="163"/>
      <c r="H92" s="184"/>
      <c r="I92" s="174"/>
      <c r="J92" s="79"/>
      <c r="L92" s="124" t="s">
        <v>236</v>
      </c>
    </row>
    <row r="93" spans="1:12">
      <c r="A93" s="173">
        <f>A90+1</f>
        <v>76</v>
      </c>
      <c r="B93" s="167" t="s">
        <v>1200</v>
      </c>
      <c r="C93" s="163" t="str">
        <f>"(line "&amp;A14&amp;", column 3)"</f>
        <v>(line 12, column 3)</v>
      </c>
      <c r="D93" s="162"/>
      <c r="E93" s="187"/>
      <c r="F93" s="164"/>
      <c r="G93" s="162"/>
      <c r="H93" s="164">
        <f>+D14</f>
        <v>1522421803.0495305</v>
      </c>
      <c r="I93" s="174"/>
      <c r="J93" s="79"/>
      <c r="L93" s="79"/>
    </row>
    <row r="94" spans="1:12">
      <c r="A94" s="173">
        <f>A93+1</f>
        <v>77</v>
      </c>
      <c r="B94" s="167" t="s">
        <v>1199</v>
      </c>
      <c r="C94" s="188" t="s">
        <v>1198</v>
      </c>
      <c r="D94" s="188"/>
      <c r="E94" s="197"/>
      <c r="F94" s="196"/>
      <c r="G94" s="188"/>
      <c r="H94" s="240">
        <v>0</v>
      </c>
      <c r="I94" s="174"/>
      <c r="J94" s="79"/>
      <c r="L94" s="79"/>
    </row>
    <row r="95" spans="1:12" ht="13.5" thickBot="1">
      <c r="A95" s="173">
        <f>A94+1</f>
        <v>78</v>
      </c>
      <c r="B95" s="159" t="s">
        <v>1197</v>
      </c>
      <c r="C95" s="156" t="s">
        <v>1196</v>
      </c>
      <c r="D95" s="155"/>
      <c r="E95" s="187"/>
      <c r="F95" s="164"/>
      <c r="G95" s="162"/>
      <c r="H95" s="239">
        <v>0</v>
      </c>
      <c r="I95" s="190"/>
      <c r="J95" s="79"/>
      <c r="L95" s="79"/>
    </row>
    <row r="96" spans="1:12">
      <c r="A96" s="173">
        <f>A95+1</f>
        <v>79</v>
      </c>
      <c r="B96" s="167" t="s">
        <v>1195</v>
      </c>
      <c r="C96" s="163" t="str">
        <f>"(line "&amp;A93&amp;" less line "&amp;A94&amp;" and "&amp;A95&amp;")"</f>
        <v>(line 76 less line 77 and 78)</v>
      </c>
      <c r="D96" s="162"/>
      <c r="E96" s="187"/>
      <c r="F96" s="164"/>
      <c r="G96" s="162"/>
      <c r="H96" s="164">
        <f>H93-H94-H95</f>
        <v>1522421803.0495305</v>
      </c>
      <c r="I96" s="190"/>
      <c r="J96" s="79"/>
      <c r="L96" s="79"/>
    </row>
    <row r="97" spans="1:12">
      <c r="A97" s="173">
        <f>A96+1</f>
        <v>80</v>
      </c>
      <c r="B97" s="167" t="s">
        <v>1194</v>
      </c>
      <c r="C97" s="163" t="str">
        <f>"(line "&amp;A96&amp;" / line "&amp;A93&amp;")"</f>
        <v>(line 79 / line 76)</v>
      </c>
      <c r="D97" s="235"/>
      <c r="E97" s="237"/>
      <c r="F97" s="236"/>
      <c r="G97" s="162" t="s">
        <v>1193</v>
      </c>
      <c r="H97" s="230">
        <f>IF(H93&gt;0,H96/H93,0)</f>
        <v>1</v>
      </c>
      <c r="I97" s="190"/>
      <c r="J97" s="79"/>
      <c r="L97" s="79"/>
    </row>
    <row r="98" spans="1:12">
      <c r="A98" s="173"/>
      <c r="B98" s="188" t="s">
        <v>1192</v>
      </c>
      <c r="C98" s="188"/>
      <c r="D98" s="188"/>
      <c r="E98" s="197"/>
      <c r="F98" s="196"/>
      <c r="G98" s="188"/>
      <c r="H98" s="188"/>
      <c r="I98" s="174"/>
      <c r="J98" s="79"/>
      <c r="L98" s="79"/>
    </row>
    <row r="99" spans="1:12">
      <c r="A99" s="173">
        <f>A97+1</f>
        <v>81</v>
      </c>
      <c r="B99" s="238" t="s">
        <v>1191</v>
      </c>
      <c r="C99" s="163" t="str">
        <f>"(sum lines "&amp;A49&amp;" to "&amp;A51&amp;", column 3)"</f>
        <v>(sum lines 41 to 43, column 3)</v>
      </c>
      <c r="D99" s="163"/>
      <c r="E99" s="165"/>
      <c r="F99" s="184"/>
      <c r="G99" s="163"/>
      <c r="H99" s="162"/>
      <c r="I99" s="174"/>
      <c r="J99" s="79"/>
      <c r="L99" s="79"/>
    </row>
    <row r="100" spans="1:12" ht="13.5" thickBot="1">
      <c r="A100" s="173">
        <f>A99+1</f>
        <v>82</v>
      </c>
      <c r="B100" s="159" t="s">
        <v>1190</v>
      </c>
      <c r="C100" s="156" t="s">
        <v>1189</v>
      </c>
      <c r="D100" s="155"/>
      <c r="E100" s="179"/>
      <c r="F100" s="164"/>
      <c r="G100" s="162"/>
      <c r="H100" s="194">
        <v>0</v>
      </c>
      <c r="I100" s="174"/>
      <c r="J100" s="79"/>
      <c r="L100" s="79"/>
    </row>
    <row r="101" spans="1:12">
      <c r="A101" s="173">
        <f>A100+1</f>
        <v>83</v>
      </c>
      <c r="B101" s="167" t="s">
        <v>1188</v>
      </c>
      <c r="C101" s="234" t="str">
        <f>"(line "&amp;A99&amp;" - line "&amp;A100&amp;")"</f>
        <v>(line 81 - line 82)</v>
      </c>
      <c r="D101" s="235"/>
      <c r="E101" s="237"/>
      <c r="F101" s="236"/>
      <c r="G101" s="235"/>
      <c r="H101" s="164">
        <f>+H99-H100</f>
        <v>0</v>
      </c>
      <c r="I101" s="174"/>
      <c r="J101" s="79"/>
      <c r="L101" s="79"/>
    </row>
    <row r="102" spans="1:12" ht="26">
      <c r="A102" s="173">
        <f>A101+1</f>
        <v>84</v>
      </c>
      <c r="B102" s="490" t="s">
        <v>1187</v>
      </c>
      <c r="C102" s="234" t="str">
        <f>"(line "&amp;A101&amp;"/ line "&amp;A99&amp;")"</f>
        <v>(line 83/ line 81)</v>
      </c>
      <c r="D102" s="162"/>
      <c r="E102" s="187"/>
      <c r="F102" s="164"/>
      <c r="G102" s="162"/>
      <c r="H102" s="230">
        <f>IF(H99&gt;0,H101/H99,0)</f>
        <v>0</v>
      </c>
      <c r="I102" s="174"/>
      <c r="J102" s="124"/>
      <c r="L102" s="124" t="s">
        <v>236</v>
      </c>
    </row>
    <row r="103" spans="1:12">
      <c r="A103" s="173">
        <f>A102+1</f>
        <v>85</v>
      </c>
      <c r="B103" s="167" t="s">
        <v>1186</v>
      </c>
      <c r="C103" s="163" t="str">
        <f>"(line "&amp;A97&amp;")"</f>
        <v>(line 80)</v>
      </c>
      <c r="D103" s="162"/>
      <c r="E103" s="187"/>
      <c r="F103" s="164"/>
      <c r="G103" s="167" t="s">
        <v>1182</v>
      </c>
      <c r="H103" s="230">
        <f>H97</f>
        <v>1</v>
      </c>
      <c r="I103" s="174"/>
      <c r="J103" s="124"/>
      <c r="L103" s="124"/>
    </row>
    <row r="104" spans="1:12">
      <c r="A104" s="173">
        <f>A103+1</f>
        <v>86</v>
      </c>
      <c r="B104" s="167" t="s">
        <v>1185</v>
      </c>
      <c r="C104" s="234" t="str">
        <f>"(line "&amp;A103&amp;" * line "&amp;A102&amp;")"</f>
        <v>(line 85 * line 84)</v>
      </c>
      <c r="D104" s="163"/>
      <c r="E104" s="165"/>
      <c r="F104" s="184"/>
      <c r="G104" s="167" t="s">
        <v>1184</v>
      </c>
      <c r="H104" s="224">
        <f>+H103*H102</f>
        <v>0</v>
      </c>
      <c r="I104" s="174"/>
      <c r="J104" s="124"/>
      <c r="L104" s="124"/>
    </row>
    <row r="105" spans="1:12">
      <c r="A105" s="173"/>
      <c r="B105" s="188" t="s">
        <v>1183</v>
      </c>
      <c r="C105" s="162"/>
      <c r="D105" s="162"/>
      <c r="E105" s="187"/>
      <c r="F105" s="164"/>
      <c r="G105" s="162"/>
      <c r="H105" s="162"/>
      <c r="I105" s="174"/>
      <c r="J105" s="124"/>
      <c r="L105" s="233"/>
    </row>
    <row r="106" spans="1:12" ht="13.5" thickBot="1">
      <c r="A106" s="173"/>
      <c r="B106" s="204"/>
      <c r="C106" s="155"/>
      <c r="D106" s="179" t="s">
        <v>1145</v>
      </c>
      <c r="E106" s="179" t="s">
        <v>1182</v>
      </c>
      <c r="F106" s="178" t="s">
        <v>1181</v>
      </c>
      <c r="G106" s="162"/>
      <c r="H106" s="162"/>
      <c r="I106" s="174"/>
      <c r="J106" s="124"/>
      <c r="L106" s="124"/>
    </row>
    <row r="107" spans="1:12">
      <c r="A107" s="173">
        <f>A104+1</f>
        <v>87</v>
      </c>
      <c r="B107" s="188" t="s">
        <v>1180</v>
      </c>
      <c r="C107" s="162"/>
      <c r="D107" s="225">
        <v>0</v>
      </c>
      <c r="E107" s="232">
        <v>0</v>
      </c>
      <c r="F107" s="164">
        <f>D107*E107</f>
        <v>0</v>
      </c>
      <c r="G107" s="162"/>
      <c r="H107" s="162"/>
      <c r="I107" s="174"/>
      <c r="J107" s="124"/>
      <c r="L107" s="124"/>
    </row>
    <row r="108" spans="1:12">
      <c r="A108" s="173">
        <f>A107+1</f>
        <v>88</v>
      </c>
      <c r="B108" s="188" t="s">
        <v>1179</v>
      </c>
      <c r="C108" s="162"/>
      <c r="D108" s="225">
        <f>G250</f>
        <v>22760814.384</v>
      </c>
      <c r="E108" s="232">
        <f>+H103</f>
        <v>1</v>
      </c>
      <c r="F108" s="164">
        <f>D108*E108</f>
        <v>22760814.384</v>
      </c>
      <c r="G108" s="162"/>
      <c r="H108" s="162"/>
      <c r="I108" s="174"/>
      <c r="J108" s="124"/>
      <c r="L108" s="124"/>
    </row>
    <row r="109" spans="1:12">
      <c r="A109" s="173">
        <f>A108+1</f>
        <v>89</v>
      </c>
      <c r="B109" s="188" t="s">
        <v>1178</v>
      </c>
      <c r="C109" s="162"/>
      <c r="D109" s="225">
        <v>0</v>
      </c>
      <c r="E109" s="232">
        <v>0</v>
      </c>
      <c r="F109" s="164">
        <f>D109*E109</f>
        <v>0</v>
      </c>
      <c r="G109" s="162"/>
      <c r="H109" s="187" t="s">
        <v>1177</v>
      </c>
      <c r="I109" s="174"/>
      <c r="J109" s="124"/>
      <c r="L109" s="124"/>
    </row>
    <row r="110" spans="1:12" ht="13.5" thickBot="1">
      <c r="A110" s="173">
        <f>A109+1</f>
        <v>90</v>
      </c>
      <c r="B110" s="188" t="s">
        <v>1176</v>
      </c>
      <c r="C110" s="162"/>
      <c r="D110" s="222">
        <v>0</v>
      </c>
      <c r="E110" s="232">
        <v>0</v>
      </c>
      <c r="F110" s="178">
        <f>D110*E110</f>
        <v>0</v>
      </c>
      <c r="G110" s="162"/>
      <c r="H110" s="203" t="s">
        <v>1175</v>
      </c>
      <c r="I110" s="174"/>
      <c r="J110" s="124"/>
      <c r="L110" s="124"/>
    </row>
    <row r="111" spans="1:12">
      <c r="A111" s="173">
        <f>A110+1</f>
        <v>91</v>
      </c>
      <c r="B111" s="188" t="s">
        <v>1150</v>
      </c>
      <c r="C111" s="162" t="str">
        <f>"(sum lines "&amp;A107&amp;" to "&amp;A110&amp;")"</f>
        <v>(sum lines 87 to 90)</v>
      </c>
      <c r="D111" s="162">
        <f>SUM(D107:D110)</f>
        <v>22760814.384</v>
      </c>
      <c r="E111" s="187"/>
      <c r="F111" s="164">
        <f>SUM(F107:F110)</f>
        <v>22760814.384</v>
      </c>
      <c r="G111" s="197" t="s">
        <v>1160</v>
      </c>
      <c r="H111" s="230">
        <f>IF(F111&gt;0,F111/D111,0)</f>
        <v>1</v>
      </c>
      <c r="I111" s="174"/>
      <c r="J111" s="79"/>
      <c r="L111" s="124"/>
    </row>
    <row r="112" spans="1:12">
      <c r="A112" s="173"/>
      <c r="B112" s="188" t="s">
        <v>1174</v>
      </c>
      <c r="C112" s="162" t="s">
        <v>1173</v>
      </c>
      <c r="D112" s="162"/>
      <c r="E112" s="187"/>
      <c r="F112" s="164"/>
      <c r="G112" s="162"/>
      <c r="H112" s="162"/>
      <c r="I112" s="174"/>
      <c r="J112" s="124"/>
      <c r="L112" s="124"/>
    </row>
    <row r="113" spans="1:12" ht="13.5" thickBot="1">
      <c r="A113" s="173"/>
      <c r="B113" s="204"/>
      <c r="C113" s="155"/>
      <c r="D113" s="179" t="s">
        <v>1145</v>
      </c>
      <c r="E113" s="187"/>
      <c r="F113" s="164"/>
      <c r="G113" s="162"/>
      <c r="H113" s="231"/>
      <c r="I113" s="174"/>
      <c r="J113" s="79"/>
      <c r="L113" s="124"/>
    </row>
    <row r="114" spans="1:12">
      <c r="A114" s="173">
        <f>A111+1</f>
        <v>92</v>
      </c>
      <c r="B114" s="188" t="s">
        <v>1172</v>
      </c>
      <c r="C114" s="162"/>
      <c r="D114" s="162">
        <f>C197</f>
        <v>1418874523.3095305</v>
      </c>
      <c r="E114" s="187"/>
      <c r="F114" s="196"/>
      <c r="G114" s="188"/>
      <c r="H114" s="188"/>
      <c r="I114" s="190"/>
      <c r="J114" s="79"/>
      <c r="L114" s="124"/>
    </row>
    <row r="115" spans="1:12">
      <c r="A115" s="173">
        <f t="shared" ref="A115:A122" si="6">A114+1</f>
        <v>93</v>
      </c>
      <c r="B115" s="188" t="s">
        <v>1171</v>
      </c>
      <c r="C115" s="162"/>
      <c r="D115" s="162">
        <f>C195</f>
        <v>1492902585.8700001</v>
      </c>
      <c r="E115" s="187"/>
      <c r="F115" s="164"/>
      <c r="G115" s="162"/>
      <c r="H115" s="231"/>
      <c r="I115" s="190"/>
      <c r="J115" s="124"/>
      <c r="L115" s="79"/>
    </row>
    <row r="116" spans="1:12">
      <c r="A116" s="173">
        <f t="shared" si="6"/>
        <v>94</v>
      </c>
      <c r="B116" s="188" t="s">
        <v>1170</v>
      </c>
      <c r="C116" s="163" t="str">
        <f>"(line "&amp;A114&amp;" / line "&amp;A115&amp;")"</f>
        <v>(line 92 / line 93)</v>
      </c>
      <c r="D116" s="162"/>
      <c r="E116" s="187"/>
      <c r="F116" s="164" t="s">
        <v>1169</v>
      </c>
      <c r="G116" s="187" t="s">
        <v>1160</v>
      </c>
      <c r="H116" s="230">
        <f>D114/D115</f>
        <v>0.95041333355496249</v>
      </c>
      <c r="I116" s="174"/>
      <c r="J116" s="79"/>
      <c r="L116" s="124"/>
    </row>
    <row r="117" spans="1:12">
      <c r="A117" s="173">
        <f t="shared" si="6"/>
        <v>95</v>
      </c>
      <c r="B117" s="188" t="s">
        <v>1168</v>
      </c>
      <c r="C117" s="162"/>
      <c r="D117" s="162">
        <f>D197</f>
        <v>10034426.25</v>
      </c>
      <c r="E117" s="187"/>
      <c r="F117" s="164"/>
      <c r="G117" s="162"/>
      <c r="H117" s="164"/>
      <c r="I117" s="174"/>
      <c r="J117" s="56"/>
      <c r="L117" s="79"/>
    </row>
    <row r="118" spans="1:12">
      <c r="A118" s="173">
        <f t="shared" si="6"/>
        <v>96</v>
      </c>
      <c r="B118" s="188" t="s">
        <v>1167</v>
      </c>
      <c r="C118" s="162"/>
      <c r="D118" s="162">
        <f>D195</f>
        <v>805173863</v>
      </c>
      <c r="E118" s="187"/>
      <c r="F118" s="164"/>
      <c r="G118" s="162"/>
      <c r="H118" s="230"/>
      <c r="I118" s="174"/>
      <c r="J118" s="56"/>
      <c r="L118" s="79"/>
    </row>
    <row r="119" spans="1:12">
      <c r="A119" s="173">
        <f t="shared" si="6"/>
        <v>97</v>
      </c>
      <c r="B119" s="188" t="s">
        <v>1166</v>
      </c>
      <c r="C119" s="163" t="str">
        <f>"(line "&amp;A117&amp;" / line "&amp;A118&amp;")"</f>
        <v>(line 95 / line 96)</v>
      </c>
      <c r="D119" s="188"/>
      <c r="E119" s="187"/>
      <c r="F119" s="164" t="s">
        <v>1165</v>
      </c>
      <c r="G119" s="187" t="s">
        <v>1160</v>
      </c>
      <c r="H119" s="230">
        <f>D117/D118</f>
        <v>1.2462434153802134E-2</v>
      </c>
      <c r="I119" s="174"/>
      <c r="J119" s="56"/>
      <c r="L119" s="79"/>
    </row>
    <row r="120" spans="1:12">
      <c r="A120" s="173">
        <f t="shared" si="6"/>
        <v>98</v>
      </c>
      <c r="B120" s="188" t="s">
        <v>1164</v>
      </c>
      <c r="C120" s="162"/>
      <c r="D120" s="162">
        <f>E197</f>
        <v>93512853.49000001</v>
      </c>
      <c r="E120" s="187"/>
      <c r="F120" s="164"/>
      <c r="G120" s="162"/>
      <c r="H120" s="164"/>
      <c r="I120" s="174"/>
      <c r="J120" s="56"/>
      <c r="L120" s="79"/>
    </row>
    <row r="121" spans="1:12">
      <c r="A121" s="173">
        <f t="shared" si="6"/>
        <v>99</v>
      </c>
      <c r="B121" s="188" t="s">
        <v>1163</v>
      </c>
      <c r="C121" s="162"/>
      <c r="D121" s="162">
        <f>E195</f>
        <v>1184290338</v>
      </c>
      <c r="E121" s="187"/>
      <c r="F121" s="164"/>
      <c r="G121" s="162"/>
      <c r="H121" s="230"/>
      <c r="I121" s="174"/>
      <c r="J121" s="56"/>
      <c r="L121" s="79"/>
    </row>
    <row r="122" spans="1:12">
      <c r="A122" s="173">
        <f t="shared" si="6"/>
        <v>100</v>
      </c>
      <c r="B122" s="188" t="s">
        <v>1162</v>
      </c>
      <c r="C122" s="163" t="str">
        <f>"(line "&amp;A120&amp;" / line "&amp;A121&amp;")"</f>
        <v>(line 98 / line 99)</v>
      </c>
      <c r="D122" s="188"/>
      <c r="E122" s="187"/>
      <c r="F122" s="164" t="s">
        <v>1161</v>
      </c>
      <c r="G122" s="187" t="s">
        <v>1160</v>
      </c>
      <c r="H122" s="230">
        <f>D120/D121</f>
        <v>7.8961087910184413E-2</v>
      </c>
      <c r="I122" s="174"/>
      <c r="J122" s="56"/>
      <c r="L122" s="79"/>
    </row>
    <row r="123" spans="1:12">
      <c r="A123" s="173"/>
      <c r="B123" s="188" t="s">
        <v>1159</v>
      </c>
      <c r="C123" s="162" t="s">
        <v>1158</v>
      </c>
      <c r="D123" s="162"/>
      <c r="E123" s="187"/>
      <c r="F123" s="164"/>
      <c r="G123" s="162"/>
      <c r="H123" s="164"/>
      <c r="I123" s="229" t="s">
        <v>1157</v>
      </c>
      <c r="J123" s="56"/>
      <c r="L123" s="79"/>
    </row>
    <row r="124" spans="1:12">
      <c r="A124" s="173"/>
      <c r="B124" s="204"/>
      <c r="C124" s="162"/>
      <c r="D124" s="187" t="s">
        <v>1145</v>
      </c>
      <c r="E124" s="187"/>
      <c r="F124" s="164" t="s">
        <v>1156</v>
      </c>
      <c r="G124" s="226" t="s">
        <v>236</v>
      </c>
      <c r="H124" s="228" t="s">
        <v>1155</v>
      </c>
      <c r="I124" s="227">
        <f>H126*F126</f>
        <v>0</v>
      </c>
      <c r="J124" s="56"/>
      <c r="L124" s="79"/>
    </row>
    <row r="125" spans="1:12">
      <c r="A125" s="173">
        <f>A122+1</f>
        <v>101</v>
      </c>
      <c r="B125" s="188" t="s">
        <v>1154</v>
      </c>
      <c r="C125" s="162"/>
      <c r="D125" s="225">
        <v>0</v>
      </c>
      <c r="E125" s="187"/>
      <c r="F125" s="184" t="str">
        <f>"(line "&amp;A125&amp;" / line "&amp;A128&amp;")"</f>
        <v>(line 101 / line 104)</v>
      </c>
      <c r="G125" s="226"/>
      <c r="H125" s="197" t="str">
        <f>"(line "&amp;A111&amp;")"</f>
        <v>(line 91)</v>
      </c>
      <c r="I125" s="190"/>
      <c r="J125" s="56"/>
      <c r="L125" s="124"/>
    </row>
    <row r="126" spans="1:12">
      <c r="A126" s="173">
        <f>A125+1</f>
        <v>102</v>
      </c>
      <c r="B126" s="188" t="s">
        <v>1153</v>
      </c>
      <c r="C126" s="162"/>
      <c r="D126" s="225">
        <v>0</v>
      </c>
      <c r="E126" s="187"/>
      <c r="F126" s="224">
        <f>IF(D128&gt;0,D125/D128,0)</f>
        <v>0</v>
      </c>
      <c r="G126" s="187" t="s">
        <v>1152</v>
      </c>
      <c r="H126" s="223">
        <f>H111</f>
        <v>1</v>
      </c>
      <c r="I126" s="190"/>
      <c r="J126" s="56"/>
    </row>
    <row r="127" spans="1:12" ht="13.5" thickBot="1">
      <c r="A127" s="173">
        <f>A126+1</f>
        <v>103</v>
      </c>
      <c r="B127" s="185" t="s">
        <v>1151</v>
      </c>
      <c r="C127" s="155"/>
      <c r="D127" s="222">
        <v>0</v>
      </c>
      <c r="E127" s="187"/>
      <c r="F127" s="164" t="s">
        <v>236</v>
      </c>
      <c r="G127" s="162"/>
      <c r="H127" s="162"/>
      <c r="I127" s="190"/>
      <c r="J127" s="56"/>
      <c r="L127" s="124"/>
    </row>
    <row r="128" spans="1:12">
      <c r="A128" s="173">
        <f>A127+1</f>
        <v>104</v>
      </c>
      <c r="B128" s="188" t="s">
        <v>1150</v>
      </c>
      <c r="C128" s="162" t="str">
        <f>"(sum lines "&amp;A125&amp;" to "&amp;A127&amp;")"</f>
        <v>(sum lines 101 to 103)</v>
      </c>
      <c r="D128" s="162">
        <f>D125+D126+D127</f>
        <v>0</v>
      </c>
      <c r="E128" s="187"/>
      <c r="F128" s="164"/>
      <c r="G128" s="162"/>
      <c r="H128" s="162"/>
      <c r="I128" s="190"/>
    </row>
    <row r="129" spans="1:23" ht="13.5" thickBot="1">
      <c r="A129" s="173"/>
      <c r="B129" s="188" t="s">
        <v>1149</v>
      </c>
      <c r="C129" s="162"/>
      <c r="D129" s="179" t="s">
        <v>1145</v>
      </c>
      <c r="E129" s="187"/>
      <c r="F129" s="164"/>
      <c r="G129" s="162"/>
      <c r="H129" s="188"/>
      <c r="I129" s="221"/>
    </row>
    <row r="130" spans="1:23">
      <c r="A130" s="173">
        <f>A128+1</f>
        <v>105</v>
      </c>
      <c r="B130" s="162" t="s">
        <v>1148</v>
      </c>
      <c r="C130" s="163"/>
      <c r="D130" s="220">
        <f>F222</f>
        <v>44417467.507807173</v>
      </c>
      <c r="E130" s="187"/>
      <c r="F130" s="164"/>
      <c r="G130" s="162"/>
      <c r="H130" s="162"/>
      <c r="I130" s="190"/>
      <c r="P130" s="147"/>
      <c r="Q130" s="210"/>
      <c r="R130" s="212"/>
      <c r="S130" s="212"/>
      <c r="T130" s="212"/>
      <c r="U130" s="198"/>
      <c r="W130" s="198"/>
    </row>
    <row r="131" spans="1:23">
      <c r="A131" s="173"/>
      <c r="B131" s="204"/>
      <c r="C131" s="162"/>
      <c r="D131" s="162"/>
      <c r="E131" s="187"/>
      <c r="F131" s="164" t="s">
        <v>1147</v>
      </c>
      <c r="G131" s="162"/>
      <c r="H131" s="162"/>
      <c r="I131" s="217" t="s">
        <v>1146</v>
      </c>
      <c r="P131" s="147"/>
      <c r="Q131" s="210"/>
      <c r="R131" s="212"/>
      <c r="S131" s="212"/>
      <c r="T131" s="212"/>
      <c r="U131" s="198"/>
      <c r="W131" s="198"/>
    </row>
    <row r="132" spans="1:23" ht="13.5" thickBot="1">
      <c r="A132" s="173"/>
      <c r="B132" s="204"/>
      <c r="C132" s="163"/>
      <c r="D132" s="203" t="s">
        <v>1145</v>
      </c>
      <c r="E132" s="203" t="s">
        <v>1144</v>
      </c>
      <c r="F132" s="219" t="s">
        <v>1143</v>
      </c>
      <c r="G132" s="162"/>
      <c r="H132" s="203" t="s">
        <v>1142</v>
      </c>
      <c r="I132" s="190"/>
      <c r="P132" s="147"/>
      <c r="Q132" s="210"/>
      <c r="R132" s="212"/>
      <c r="S132" s="212"/>
      <c r="T132" s="212"/>
      <c r="U132" s="198"/>
      <c r="W132" s="198"/>
    </row>
    <row r="133" spans="1:23" ht="26">
      <c r="A133" s="173">
        <f>A130+1</f>
        <v>106</v>
      </c>
      <c r="B133" s="188" t="s">
        <v>1141</v>
      </c>
      <c r="C133" s="218" t="s">
        <v>1140</v>
      </c>
      <c r="D133" s="162">
        <f>F236</f>
        <v>893282735.88819158</v>
      </c>
      <c r="E133" s="215">
        <f>IF($D$135&gt;0,D133/$D$135,0)</f>
        <v>1</v>
      </c>
      <c r="F133" s="214">
        <f>IF(D130&gt;0,D130/D133,0)</f>
        <v>4.9723862024091237E-2</v>
      </c>
      <c r="G133" s="188"/>
      <c r="H133" s="214">
        <f>F133*E133</f>
        <v>4.9723862024091237E-2</v>
      </c>
      <c r="I133" s="217" t="s">
        <v>1139</v>
      </c>
      <c r="P133" s="147"/>
      <c r="Q133" s="210"/>
      <c r="R133" s="212"/>
      <c r="S133" s="212"/>
      <c r="T133" s="212"/>
      <c r="U133" s="198"/>
      <c r="W133" s="198"/>
    </row>
    <row r="134" spans="1:23" ht="13.5" thickBot="1">
      <c r="A134" s="173">
        <f>A133+1</f>
        <v>107</v>
      </c>
      <c r="B134" s="188" t="s">
        <v>1138</v>
      </c>
      <c r="C134" s="163"/>
      <c r="D134" s="155">
        <v>0</v>
      </c>
      <c r="E134" s="215">
        <f>IF($D$135&gt;0,D134/$D$135,0)</f>
        <v>0</v>
      </c>
      <c r="F134" s="214">
        <f>H136</f>
        <v>0.12379999999999999</v>
      </c>
      <c r="G134" s="188"/>
      <c r="H134" s="216">
        <f>F134*E134</f>
        <v>0</v>
      </c>
      <c r="I134" s="190"/>
      <c r="P134" s="147"/>
      <c r="Q134" s="210"/>
      <c r="R134" s="212"/>
      <c r="S134" s="212"/>
      <c r="T134" s="212"/>
      <c r="U134" s="198"/>
      <c r="W134" s="198"/>
    </row>
    <row r="135" spans="1:23">
      <c r="A135" s="173">
        <f>A134+1</f>
        <v>108</v>
      </c>
      <c r="B135" s="188" t="s">
        <v>1137</v>
      </c>
      <c r="C135" s="162" t="str">
        <f>"(sum lines "&amp;A133&amp;" to "&amp;A134&amp;")"</f>
        <v>(sum lines 106 to 107)</v>
      </c>
      <c r="D135" s="162">
        <f>SUM(D133:D134)</f>
        <v>893282735.88819158</v>
      </c>
      <c r="E135" s="215">
        <f>IF($D$135&gt;0,D135/$D$135,0)</f>
        <v>1</v>
      </c>
      <c r="F135" s="214"/>
      <c r="G135" s="188"/>
      <c r="H135" s="214">
        <f>SUM(H133:H134)</f>
        <v>4.9723862024091237E-2</v>
      </c>
      <c r="I135" s="190"/>
      <c r="P135" s="147"/>
      <c r="Q135" s="210"/>
      <c r="R135" s="212"/>
      <c r="S135" s="212"/>
      <c r="T135" s="212"/>
      <c r="U135" s="198"/>
      <c r="W135" s="198"/>
    </row>
    <row r="136" spans="1:23">
      <c r="A136" s="173">
        <f>A135+1</f>
        <v>109</v>
      </c>
      <c r="B136" s="188"/>
      <c r="C136" s="188"/>
      <c r="D136" s="188"/>
      <c r="E136" s="187"/>
      <c r="F136" s="164"/>
      <c r="G136" s="196" t="s">
        <v>1136</v>
      </c>
      <c r="H136" s="213">
        <v>0.12379999999999999</v>
      </c>
      <c r="I136" s="190"/>
      <c r="P136" s="147"/>
      <c r="Q136" s="210"/>
      <c r="R136" s="212"/>
      <c r="S136" s="212"/>
      <c r="T136" s="212"/>
      <c r="U136" s="198"/>
      <c r="W136" s="198"/>
    </row>
    <row r="137" spans="1:23">
      <c r="A137" s="173">
        <f>A136+1</f>
        <v>110</v>
      </c>
      <c r="B137" s="188"/>
      <c r="C137" s="188"/>
      <c r="D137" s="188"/>
      <c r="E137" s="197"/>
      <c r="F137" s="196"/>
      <c r="G137" s="197" t="s">
        <v>1135</v>
      </c>
      <c r="H137" s="211">
        <f>IF(H135&gt;0,H135/F133,0)</f>
        <v>1</v>
      </c>
      <c r="I137" s="190"/>
      <c r="P137" s="210" t="s">
        <v>236</v>
      </c>
      <c r="Q137" s="209"/>
      <c r="R137" s="208"/>
      <c r="S137" s="207"/>
      <c r="T137" s="198"/>
      <c r="V137" s="198"/>
    </row>
    <row r="138" spans="1:23">
      <c r="A138" s="173"/>
      <c r="B138" s="188" t="s">
        <v>1134</v>
      </c>
      <c r="C138" s="163"/>
      <c r="D138" s="163"/>
      <c r="E138" s="165"/>
      <c r="F138" s="184"/>
      <c r="G138" s="163"/>
      <c r="H138" s="184"/>
      <c r="I138" s="190"/>
      <c r="P138" s="206"/>
      <c r="Q138" s="205"/>
      <c r="R138" s="205"/>
      <c r="S138" s="147"/>
      <c r="T138" s="198"/>
      <c r="V138" s="198"/>
    </row>
    <row r="139" spans="1:23" ht="13.5" thickBot="1">
      <c r="A139" s="173"/>
      <c r="B139" s="204"/>
      <c r="C139" s="204"/>
      <c r="D139" s="204"/>
      <c r="E139" s="165"/>
      <c r="F139" s="184"/>
      <c r="G139" s="204"/>
      <c r="H139" s="203" t="s">
        <v>1133</v>
      </c>
      <c r="I139" s="190"/>
      <c r="P139" s="200"/>
      <c r="Q139" s="147"/>
      <c r="R139" s="147"/>
      <c r="S139" s="199"/>
      <c r="T139" s="198"/>
      <c r="V139" s="198"/>
    </row>
    <row r="140" spans="1:23">
      <c r="A140" s="173"/>
      <c r="B140" s="188" t="s">
        <v>1132</v>
      </c>
      <c r="C140" s="163"/>
      <c r="D140" s="163"/>
      <c r="E140" s="165"/>
      <c r="F140" s="202" t="s">
        <v>236</v>
      </c>
      <c r="G140" s="195"/>
      <c r="H140" s="201"/>
      <c r="I140" s="190"/>
      <c r="P140" s="200"/>
      <c r="Q140" s="147"/>
      <c r="R140" s="147"/>
      <c r="S140" s="199"/>
      <c r="T140" s="198"/>
      <c r="V140" s="198"/>
    </row>
    <row r="141" spans="1:23">
      <c r="A141" s="173">
        <f>A137+1</f>
        <v>111</v>
      </c>
      <c r="B141" s="188" t="s">
        <v>1131</v>
      </c>
      <c r="C141" s="163" t="s">
        <v>1130</v>
      </c>
      <c r="D141" s="163"/>
      <c r="E141" s="197"/>
      <c r="F141" s="196"/>
      <c r="G141" s="195"/>
      <c r="H141" s="191">
        <v>0</v>
      </c>
      <c r="I141" s="190"/>
    </row>
    <row r="142" spans="1:23" ht="13.5" thickBot="1">
      <c r="A142" s="173">
        <f t="shared" ref="A142:A148" si="7">A141+1</f>
        <v>112</v>
      </c>
      <c r="B142" s="185" t="s">
        <v>1129</v>
      </c>
      <c r="C142" s="163"/>
      <c r="D142" s="188"/>
      <c r="E142" s="165"/>
      <c r="F142" s="184"/>
      <c r="G142" s="163"/>
      <c r="H142" s="194">
        <v>0</v>
      </c>
      <c r="I142" s="193"/>
    </row>
    <row r="143" spans="1:23">
      <c r="A143" s="173">
        <f t="shared" si="7"/>
        <v>113</v>
      </c>
      <c r="B143" s="188" t="s">
        <v>1128</v>
      </c>
      <c r="C143" s="163"/>
      <c r="D143" s="188"/>
      <c r="E143" s="165"/>
      <c r="F143" s="184"/>
      <c r="G143" s="163"/>
      <c r="H143" s="164">
        <f>+H141-H142</f>
        <v>0</v>
      </c>
      <c r="I143" s="193"/>
    </row>
    <row r="144" spans="1:23">
      <c r="A144" s="173">
        <f t="shared" si="7"/>
        <v>114</v>
      </c>
      <c r="B144" s="188" t="s">
        <v>1127</v>
      </c>
      <c r="C144" s="163" t="s">
        <v>1126</v>
      </c>
      <c r="D144" s="188"/>
      <c r="E144" s="165"/>
      <c r="F144" s="192"/>
      <c r="G144" s="163"/>
      <c r="H144" s="191">
        <f>'WS3-RevCredits'!H23</f>
        <v>79567</v>
      </c>
      <c r="I144" s="190"/>
    </row>
    <row r="145" spans="1:12">
      <c r="A145" s="173">
        <f t="shared" si="7"/>
        <v>115</v>
      </c>
      <c r="B145" s="188" t="s">
        <v>1125</v>
      </c>
      <c r="C145" s="163"/>
      <c r="D145" s="163"/>
      <c r="E145" s="165"/>
      <c r="F145" s="184"/>
      <c r="G145" s="163"/>
      <c r="H145" s="189">
        <v>0</v>
      </c>
      <c r="I145" s="182"/>
    </row>
    <row r="146" spans="1:12">
      <c r="A146" s="173">
        <f t="shared" si="7"/>
        <v>116</v>
      </c>
      <c r="B146" s="188" t="s">
        <v>1124</v>
      </c>
      <c r="C146" s="162"/>
      <c r="D146" s="162"/>
      <c r="E146" s="187"/>
      <c r="F146" s="164"/>
      <c r="G146" s="162"/>
      <c r="H146" s="186">
        <v>0</v>
      </c>
      <c r="I146" s="182"/>
    </row>
    <row r="147" spans="1:12" ht="13.5" thickBot="1">
      <c r="A147" s="173">
        <f t="shared" si="7"/>
        <v>117</v>
      </c>
      <c r="B147" s="185" t="s">
        <v>1123</v>
      </c>
      <c r="C147" s="156"/>
      <c r="D147" s="163"/>
      <c r="E147" s="165"/>
      <c r="F147" s="184"/>
      <c r="G147" s="163"/>
      <c r="H147" s="183">
        <v>0</v>
      </c>
      <c r="I147" s="182"/>
    </row>
    <row r="148" spans="1:12" ht="13.5" thickBot="1">
      <c r="A148" s="181">
        <f t="shared" si="7"/>
        <v>118</v>
      </c>
      <c r="B148" s="180" t="str">
        <f>+B143</f>
        <v xml:space="preserve">  Total of (a)-(b)</v>
      </c>
      <c r="C148" s="158"/>
      <c r="D148" s="155"/>
      <c r="E148" s="179"/>
      <c r="F148" s="178"/>
      <c r="G148" s="156"/>
      <c r="H148" s="177">
        <f>+H146-H147</f>
        <v>0</v>
      </c>
      <c r="I148" s="176"/>
    </row>
    <row r="149" spans="1:12">
      <c r="A149" s="170" t="s">
        <v>1122</v>
      </c>
      <c r="B149" s="836" t="s">
        <v>1121</v>
      </c>
      <c r="C149" s="836"/>
      <c r="D149" s="836"/>
      <c r="E149" s="836"/>
      <c r="F149" s="836"/>
      <c r="G149" s="836"/>
      <c r="H149" s="836"/>
      <c r="I149" s="837"/>
      <c r="J149" s="79"/>
      <c r="L149" s="79"/>
    </row>
    <row r="150" spans="1:12" ht="13.5" thickBot="1">
      <c r="A150" s="175" t="s">
        <v>1120</v>
      </c>
      <c r="B150" s="836" t="s">
        <v>1119</v>
      </c>
      <c r="C150" s="836"/>
      <c r="D150" s="836"/>
      <c r="E150" s="836"/>
      <c r="F150" s="836"/>
      <c r="G150" s="836"/>
      <c r="H150" s="836"/>
      <c r="I150" s="837"/>
      <c r="J150" s="79"/>
      <c r="L150" s="79"/>
    </row>
    <row r="151" spans="1:12" ht="13.5" customHeight="1">
      <c r="A151" s="170" t="s">
        <v>1118</v>
      </c>
      <c r="B151" s="836" t="s">
        <v>1117</v>
      </c>
      <c r="C151" s="836"/>
      <c r="D151" s="836"/>
      <c r="E151" s="836"/>
      <c r="F151" s="836"/>
      <c r="G151" s="836"/>
      <c r="H151" s="836"/>
      <c r="I151" s="837"/>
      <c r="J151" s="79"/>
      <c r="L151" s="79"/>
    </row>
    <row r="152" spans="1:12" ht="27" customHeight="1">
      <c r="A152" s="169" t="s">
        <v>1116</v>
      </c>
      <c r="B152" s="832" t="s">
        <v>1115</v>
      </c>
      <c r="C152" s="832"/>
      <c r="D152" s="832"/>
      <c r="E152" s="832"/>
      <c r="F152" s="832"/>
      <c r="G152" s="832"/>
      <c r="H152" s="832"/>
      <c r="I152" s="833"/>
      <c r="J152" s="79"/>
      <c r="L152" s="79"/>
    </row>
    <row r="153" spans="1:12">
      <c r="A153" s="170" t="s">
        <v>1114</v>
      </c>
      <c r="B153" s="838" t="s">
        <v>1113</v>
      </c>
      <c r="C153" s="838"/>
      <c r="D153" s="838"/>
      <c r="E153" s="838"/>
      <c r="F153" s="838"/>
      <c r="G153" s="838"/>
      <c r="H153" s="838"/>
      <c r="I153" s="839"/>
      <c r="J153" s="79"/>
      <c r="L153" s="79"/>
    </row>
    <row r="154" spans="1:12" ht="25.5" customHeight="1">
      <c r="A154" s="169" t="s">
        <v>1112</v>
      </c>
      <c r="B154" s="832" t="str">
        <f>"Cash Working Capital assigned to transmission is one-eighth of O&amp;M allocated to transmission at line "&amp;A61&amp;" column 5.  Prepayments are the electric related prepayments booked to Account No. 165 and reported in the Other Assets Section of the Balance Sheet."</f>
        <v>Cash Working Capital assigned to transmission is one-eighth of O&amp;M allocated to transmission at line 52 column 5.  Prepayments are the electric related prepayments booked to Account No. 165 and reported in the Other Assets Section of the Balance Sheet.</v>
      </c>
      <c r="C154" s="832"/>
      <c r="D154" s="832"/>
      <c r="E154" s="832"/>
      <c r="F154" s="832"/>
      <c r="G154" s="832"/>
      <c r="H154" s="832"/>
      <c r="I154" s="833"/>
      <c r="J154" s="79"/>
      <c r="L154" s="79"/>
    </row>
    <row r="155" spans="1:12" ht="25.5" customHeight="1">
      <c r="A155" s="169" t="s">
        <v>7</v>
      </c>
      <c r="B155" s="832" t="s">
        <v>1111</v>
      </c>
      <c r="C155" s="832"/>
      <c r="D155" s="832"/>
      <c r="E155" s="832"/>
      <c r="F155" s="832"/>
      <c r="G155" s="832"/>
      <c r="H155" s="832"/>
      <c r="I155" s="833"/>
      <c r="J155" s="79"/>
      <c r="L155" s="79"/>
    </row>
    <row r="156" spans="1:12">
      <c r="A156" s="170" t="s">
        <v>1110</v>
      </c>
      <c r="B156" s="838" t="s">
        <v>1109</v>
      </c>
      <c r="C156" s="838"/>
      <c r="D156" s="838"/>
      <c r="E156" s="838"/>
      <c r="F156" s="838"/>
      <c r="G156" s="838"/>
      <c r="H156" s="838"/>
      <c r="I156" s="839"/>
      <c r="J156" s="79"/>
      <c r="L156" s="79"/>
    </row>
    <row r="157" spans="1:12" ht="25.5" customHeight="1">
      <c r="A157" s="169" t="s">
        <v>1108</v>
      </c>
      <c r="B157" s="832" t="str">
        <f>"Line "&amp;A57&amp;" - EPRI Annual Membership Dues, all Regulatory Commission Expenses, and non-safety related advertising.  Line "&amp;A58&amp;" - Regulatory Commission Expenses directly related to transmission service, ISO filings, or transmission siting."</f>
        <v>Line 48 - EPRI Annual Membership Dues, all Regulatory Commission Expenses, and non-safety related advertising.  Line 49 - Regulatory Commission Expenses directly related to transmission service, ISO filings, or transmission siting.</v>
      </c>
      <c r="C157" s="832"/>
      <c r="D157" s="832"/>
      <c r="E157" s="832"/>
      <c r="F157" s="832"/>
      <c r="G157" s="832"/>
      <c r="H157" s="832"/>
      <c r="I157" s="833"/>
      <c r="J157" s="79"/>
      <c r="L157" s="79"/>
    </row>
    <row r="158" spans="1:12" ht="25.5" customHeight="1">
      <c r="A158" s="169" t="s">
        <v>1107</v>
      </c>
      <c r="B158" s="832" t="s">
        <v>1106</v>
      </c>
      <c r="C158" s="832"/>
      <c r="D158" s="832"/>
      <c r="E158" s="832"/>
      <c r="F158" s="832"/>
      <c r="G158" s="832"/>
      <c r="H158" s="832"/>
      <c r="I158" s="833"/>
      <c r="J158" s="79"/>
      <c r="L158" s="79"/>
    </row>
    <row r="159" spans="1:12">
      <c r="A159" s="170" t="s">
        <v>1105</v>
      </c>
      <c r="B159" s="167" t="s">
        <v>1104</v>
      </c>
      <c r="C159" s="163"/>
      <c r="D159" s="163"/>
      <c r="E159" s="165"/>
      <c r="F159" s="164"/>
      <c r="G159" s="163"/>
      <c r="H159" s="162"/>
      <c r="I159" s="174"/>
      <c r="J159" s="79"/>
      <c r="L159" s="79"/>
    </row>
    <row r="160" spans="1:12">
      <c r="A160" s="170" t="s">
        <v>236</v>
      </c>
      <c r="B160" s="167" t="s">
        <v>1103</v>
      </c>
      <c r="C160" s="167" t="s">
        <v>1102</v>
      </c>
      <c r="D160" s="172">
        <v>0</v>
      </c>
      <c r="E160" s="165"/>
      <c r="F160" s="164"/>
      <c r="G160" s="163"/>
      <c r="H160" s="162"/>
      <c r="I160" s="174"/>
      <c r="J160" s="79"/>
      <c r="L160" s="79"/>
    </row>
    <row r="161" spans="1:12">
      <c r="A161" s="173"/>
      <c r="B161" s="163"/>
      <c r="C161" s="167" t="s">
        <v>1101</v>
      </c>
      <c r="D161" s="172">
        <v>0</v>
      </c>
      <c r="E161" s="834" t="s">
        <v>1100</v>
      </c>
      <c r="F161" s="834"/>
      <c r="G161" s="834"/>
      <c r="H161" s="834"/>
      <c r="I161" s="835"/>
      <c r="J161" s="79"/>
      <c r="L161" s="79"/>
    </row>
    <row r="162" spans="1:12">
      <c r="A162" s="173"/>
      <c r="B162" s="163"/>
      <c r="C162" s="167" t="s">
        <v>1099</v>
      </c>
      <c r="D162" s="172">
        <v>0</v>
      </c>
      <c r="E162" s="834" t="s">
        <v>1098</v>
      </c>
      <c r="F162" s="834"/>
      <c r="G162" s="834"/>
      <c r="H162" s="834"/>
      <c r="I162" s="835"/>
      <c r="J162" s="79"/>
      <c r="L162" s="79"/>
    </row>
    <row r="163" spans="1:12">
      <c r="A163" s="170" t="s">
        <v>1097</v>
      </c>
      <c r="B163" s="838" t="s">
        <v>1096</v>
      </c>
      <c r="C163" s="838"/>
      <c r="D163" s="838"/>
      <c r="E163" s="838"/>
      <c r="F163" s="838"/>
      <c r="G163" s="838"/>
      <c r="H163" s="838"/>
      <c r="I163" s="839"/>
      <c r="J163" s="79"/>
      <c r="L163" s="79"/>
    </row>
    <row r="164" spans="1:12" ht="12.75" customHeight="1">
      <c r="A164" s="169" t="s">
        <v>1095</v>
      </c>
      <c r="B164" s="832" t="s">
        <v>1094</v>
      </c>
      <c r="C164" s="832"/>
      <c r="D164" s="832"/>
      <c r="E164" s="832"/>
      <c r="F164" s="832"/>
      <c r="G164" s="832"/>
      <c r="H164" s="832"/>
      <c r="I164" s="833"/>
      <c r="J164" s="79"/>
      <c r="L164" s="79"/>
    </row>
    <row r="165" spans="1:12" ht="25.5" customHeight="1">
      <c r="A165" s="169" t="s">
        <v>1093</v>
      </c>
      <c r="B165" s="832" t="s">
        <v>1092</v>
      </c>
      <c r="C165" s="832"/>
      <c r="D165" s="832"/>
      <c r="E165" s="832"/>
      <c r="F165" s="832"/>
      <c r="G165" s="832"/>
      <c r="H165" s="832"/>
      <c r="I165" s="833"/>
      <c r="J165" s="79"/>
      <c r="L165" s="79"/>
    </row>
    <row r="166" spans="1:12" ht="13.5" customHeight="1">
      <c r="A166" s="169" t="s">
        <v>1091</v>
      </c>
      <c r="B166" s="832" t="s">
        <v>1090</v>
      </c>
      <c r="C166" s="832"/>
      <c r="D166" s="832"/>
      <c r="E166" s="832"/>
      <c r="F166" s="832"/>
      <c r="G166" s="832"/>
      <c r="H166" s="832"/>
      <c r="I166" s="833"/>
      <c r="J166" s="93"/>
      <c r="L166" s="79"/>
    </row>
    <row r="167" spans="1:12">
      <c r="A167" s="170" t="s">
        <v>1089</v>
      </c>
      <c r="B167" s="838" t="s">
        <v>1088</v>
      </c>
      <c r="C167" s="838"/>
      <c r="D167" s="838"/>
      <c r="E167" s="838"/>
      <c r="F167" s="838"/>
      <c r="G167" s="838"/>
      <c r="H167" s="838"/>
      <c r="I167" s="839"/>
      <c r="J167" s="171"/>
      <c r="L167" s="79"/>
    </row>
    <row r="168" spans="1:12" ht="25.5" customHeight="1">
      <c r="A168" s="169" t="s">
        <v>1087</v>
      </c>
      <c r="B168" s="832" t="str">
        <f>"Debt cost rate = long-term interest (line "&amp;A130&amp;") / long term debt (line "&amp;A133&amp;").  The Proprietary Capital Cost rate is implicit, a residual calculation after TIER is determined."&amp;" TIER will be supported in the filing and no change in TIER may be made absent a filing with the ISO and the FERC, if the entity is under FERC's jurisdiction."</f>
        <v>Debt cost rate = long-term interest (line 105) / long term debt (line 106).  The Proprietary Capital Cost rate is implicit, a residual calculation after TIER is determined. TIER will be supported in the filing and no change in TIER may be made absent a filing with the ISO and the FERC, if the entity is under FERC's jurisdiction.</v>
      </c>
      <c r="C168" s="832"/>
      <c r="D168" s="832"/>
      <c r="E168" s="832"/>
      <c r="F168" s="832"/>
      <c r="G168" s="832"/>
      <c r="H168" s="832"/>
      <c r="I168" s="833"/>
      <c r="L168" s="79"/>
    </row>
    <row r="169" spans="1:12">
      <c r="A169" s="170" t="s">
        <v>1086</v>
      </c>
      <c r="B169" s="838" t="str">
        <f>"Line "&amp;A141&amp;" must equal zero since all short-term power sales must be unbundled and the transmission component reflected in Account No. 456 and all other uses are to be included in the divisor."</f>
        <v>Line 111 must equal zero since all short-term power sales must be unbundled and the transmission component reflected in Account No. 456 and all other uses are to be included in the divisor.</v>
      </c>
      <c r="C169" s="838"/>
      <c r="D169" s="838"/>
      <c r="E169" s="838"/>
      <c r="F169" s="838"/>
      <c r="G169" s="838"/>
      <c r="H169" s="838"/>
      <c r="I169" s="839"/>
      <c r="L169" s="79"/>
    </row>
    <row r="170" spans="1:12">
      <c r="A170" s="170" t="s">
        <v>1085</v>
      </c>
      <c r="B170" s="838" t="s">
        <v>1084</v>
      </c>
      <c r="C170" s="838"/>
      <c r="D170" s="838"/>
      <c r="E170" s="838"/>
      <c r="F170" s="838"/>
      <c r="G170" s="838"/>
      <c r="H170" s="838"/>
      <c r="I170" s="839"/>
      <c r="L170" s="79"/>
    </row>
    <row r="171" spans="1:12" ht="25.5" customHeight="1">
      <c r="A171" s="169" t="s">
        <v>1083</v>
      </c>
      <c r="B171" s="832" t="str">
        <f>"The revenues credited shall include only the amounts received directly reflecting the Transmission Owner's integrated transmission facilities.  They do not include revenues associated with FERC annual charges, "&amp;"gross receipts taxes, facilities not included in this template (e.g., direct assignment facilites and GSUs) which are not recovered under this Revenue Requirement Template."</f>
        <v>The revenues credited shall include only the amounts received directly reflecting the Transmission Owner's integrated transmission facilities.  They do not include revenues associated with FERC annual charges, gross receipts taxes, facilities not included in this template (e.g., direct assignment facilites and GSUs) which are not recovered under this Revenue Requirement Template.</v>
      </c>
      <c r="C171" s="832"/>
      <c r="D171" s="832"/>
      <c r="E171" s="832"/>
      <c r="F171" s="832"/>
      <c r="G171" s="832"/>
      <c r="H171" s="832"/>
      <c r="I171" s="833"/>
      <c r="J171" s="79"/>
    </row>
    <row r="172" spans="1:12">
      <c r="A172" s="168"/>
      <c r="B172" s="167" t="s">
        <v>1082</v>
      </c>
      <c r="C172" s="166"/>
      <c r="D172" s="163"/>
      <c r="E172" s="165"/>
      <c r="F172" s="164"/>
      <c r="G172" s="163"/>
      <c r="H172" s="162"/>
      <c r="I172" s="161"/>
      <c r="J172" s="79"/>
    </row>
    <row r="173" spans="1:12" ht="13.5" thickBot="1">
      <c r="A173" s="160"/>
      <c r="B173" s="159"/>
      <c r="C173" s="156"/>
      <c r="D173" s="156"/>
      <c r="E173" s="158"/>
      <c r="F173" s="157"/>
      <c r="G173" s="156"/>
      <c r="H173" s="155"/>
      <c r="I173" s="154"/>
      <c r="J173" s="56"/>
      <c r="L173" s="56"/>
    </row>
    <row r="174" spans="1:12" ht="13.5" thickBot="1">
      <c r="A174" s="150"/>
      <c r="B174" s="124" t="s">
        <v>1081</v>
      </c>
      <c r="C174" s="38"/>
      <c r="D174" s="124" t="s">
        <v>236</v>
      </c>
      <c r="E174" s="153"/>
      <c r="F174" s="152"/>
      <c r="G174" s="151"/>
      <c r="H174" s="147"/>
      <c r="I174" s="147"/>
      <c r="J174" s="56"/>
      <c r="L174" s="56"/>
    </row>
    <row r="175" spans="1:12">
      <c r="A175" s="150"/>
      <c r="B175" s="123"/>
      <c r="C175" s="62" t="s">
        <v>1066</v>
      </c>
      <c r="D175" s="122" t="s">
        <v>941</v>
      </c>
      <c r="E175" s="62" t="s">
        <v>948</v>
      </c>
      <c r="F175" s="61" t="s">
        <v>1024</v>
      </c>
      <c r="G175" s="38"/>
      <c r="H175" s="147"/>
      <c r="I175" s="147"/>
      <c r="J175" s="56"/>
      <c r="L175" s="56"/>
    </row>
    <row r="176" spans="1:12">
      <c r="A176" s="150"/>
      <c r="B176" s="118" t="s">
        <v>1080</v>
      </c>
      <c r="C176" s="76">
        <f>'WS4-CostData'!C123</f>
        <v>64251178.399999999</v>
      </c>
      <c r="D176" s="76">
        <f>'WS4-CostData'!E123</f>
        <v>46417099</v>
      </c>
      <c r="E176" s="76">
        <f>'WS4-CostData'!G123</f>
        <v>46743530</v>
      </c>
      <c r="F176" s="102">
        <f t="shared" ref="F176:F185" si="8">SUM(C176:E176)</f>
        <v>157411807.40000001</v>
      </c>
      <c r="G176" s="38"/>
      <c r="H176" s="147"/>
      <c r="I176" s="147"/>
      <c r="J176" s="56"/>
      <c r="L176" s="56"/>
    </row>
    <row r="177" spans="1:12">
      <c r="A177" s="150"/>
      <c r="B177" s="118" t="s">
        <v>1079</v>
      </c>
      <c r="C177" s="76"/>
      <c r="D177" s="76"/>
      <c r="E177" s="57"/>
      <c r="F177" s="102">
        <f t="shared" si="8"/>
        <v>0</v>
      </c>
      <c r="G177" s="38"/>
      <c r="H177" s="147"/>
      <c r="I177" s="147"/>
      <c r="J177" s="56"/>
      <c r="L177" s="56"/>
    </row>
    <row r="178" spans="1:12">
      <c r="A178" s="150"/>
      <c r="B178" s="118" t="s">
        <v>1078</v>
      </c>
      <c r="C178" s="76"/>
      <c r="D178" s="76"/>
      <c r="E178" s="57"/>
      <c r="F178" s="102">
        <f t="shared" si="8"/>
        <v>0</v>
      </c>
      <c r="G178" s="38"/>
      <c r="H178" s="147"/>
      <c r="J178" s="56"/>
      <c r="L178" s="56"/>
    </row>
    <row r="179" spans="1:12">
      <c r="A179" s="150"/>
      <c r="B179" s="118" t="s">
        <v>1077</v>
      </c>
      <c r="C179" s="76"/>
      <c r="D179" s="76"/>
      <c r="E179" s="57"/>
      <c r="F179" s="102">
        <f t="shared" si="8"/>
        <v>0</v>
      </c>
      <c r="G179" s="38"/>
      <c r="H179" s="147"/>
      <c r="J179" s="56"/>
      <c r="L179" s="56"/>
    </row>
    <row r="180" spans="1:12">
      <c r="B180" s="118" t="s">
        <v>1076</v>
      </c>
      <c r="C180" s="76"/>
      <c r="D180" s="76"/>
      <c r="E180" s="57"/>
      <c r="F180" s="102">
        <f t="shared" si="8"/>
        <v>0</v>
      </c>
      <c r="G180" s="38"/>
      <c r="H180" s="147"/>
      <c r="J180" s="56"/>
      <c r="L180" s="56"/>
    </row>
    <row r="181" spans="1:12">
      <c r="B181" s="118" t="s">
        <v>1075</v>
      </c>
      <c r="C181" s="76"/>
      <c r="D181" s="76"/>
      <c r="E181" s="57"/>
      <c r="F181" s="102">
        <f t="shared" si="8"/>
        <v>0</v>
      </c>
      <c r="G181" s="38"/>
      <c r="H181" s="147"/>
      <c r="J181" s="56"/>
      <c r="L181" s="56"/>
    </row>
    <row r="182" spans="1:12">
      <c r="B182" s="118" t="s">
        <v>1074</v>
      </c>
      <c r="C182" s="76"/>
      <c r="D182" s="76"/>
      <c r="E182" s="57"/>
      <c r="F182" s="102">
        <f t="shared" si="8"/>
        <v>0</v>
      </c>
      <c r="G182" s="38"/>
      <c r="H182" s="147"/>
      <c r="J182" s="56"/>
      <c r="L182" s="56"/>
    </row>
    <row r="183" spans="1:12">
      <c r="B183" s="118" t="s">
        <v>1073</v>
      </c>
      <c r="C183" s="76"/>
      <c r="D183" s="76"/>
      <c r="E183" s="57"/>
      <c r="F183" s="102">
        <f t="shared" si="8"/>
        <v>0</v>
      </c>
      <c r="G183" s="38"/>
      <c r="H183" s="147"/>
      <c r="J183" s="56"/>
      <c r="L183" s="56"/>
    </row>
    <row r="184" spans="1:12">
      <c r="B184" s="118" t="s">
        <v>1072</v>
      </c>
      <c r="C184" s="76"/>
      <c r="D184" s="76"/>
      <c r="E184" s="57"/>
      <c r="F184" s="102">
        <f t="shared" si="8"/>
        <v>0</v>
      </c>
      <c r="G184" s="38"/>
      <c r="H184" s="147"/>
      <c r="J184" s="56"/>
      <c r="L184" s="56"/>
    </row>
    <row r="185" spans="1:12">
      <c r="B185" s="118" t="s">
        <v>1071</v>
      </c>
      <c r="C185" s="140"/>
      <c r="D185" s="140"/>
      <c r="E185" s="149"/>
      <c r="F185" s="128">
        <f t="shared" si="8"/>
        <v>0</v>
      </c>
      <c r="G185" s="38"/>
      <c r="H185" s="147"/>
      <c r="J185" s="56"/>
      <c r="L185" s="56"/>
    </row>
    <row r="186" spans="1:12" ht="13.5" thickBot="1">
      <c r="B186" s="98"/>
      <c r="C186" s="114">
        <f>C176-C177-C178-C179+C182+C183+C184+C185-C180</f>
        <v>64251178.399999999</v>
      </c>
      <c r="D186" s="114">
        <f>D176-D177-D178-D179+D182+D183+D184+D185-D180</f>
        <v>46417099</v>
      </c>
      <c r="E186" s="113">
        <f>E176-E177-E178-E179+E182+E183+E184+E185-E180</f>
        <v>46743530</v>
      </c>
      <c r="F186" s="112">
        <f>F176-F177-F178-F179+F182+F183+F184+F185-F180</f>
        <v>157411807.40000001</v>
      </c>
      <c r="G186" s="38"/>
      <c r="H186" s="147"/>
      <c r="J186" s="56"/>
      <c r="L186" s="56"/>
    </row>
    <row r="187" spans="1:12" ht="13.5" thickBot="1">
      <c r="B187" s="79"/>
      <c r="C187" s="38"/>
      <c r="D187" s="79"/>
      <c r="E187" s="82"/>
      <c r="F187" s="81"/>
      <c r="G187" s="38"/>
      <c r="H187" s="147"/>
      <c r="J187" s="56"/>
      <c r="L187" s="56"/>
    </row>
    <row r="188" spans="1:12">
      <c r="B188" s="123" t="s">
        <v>1070</v>
      </c>
      <c r="C188" s="135">
        <f>'WS4-CostData'!C93</f>
        <v>19840517</v>
      </c>
      <c r="D188" s="135">
        <f>'WS4-CostData'!E93</f>
        <v>9914051.5299999993</v>
      </c>
      <c r="E188" s="62">
        <v>0</v>
      </c>
      <c r="F188" s="148">
        <f>SUM(C188:E188)</f>
        <v>29754568.530000001</v>
      </c>
      <c r="G188" s="38"/>
      <c r="H188" s="147"/>
      <c r="J188" s="80"/>
      <c r="L188" s="56"/>
    </row>
    <row r="189" spans="1:12" ht="13.5" thickBot="1">
      <c r="B189" s="146"/>
      <c r="C189" s="60"/>
      <c r="D189" s="78"/>
      <c r="E189" s="57"/>
      <c r="F189" s="127">
        <f>SUM(F186:F188)</f>
        <v>187166375.93000001</v>
      </c>
      <c r="G189" s="38"/>
      <c r="J189" s="56"/>
      <c r="L189" s="56"/>
    </row>
    <row r="190" spans="1:12" ht="13.5" thickTop="1">
      <c r="B190" s="120"/>
      <c r="C190" s="60"/>
      <c r="D190" s="60"/>
      <c r="E190" s="57"/>
      <c r="F190" s="119"/>
      <c r="G190" s="38"/>
      <c r="J190" s="56"/>
      <c r="L190" s="56"/>
    </row>
    <row r="191" spans="1:12" ht="13.5" thickBot="1">
      <c r="B191" s="145"/>
      <c r="C191" s="97"/>
      <c r="D191" s="144"/>
      <c r="E191" s="126" t="str">
        <f>"line "&amp;A61</f>
        <v>line 52</v>
      </c>
      <c r="F191" s="125">
        <f>D61</f>
        <v>187166375.93000001</v>
      </c>
      <c r="G191" s="38"/>
      <c r="J191" s="56"/>
      <c r="L191" s="56"/>
    </row>
    <row r="192" spans="1:12">
      <c r="B192" s="79"/>
      <c r="C192" s="38"/>
      <c r="D192" s="79"/>
      <c r="E192" s="82"/>
      <c r="F192" s="81"/>
      <c r="G192" s="38"/>
      <c r="J192" s="56"/>
      <c r="L192" s="56"/>
    </row>
    <row r="193" spans="2:12" ht="13.5" thickBot="1">
      <c r="B193" s="124" t="s">
        <v>1069</v>
      </c>
      <c r="C193" s="38"/>
      <c r="D193" s="124" t="s">
        <v>236</v>
      </c>
      <c r="E193" s="82"/>
      <c r="F193" s="81"/>
      <c r="G193" s="38"/>
      <c r="J193" s="56"/>
      <c r="L193" s="56"/>
    </row>
    <row r="194" spans="2:12">
      <c r="B194" s="123"/>
      <c r="C194" s="62" t="s">
        <v>1066</v>
      </c>
      <c r="D194" s="122" t="s">
        <v>941</v>
      </c>
      <c r="E194" s="122" t="s">
        <v>948</v>
      </c>
      <c r="F194" s="121" t="s">
        <v>1024</v>
      </c>
      <c r="G194" s="38"/>
      <c r="J194" s="56"/>
      <c r="L194" s="56"/>
    </row>
    <row r="195" spans="2:12">
      <c r="B195" s="143" t="s">
        <v>1064</v>
      </c>
      <c r="C195" s="140">
        <f>'WS4-CostData'!C7</f>
        <v>1492902585.8700001</v>
      </c>
      <c r="D195" s="140">
        <f>'WS4-CostData'!E7</f>
        <v>805173863</v>
      </c>
      <c r="E195" s="140">
        <f>'WS4-CostData'!G7</f>
        <v>1184290338</v>
      </c>
      <c r="F195" s="138">
        <f>SUM(C195:E195)</f>
        <v>3482366786.8699999</v>
      </c>
      <c r="G195" s="38"/>
      <c r="J195" s="56"/>
      <c r="L195" s="56"/>
    </row>
    <row r="196" spans="2:12">
      <c r="B196" s="118" t="s">
        <v>1063</v>
      </c>
      <c r="C196" s="142">
        <f>'WS4-CostData'!C9</f>
        <v>18736175.560470011</v>
      </c>
      <c r="D196" s="142">
        <v>0</v>
      </c>
      <c r="E196" s="142">
        <f>'WS4-CostData'!G9</f>
        <v>1090777484.51</v>
      </c>
      <c r="F196" s="116">
        <f>SUM(C196:E196)</f>
        <v>1109513660.0704701</v>
      </c>
      <c r="G196" s="38"/>
      <c r="J196" s="56"/>
      <c r="L196" s="56"/>
    </row>
    <row r="197" spans="2:12">
      <c r="B197" s="118" t="s">
        <v>1062</v>
      </c>
      <c r="C197" s="142">
        <f>'WS4-CostData'!C8</f>
        <v>1418874523.3095305</v>
      </c>
      <c r="D197" s="142">
        <f>'WS4-CostData'!E8</f>
        <v>10034426.25</v>
      </c>
      <c r="E197" s="142">
        <f>'WS4-CostData'!G8</f>
        <v>93512853.49000001</v>
      </c>
      <c r="F197" s="116">
        <f>SUM(C197:E197)</f>
        <v>1522421803.0495305</v>
      </c>
      <c r="G197" s="38"/>
      <c r="J197" s="56"/>
      <c r="L197" s="56"/>
    </row>
    <row r="198" spans="2:12">
      <c r="B198" s="118" t="s">
        <v>1061</v>
      </c>
      <c r="C198" s="76">
        <f>C195-C197-C196</f>
        <v>55291886.999999613</v>
      </c>
      <c r="D198" s="76">
        <v>0</v>
      </c>
      <c r="E198" s="76">
        <f>E195-E197-E196</f>
        <v>0</v>
      </c>
      <c r="F198" s="116">
        <f>SUM(C198:E198)</f>
        <v>55291886.999999613</v>
      </c>
      <c r="G198" s="38"/>
      <c r="J198" s="56"/>
      <c r="L198" s="56"/>
    </row>
    <row r="199" spans="2:12">
      <c r="B199" s="141"/>
      <c r="C199" s="76"/>
      <c r="D199" s="76"/>
      <c r="E199" s="117"/>
      <c r="F199" s="116">
        <f>C199+D199</f>
        <v>0</v>
      </c>
      <c r="G199" s="38"/>
      <c r="J199" s="56"/>
      <c r="L199" s="56"/>
    </row>
    <row r="200" spans="2:12">
      <c r="B200" s="101"/>
      <c r="C200" s="76"/>
      <c r="D200" s="76"/>
      <c r="E200" s="117"/>
      <c r="F200" s="116">
        <f>C200+D200</f>
        <v>0</v>
      </c>
      <c r="G200" s="38"/>
      <c r="J200" s="56"/>
      <c r="L200" s="56"/>
    </row>
    <row r="201" spans="2:12">
      <c r="B201" s="101"/>
      <c r="C201" s="140"/>
      <c r="D201" s="140"/>
      <c r="E201" s="139"/>
      <c r="F201" s="138">
        <f>C201+D201</f>
        <v>0</v>
      </c>
      <c r="G201" s="38"/>
      <c r="J201" s="56"/>
      <c r="L201" s="56"/>
    </row>
    <row r="202" spans="2:12" ht="13.5" thickBot="1">
      <c r="B202" s="98"/>
      <c r="C202" s="114">
        <f>SUM(C196:C201)</f>
        <v>1492902585.8700001</v>
      </c>
      <c r="D202" s="114">
        <f>SUM(D196:D201)</f>
        <v>10034426.25</v>
      </c>
      <c r="E202" s="113">
        <f>SUM(E196:E201)</f>
        <v>1184290338</v>
      </c>
      <c r="F202" s="112">
        <f>SUM(C202:E202)</f>
        <v>2687227350.1199999</v>
      </c>
      <c r="G202" s="38" t="str">
        <f>"line "&amp;A18</f>
        <v>line 16</v>
      </c>
      <c r="J202" s="56"/>
      <c r="L202" s="56"/>
    </row>
    <row r="203" spans="2:12" ht="13.5" thickBot="1">
      <c r="B203" s="79"/>
      <c r="C203" s="137"/>
      <c r="D203" s="79"/>
      <c r="E203" s="89"/>
      <c r="F203" s="81"/>
      <c r="G203" s="38"/>
      <c r="J203" s="56"/>
      <c r="L203" s="56"/>
    </row>
    <row r="204" spans="2:12">
      <c r="B204" s="136" t="s">
        <v>1068</v>
      </c>
      <c r="C204" s="135">
        <f>'WS4-CostData'!C18</f>
        <v>745016307</v>
      </c>
      <c r="D204" s="135">
        <f>'WS4-CostData'!E18</f>
        <v>394281086.88999999</v>
      </c>
      <c r="E204" s="134">
        <f>'WS4-CostData'!G18</f>
        <v>614235591</v>
      </c>
      <c r="F204" s="133">
        <f>SUM(C204:E204)</f>
        <v>1753532984.8899999</v>
      </c>
      <c r="G204" s="38"/>
      <c r="J204" s="56"/>
      <c r="L204" s="56"/>
    </row>
    <row r="205" spans="2:12">
      <c r="B205" s="118" t="s">
        <v>1063</v>
      </c>
      <c r="C205" s="132">
        <f>'WS4-CostData'!C20</f>
        <v>9350078.4682682119</v>
      </c>
      <c r="D205" s="132">
        <f>'WS4-CostData'!E20</f>
        <v>0</v>
      </c>
      <c r="E205" s="103">
        <f>'WS4-CostData'!G20</f>
        <v>565734880.50148487</v>
      </c>
      <c r="F205" s="102">
        <f>SUM(C205:E205)</f>
        <v>575084958.96975303</v>
      </c>
      <c r="G205" s="38"/>
      <c r="J205" s="56"/>
      <c r="L205" s="56"/>
    </row>
    <row r="206" spans="2:12">
      <c r="B206" s="118" t="s">
        <v>1062</v>
      </c>
      <c r="C206" s="131">
        <f>'WS4-CostData'!C19</f>
        <v>708073431.88867736</v>
      </c>
      <c r="D206" s="132">
        <f>'WS4-CostData'!E19</f>
        <v>4913702.0834561624</v>
      </c>
      <c r="E206" s="103">
        <f>'WS4-CostData'!G19</f>
        <v>48500710.498515077</v>
      </c>
      <c r="F206" s="116">
        <f>SUM(C206:E206)</f>
        <v>761487844.47064865</v>
      </c>
      <c r="G206" s="38"/>
      <c r="J206" s="56"/>
      <c r="L206" s="56"/>
    </row>
    <row r="207" spans="2:12">
      <c r="B207" s="118" t="s">
        <v>1061</v>
      </c>
      <c r="C207" s="130">
        <f>C204-C205-C206</f>
        <v>27592796.643054485</v>
      </c>
      <c r="D207" s="100"/>
      <c r="E207" s="129"/>
      <c r="F207" s="128">
        <f>SUM(C207:E207)</f>
        <v>27592796.643054485</v>
      </c>
      <c r="G207" s="38"/>
      <c r="J207" s="56"/>
      <c r="L207" s="56"/>
    </row>
    <row r="208" spans="2:12" ht="15" customHeight="1" thickBot="1">
      <c r="B208" s="101"/>
      <c r="C208" s="105">
        <f>SUM(C205:C207)</f>
        <v>745016307</v>
      </c>
      <c r="D208" s="100"/>
      <c r="E208" s="103">
        <f>SUM(E205:E207)</f>
        <v>614235591</v>
      </c>
      <c r="F208" s="127">
        <f>SUM(F205:F207)</f>
        <v>1364165600.083456</v>
      </c>
      <c r="G208" s="38"/>
      <c r="J208" s="56"/>
      <c r="L208" s="56"/>
    </row>
    <row r="209" spans="2:12" ht="15" customHeight="1" thickTop="1">
      <c r="B209" s="101"/>
      <c r="C209" s="60"/>
      <c r="D209" s="100"/>
      <c r="E209" s="57"/>
      <c r="F209" s="119"/>
      <c r="G209" s="38"/>
      <c r="J209" s="56"/>
      <c r="L209" s="56"/>
    </row>
    <row r="210" spans="2:12" ht="15" customHeight="1" thickBot="1">
      <c r="B210" s="98"/>
      <c r="C210" s="97"/>
      <c r="D210" s="96"/>
      <c r="E210" s="126" t="str">
        <f>"line "&amp;A25</f>
        <v>line 22</v>
      </c>
      <c r="F210" s="125">
        <f>D25</f>
        <v>1364165600.083456</v>
      </c>
      <c r="G210" s="38"/>
      <c r="J210" s="56"/>
      <c r="L210" s="56"/>
    </row>
    <row r="211" spans="2:12" ht="33" customHeight="1" thickBot="1">
      <c r="B211" s="124" t="s">
        <v>1067</v>
      </c>
      <c r="C211" s="38"/>
      <c r="D211" s="124" t="s">
        <v>236</v>
      </c>
      <c r="E211" s="82"/>
      <c r="F211" s="81"/>
      <c r="G211" s="38"/>
      <c r="J211" s="56"/>
      <c r="L211" s="56"/>
    </row>
    <row r="212" spans="2:12" ht="15" customHeight="1">
      <c r="B212" s="123"/>
      <c r="C212" s="62" t="s">
        <v>1066</v>
      </c>
      <c r="D212" s="122" t="s">
        <v>941</v>
      </c>
      <c r="E212" s="122" t="s">
        <v>948</v>
      </c>
      <c r="F212" s="121" t="s">
        <v>1024</v>
      </c>
      <c r="G212" s="38"/>
      <c r="J212" s="56"/>
      <c r="L212" s="56"/>
    </row>
    <row r="213" spans="2:12" ht="15" customHeight="1">
      <c r="B213" s="118" t="s">
        <v>1065</v>
      </c>
      <c r="C213" s="76">
        <f>'WS4-CostData'!C69</f>
        <v>44653166.100000001</v>
      </c>
      <c r="D213" s="76">
        <f>'WS4-CostData'!E69</f>
        <v>26616546.359999999</v>
      </c>
      <c r="E213" s="117">
        <f>'WS4-CostData'!G69</f>
        <v>20855793</v>
      </c>
      <c r="F213" s="116">
        <f>SUM(C213:E213)</f>
        <v>92125505.460000008</v>
      </c>
      <c r="G213" s="38"/>
      <c r="J213" s="56"/>
      <c r="L213" s="56"/>
    </row>
    <row r="214" spans="2:12" ht="15" customHeight="1">
      <c r="B214" s="120"/>
      <c r="C214" s="60"/>
      <c r="D214" s="60"/>
      <c r="E214" s="57"/>
      <c r="F214" s="119"/>
      <c r="G214" s="56"/>
      <c r="J214" s="56"/>
      <c r="L214" s="56"/>
    </row>
    <row r="215" spans="2:12" ht="15" customHeight="1">
      <c r="B215" s="118" t="s">
        <v>1064</v>
      </c>
      <c r="C215" s="76">
        <f>C195</f>
        <v>1492902585.8700001</v>
      </c>
      <c r="D215" s="76">
        <f>D195</f>
        <v>805173863</v>
      </c>
      <c r="E215" s="117">
        <f>E195</f>
        <v>1184290338</v>
      </c>
      <c r="F215" s="116">
        <f>SUM(C215:E215)</f>
        <v>3482366786.8699999</v>
      </c>
      <c r="G215" s="56"/>
      <c r="L215" s="56"/>
    </row>
    <row r="216" spans="2:12" ht="15" customHeight="1">
      <c r="B216" s="118" t="s">
        <v>1063</v>
      </c>
      <c r="C216" s="76">
        <f>C196</f>
        <v>18736175.560470011</v>
      </c>
      <c r="D216" s="76">
        <v>0</v>
      </c>
      <c r="E216" s="117">
        <f>E196</f>
        <v>1090777484.51</v>
      </c>
      <c r="F216" s="116">
        <f>SUM(C216:E216)</f>
        <v>1109513660.0704701</v>
      </c>
      <c r="G216" s="56"/>
      <c r="L216" s="56"/>
    </row>
    <row r="217" spans="2:12" ht="15" customHeight="1">
      <c r="B217" s="118" t="s">
        <v>1062</v>
      </c>
      <c r="C217" s="76">
        <f>C197</f>
        <v>1418874523.3095305</v>
      </c>
      <c r="D217" s="76">
        <f>D197</f>
        <v>10034426.25</v>
      </c>
      <c r="E217" s="117">
        <f>E197</f>
        <v>93512853.49000001</v>
      </c>
      <c r="F217" s="116">
        <f>SUM(C217:E217)</f>
        <v>1522421803.0495305</v>
      </c>
      <c r="G217" s="56"/>
      <c r="L217" s="56"/>
    </row>
    <row r="218" spans="2:12" ht="15" customHeight="1" thickBot="1">
      <c r="B218" s="115" t="s">
        <v>1061</v>
      </c>
      <c r="C218" s="114">
        <f>C198</f>
        <v>55291886.999999613</v>
      </c>
      <c r="D218" s="114">
        <v>0</v>
      </c>
      <c r="E218" s="113"/>
      <c r="F218" s="112">
        <f>SUM(C218:E218)</f>
        <v>55291886.999999613</v>
      </c>
      <c r="G218" s="56"/>
      <c r="L218" s="56"/>
    </row>
    <row r="219" spans="2:12" ht="15" customHeight="1" thickBot="1">
      <c r="B219" s="56"/>
      <c r="C219" s="38"/>
      <c r="D219" s="56"/>
      <c r="E219" s="89"/>
      <c r="F219" s="87"/>
      <c r="G219" s="56"/>
      <c r="L219" s="56"/>
    </row>
    <row r="220" spans="2:12" ht="15" customHeight="1">
      <c r="B220" s="111" t="s">
        <v>1060</v>
      </c>
      <c r="C220" s="110">
        <f>C217/C215</f>
        <v>0.95041333355496249</v>
      </c>
      <c r="D220" s="109">
        <f>D217/D215</f>
        <v>1.2462434153802134E-2</v>
      </c>
      <c r="E220" s="108">
        <f>E217/E215</f>
        <v>7.8961087910184413E-2</v>
      </c>
      <c r="F220" s="107"/>
      <c r="G220" s="56"/>
      <c r="L220" s="56"/>
    </row>
    <row r="221" spans="2:12" ht="15" customHeight="1">
      <c r="B221" s="101"/>
      <c r="C221" s="60"/>
      <c r="D221" s="100"/>
      <c r="E221" s="59"/>
      <c r="F221" s="106"/>
      <c r="G221" s="56"/>
      <c r="L221" s="56"/>
    </row>
    <row r="222" spans="2:12" ht="15" customHeight="1">
      <c r="B222" s="101" t="s">
        <v>1059</v>
      </c>
      <c r="C222" s="105">
        <f>C213*C220</f>
        <v>42438964.446884446</v>
      </c>
      <c r="D222" s="104">
        <f>D213*D220</f>
        <v>331706.95641312184</v>
      </c>
      <c r="E222" s="103">
        <f>E213*E220</f>
        <v>1646796.1045096088</v>
      </c>
      <c r="F222" s="102">
        <f>SUM(C222:E222)</f>
        <v>44417467.507807173</v>
      </c>
      <c r="G222" s="56"/>
      <c r="L222" s="56"/>
    </row>
    <row r="223" spans="2:12" ht="15" customHeight="1">
      <c r="B223" s="101" t="s">
        <v>1058</v>
      </c>
      <c r="C223" s="60"/>
      <c r="D223" s="100"/>
      <c r="E223" s="59"/>
      <c r="F223" s="99" t="str">
        <f>"line "&amp;A130</f>
        <v>line 105</v>
      </c>
      <c r="G223" s="56"/>
      <c r="L223" s="56"/>
    </row>
    <row r="224" spans="2:12" ht="13.5" thickBot="1">
      <c r="B224" s="98"/>
      <c r="C224" s="97"/>
      <c r="D224" s="96"/>
      <c r="E224" s="95"/>
      <c r="F224" s="94"/>
      <c r="G224" s="56"/>
      <c r="L224" s="56"/>
    </row>
    <row r="225" spans="2:12">
      <c r="B225" s="56"/>
      <c r="C225" s="38" t="s">
        <v>1057</v>
      </c>
      <c r="D225" s="56"/>
      <c r="E225" s="93"/>
      <c r="F225" s="92"/>
      <c r="G225" s="56"/>
      <c r="L225" s="56"/>
    </row>
    <row r="226" spans="2:12">
      <c r="B226" s="80" t="s">
        <v>1056</v>
      </c>
      <c r="C226" s="91">
        <v>309784468</v>
      </c>
      <c r="D226" s="84">
        <v>278861589</v>
      </c>
      <c r="E226" s="90">
        <v>521119620</v>
      </c>
      <c r="F226" s="87"/>
      <c r="G226" s="56"/>
      <c r="L226" s="56"/>
    </row>
    <row r="227" spans="2:12">
      <c r="B227" s="89"/>
      <c r="C227" s="86">
        <v>109442149</v>
      </c>
      <c r="D227" s="84">
        <v>18276861</v>
      </c>
      <c r="E227" s="88">
        <v>52922448</v>
      </c>
      <c r="F227" s="87"/>
      <c r="G227" s="56"/>
      <c r="L227" s="56"/>
    </row>
    <row r="228" spans="2:12">
      <c r="B228" s="56"/>
      <c r="C228" s="86">
        <v>2507926</v>
      </c>
      <c r="D228" s="86">
        <v>150222025</v>
      </c>
      <c r="E228" s="75">
        <f>SUM(E226:E227)</f>
        <v>574042068</v>
      </c>
      <c r="F228" s="81"/>
      <c r="G228" s="38"/>
      <c r="L228" s="56"/>
    </row>
    <row r="229" spans="2:12">
      <c r="B229" s="56"/>
      <c r="C229" s="84">
        <v>383325330</v>
      </c>
      <c r="D229" s="85">
        <v>1458423</v>
      </c>
      <c r="E229" s="82"/>
      <c r="F229" s="81"/>
      <c r="G229" s="38"/>
      <c r="L229" s="56"/>
    </row>
    <row r="230" spans="2:12">
      <c r="B230" s="79"/>
      <c r="C230" s="84">
        <v>83606944</v>
      </c>
      <c r="D230" s="73">
        <f>SUM(D226:D229)</f>
        <v>448818898</v>
      </c>
      <c r="E230" s="82"/>
      <c r="F230" s="81"/>
      <c r="G230" s="38"/>
      <c r="L230" s="56"/>
    </row>
    <row r="231" spans="2:12">
      <c r="B231" s="79"/>
      <c r="C231" s="83">
        <v>-2355205</v>
      </c>
      <c r="D231" s="79"/>
      <c r="E231" s="82"/>
      <c r="F231" s="81"/>
      <c r="G231" s="60"/>
      <c r="L231" s="56"/>
    </row>
    <row r="232" spans="2:12">
      <c r="B232" s="80" t="s">
        <v>2643</v>
      </c>
      <c r="C232" s="73">
        <f>SUM(C226:C231)</f>
        <v>886311612</v>
      </c>
      <c r="D232" s="79"/>
      <c r="E232" s="59"/>
      <c r="F232" s="74"/>
      <c r="G232" s="59"/>
      <c r="L232" s="56"/>
    </row>
    <row r="233" spans="2:12">
      <c r="B233" s="80"/>
      <c r="C233" s="352">
        <v>0</v>
      </c>
      <c r="D233" s="79"/>
      <c r="E233" s="59"/>
      <c r="F233" s="66"/>
      <c r="G233" s="60"/>
      <c r="L233" s="56"/>
    </row>
    <row r="234" spans="2:12">
      <c r="B234" s="72"/>
      <c r="C234" s="73">
        <f>SUM(C232:C233)</f>
        <v>886311612</v>
      </c>
      <c r="D234" s="78"/>
      <c r="E234" s="59"/>
      <c r="F234" s="69"/>
      <c r="G234" s="60"/>
      <c r="L234" s="56"/>
    </row>
    <row r="235" spans="2:12">
      <c r="B235" s="59"/>
      <c r="C235" s="72"/>
      <c r="D235" s="59"/>
      <c r="E235" s="77"/>
      <c r="F235" s="66"/>
      <c r="G235" s="60"/>
      <c r="L235" s="56"/>
    </row>
    <row r="236" spans="2:12">
      <c r="B236" s="60"/>
      <c r="C236" s="76">
        <f>C234*C220</f>
        <v>842362373.72939253</v>
      </c>
      <c r="D236" s="73">
        <f>D230*D220</f>
        <v>5593375.9633070361</v>
      </c>
      <c r="E236" s="75">
        <f>E220*E228</f>
        <v>45326986.195492059</v>
      </c>
      <c r="F236" s="74">
        <f>SUM(C236:E236)</f>
        <v>893282735.88819158</v>
      </c>
      <c r="G236" s="73" t="str">
        <f>"line "&amp;A133</f>
        <v>line 106</v>
      </c>
      <c r="L236" s="56"/>
    </row>
    <row r="237" spans="2:12">
      <c r="B237" s="71"/>
      <c r="C237" s="60"/>
      <c r="D237" s="72"/>
      <c r="E237" s="57"/>
      <c r="F237" s="66"/>
      <c r="G237" s="60"/>
      <c r="L237" s="56"/>
    </row>
    <row r="238" spans="2:12">
      <c r="B238" s="71"/>
      <c r="C238" s="60"/>
      <c r="D238" s="70"/>
      <c r="E238" s="57"/>
      <c r="F238" s="69">
        <f>F222/F236</f>
        <v>4.9723862024091237E-2</v>
      </c>
      <c r="G238" s="60"/>
      <c r="L238" s="56"/>
    </row>
    <row r="239" spans="2:12" ht="13.5" thickBot="1">
      <c r="B239" s="68" t="s">
        <v>1055</v>
      </c>
      <c r="C239" s="67"/>
      <c r="D239" s="60"/>
      <c r="E239" s="57"/>
      <c r="F239" s="66"/>
      <c r="G239" s="60"/>
      <c r="L239" s="56"/>
    </row>
    <row r="240" spans="2:12">
      <c r="B240" s="65" t="s">
        <v>1054</v>
      </c>
      <c r="C240" s="64"/>
      <c r="D240" s="63"/>
      <c r="E240" s="62"/>
      <c r="F240" s="61"/>
      <c r="G240" s="60"/>
      <c r="L240" s="56"/>
    </row>
    <row r="241" spans="2:12">
      <c r="B241" s="36"/>
      <c r="C241" s="59" t="s">
        <v>1053</v>
      </c>
      <c r="D241" s="57" t="s">
        <v>1052</v>
      </c>
      <c r="E241" s="57" t="s">
        <v>1051</v>
      </c>
      <c r="F241" s="58" t="s">
        <v>1050</v>
      </c>
      <c r="G241" s="57"/>
      <c r="L241" s="56"/>
    </row>
    <row r="242" spans="2:12">
      <c r="B242" s="52">
        <v>1110</v>
      </c>
      <c r="C242" s="47">
        <v>4134513.49</v>
      </c>
      <c r="D242" s="55">
        <v>8765615.9800000004</v>
      </c>
      <c r="E242" s="54">
        <v>1012880.14</v>
      </c>
      <c r="F242" s="53">
        <v>2248663.2400000002</v>
      </c>
      <c r="L242" s="56"/>
    </row>
    <row r="243" spans="2:12">
      <c r="B243" s="52" t="s">
        <v>1049</v>
      </c>
      <c r="C243" s="47">
        <v>31184.82</v>
      </c>
      <c r="D243" s="55">
        <v>-17931.93</v>
      </c>
      <c r="E243" s="54">
        <v>21575.5</v>
      </c>
      <c r="F243" s="53">
        <v>36364.120000000003</v>
      </c>
      <c r="L243" s="56"/>
    </row>
    <row r="244" spans="2:12">
      <c r="B244" s="52">
        <v>1120</v>
      </c>
      <c r="C244" s="47">
        <v>834716.68</v>
      </c>
      <c r="D244" s="55">
        <v>1725225.58</v>
      </c>
      <c r="E244" s="54">
        <v>203457.44</v>
      </c>
      <c r="F244" s="53">
        <v>444424.17</v>
      </c>
      <c r="L244" s="56"/>
    </row>
    <row r="245" spans="2:12">
      <c r="B245" s="52">
        <v>1130</v>
      </c>
      <c r="C245" s="47">
        <v>67241.399999999994</v>
      </c>
      <c r="D245" s="55">
        <v>71593.81</v>
      </c>
      <c r="E245" s="54">
        <v>2372.91</v>
      </c>
      <c r="F245" s="53">
        <v>53866.62</v>
      </c>
      <c r="L245" s="56"/>
    </row>
    <row r="246" spans="2:12">
      <c r="B246" s="52">
        <v>1150</v>
      </c>
      <c r="C246" s="47">
        <v>39876.36</v>
      </c>
      <c r="D246" s="55">
        <v>64930.37</v>
      </c>
      <c r="E246" s="54">
        <v>3531.54</v>
      </c>
      <c r="F246" s="53">
        <v>18990.849999999999</v>
      </c>
      <c r="L246" s="56"/>
    </row>
    <row r="247" spans="2:12">
      <c r="B247" s="52">
        <v>1151</v>
      </c>
      <c r="C247" s="47">
        <v>556955.89</v>
      </c>
      <c r="D247" s="55">
        <v>854048.59</v>
      </c>
      <c r="E247" s="54">
        <v>112733.8</v>
      </c>
      <c r="F247" s="53">
        <v>145179.31</v>
      </c>
    </row>
    <row r="248" spans="2:12">
      <c r="B248" s="52">
        <v>1152</v>
      </c>
      <c r="C248" s="51">
        <v>44559</v>
      </c>
      <c r="D248" s="50">
        <v>157051</v>
      </c>
      <c r="E248" s="49">
        <v>11969</v>
      </c>
      <c r="F248" s="48">
        <v>31376.400000000001</v>
      </c>
    </row>
    <row r="249" spans="2:12">
      <c r="B249" s="36"/>
      <c r="C249" s="47">
        <f>SUM(C242:C248)</f>
        <v>5709047.6400000006</v>
      </c>
      <c r="D249" s="47">
        <f>SUM(D242:D248)</f>
        <v>11620533.4</v>
      </c>
      <c r="E249" s="47">
        <f>SUM(E242:E248)</f>
        <v>1368520.33</v>
      </c>
      <c r="F249" s="46">
        <f>SUM(F242:F248)</f>
        <v>2978864.7100000004</v>
      </c>
    </row>
    <row r="250" spans="2:12" ht="13.5" thickBot="1">
      <c r="B250" s="45"/>
      <c r="C250" s="44"/>
      <c r="D250" s="44"/>
      <c r="E250" s="43"/>
      <c r="F250" s="42">
        <f>C249+D249+E249+F249</f>
        <v>21676966.079999998</v>
      </c>
      <c r="G250" s="41">
        <f>F250*1.05</f>
        <v>22760814.384</v>
      </c>
    </row>
  </sheetData>
  <mergeCells count="21">
    <mergeCell ref="B169:I169"/>
    <mergeCell ref="B170:I170"/>
    <mergeCell ref="B171:I171"/>
    <mergeCell ref="B163:I163"/>
    <mergeCell ref="B164:I164"/>
    <mergeCell ref="B165:I165"/>
    <mergeCell ref="B166:I166"/>
    <mergeCell ref="B167:I167"/>
    <mergeCell ref="B168:I168"/>
    <mergeCell ref="B158:I158"/>
    <mergeCell ref="E161:I161"/>
    <mergeCell ref="E162:I162"/>
    <mergeCell ref="B149:I149"/>
    <mergeCell ref="B150:I150"/>
    <mergeCell ref="B151:I151"/>
    <mergeCell ref="B152:I152"/>
    <mergeCell ref="B153:I153"/>
    <mergeCell ref="B154:I154"/>
    <mergeCell ref="B155:I155"/>
    <mergeCell ref="B156:I156"/>
    <mergeCell ref="B157:I157"/>
  </mergeCells>
  <pageMargins left="0.56999999999999995" right="0.3" top="0.5" bottom="0.25" header="0.28000000000000003" footer="0.08"/>
  <pageSetup scale="53" orientation="portrait" r:id="rId1"/>
  <headerFooter alignWithMargins="0">
    <oddFooter>&amp;R&amp;A</oddFooter>
  </headerFooter>
  <rowBreaks count="1" manualBreakCount="1">
    <brk id="90" max="8" man="1"/>
  </rowBreaks>
  <colBreaks count="1" manualBreakCount="1">
    <brk id="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H36"/>
  <sheetViews>
    <sheetView view="pageBreakPreview" topLeftCell="B1" zoomScale="110" zoomScaleNormal="100" zoomScaleSheetLayoutView="110" workbookViewId="0">
      <pane ySplit="3" topLeftCell="A4" activePane="bottomLeft" state="frozen"/>
      <selection activeCell="B1" sqref="B1"/>
      <selection pane="bottomLeft" activeCell="A3" sqref="A3"/>
    </sheetView>
  </sheetViews>
  <sheetFormatPr defaultColWidth="13.1796875" defaultRowHeight="14.5"/>
  <cols>
    <col min="1" max="1" width="13.1796875" style="33"/>
    <col min="2" max="2" width="89.453125" style="33" bestFit="1" customWidth="1"/>
    <col min="3" max="7" width="13.1796875" style="33"/>
    <col min="8" max="8" width="32.26953125" style="33" bestFit="1" customWidth="1"/>
    <col min="9" max="16384" width="13.1796875" style="33"/>
  </cols>
  <sheetData>
    <row r="1" spans="1:8">
      <c r="A1" s="347" t="str">
        <f>'Cover Sheets'!A10:B10</f>
        <v>WAPA-UGP 2020 Rate Estimate Calculation</v>
      </c>
      <c r="B1" s="395"/>
      <c r="C1" s="396"/>
      <c r="D1" s="396"/>
      <c r="E1" s="396"/>
      <c r="F1" s="396"/>
      <c r="G1" s="396"/>
      <c r="H1" s="397"/>
    </row>
    <row r="2" spans="1:8">
      <c r="A2" s="168" t="s">
        <v>2621</v>
      </c>
      <c r="B2" s="398"/>
      <c r="C2" s="398"/>
      <c r="D2" s="398"/>
      <c r="E2" s="398"/>
      <c r="F2" s="398"/>
      <c r="G2" s="398"/>
      <c r="H2" s="399"/>
    </row>
    <row r="3" spans="1:8" ht="39.5">
      <c r="A3" s="168"/>
      <c r="B3" s="356" t="s">
        <v>2</v>
      </c>
      <c r="C3" s="357" t="s">
        <v>1295</v>
      </c>
      <c r="D3" s="357" t="s">
        <v>1445</v>
      </c>
      <c r="E3" s="357" t="s">
        <v>1444</v>
      </c>
      <c r="F3" s="357" t="s">
        <v>2507</v>
      </c>
      <c r="G3" s="357" t="s">
        <v>2508</v>
      </c>
      <c r="H3" s="358" t="s">
        <v>1047</v>
      </c>
    </row>
    <row r="4" spans="1:8" ht="15" thickBot="1">
      <c r="A4" s="359" t="s">
        <v>1046</v>
      </c>
      <c r="B4" s="360">
        <v>-1</v>
      </c>
      <c r="C4" s="360">
        <v>-2</v>
      </c>
      <c r="D4" s="360">
        <v>-3</v>
      </c>
      <c r="E4" s="360">
        <v>-5</v>
      </c>
      <c r="F4" s="360">
        <v>-4</v>
      </c>
      <c r="G4" s="360">
        <v>-5</v>
      </c>
      <c r="H4" s="361">
        <v>-6</v>
      </c>
    </row>
    <row r="5" spans="1:8">
      <c r="A5" s="400">
        <v>1</v>
      </c>
      <c r="B5" s="401" t="s">
        <v>1045</v>
      </c>
      <c r="C5" s="413"/>
      <c r="D5" s="405"/>
      <c r="E5" s="414"/>
      <c r="F5" s="405"/>
      <c r="G5" s="405"/>
      <c r="H5" s="403"/>
    </row>
    <row r="6" spans="1:8">
      <c r="A6" s="400">
        <f t="shared" ref="A6:A36" si="0">A5+1</f>
        <v>2</v>
      </c>
      <c r="B6" s="406" t="s">
        <v>1443</v>
      </c>
      <c r="C6" s="415">
        <f>'WS4-CostData'!K124</f>
        <v>65334566.669438958</v>
      </c>
      <c r="D6" s="402">
        <f>'WS4-CostData'!K125</f>
        <v>86475950.885360882</v>
      </c>
      <c r="E6" s="402">
        <f>'WS4-CostData'!G125</f>
        <v>43052610.018437661</v>
      </c>
      <c r="F6" s="402">
        <f>'WS4-CostData'!C126</f>
        <v>46275.507974467233</v>
      </c>
      <c r="G6" s="402">
        <f>'WS4-CostData'!K127</f>
        <v>289720.25884508842</v>
      </c>
      <c r="H6" s="403" t="s">
        <v>1044</v>
      </c>
    </row>
    <row r="7" spans="1:8">
      <c r="A7" s="400">
        <f t="shared" si="0"/>
        <v>3</v>
      </c>
      <c r="B7" s="406" t="s">
        <v>1442</v>
      </c>
      <c r="C7" s="415">
        <v>0</v>
      </c>
      <c r="D7" s="402">
        <v>0</v>
      </c>
      <c r="E7" s="402">
        <v>0</v>
      </c>
      <c r="F7" s="402">
        <v>0</v>
      </c>
      <c r="G7" s="402">
        <v>0</v>
      </c>
      <c r="H7" s="403"/>
    </row>
    <row r="8" spans="1:8">
      <c r="A8" s="400">
        <f t="shared" si="0"/>
        <v>4</v>
      </c>
      <c r="B8" s="406" t="s">
        <v>1441</v>
      </c>
      <c r="C8" s="415">
        <f>SUM(C6:C7)</f>
        <v>65334566.669438958</v>
      </c>
      <c r="D8" s="402">
        <f>SUM(D6:D7)</f>
        <v>86475950.885360882</v>
      </c>
      <c r="E8" s="402">
        <f>SUM(E6:E7)</f>
        <v>43052610.018437661</v>
      </c>
      <c r="F8" s="705">
        <f>SUM(F6:F7)</f>
        <v>46275.507974467233</v>
      </c>
      <c r="G8" s="402">
        <f>SUM(G6:G7)</f>
        <v>289720.25884508842</v>
      </c>
      <c r="H8" s="403" t="s">
        <v>1440</v>
      </c>
    </row>
    <row r="9" spans="1:8" ht="15" thickBot="1">
      <c r="A9" s="400">
        <f t="shared" si="0"/>
        <v>5</v>
      </c>
      <c r="B9" s="406" t="s">
        <v>1032</v>
      </c>
      <c r="C9" s="415">
        <f>'WS4-CostData'!K24</f>
        <v>760933958.57888186</v>
      </c>
      <c r="D9" s="402">
        <f>'WS4-CostData'!K25</f>
        <v>697810961.65071702</v>
      </c>
      <c r="E9" s="402">
        <f>'WS4-CostData'!G25</f>
        <v>525042604.00851512</v>
      </c>
      <c r="F9" s="402">
        <f>'WS4-CostData'!K27</f>
        <v>538648.75825909071</v>
      </c>
      <c r="G9" s="402">
        <f>'WS4-CostData'!K28</f>
        <v>3372355.3668068824</v>
      </c>
      <c r="H9" s="403" t="s">
        <v>1297</v>
      </c>
    </row>
    <row r="10" spans="1:8" ht="15" thickBot="1">
      <c r="A10" s="400">
        <f t="shared" si="0"/>
        <v>6</v>
      </c>
      <c r="B10" s="406" t="s">
        <v>1439</v>
      </c>
      <c r="C10" s="416">
        <f>+C8/C9</f>
        <v>8.5861021094994383E-2</v>
      </c>
      <c r="D10" s="417">
        <f>+D8/D9</f>
        <v>0.12392460943977782</v>
      </c>
      <c r="E10" s="417">
        <f>+E8/E9</f>
        <v>8.1998317259868378E-2</v>
      </c>
      <c r="F10" s="417">
        <f>+F8/F9</f>
        <v>8.5910358586974891E-2</v>
      </c>
      <c r="G10" s="417">
        <f>+G8/G9</f>
        <v>8.5910358586974864E-2</v>
      </c>
      <c r="H10" s="403" t="s">
        <v>1438</v>
      </c>
    </row>
    <row r="11" spans="1:8">
      <c r="A11" s="400">
        <f t="shared" si="0"/>
        <v>7</v>
      </c>
      <c r="B11" s="401" t="s">
        <v>1043</v>
      </c>
      <c r="C11" s="413"/>
      <c r="D11" s="405"/>
      <c r="E11" s="405"/>
      <c r="F11" s="405"/>
      <c r="G11" s="405"/>
      <c r="H11" s="403"/>
    </row>
    <row r="12" spans="1:8">
      <c r="A12" s="400">
        <f t="shared" si="0"/>
        <v>8</v>
      </c>
      <c r="B12" s="406" t="s">
        <v>1437</v>
      </c>
      <c r="C12" s="415">
        <f>'WS4-CostData'!K94</f>
        <v>18980245.11581393</v>
      </c>
      <c r="D12" s="402">
        <f>'WS4-CostData'!K95</f>
        <v>249001.78567636292</v>
      </c>
      <c r="E12" s="402">
        <f>'WS4-CostData'!G95</f>
        <v>0</v>
      </c>
      <c r="F12" s="705">
        <f>'WS4-CostData'!C97</f>
        <v>14289.699045442763</v>
      </c>
      <c r="G12" s="402">
        <f>'WS4-CostData'!K98</f>
        <v>89464.50265977344</v>
      </c>
      <c r="H12" s="403" t="s">
        <v>1042</v>
      </c>
    </row>
    <row r="13" spans="1:8" ht="15" thickBot="1">
      <c r="A13" s="400">
        <f t="shared" si="0"/>
        <v>9</v>
      </c>
      <c r="B13" s="406" t="s">
        <v>1436</v>
      </c>
      <c r="C13" s="415">
        <f>C9</f>
        <v>760933958.57888186</v>
      </c>
      <c r="D13" s="402">
        <f>D9</f>
        <v>697810961.65071702</v>
      </c>
      <c r="E13" s="402">
        <f>E9</f>
        <v>525042604.00851512</v>
      </c>
      <c r="F13" s="402">
        <f>F9</f>
        <v>538648.75825909071</v>
      </c>
      <c r="G13" s="402">
        <f>G9</f>
        <v>3372355.3668068824</v>
      </c>
      <c r="H13" s="403" t="s">
        <v>1416</v>
      </c>
    </row>
    <row r="14" spans="1:8" ht="15" thickBot="1">
      <c r="A14" s="400">
        <f t="shared" si="0"/>
        <v>10</v>
      </c>
      <c r="B14" s="406" t="s">
        <v>1435</v>
      </c>
      <c r="C14" s="416">
        <f>+C12/C13</f>
        <v>2.4943354021499293E-2</v>
      </c>
      <c r="D14" s="417">
        <f>+D12/D13</f>
        <v>3.5683272313082195E-4</v>
      </c>
      <c r="E14" s="417">
        <f>+E12/E13</f>
        <v>0</v>
      </c>
      <c r="F14" s="417">
        <f>+F12/F13</f>
        <v>2.6528788614731014E-2</v>
      </c>
      <c r="G14" s="417">
        <f>+G12/G13</f>
        <v>2.652878861473101E-2</v>
      </c>
      <c r="H14" s="403" t="s">
        <v>1434</v>
      </c>
    </row>
    <row r="15" spans="1:8">
      <c r="A15" s="400">
        <f t="shared" si="0"/>
        <v>11</v>
      </c>
      <c r="B15" s="401" t="s">
        <v>1041</v>
      </c>
      <c r="C15" s="413"/>
      <c r="D15" s="405"/>
      <c r="E15" s="405"/>
      <c r="F15" s="405"/>
      <c r="G15" s="405"/>
      <c r="H15" s="403"/>
    </row>
    <row r="16" spans="1:8">
      <c r="A16" s="400">
        <f t="shared" si="0"/>
        <v>12</v>
      </c>
      <c r="B16" s="406" t="s">
        <v>1424</v>
      </c>
      <c r="C16" s="402">
        <f>'WS4-CostData'!K47</f>
        <v>35056247.566889837</v>
      </c>
      <c r="D16" s="402">
        <f>'WS4-CostData'!K48</f>
        <v>17592617.172145333</v>
      </c>
      <c r="E16" s="402">
        <f>'WS4-CostData'!G48</f>
        <v>13924577.584126119</v>
      </c>
      <c r="F16" s="705">
        <f>'WS4-CostData'!K50</f>
        <v>25480.64092174271</v>
      </c>
      <c r="G16" s="402">
        <f>'WS4-CostData'!K51</f>
        <v>159528.40296122199</v>
      </c>
      <c r="H16" s="403" t="s">
        <v>1040</v>
      </c>
    </row>
    <row r="17" spans="1:8" ht="15" thickBot="1">
      <c r="A17" s="400">
        <f t="shared" si="0"/>
        <v>13</v>
      </c>
      <c r="B17" s="406" t="s">
        <v>1032</v>
      </c>
      <c r="C17" s="415">
        <f>C13</f>
        <v>760933958.57888186</v>
      </c>
      <c r="D17" s="402">
        <f>D13</f>
        <v>697810961.65071702</v>
      </c>
      <c r="E17" s="402">
        <f>E13</f>
        <v>525042604.00851512</v>
      </c>
      <c r="F17" s="402">
        <f>F13</f>
        <v>538648.75825909071</v>
      </c>
      <c r="G17" s="402">
        <f>G13</f>
        <v>3372355.3668068824</v>
      </c>
      <c r="H17" s="403" t="s">
        <v>1416</v>
      </c>
    </row>
    <row r="18" spans="1:8" ht="15" thickBot="1">
      <c r="A18" s="400">
        <f t="shared" si="0"/>
        <v>14</v>
      </c>
      <c r="B18" s="406" t="s">
        <v>1433</v>
      </c>
      <c r="C18" s="416">
        <f>C16/C17</f>
        <v>4.607002640854771E-2</v>
      </c>
      <c r="D18" s="417">
        <f>D16/D17</f>
        <v>2.5211150496301831E-2</v>
      </c>
      <c r="E18" s="417">
        <f>E16/E17</f>
        <v>2.6520852741885856E-2</v>
      </c>
      <c r="F18" s="417">
        <f>F16/F17</f>
        <v>4.7304742712293582E-2</v>
      </c>
      <c r="G18" s="417">
        <f>G16/G17</f>
        <v>4.7304742712293575E-2</v>
      </c>
      <c r="H18" s="403" t="s">
        <v>1432</v>
      </c>
    </row>
    <row r="19" spans="1:8">
      <c r="A19" s="400">
        <f t="shared" si="0"/>
        <v>15</v>
      </c>
      <c r="B19" s="401" t="s">
        <v>1039</v>
      </c>
      <c r="C19" s="413"/>
      <c r="D19" s="405"/>
      <c r="E19" s="405"/>
      <c r="F19" s="405"/>
      <c r="G19" s="405"/>
      <c r="H19" s="403"/>
    </row>
    <row r="20" spans="1:8">
      <c r="A20" s="400">
        <f t="shared" si="0"/>
        <v>16</v>
      </c>
      <c r="B20" s="406" t="s">
        <v>1431</v>
      </c>
      <c r="C20" s="413"/>
      <c r="D20" s="405"/>
      <c r="E20" s="405"/>
      <c r="F20" s="405"/>
      <c r="G20" s="405"/>
      <c r="H20" s="403"/>
    </row>
    <row r="21" spans="1:8">
      <c r="A21" s="400">
        <f t="shared" si="0"/>
        <v>17</v>
      </c>
      <c r="B21" s="401" t="s">
        <v>1037</v>
      </c>
      <c r="C21" s="413"/>
      <c r="D21" s="405"/>
      <c r="E21" s="405"/>
      <c r="F21" s="405"/>
      <c r="G21" s="405"/>
      <c r="H21" s="403"/>
    </row>
    <row r="22" spans="1:8">
      <c r="A22" s="400">
        <f t="shared" si="0"/>
        <v>18</v>
      </c>
      <c r="B22" s="406" t="s">
        <v>1430</v>
      </c>
      <c r="C22" s="413"/>
      <c r="D22" s="405"/>
      <c r="E22" s="405"/>
      <c r="F22" s="405"/>
      <c r="G22" s="405"/>
      <c r="H22" s="403"/>
    </row>
    <row r="23" spans="1:8" ht="15" thickBot="1">
      <c r="A23" s="400">
        <f t="shared" si="0"/>
        <v>19</v>
      </c>
      <c r="B23" s="401" t="s">
        <v>1035</v>
      </c>
      <c r="C23" s="413"/>
      <c r="D23" s="405"/>
      <c r="E23" s="405"/>
      <c r="F23" s="405"/>
      <c r="G23" s="405"/>
      <c r="H23" s="403"/>
    </row>
    <row r="24" spans="1:8" ht="15" thickBot="1">
      <c r="A24" s="400">
        <f t="shared" si="0"/>
        <v>20</v>
      </c>
      <c r="B24" s="406" t="s">
        <v>1034</v>
      </c>
      <c r="C24" s="416">
        <f>'WS4-CostData'!K72</f>
        <v>4.9173225919599932E-2</v>
      </c>
      <c r="D24" s="417">
        <f>'WS4-CostData'!K74</f>
        <v>3.4944615419726363E-2</v>
      </c>
      <c r="E24" s="417">
        <f>'WS4-CostData'!K74</f>
        <v>3.4944615419726363E-2</v>
      </c>
      <c r="F24" s="417">
        <f>C24</f>
        <v>4.9173225919599932E-2</v>
      </c>
      <c r="G24" s="417">
        <f>F24</f>
        <v>4.9173225919599932E-2</v>
      </c>
      <c r="H24" s="403" t="s">
        <v>1033</v>
      </c>
    </row>
    <row r="25" spans="1:8">
      <c r="A25" s="400">
        <f t="shared" si="0"/>
        <v>21</v>
      </c>
      <c r="B25" s="401" t="s">
        <v>1429</v>
      </c>
      <c r="C25" s="413"/>
      <c r="D25" s="405"/>
      <c r="E25" s="405"/>
      <c r="F25" s="405"/>
      <c r="G25" s="405"/>
      <c r="H25" s="403"/>
    </row>
    <row r="26" spans="1:8">
      <c r="A26" s="400">
        <f t="shared" si="0"/>
        <v>22</v>
      </c>
      <c r="B26" s="406" t="s">
        <v>1428</v>
      </c>
      <c r="C26" s="418">
        <f>C10</f>
        <v>8.5861021094994383E-2</v>
      </c>
      <c r="D26" s="407">
        <f>D10</f>
        <v>0.12392460943977782</v>
      </c>
      <c r="E26" s="407">
        <f>E10</f>
        <v>8.1998317259868378E-2</v>
      </c>
      <c r="F26" s="407">
        <f>F10</f>
        <v>8.5910358586974891E-2</v>
      </c>
      <c r="G26" s="407">
        <f>G10</f>
        <v>8.5910358586974864E-2</v>
      </c>
      <c r="H26" s="403" t="s">
        <v>1427</v>
      </c>
    </row>
    <row r="27" spans="1:8">
      <c r="A27" s="400">
        <f t="shared" si="0"/>
        <v>23</v>
      </c>
      <c r="B27" s="406" t="s">
        <v>1426</v>
      </c>
      <c r="C27" s="418">
        <f>C14</f>
        <v>2.4943354021499293E-2</v>
      </c>
      <c r="D27" s="407">
        <f>D14</f>
        <v>3.5683272313082195E-4</v>
      </c>
      <c r="E27" s="407">
        <f>E14</f>
        <v>0</v>
      </c>
      <c r="F27" s="407">
        <f>F14</f>
        <v>2.6528788614731014E-2</v>
      </c>
      <c r="G27" s="407">
        <f>G14</f>
        <v>2.652878861473101E-2</v>
      </c>
      <c r="H27" s="403" t="s">
        <v>1425</v>
      </c>
    </row>
    <row r="28" spans="1:8">
      <c r="A28" s="400">
        <f t="shared" si="0"/>
        <v>24</v>
      </c>
      <c r="B28" s="406" t="s">
        <v>1424</v>
      </c>
      <c r="C28" s="418">
        <f>C18</f>
        <v>4.607002640854771E-2</v>
      </c>
      <c r="D28" s="407">
        <f>D18</f>
        <v>2.5211150496301831E-2</v>
      </c>
      <c r="E28" s="407">
        <f>E18</f>
        <v>2.6520852741885856E-2</v>
      </c>
      <c r="F28" s="407">
        <f>F18</f>
        <v>4.7304742712293582E-2</v>
      </c>
      <c r="G28" s="407">
        <f>G18</f>
        <v>4.7304742712293575E-2</v>
      </c>
      <c r="H28" s="403" t="s">
        <v>1423</v>
      </c>
    </row>
    <row r="29" spans="1:8">
      <c r="A29" s="400">
        <f t="shared" si="0"/>
        <v>25</v>
      </c>
      <c r="B29" s="406" t="s">
        <v>1422</v>
      </c>
      <c r="C29" s="418">
        <v>0</v>
      </c>
      <c r="D29" s="407">
        <v>0</v>
      </c>
      <c r="E29" s="407">
        <v>0</v>
      </c>
      <c r="F29" s="407">
        <v>0</v>
      </c>
      <c r="G29" s="407">
        <v>0</v>
      </c>
      <c r="H29" s="403"/>
    </row>
    <row r="30" spans="1:8">
      <c r="A30" s="400">
        <f t="shared" si="0"/>
        <v>26</v>
      </c>
      <c r="B30" s="406" t="s">
        <v>1421</v>
      </c>
      <c r="C30" s="418">
        <v>0</v>
      </c>
      <c r="D30" s="407">
        <v>0</v>
      </c>
      <c r="E30" s="407">
        <v>0</v>
      </c>
      <c r="F30" s="407">
        <v>0</v>
      </c>
      <c r="G30" s="407">
        <v>0</v>
      </c>
      <c r="H30" s="403"/>
    </row>
    <row r="31" spans="1:8" ht="15" thickBot="1">
      <c r="A31" s="400">
        <f t="shared" si="0"/>
        <v>27</v>
      </c>
      <c r="B31" s="406" t="s">
        <v>1031</v>
      </c>
      <c r="C31" s="418">
        <f>C24</f>
        <v>4.9173225919599932E-2</v>
      </c>
      <c r="D31" s="407">
        <f>D24</f>
        <v>3.4944615419726363E-2</v>
      </c>
      <c r="E31" s="407">
        <f>E24</f>
        <v>3.4944615419726363E-2</v>
      </c>
      <c r="F31" s="407">
        <f>F24</f>
        <v>4.9173225919599932E-2</v>
      </c>
      <c r="G31" s="407">
        <f>G24</f>
        <v>4.9173225919599932E-2</v>
      </c>
      <c r="H31" s="403" t="s">
        <v>1420</v>
      </c>
    </row>
    <row r="32" spans="1:8" ht="15" thickBot="1">
      <c r="A32" s="400">
        <f t="shared" si="0"/>
        <v>28</v>
      </c>
      <c r="B32" s="406" t="s">
        <v>1419</v>
      </c>
      <c r="C32" s="416">
        <f>SUM(C26:C31)</f>
        <v>0.20604762744464133</v>
      </c>
      <c r="D32" s="417">
        <f>SUM(D26:D31)</f>
        <v>0.18443720807893682</v>
      </c>
      <c r="E32" s="417">
        <f>SUM(E26:E31)</f>
        <v>0.14346378542148058</v>
      </c>
      <c r="F32" s="417">
        <f>SUM(F26:F31)</f>
        <v>0.20891711583359943</v>
      </c>
      <c r="G32" s="417">
        <f>SUM(G26:G31)</f>
        <v>0.2089171158335994</v>
      </c>
      <c r="H32" s="403"/>
    </row>
    <row r="33" spans="1:8">
      <c r="A33" s="400">
        <f t="shared" si="0"/>
        <v>29</v>
      </c>
      <c r="B33" s="401" t="s">
        <v>1029</v>
      </c>
      <c r="C33" s="418"/>
      <c r="D33" s="407"/>
      <c r="E33" s="407"/>
      <c r="F33" s="407"/>
      <c r="G33" s="407"/>
      <c r="H33" s="408"/>
    </row>
    <row r="34" spans="1:8">
      <c r="A34" s="400">
        <f t="shared" si="0"/>
        <v>30</v>
      </c>
      <c r="B34" s="406" t="s">
        <v>1418</v>
      </c>
      <c r="C34" s="418">
        <f>C32</f>
        <v>0.20604762744464133</v>
      </c>
      <c r="D34" s="407">
        <f>D32</f>
        <v>0.18443720807893682</v>
      </c>
      <c r="E34" s="407">
        <f>E32</f>
        <v>0.14346378542148058</v>
      </c>
      <c r="F34" s="407">
        <f>F32</f>
        <v>0.20891711583359943</v>
      </c>
      <c r="G34" s="407">
        <f>G32</f>
        <v>0.2089171158335994</v>
      </c>
      <c r="H34" s="419" t="s">
        <v>1417</v>
      </c>
    </row>
    <row r="35" spans="1:8">
      <c r="A35" s="400">
        <f t="shared" si="0"/>
        <v>31</v>
      </c>
      <c r="B35" s="406" t="s">
        <v>1032</v>
      </c>
      <c r="C35" s="420">
        <f>C9</f>
        <v>760933958.57888186</v>
      </c>
      <c r="D35" s="421">
        <f>D9</f>
        <v>697810961.65071702</v>
      </c>
      <c r="E35" s="421">
        <f>E9</f>
        <v>525042604.00851512</v>
      </c>
      <c r="F35" s="421">
        <f>F9</f>
        <v>538648.75825909071</v>
      </c>
      <c r="G35" s="421">
        <f>G9</f>
        <v>3372355.3668068824</v>
      </c>
      <c r="H35" s="403" t="s">
        <v>1416</v>
      </c>
    </row>
    <row r="36" spans="1:8" ht="15" thickBot="1">
      <c r="A36" s="359">
        <f t="shared" si="0"/>
        <v>32</v>
      </c>
      <c r="B36" s="409" t="s">
        <v>1028</v>
      </c>
      <c r="C36" s="422">
        <f>C35*C34</f>
        <v>156788636.8072376</v>
      </c>
      <c r="D36" s="410">
        <f>D35*D34</f>
        <v>128702305.5337363</v>
      </c>
      <c r="E36" s="410">
        <f>E35*E34</f>
        <v>75324599.478613019</v>
      </c>
      <c r="F36" s="410">
        <f>F35*F34</f>
        <v>112532.94502283895</v>
      </c>
      <c r="G36" s="410">
        <f>G35*G34</f>
        <v>704542.7567992541</v>
      </c>
      <c r="H36" s="411" t="s">
        <v>1415</v>
      </c>
    </row>
  </sheetData>
  <pageMargins left="0.7" right="0.7" top="0.75" bottom="0.75" header="0.3" footer="0.3"/>
  <pageSetup scale="60" fitToHeight="0" orientation="landscape" r:id="rId1"/>
  <headerFooter>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workbookViewId="0">
      <selection activeCell="D2" sqref="D2"/>
    </sheetView>
  </sheetViews>
  <sheetFormatPr defaultRowHeight="14.5"/>
  <cols>
    <col min="3" max="3" width="47.81640625" bestFit="1" customWidth="1"/>
    <col min="5" max="5" width="14.81640625" bestFit="1" customWidth="1"/>
    <col min="8" max="8" width="18.26953125" bestFit="1" customWidth="1"/>
    <col min="9" max="10" width="8.54296875" customWidth="1"/>
  </cols>
  <sheetData>
    <row r="1" spans="1:10">
      <c r="A1" s="828" t="str">
        <f>'Cover Sheets'!A10:B10</f>
        <v>WAPA-UGP 2020 Rate Estimate Calculation</v>
      </c>
      <c r="B1" s="339"/>
      <c r="C1" s="706"/>
      <c r="D1" s="706"/>
      <c r="E1" s="707"/>
      <c r="F1" s="244"/>
      <c r="G1" s="242"/>
      <c r="H1" s="708"/>
      <c r="I1" s="242"/>
      <c r="J1" s="709"/>
    </row>
    <row r="2" spans="1:10">
      <c r="A2" s="811" t="s">
        <v>2586</v>
      </c>
      <c r="B2" s="824"/>
      <c r="C2" s="204"/>
      <c r="D2" s="204"/>
      <c r="E2" s="343"/>
      <c r="F2" s="165"/>
      <c r="G2" s="184"/>
      <c r="H2" s="342"/>
      <c r="I2" s="184"/>
      <c r="J2" s="302"/>
    </row>
    <row r="3" spans="1:10">
      <c r="A3" s="811" t="str">
        <f>'WS1-RateBase'!A4</f>
        <v>12 Months Ending 09/30/2020 ESTIMATE</v>
      </c>
      <c r="B3" s="824"/>
      <c r="C3" s="204"/>
      <c r="D3" s="204"/>
      <c r="E3" s="343"/>
      <c r="F3" s="165"/>
      <c r="G3" s="184"/>
      <c r="H3" s="342" t="s">
        <v>1295</v>
      </c>
      <c r="I3" s="184"/>
      <c r="J3" s="302"/>
    </row>
    <row r="4" spans="1:10">
      <c r="A4" s="170" t="s">
        <v>1294</v>
      </c>
      <c r="B4" s="342" t="s">
        <v>2538</v>
      </c>
      <c r="C4" s="342" t="s">
        <v>2539</v>
      </c>
      <c r="D4" s="342" t="s">
        <v>1047</v>
      </c>
      <c r="E4" s="342" t="s">
        <v>1293</v>
      </c>
      <c r="F4" s="342" t="s">
        <v>1292</v>
      </c>
      <c r="G4" s="342" t="s">
        <v>2514</v>
      </c>
      <c r="H4" s="342" t="s">
        <v>1291</v>
      </c>
      <c r="I4" s="163"/>
      <c r="J4" s="161"/>
    </row>
    <row r="5" spans="1:10" ht="15" thickBot="1">
      <c r="A5" s="175" t="s">
        <v>1290</v>
      </c>
      <c r="B5" s="203"/>
      <c r="C5" s="203" t="s">
        <v>1289</v>
      </c>
      <c r="D5" s="203" t="s">
        <v>1288</v>
      </c>
      <c r="E5" s="203" t="s">
        <v>1287</v>
      </c>
      <c r="F5" s="158"/>
      <c r="G5" s="340" t="s">
        <v>1286</v>
      </c>
      <c r="H5" s="340" t="s">
        <v>1285</v>
      </c>
      <c r="I5" s="156"/>
      <c r="J5" s="154"/>
    </row>
    <row r="6" spans="1:10">
      <c r="A6" s="247">
        <v>1</v>
      </c>
      <c r="B6" s="244" t="s">
        <v>2540</v>
      </c>
      <c r="C6" s="764"/>
      <c r="D6" s="765" t="s">
        <v>2541</v>
      </c>
      <c r="E6" s="766">
        <v>-231453</v>
      </c>
      <c r="F6" s="713" t="s">
        <v>483</v>
      </c>
      <c r="G6" s="767">
        <v>1</v>
      </c>
      <c r="H6" s="812">
        <f>E6</f>
        <v>-231453</v>
      </c>
      <c r="I6" s="243"/>
      <c r="J6" s="715"/>
    </row>
    <row r="7" spans="1:10">
      <c r="A7" s="173">
        <v>2</v>
      </c>
      <c r="B7" s="165" t="s">
        <v>2540</v>
      </c>
      <c r="C7" s="723" t="s">
        <v>2542</v>
      </c>
      <c r="D7" s="769"/>
      <c r="E7" s="770">
        <v>0</v>
      </c>
      <c r="F7" s="768"/>
      <c r="G7" s="710">
        <v>1</v>
      </c>
      <c r="H7" s="813">
        <f t="shared" ref="H7" si="0">E7</f>
        <v>0</v>
      </c>
      <c r="I7" s="772"/>
      <c r="J7" s="773"/>
    </row>
    <row r="8" spans="1:10" ht="15" thickBot="1">
      <c r="A8" s="181">
        <v>3</v>
      </c>
      <c r="B8" s="158" t="s">
        <v>1486</v>
      </c>
      <c r="C8" s="159"/>
      <c r="D8" s="774"/>
      <c r="E8" s="775">
        <f>SUM(E6:E7)</f>
        <v>-231453</v>
      </c>
      <c r="F8" s="776"/>
      <c r="G8" s="157"/>
      <c r="H8" s="814">
        <f>SUM(H6:H7)</f>
        <v>-231453</v>
      </c>
      <c r="I8" s="156"/>
      <c r="J8" s="154"/>
    </row>
    <row r="9" spans="1:10">
      <c r="A9" s="247">
        <v>4</v>
      </c>
      <c r="B9" s="244">
        <v>45644</v>
      </c>
      <c r="C9" s="764"/>
      <c r="D9" s="765" t="s">
        <v>2543</v>
      </c>
      <c r="E9" s="766">
        <v>4837343</v>
      </c>
      <c r="F9" s="713" t="s">
        <v>1182</v>
      </c>
      <c r="G9" s="767">
        <v>1</v>
      </c>
      <c r="H9" s="714">
        <f>E9</f>
        <v>4837343</v>
      </c>
      <c r="I9" s="243"/>
      <c r="J9" s="715"/>
    </row>
    <row r="10" spans="1:10">
      <c r="A10" s="173">
        <v>5</v>
      </c>
      <c r="B10" s="165">
        <v>45644</v>
      </c>
      <c r="C10" s="723" t="s">
        <v>2542</v>
      </c>
      <c r="D10" s="769"/>
      <c r="E10" s="770">
        <v>0</v>
      </c>
      <c r="F10" s="768"/>
      <c r="G10" s="710">
        <v>1</v>
      </c>
      <c r="H10" s="771">
        <f t="shared" ref="H10" si="1">E10</f>
        <v>0</v>
      </c>
      <c r="I10" s="772"/>
      <c r="J10" s="773"/>
    </row>
    <row r="11" spans="1:10" ht="15" thickBot="1">
      <c r="A11" s="181">
        <v>6</v>
      </c>
      <c r="B11" s="158" t="s">
        <v>1486</v>
      </c>
      <c r="C11" s="159"/>
      <c r="D11" s="774"/>
      <c r="E11" s="775">
        <f>SUM(E9:E10)</f>
        <v>4837343</v>
      </c>
      <c r="F11" s="776"/>
      <c r="G11" s="157"/>
      <c r="H11" s="250">
        <f>SUM(H9:H10)</f>
        <v>4837343</v>
      </c>
      <c r="I11" s="156"/>
      <c r="J11" s="154"/>
    </row>
    <row r="12" spans="1:10">
      <c r="A12" s="247">
        <v>7</v>
      </c>
      <c r="B12" s="244">
        <v>45645</v>
      </c>
      <c r="C12" s="764"/>
      <c r="D12" s="765" t="s">
        <v>2543</v>
      </c>
      <c r="E12" s="766">
        <v>2255482</v>
      </c>
      <c r="F12" s="713" t="s">
        <v>1182</v>
      </c>
      <c r="G12" s="767">
        <v>1</v>
      </c>
      <c r="H12" s="714">
        <f>E12</f>
        <v>2255482</v>
      </c>
      <c r="I12" s="243"/>
      <c r="J12" s="715"/>
    </row>
    <row r="13" spans="1:10">
      <c r="A13" s="173">
        <v>8</v>
      </c>
      <c r="B13" s="165">
        <v>45645</v>
      </c>
      <c r="C13" s="723" t="s">
        <v>2542</v>
      </c>
      <c r="D13" s="777"/>
      <c r="E13" s="770">
        <v>0</v>
      </c>
      <c r="F13" s="768" t="s">
        <v>1182</v>
      </c>
      <c r="G13" s="710">
        <v>1</v>
      </c>
      <c r="H13" s="778">
        <f>E13</f>
        <v>0</v>
      </c>
      <c r="I13" s="772"/>
      <c r="J13" s="773"/>
    </row>
    <row r="14" spans="1:10" ht="15" thickBot="1">
      <c r="A14" s="181">
        <v>9</v>
      </c>
      <c r="B14" s="158" t="s">
        <v>1486</v>
      </c>
      <c r="C14" s="159"/>
      <c r="D14" s="774"/>
      <c r="E14" s="775">
        <f>SUM(E12:E13)</f>
        <v>2255482</v>
      </c>
      <c r="F14" s="776"/>
      <c r="G14" s="157"/>
      <c r="H14" s="250">
        <f>SUM(H12:H13)</f>
        <v>2255482</v>
      </c>
      <c r="I14" s="156"/>
      <c r="J14" s="154"/>
    </row>
    <row r="15" spans="1:10">
      <c r="A15" s="247">
        <v>10</v>
      </c>
      <c r="B15" s="244" t="s">
        <v>2557</v>
      </c>
      <c r="C15" s="764"/>
      <c r="D15" s="765" t="s">
        <v>2544</v>
      </c>
      <c r="E15" s="766">
        <v>1141626</v>
      </c>
      <c r="F15" s="713" t="s">
        <v>1182</v>
      </c>
      <c r="G15" s="767">
        <v>1</v>
      </c>
      <c r="H15" s="714">
        <f>E15</f>
        <v>1141626</v>
      </c>
      <c r="I15" s="243"/>
      <c r="J15" s="715"/>
    </row>
    <row r="16" spans="1:10">
      <c r="A16" s="173">
        <v>11</v>
      </c>
      <c r="B16" s="165" t="s">
        <v>2557</v>
      </c>
      <c r="C16" s="723" t="s">
        <v>2542</v>
      </c>
      <c r="D16" s="333"/>
      <c r="E16" s="770">
        <v>0</v>
      </c>
      <c r="F16" s="768" t="s">
        <v>1182</v>
      </c>
      <c r="G16" s="710">
        <v>1</v>
      </c>
      <c r="H16" s="771">
        <f t="shared" ref="H16" si="2">E16</f>
        <v>0</v>
      </c>
      <c r="I16" s="772"/>
      <c r="J16" s="773"/>
    </row>
    <row r="17" spans="1:10" ht="15" thickBot="1">
      <c r="A17" s="181">
        <v>12</v>
      </c>
      <c r="B17" s="158" t="s">
        <v>1486</v>
      </c>
      <c r="C17" s="159"/>
      <c r="D17" s="774"/>
      <c r="E17" s="775">
        <f>SUM(E15:E16)</f>
        <v>1141626</v>
      </c>
      <c r="F17" s="776"/>
      <c r="G17" s="157"/>
      <c r="H17" s="250">
        <f>SUM(H15:H16)</f>
        <v>1141626</v>
      </c>
      <c r="I17" s="156"/>
      <c r="J17" s="154"/>
    </row>
    <row r="18" spans="1:10">
      <c r="A18" s="247">
        <v>13</v>
      </c>
      <c r="B18" s="244">
        <v>7088</v>
      </c>
      <c r="C18" s="764"/>
      <c r="D18" s="765" t="s">
        <v>1048</v>
      </c>
      <c r="E18" s="766">
        <v>10681455</v>
      </c>
      <c r="F18" s="713" t="s">
        <v>483</v>
      </c>
      <c r="G18" s="767">
        <v>1</v>
      </c>
      <c r="H18" s="714">
        <f>E18</f>
        <v>10681455</v>
      </c>
      <c r="I18" s="243"/>
      <c r="J18" s="715"/>
    </row>
    <row r="19" spans="1:10">
      <c r="A19" s="173">
        <v>14</v>
      </c>
      <c r="B19" s="165">
        <v>7088</v>
      </c>
      <c r="C19" s="723" t="s">
        <v>2542</v>
      </c>
      <c r="D19" s="769"/>
      <c r="E19" s="770">
        <v>0</v>
      </c>
      <c r="F19" s="768" t="s">
        <v>483</v>
      </c>
      <c r="G19" s="710">
        <v>1</v>
      </c>
      <c r="H19" s="771">
        <f t="shared" ref="H19" si="3">E19</f>
        <v>0</v>
      </c>
      <c r="I19" s="772"/>
      <c r="J19" s="773"/>
    </row>
    <row r="20" spans="1:10" ht="15" thickBot="1">
      <c r="A20" s="181">
        <v>15</v>
      </c>
      <c r="B20" s="158" t="s">
        <v>1486</v>
      </c>
      <c r="C20" s="159"/>
      <c r="D20" s="774"/>
      <c r="E20" s="775">
        <f>SUM(E18:E19)</f>
        <v>10681455</v>
      </c>
      <c r="F20" s="776"/>
      <c r="G20" s="157"/>
      <c r="H20" s="250">
        <f>SUM(H18:H19)</f>
        <v>10681455</v>
      </c>
      <c r="I20" s="156"/>
      <c r="J20" s="154"/>
    </row>
    <row r="21" spans="1:10">
      <c r="A21" s="247">
        <v>16</v>
      </c>
      <c r="B21" s="244">
        <v>45420</v>
      </c>
      <c r="C21" s="764"/>
      <c r="D21" s="765" t="s">
        <v>2545</v>
      </c>
      <c r="E21" s="766">
        <v>79567</v>
      </c>
      <c r="F21" s="713" t="s">
        <v>1182</v>
      </c>
      <c r="G21" s="767">
        <v>1</v>
      </c>
      <c r="H21" s="714">
        <f>E21</f>
        <v>79567</v>
      </c>
      <c r="I21" s="243"/>
      <c r="J21" s="715"/>
    </row>
    <row r="22" spans="1:10">
      <c r="A22" s="173">
        <v>17</v>
      </c>
      <c r="B22" s="165">
        <v>45420</v>
      </c>
      <c r="C22" s="723" t="s">
        <v>2542</v>
      </c>
      <c r="D22" s="769"/>
      <c r="E22" s="770"/>
      <c r="F22" s="768" t="s">
        <v>1182</v>
      </c>
      <c r="G22" s="710">
        <v>1</v>
      </c>
      <c r="H22" s="771">
        <f t="shared" ref="H22" si="4">E22</f>
        <v>0</v>
      </c>
      <c r="I22" s="772"/>
      <c r="J22" s="773"/>
    </row>
    <row r="23" spans="1:10" ht="15" thickBot="1">
      <c r="A23" s="181">
        <v>18</v>
      </c>
      <c r="B23" s="158" t="s">
        <v>1486</v>
      </c>
      <c r="C23" s="159"/>
      <c r="D23" s="774"/>
      <c r="E23" s="775">
        <f>SUM(E21:E22)</f>
        <v>79567</v>
      </c>
      <c r="F23" s="776"/>
      <c r="G23" s="157"/>
      <c r="H23" s="250">
        <f>SUM(H21:H22)</f>
        <v>79567</v>
      </c>
      <c r="I23" s="156"/>
      <c r="J23" s="154"/>
    </row>
    <row r="24" spans="1:10">
      <c r="A24" s="247">
        <v>19</v>
      </c>
      <c r="B24" s="244">
        <v>45643</v>
      </c>
      <c r="C24" s="764"/>
      <c r="D24" s="765" t="s">
        <v>2546</v>
      </c>
      <c r="E24" s="766">
        <v>0</v>
      </c>
      <c r="F24" s="713" t="s">
        <v>1182</v>
      </c>
      <c r="G24" s="767">
        <v>1</v>
      </c>
      <c r="H24" s="714">
        <f>E24</f>
        <v>0</v>
      </c>
      <c r="I24" s="243"/>
      <c r="J24" s="715"/>
    </row>
    <row r="25" spans="1:10">
      <c r="A25" s="173">
        <v>20</v>
      </c>
      <c r="B25" s="165">
        <v>45643</v>
      </c>
      <c r="C25" s="723" t="s">
        <v>2542</v>
      </c>
      <c r="D25" s="777" t="s">
        <v>2546</v>
      </c>
      <c r="E25" s="770">
        <v>0</v>
      </c>
      <c r="F25" s="768" t="s">
        <v>1182</v>
      </c>
      <c r="G25" s="710">
        <v>1</v>
      </c>
      <c r="H25" s="778">
        <f>E25</f>
        <v>0</v>
      </c>
      <c r="I25" s="772"/>
      <c r="J25" s="773"/>
    </row>
    <row r="26" spans="1:10" ht="15" thickBot="1">
      <c r="A26" s="181">
        <v>21</v>
      </c>
      <c r="B26" s="158" t="s">
        <v>1486</v>
      </c>
      <c r="C26" s="159"/>
      <c r="D26" s="774"/>
      <c r="E26" s="775">
        <f>SUM(E24:E25)</f>
        <v>0</v>
      </c>
      <c r="F26" s="776"/>
      <c r="G26" s="157"/>
      <c r="H26" s="250">
        <f>SUM(H24:H25)</f>
        <v>0</v>
      </c>
      <c r="I26" s="156"/>
      <c r="J26" s="154"/>
    </row>
    <row r="27" spans="1:10">
      <c r="A27" s="247">
        <v>22</v>
      </c>
      <c r="B27" s="244">
        <v>7080</v>
      </c>
      <c r="C27" s="764"/>
      <c r="D27" s="765" t="s">
        <v>2547</v>
      </c>
      <c r="E27" s="766">
        <v>0</v>
      </c>
      <c r="F27" s="713" t="s">
        <v>483</v>
      </c>
      <c r="G27" s="767">
        <v>1</v>
      </c>
      <c r="H27" s="714">
        <f>E27</f>
        <v>0</v>
      </c>
      <c r="I27" s="243"/>
      <c r="J27" s="715"/>
    </row>
    <row r="28" spans="1:10">
      <c r="A28" s="173">
        <v>23</v>
      </c>
      <c r="B28" s="165">
        <v>7080</v>
      </c>
      <c r="C28" s="723" t="s">
        <v>2542</v>
      </c>
      <c r="D28" s="777"/>
      <c r="E28" s="770">
        <v>0</v>
      </c>
      <c r="F28" s="768" t="s">
        <v>483</v>
      </c>
      <c r="G28" s="710">
        <v>1</v>
      </c>
      <c r="H28" s="778">
        <f>E28</f>
        <v>0</v>
      </c>
      <c r="I28" s="772"/>
      <c r="J28" s="773"/>
    </row>
    <row r="29" spans="1:10" ht="15" thickBot="1">
      <c r="A29" s="181">
        <v>24</v>
      </c>
      <c r="B29" s="158" t="s">
        <v>1486</v>
      </c>
      <c r="C29" s="159"/>
      <c r="D29" s="774"/>
      <c r="E29" s="775">
        <f>SUM(E27:E28)</f>
        <v>0</v>
      </c>
      <c r="F29" s="776"/>
      <c r="G29" s="157"/>
      <c r="H29" s="250">
        <f>SUM(H27:H28)</f>
        <v>0</v>
      </c>
      <c r="I29" s="156"/>
      <c r="J29" s="154"/>
    </row>
    <row r="30" spans="1:10">
      <c r="A30" s="247">
        <v>25</v>
      </c>
      <c r="B30" s="244">
        <v>7089</v>
      </c>
      <c r="C30" s="764"/>
      <c r="D30" s="765" t="s">
        <v>2548</v>
      </c>
      <c r="E30" s="766">
        <v>0</v>
      </c>
      <c r="F30" s="713" t="s">
        <v>483</v>
      </c>
      <c r="G30" s="767">
        <v>1</v>
      </c>
      <c r="H30" s="714">
        <f>E30</f>
        <v>0</v>
      </c>
      <c r="I30" s="243"/>
      <c r="J30" s="715"/>
    </row>
    <row r="31" spans="1:10">
      <c r="A31" s="173">
        <v>26</v>
      </c>
      <c r="B31" s="165">
        <v>7089</v>
      </c>
      <c r="C31" s="723" t="s">
        <v>2542</v>
      </c>
      <c r="D31" s="777"/>
      <c r="E31" s="770">
        <v>0</v>
      </c>
      <c r="F31" s="768" t="s">
        <v>483</v>
      </c>
      <c r="G31" s="710">
        <v>1</v>
      </c>
      <c r="H31" s="778">
        <f>E31</f>
        <v>0</v>
      </c>
      <c r="I31" s="772"/>
      <c r="J31" s="773"/>
    </row>
    <row r="32" spans="1:10" ht="15" thickBot="1">
      <c r="A32" s="181">
        <v>27</v>
      </c>
      <c r="B32" s="158"/>
      <c r="C32" s="159"/>
      <c r="D32" s="774"/>
      <c r="E32" s="775">
        <f>SUM(E30:E31)</f>
        <v>0</v>
      </c>
      <c r="F32" s="776"/>
      <c r="G32" s="157"/>
      <c r="H32" s="250">
        <f>SUM(H30:H31)</f>
        <v>0</v>
      </c>
      <c r="I32" s="156"/>
      <c r="J32" s="154"/>
    </row>
    <row r="33" spans="1:10">
      <c r="A33" s="247">
        <v>28</v>
      </c>
      <c r="B33" s="244">
        <v>7091</v>
      </c>
      <c r="C33" s="764"/>
      <c r="D33" s="765" t="s">
        <v>2549</v>
      </c>
      <c r="E33" s="766">
        <v>0</v>
      </c>
      <c r="F33" s="713" t="s">
        <v>483</v>
      </c>
      <c r="G33" s="767">
        <v>1</v>
      </c>
      <c r="H33" s="714">
        <f>E33</f>
        <v>0</v>
      </c>
      <c r="I33" s="243"/>
      <c r="J33" s="715"/>
    </row>
    <row r="34" spans="1:10">
      <c r="A34" s="173">
        <v>29</v>
      </c>
      <c r="B34" s="165">
        <v>7091</v>
      </c>
      <c r="C34" s="723" t="s">
        <v>2542</v>
      </c>
      <c r="D34" s="777"/>
      <c r="E34" s="770">
        <v>0</v>
      </c>
      <c r="F34" s="768" t="s">
        <v>483</v>
      </c>
      <c r="G34" s="710">
        <v>1</v>
      </c>
      <c r="H34" s="778">
        <f>E34</f>
        <v>0</v>
      </c>
      <c r="I34" s="772"/>
      <c r="J34" s="773"/>
    </row>
    <row r="35" spans="1:10" ht="15" thickBot="1">
      <c r="A35" s="181">
        <v>30</v>
      </c>
      <c r="B35" s="158"/>
      <c r="C35" s="159"/>
      <c r="D35" s="774"/>
      <c r="E35" s="775">
        <f>SUM(E33:E34)</f>
        <v>0</v>
      </c>
      <c r="F35" s="776"/>
      <c r="G35" s="157"/>
      <c r="H35" s="250">
        <f>SUM(H33:H34)</f>
        <v>0</v>
      </c>
      <c r="I35" s="156"/>
      <c r="J35" s="154"/>
    </row>
    <row r="36" spans="1:10">
      <c r="A36" s="247">
        <v>31</v>
      </c>
      <c r="B36" s="244" t="s">
        <v>2559</v>
      </c>
      <c r="C36" s="764"/>
      <c r="D36" s="765" t="s">
        <v>2566</v>
      </c>
      <c r="E36" s="766">
        <v>0</v>
      </c>
      <c r="F36" s="713" t="s">
        <v>483</v>
      </c>
      <c r="G36" s="767">
        <v>1</v>
      </c>
      <c r="H36" s="714">
        <f>E36</f>
        <v>0</v>
      </c>
      <c r="I36" s="243"/>
      <c r="J36" s="715"/>
    </row>
    <row r="37" spans="1:10">
      <c r="A37" s="173">
        <v>32</v>
      </c>
      <c r="B37" s="165"/>
      <c r="C37" s="779" t="s">
        <v>2542</v>
      </c>
      <c r="D37" s="777"/>
      <c r="E37" s="770">
        <v>0</v>
      </c>
      <c r="F37" s="768" t="s">
        <v>483</v>
      </c>
      <c r="G37" s="710">
        <v>1</v>
      </c>
      <c r="H37" s="778">
        <f>E37</f>
        <v>0</v>
      </c>
      <c r="I37" s="772"/>
      <c r="J37" s="773"/>
    </row>
    <row r="38" spans="1:10" ht="15" thickBot="1">
      <c r="A38" s="181">
        <v>33</v>
      </c>
      <c r="B38" s="158"/>
      <c r="C38" s="159"/>
      <c r="D38" s="774"/>
      <c r="E38" s="775">
        <f>SUM(E36:E37)</f>
        <v>0</v>
      </c>
      <c r="F38" s="776"/>
      <c r="G38" s="157"/>
      <c r="H38" s="250">
        <f>SUM(H36:H37)</f>
        <v>0</v>
      </c>
      <c r="I38" s="156"/>
      <c r="J38" s="154"/>
    </row>
    <row r="39" spans="1:10">
      <c r="A39" s="433">
        <v>34</v>
      </c>
      <c r="B39" s="353" t="s">
        <v>2550</v>
      </c>
      <c r="C39" s="353" t="s">
        <v>2551</v>
      </c>
      <c r="D39" s="353"/>
      <c r="E39" s="353"/>
      <c r="F39" s="353"/>
      <c r="G39" s="353"/>
      <c r="H39" s="353"/>
      <c r="I39" s="353"/>
      <c r="J39" s="380"/>
    </row>
    <row r="40" spans="1:10">
      <c r="A40" s="424">
        <v>35</v>
      </c>
      <c r="B40" s="354"/>
      <c r="C40" s="354" t="s">
        <v>2565</v>
      </c>
      <c r="D40" s="354"/>
      <c r="E40" s="354"/>
      <c r="F40" s="354"/>
      <c r="G40" s="354"/>
      <c r="H40" s="354"/>
      <c r="I40" s="354"/>
      <c r="J40" s="381"/>
    </row>
    <row r="41" spans="1:10">
      <c r="A41" s="424">
        <v>36</v>
      </c>
      <c r="B41" s="354"/>
      <c r="C41" s="354"/>
      <c r="D41" s="354"/>
      <c r="E41" s="354"/>
      <c r="F41" s="354"/>
      <c r="G41" s="354"/>
      <c r="H41" s="354"/>
      <c r="I41" s="354"/>
      <c r="J41" s="381"/>
    </row>
    <row r="42" spans="1:10">
      <c r="A42" s="424">
        <v>37</v>
      </c>
      <c r="B42" s="354"/>
      <c r="C42" s="354"/>
      <c r="D42" s="354"/>
      <c r="E42" s="354"/>
      <c r="F42" s="354"/>
      <c r="G42" s="354"/>
      <c r="H42" s="354"/>
      <c r="I42" s="354"/>
      <c r="J42" s="381"/>
    </row>
    <row r="43" spans="1:10">
      <c r="A43" s="424">
        <v>38</v>
      </c>
      <c r="B43" s="354"/>
      <c r="C43" s="354"/>
      <c r="D43" s="354"/>
      <c r="E43" s="354"/>
      <c r="F43" s="354"/>
      <c r="G43" s="354"/>
      <c r="H43" s="354"/>
      <c r="I43" s="354"/>
      <c r="J43" s="381"/>
    </row>
    <row r="44" spans="1:10">
      <c r="A44" s="424">
        <v>39</v>
      </c>
      <c r="B44" s="354"/>
      <c r="C44" s="354"/>
      <c r="D44" s="354"/>
      <c r="E44" s="354"/>
      <c r="F44" s="354"/>
      <c r="G44" s="354"/>
      <c r="H44" s="354"/>
      <c r="I44" s="354"/>
      <c r="J44" s="381"/>
    </row>
    <row r="45" spans="1:10" ht="15" thickBot="1">
      <c r="A45" s="780">
        <v>40</v>
      </c>
      <c r="B45" s="379"/>
      <c r="C45" s="379"/>
      <c r="D45" s="379"/>
      <c r="E45" s="379"/>
      <c r="F45" s="379"/>
      <c r="G45" s="379"/>
      <c r="H45" s="379"/>
      <c r="I45" s="379"/>
      <c r="J45" s="448"/>
    </row>
  </sheetData>
  <pageMargins left="0.7" right="0.7" top="0.75" bottom="0.75" header="0.3" footer="0.3"/>
  <pageSetup scale="62" fitToHeight="0" orientation="portrait" verticalDpi="12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L140"/>
  <sheetViews>
    <sheetView view="pageBreakPreview" topLeftCell="A103" zoomScale="120" zoomScaleNormal="100" zoomScaleSheetLayoutView="120" workbookViewId="0">
      <selection activeCell="K117" sqref="K117"/>
    </sheetView>
  </sheetViews>
  <sheetFormatPr defaultColWidth="12.7265625" defaultRowHeight="13"/>
  <cols>
    <col min="1" max="1" width="12.7265625" style="349"/>
    <col min="2" max="2" width="32" style="348" customWidth="1"/>
    <col min="3" max="3" width="18.54296875" style="348" bestFit="1" customWidth="1"/>
    <col min="4" max="4" width="5.81640625" style="348" customWidth="1"/>
    <col min="5" max="5" width="12.7265625" style="348"/>
    <col min="6" max="6" width="5.54296875" style="348" customWidth="1"/>
    <col min="7" max="7" width="12.81640625" style="348" bestFit="1" customWidth="1"/>
    <col min="8" max="8" width="6" style="348" bestFit="1" customWidth="1"/>
    <col min="9" max="9" width="12.7265625" style="348"/>
    <col min="10" max="10" width="7" style="348" customWidth="1"/>
    <col min="11" max="11" width="12.7265625" style="348"/>
    <col min="12" max="12" width="16.26953125" style="348" customWidth="1"/>
    <col min="13" max="16384" width="12.7265625" style="348"/>
  </cols>
  <sheetData>
    <row r="1" spans="1:12">
      <c r="A1" s="347" t="str">
        <f>'Cover Sheets'!A10:B10</f>
        <v>WAPA-UGP 2020 Rate Estimate Calculation</v>
      </c>
      <c r="B1" s="423"/>
      <c r="C1" s="353"/>
      <c r="D1" s="353"/>
      <c r="E1" s="353"/>
      <c r="F1" s="353"/>
      <c r="G1" s="353"/>
      <c r="H1" s="353"/>
      <c r="I1" s="353"/>
      <c r="J1" s="353"/>
      <c r="K1" s="353"/>
      <c r="L1" s="380"/>
    </row>
    <row r="2" spans="1:12">
      <c r="A2" s="795" t="s">
        <v>2587</v>
      </c>
      <c r="B2" s="793"/>
      <c r="C2" s="354"/>
      <c r="D2" s="354"/>
      <c r="E2" s="354"/>
      <c r="F2" s="354"/>
      <c r="G2" s="354"/>
      <c r="H2" s="354"/>
      <c r="I2" s="354"/>
      <c r="J2" s="354"/>
      <c r="K2" s="354"/>
      <c r="L2" s="381"/>
    </row>
    <row r="3" spans="1:12">
      <c r="A3" s="795" t="str">
        <f>'Summary-ATRR'!A3</f>
        <v>12 Months Ending 09/30/2020 ESTIMATE</v>
      </c>
      <c r="B3" s="793"/>
      <c r="C3" s="354"/>
      <c r="D3" s="354"/>
      <c r="E3" s="354"/>
      <c r="F3" s="354"/>
      <c r="G3" s="354"/>
      <c r="H3" s="354"/>
      <c r="I3" s="354"/>
      <c r="J3" s="354"/>
      <c r="K3" s="354"/>
      <c r="L3" s="381"/>
    </row>
    <row r="4" spans="1:12">
      <c r="A4" s="424"/>
      <c r="B4" s="425"/>
      <c r="C4" s="425" t="s">
        <v>1320</v>
      </c>
      <c r="D4" s="426"/>
      <c r="E4" s="425" t="s">
        <v>1319</v>
      </c>
      <c r="F4" s="426"/>
      <c r="G4" s="425" t="s">
        <v>948</v>
      </c>
      <c r="H4" s="427"/>
      <c r="I4" s="425" t="s">
        <v>1318</v>
      </c>
      <c r="J4" s="427"/>
      <c r="K4" s="425" t="s">
        <v>952</v>
      </c>
      <c r="L4" s="381"/>
    </row>
    <row r="5" spans="1:12" s="349" customFormat="1" ht="13.5" thickBot="1">
      <c r="A5" s="424" t="s">
        <v>0</v>
      </c>
      <c r="B5" s="428">
        <v>-1</v>
      </c>
      <c r="C5" s="429">
        <v>-2</v>
      </c>
      <c r="D5" s="430"/>
      <c r="E5" s="429">
        <v>-3</v>
      </c>
      <c r="F5" s="430"/>
      <c r="G5" s="428">
        <v>-5</v>
      </c>
      <c r="H5" s="431"/>
      <c r="I5" s="428">
        <v>-6</v>
      </c>
      <c r="J5" s="431"/>
      <c r="K5" s="428">
        <v>-7</v>
      </c>
      <c r="L5" s="432"/>
    </row>
    <row r="6" spans="1:12">
      <c r="A6" s="433">
        <v>1</v>
      </c>
      <c r="B6" s="434" t="s">
        <v>1297</v>
      </c>
      <c r="C6" s="435"/>
      <c r="D6" s="435"/>
      <c r="E6" s="435"/>
      <c r="F6" s="435"/>
      <c r="G6" s="435"/>
      <c r="H6" s="435"/>
      <c r="I6" s="435"/>
      <c r="J6" s="435"/>
      <c r="K6" s="435"/>
      <c r="L6" s="380"/>
    </row>
    <row r="7" spans="1:12">
      <c r="A7" s="424">
        <f t="shared" ref="A7:A29" si="0">A6+1</f>
        <v>2</v>
      </c>
      <c r="B7" s="436" t="s">
        <v>1414</v>
      </c>
      <c r="C7" s="437">
        <f>'WS8-TranFac'!G505</f>
        <v>1492902585.8700001</v>
      </c>
      <c r="D7" s="431" t="s">
        <v>1363</v>
      </c>
      <c r="E7" s="437">
        <v>805173863</v>
      </c>
      <c r="F7" s="431" t="s">
        <v>1359</v>
      </c>
      <c r="G7" s="437">
        <f>262363427+66481477+335531808+165275747+163194065+147287114+44156700</f>
        <v>1184290338</v>
      </c>
      <c r="H7" s="431" t="s">
        <v>1355</v>
      </c>
      <c r="I7" s="437">
        <f>560546286-5033104-12362438-276278-12764736</f>
        <v>530109730</v>
      </c>
      <c r="J7" s="431" t="s">
        <v>1343</v>
      </c>
      <c r="K7" s="436">
        <f>C7+E7+G7+I7</f>
        <v>4012476516.8699999</v>
      </c>
      <c r="L7" s="381"/>
    </row>
    <row r="8" spans="1:12">
      <c r="A8" s="424">
        <f t="shared" si="0"/>
        <v>3</v>
      </c>
      <c r="B8" s="436" t="s">
        <v>1413</v>
      </c>
      <c r="C8" s="437">
        <f>'WS8-TranFac'!K505</f>
        <v>1418874523.3095305</v>
      </c>
      <c r="D8" s="431" t="s">
        <v>1354</v>
      </c>
      <c r="E8" s="436">
        <f>'WS8-TranFac'!K496</f>
        <v>10034426.25</v>
      </c>
      <c r="F8" s="431" t="s">
        <v>1353</v>
      </c>
      <c r="G8" s="436">
        <f>'WS8-TranFac'!K503</f>
        <v>93512853.49000001</v>
      </c>
      <c r="H8" s="431" t="s">
        <v>1352</v>
      </c>
      <c r="I8" s="436">
        <v>0</v>
      </c>
      <c r="J8" s="431"/>
      <c r="K8" s="436">
        <f>C8+E8+G8+I8</f>
        <v>1522421803.0495305</v>
      </c>
      <c r="L8" s="381"/>
    </row>
    <row r="9" spans="1:12">
      <c r="A9" s="424">
        <f t="shared" si="0"/>
        <v>4</v>
      </c>
      <c r="B9" s="436" t="s">
        <v>1412</v>
      </c>
      <c r="C9" s="437">
        <f>'WS8-TranFac'!I505</f>
        <v>18736175.560470011</v>
      </c>
      <c r="D9" s="431" t="s">
        <v>1350</v>
      </c>
      <c r="E9" s="436">
        <v>0</v>
      </c>
      <c r="F9" s="431"/>
      <c r="G9" s="437">
        <f>G7-G8</f>
        <v>1090777484.51</v>
      </c>
      <c r="H9" s="431" t="s">
        <v>1411</v>
      </c>
      <c r="I9" s="437">
        <f>I7-I8</f>
        <v>530109730</v>
      </c>
      <c r="J9" s="431" t="s">
        <v>1411</v>
      </c>
      <c r="K9" s="436">
        <f>C9+E9+G9+I9</f>
        <v>1639623390.0704701</v>
      </c>
      <c r="L9" s="381"/>
    </row>
    <row r="10" spans="1:12">
      <c r="A10" s="424">
        <f>A9+1</f>
        <v>5</v>
      </c>
      <c r="B10" s="436" t="s">
        <v>1410</v>
      </c>
      <c r="C10" s="437">
        <f>'WS13-SSCDFac'!$G$41+'WS13-SSCDFac'!$G$48+'WS13-SSCDFac'!$G$51+'WS13-SSCDFac'!$G$99+'WS13-SSCDFac'!$G$128</f>
        <v>13029266.004589999</v>
      </c>
      <c r="D10" s="431" t="s">
        <v>1348</v>
      </c>
      <c r="E10" s="436"/>
      <c r="F10" s="431"/>
      <c r="G10" s="437"/>
      <c r="H10" s="431"/>
      <c r="I10" s="437"/>
      <c r="J10" s="431"/>
      <c r="K10" s="436">
        <f t="shared" ref="K10:K12" si="1">C10+E10+G10+I10</f>
        <v>13029266.004589999</v>
      </c>
      <c r="L10" s="381"/>
    </row>
    <row r="11" spans="1:12">
      <c r="A11" s="424">
        <f t="shared" si="0"/>
        <v>6</v>
      </c>
      <c r="B11" s="436" t="s">
        <v>2523</v>
      </c>
      <c r="C11" s="437">
        <f>'WS7-BPUFac'!G7</f>
        <v>1075230.48196</v>
      </c>
      <c r="D11" s="431"/>
      <c r="E11" s="436"/>
      <c r="F11" s="431"/>
      <c r="G11" s="437"/>
      <c r="H11" s="431"/>
      <c r="I11" s="437"/>
      <c r="J11" s="431"/>
      <c r="K11" s="436">
        <f t="shared" si="1"/>
        <v>1075230.48196</v>
      </c>
      <c r="L11" s="381"/>
    </row>
    <row r="12" spans="1:12">
      <c r="A12" s="424">
        <f t="shared" si="0"/>
        <v>7</v>
      </c>
      <c r="B12" s="436" t="s">
        <v>2524</v>
      </c>
      <c r="C12" s="437">
        <f>'WS7-BPUFac'!H7</f>
        <v>6731769.5080400007</v>
      </c>
      <c r="D12" s="431"/>
      <c r="E12" s="436"/>
      <c r="F12" s="431"/>
      <c r="G12" s="437"/>
      <c r="H12" s="431"/>
      <c r="I12" s="437"/>
      <c r="J12" s="431"/>
      <c r="K12" s="436">
        <f t="shared" si="1"/>
        <v>6731769.5080400007</v>
      </c>
      <c r="L12" s="381"/>
    </row>
    <row r="13" spans="1:12">
      <c r="A13" s="424">
        <f t="shared" si="0"/>
        <v>8</v>
      </c>
      <c r="B13" s="436" t="s">
        <v>1409</v>
      </c>
      <c r="C13" s="438">
        <f>C9/C7</f>
        <v>1.2550166191554531E-2</v>
      </c>
      <c r="D13" s="439" t="s">
        <v>1408</v>
      </c>
      <c r="E13" s="438">
        <f>E9/E7</f>
        <v>0</v>
      </c>
      <c r="F13" s="439" t="s">
        <v>1408</v>
      </c>
      <c r="G13" s="438">
        <f>G9/G7</f>
        <v>0.92103891208981559</v>
      </c>
      <c r="H13" s="439" t="s">
        <v>1408</v>
      </c>
      <c r="I13" s="438">
        <f>I9/I7</f>
        <v>1</v>
      </c>
      <c r="J13" s="439" t="s">
        <v>1408</v>
      </c>
      <c r="K13" s="436"/>
      <c r="L13" s="381"/>
    </row>
    <row r="14" spans="1:12">
      <c r="A14" s="424">
        <f t="shared" si="0"/>
        <v>9</v>
      </c>
      <c r="B14" s="436" t="s">
        <v>1407</v>
      </c>
      <c r="C14" s="438">
        <f>C8/C7</f>
        <v>0.95041333355496249</v>
      </c>
      <c r="D14" s="439" t="s">
        <v>1406</v>
      </c>
      <c r="E14" s="438">
        <f>E8/E7</f>
        <v>1.2462434153802134E-2</v>
      </c>
      <c r="F14" s="439" t="s">
        <v>1406</v>
      </c>
      <c r="G14" s="438">
        <f>G8/G7</f>
        <v>7.8961087910184413E-2</v>
      </c>
      <c r="H14" s="439" t="s">
        <v>1406</v>
      </c>
      <c r="I14" s="438">
        <f>I8/I7</f>
        <v>0</v>
      </c>
      <c r="J14" s="439" t="s">
        <v>1406</v>
      </c>
      <c r="K14" s="436"/>
      <c r="L14" s="381"/>
    </row>
    <row r="15" spans="1:12">
      <c r="A15" s="424">
        <f t="shared" si="0"/>
        <v>10</v>
      </c>
      <c r="B15" s="436" t="s">
        <v>1405</v>
      </c>
      <c r="C15" s="438">
        <f>C10/C7</f>
        <v>8.7274723266669782E-3</v>
      </c>
      <c r="D15" s="439" t="s">
        <v>1404</v>
      </c>
      <c r="E15" s="438"/>
      <c r="F15" s="439"/>
      <c r="G15" s="438"/>
      <c r="H15" s="439"/>
      <c r="I15" s="438"/>
      <c r="J15" s="439"/>
      <c r="K15" s="436"/>
      <c r="L15" s="381"/>
    </row>
    <row r="16" spans="1:12">
      <c r="A16" s="424">
        <f t="shared" si="0"/>
        <v>11</v>
      </c>
      <c r="B16" s="436" t="s">
        <v>2525</v>
      </c>
      <c r="C16" s="438">
        <f>C11/C7</f>
        <v>7.2022815965142256E-4</v>
      </c>
      <c r="D16" s="439"/>
      <c r="E16" s="438"/>
      <c r="F16" s="439"/>
      <c r="G16" s="438"/>
      <c r="H16" s="439"/>
      <c r="I16" s="438"/>
      <c r="J16" s="439"/>
      <c r="K16" s="436"/>
      <c r="L16" s="381"/>
    </row>
    <row r="17" spans="1:12">
      <c r="A17" s="424">
        <f t="shared" si="0"/>
        <v>12</v>
      </c>
      <c r="B17" s="436" t="s">
        <v>2526</v>
      </c>
      <c r="C17" s="438">
        <f>C12/C7</f>
        <v>4.5091820268480624E-3</v>
      </c>
      <c r="D17" s="439"/>
      <c r="E17" s="438"/>
      <c r="F17" s="439"/>
      <c r="G17" s="438"/>
      <c r="H17" s="439"/>
      <c r="I17" s="438"/>
      <c r="J17" s="439"/>
      <c r="K17" s="436"/>
      <c r="L17" s="381"/>
    </row>
    <row r="18" spans="1:12">
      <c r="A18" s="424">
        <f t="shared" si="0"/>
        <v>13</v>
      </c>
      <c r="B18" s="436" t="s">
        <v>1403</v>
      </c>
      <c r="C18" s="437">
        <v>745016307</v>
      </c>
      <c r="D18" s="431" t="s">
        <v>1347</v>
      </c>
      <c r="E18" s="720">
        <f>394281086.89</f>
        <v>394281086.88999999</v>
      </c>
      <c r="F18" s="440" t="s">
        <v>1346</v>
      </c>
      <c r="G18" s="436">
        <f>76278565+100915759+114662499+142004192+35213919+145160657</f>
        <v>614235591</v>
      </c>
      <c r="H18" s="431" t="s">
        <v>1345</v>
      </c>
      <c r="I18" s="437">
        <v>366727469.44999999</v>
      </c>
      <c r="J18" s="431" t="s">
        <v>1360</v>
      </c>
      <c r="K18" s="436">
        <f t="shared" ref="K18:K28" si="2">C18+E18+G18+I18</f>
        <v>2120260454.3399999</v>
      </c>
      <c r="L18" s="381"/>
    </row>
    <row r="19" spans="1:12">
      <c r="A19" s="424">
        <f t="shared" si="0"/>
        <v>14</v>
      </c>
      <c r="B19" s="436" t="s">
        <v>1402</v>
      </c>
      <c r="C19" s="436">
        <f>C18*C14</f>
        <v>708073431.88867736</v>
      </c>
      <c r="D19" s="431" t="s">
        <v>1401</v>
      </c>
      <c r="E19" s="436">
        <f>E18*E14</f>
        <v>4913702.0834561624</v>
      </c>
      <c r="F19" s="431" t="s">
        <v>1401</v>
      </c>
      <c r="G19" s="436">
        <f>G18*G14</f>
        <v>48500710.498515077</v>
      </c>
      <c r="H19" s="431" t="s">
        <v>1401</v>
      </c>
      <c r="I19" s="436">
        <f>I18*I14</f>
        <v>0</v>
      </c>
      <c r="J19" s="431" t="s">
        <v>1401</v>
      </c>
      <c r="K19" s="436">
        <f t="shared" si="2"/>
        <v>761487844.47064865</v>
      </c>
      <c r="L19" s="381"/>
    </row>
    <row r="20" spans="1:12">
      <c r="A20" s="424">
        <f t="shared" si="0"/>
        <v>15</v>
      </c>
      <c r="B20" s="436" t="s">
        <v>1400</v>
      </c>
      <c r="C20" s="436">
        <f>C18*C$13</f>
        <v>9350078.4682682119</v>
      </c>
      <c r="D20" s="431" t="s">
        <v>1398</v>
      </c>
      <c r="E20" s="436">
        <v>0</v>
      </c>
      <c r="F20" s="431" t="s">
        <v>1398</v>
      </c>
      <c r="G20" s="437">
        <f>G18-G19</f>
        <v>565734880.50148487</v>
      </c>
      <c r="H20" s="431" t="s">
        <v>1399</v>
      </c>
      <c r="I20" s="436">
        <f>I13*I18</f>
        <v>366727469.44999999</v>
      </c>
      <c r="J20" s="431" t="s">
        <v>1398</v>
      </c>
      <c r="K20" s="436">
        <f t="shared" si="2"/>
        <v>941812428.41975307</v>
      </c>
      <c r="L20" s="381"/>
    </row>
    <row r="21" spans="1:12">
      <c r="A21" s="424">
        <f>A20+1</f>
        <v>16</v>
      </c>
      <c r="B21" s="436" t="s">
        <v>1397</v>
      </c>
      <c r="C21" s="436">
        <f>C18*C$15</f>
        <v>6502109.2022581296</v>
      </c>
      <c r="D21" s="431"/>
      <c r="E21" s="436"/>
      <c r="F21" s="431"/>
      <c r="G21" s="437"/>
      <c r="H21" s="431"/>
      <c r="I21" s="436"/>
      <c r="J21" s="431"/>
      <c r="K21" s="436">
        <f t="shared" si="2"/>
        <v>6502109.2022581296</v>
      </c>
      <c r="L21" s="381"/>
    </row>
    <row r="22" spans="1:12">
      <c r="A22" s="424">
        <f t="shared" si="0"/>
        <v>17</v>
      </c>
      <c r="B22" s="436" t="s">
        <v>2527</v>
      </c>
      <c r="C22" s="436">
        <f>C18*C16</f>
        <v>536581.72370090929</v>
      </c>
      <c r="D22" s="431"/>
      <c r="E22" s="436"/>
      <c r="F22" s="431"/>
      <c r="G22" s="437"/>
      <c r="H22" s="431"/>
      <c r="I22" s="436"/>
      <c r="J22" s="431"/>
      <c r="K22" s="436">
        <f t="shared" si="2"/>
        <v>536581.72370090929</v>
      </c>
      <c r="L22" s="381"/>
    </row>
    <row r="23" spans="1:12">
      <c r="A23" s="424">
        <f t="shared" si="0"/>
        <v>18</v>
      </c>
      <c r="B23" s="441" t="s">
        <v>2528</v>
      </c>
      <c r="C23" s="441">
        <f>C18*C17</f>
        <v>3359414.1412331183</v>
      </c>
      <c r="D23" s="442"/>
      <c r="E23" s="441"/>
      <c r="F23" s="442"/>
      <c r="G23" s="443"/>
      <c r="H23" s="442"/>
      <c r="I23" s="441"/>
      <c r="J23" s="442"/>
      <c r="K23" s="436">
        <f t="shared" si="2"/>
        <v>3359414.1412331183</v>
      </c>
      <c r="L23" s="381"/>
    </row>
    <row r="24" spans="1:12">
      <c r="A24" s="424">
        <f t="shared" si="0"/>
        <v>19</v>
      </c>
      <c r="B24" s="436" t="s">
        <v>1396</v>
      </c>
      <c r="C24" s="436">
        <f>C8-C19</f>
        <v>710801091.42085314</v>
      </c>
      <c r="D24" s="431" t="s">
        <v>1394</v>
      </c>
      <c r="E24" s="436">
        <f>E8-E19</f>
        <v>5120724.1665438376</v>
      </c>
      <c r="F24" s="431" t="s">
        <v>1395</v>
      </c>
      <c r="G24" s="436">
        <f>G8-G19</f>
        <v>45012142.991484933</v>
      </c>
      <c r="H24" s="431" t="s">
        <v>1394</v>
      </c>
      <c r="I24" s="436">
        <f>I8-I19</f>
        <v>0</v>
      </c>
      <c r="J24" s="431" t="s">
        <v>1394</v>
      </c>
      <c r="K24" s="436">
        <f t="shared" si="2"/>
        <v>760933958.57888186</v>
      </c>
      <c r="L24" s="381"/>
    </row>
    <row r="25" spans="1:12">
      <c r="A25" s="424">
        <f t="shared" si="0"/>
        <v>20</v>
      </c>
      <c r="B25" s="436" t="s">
        <v>1393</v>
      </c>
      <c r="C25" s="436">
        <f>C9-C20</f>
        <v>9386097.0922017992</v>
      </c>
      <c r="D25" s="431" t="s">
        <v>1391</v>
      </c>
      <c r="E25" s="436">
        <v>0</v>
      </c>
      <c r="F25" s="431" t="s">
        <v>1392</v>
      </c>
      <c r="G25" s="437">
        <f>G9-G20</f>
        <v>525042604.00851512</v>
      </c>
      <c r="H25" s="431" t="s">
        <v>1391</v>
      </c>
      <c r="I25" s="436">
        <f>I9-I20</f>
        <v>163382260.55000001</v>
      </c>
      <c r="J25" s="431" t="s">
        <v>1391</v>
      </c>
      <c r="K25" s="436">
        <f>C25+E25+G25+I25</f>
        <v>697810961.65071702</v>
      </c>
      <c r="L25" s="381"/>
    </row>
    <row r="26" spans="1:12">
      <c r="A26" s="424">
        <f t="shared" si="0"/>
        <v>21</v>
      </c>
      <c r="B26" s="436" t="s">
        <v>1390</v>
      </c>
      <c r="C26" s="436">
        <f>C10-C21</f>
        <v>6527156.8023318695</v>
      </c>
      <c r="D26" s="431" t="s">
        <v>1389</v>
      </c>
      <c r="E26" s="436"/>
      <c r="F26" s="431"/>
      <c r="G26" s="437"/>
      <c r="H26" s="431"/>
      <c r="I26" s="436"/>
      <c r="J26" s="431"/>
      <c r="K26" s="436">
        <f t="shared" si="2"/>
        <v>6527156.8023318695</v>
      </c>
      <c r="L26" s="381"/>
    </row>
    <row r="27" spans="1:12">
      <c r="A27" s="424">
        <f t="shared" si="0"/>
        <v>22</v>
      </c>
      <c r="B27" s="436" t="s">
        <v>2505</v>
      </c>
      <c r="C27" s="436">
        <f>C11-C22</f>
        <v>538648.75825909071</v>
      </c>
      <c r="D27" s="431"/>
      <c r="E27" s="436"/>
      <c r="F27" s="431"/>
      <c r="G27" s="437"/>
      <c r="H27" s="431"/>
      <c r="I27" s="436"/>
      <c r="J27" s="431"/>
      <c r="K27" s="436">
        <f t="shared" si="2"/>
        <v>538648.75825909071</v>
      </c>
      <c r="L27" s="381"/>
    </row>
    <row r="28" spans="1:12">
      <c r="A28" s="424">
        <f>A27+1</f>
        <v>23</v>
      </c>
      <c r="B28" s="436" t="s">
        <v>2506</v>
      </c>
      <c r="C28" s="436">
        <f>C12-C23</f>
        <v>3372355.3668068824</v>
      </c>
      <c r="D28" s="431"/>
      <c r="E28" s="436"/>
      <c r="F28" s="431"/>
      <c r="G28" s="437"/>
      <c r="H28" s="431"/>
      <c r="I28" s="436"/>
      <c r="J28" s="431"/>
      <c r="K28" s="436">
        <f t="shared" si="2"/>
        <v>3372355.3668068824</v>
      </c>
      <c r="L28" s="381"/>
    </row>
    <row r="29" spans="1:12">
      <c r="A29" s="424">
        <f t="shared" si="0"/>
        <v>24</v>
      </c>
      <c r="B29" s="436" t="s">
        <v>2429</v>
      </c>
      <c r="C29" s="436"/>
      <c r="D29" s="436"/>
      <c r="E29" s="436"/>
      <c r="F29" s="436"/>
      <c r="G29" s="436"/>
      <c r="H29" s="436"/>
      <c r="I29" s="436"/>
      <c r="J29" s="436"/>
      <c r="K29" s="436"/>
      <c r="L29" s="381"/>
    </row>
    <row r="30" spans="1:12">
      <c r="A30" s="424">
        <f t="shared" ref="A30:A41" si="3">A29+1</f>
        <v>25</v>
      </c>
      <c r="B30" s="444" t="s">
        <v>1388</v>
      </c>
      <c r="C30" s="436"/>
      <c r="D30" s="436"/>
      <c r="E30" s="436"/>
      <c r="F30" s="436"/>
      <c r="G30" s="436"/>
      <c r="H30" s="436"/>
      <c r="I30" s="436"/>
      <c r="J30" s="436"/>
      <c r="K30" s="436"/>
      <c r="L30" s="381"/>
    </row>
    <row r="31" spans="1:12">
      <c r="A31" s="424">
        <f t="shared" si="3"/>
        <v>26</v>
      </c>
      <c r="B31" s="436" t="s">
        <v>1387</v>
      </c>
      <c r="C31" s="436"/>
      <c r="D31" s="436"/>
      <c r="E31" s="436"/>
      <c r="F31" s="436"/>
      <c r="G31" s="436"/>
      <c r="H31" s="436"/>
      <c r="I31" s="436"/>
      <c r="J31" s="436"/>
      <c r="K31" s="436"/>
      <c r="L31" s="381"/>
    </row>
    <row r="32" spans="1:12">
      <c r="A32" s="424">
        <f t="shared" si="3"/>
        <v>27</v>
      </c>
      <c r="B32" s="436" t="s">
        <v>2430</v>
      </c>
      <c r="C32" s="436"/>
      <c r="D32" s="436"/>
      <c r="E32" s="436"/>
      <c r="F32" s="436"/>
      <c r="G32" s="436"/>
      <c r="H32" s="436"/>
      <c r="I32" s="436"/>
      <c r="J32" s="436"/>
      <c r="K32" s="436"/>
      <c r="L32" s="381"/>
    </row>
    <row r="33" spans="1:12">
      <c r="A33" s="424">
        <f t="shared" si="3"/>
        <v>28</v>
      </c>
      <c r="B33" s="436" t="s">
        <v>2431</v>
      </c>
      <c r="C33" s="436"/>
      <c r="D33" s="436"/>
      <c r="E33" s="436"/>
      <c r="F33" s="436"/>
      <c r="G33" s="436"/>
      <c r="H33" s="436"/>
      <c r="I33" s="436"/>
      <c r="J33" s="436"/>
      <c r="K33" s="445"/>
      <c r="L33" s="381"/>
    </row>
    <row r="34" spans="1:12">
      <c r="A34" s="424">
        <f t="shared" si="3"/>
        <v>29</v>
      </c>
      <c r="B34" s="436" t="s">
        <v>2432</v>
      </c>
      <c r="C34" s="436"/>
      <c r="D34" s="436"/>
      <c r="E34" s="436"/>
      <c r="F34" s="436"/>
      <c r="G34" s="436"/>
      <c r="H34" s="436"/>
      <c r="I34" s="436"/>
      <c r="J34" s="436"/>
      <c r="K34" s="436"/>
      <c r="L34" s="381"/>
    </row>
    <row r="35" spans="1:12">
      <c r="A35" s="424">
        <f t="shared" si="3"/>
        <v>30</v>
      </c>
      <c r="B35" s="436" t="s">
        <v>2433</v>
      </c>
      <c r="C35" s="436"/>
      <c r="D35" s="436"/>
      <c r="E35" s="436"/>
      <c r="F35" s="436"/>
      <c r="G35" s="436"/>
      <c r="H35" s="436"/>
      <c r="I35" s="436"/>
      <c r="J35" s="436"/>
      <c r="K35" s="436"/>
      <c r="L35" s="381"/>
    </row>
    <row r="36" spans="1:12">
      <c r="A36" s="424">
        <f t="shared" si="3"/>
        <v>31</v>
      </c>
      <c r="B36" s="354" t="s">
        <v>1386</v>
      </c>
      <c r="C36" s="436"/>
      <c r="D36" s="436"/>
      <c r="E36" s="436"/>
      <c r="F36" s="436"/>
      <c r="G36" s="436"/>
      <c r="H36" s="436"/>
      <c r="I36" s="436"/>
      <c r="J36" s="436"/>
      <c r="K36" s="436"/>
      <c r="L36" s="381"/>
    </row>
    <row r="37" spans="1:12">
      <c r="A37" s="424">
        <f t="shared" si="3"/>
        <v>32</v>
      </c>
      <c r="B37" s="444" t="s">
        <v>1385</v>
      </c>
      <c r="C37" s="436"/>
      <c r="D37" s="436"/>
      <c r="E37" s="436"/>
      <c r="F37" s="436"/>
      <c r="G37" s="436"/>
      <c r="H37" s="436"/>
      <c r="I37" s="436"/>
      <c r="J37" s="436"/>
      <c r="K37" s="436"/>
      <c r="L37" s="381"/>
    </row>
    <row r="38" spans="1:12">
      <c r="A38" s="424">
        <f t="shared" si="3"/>
        <v>33</v>
      </c>
      <c r="B38" s="444" t="s">
        <v>1384</v>
      </c>
      <c r="C38" s="436"/>
      <c r="D38" s="436"/>
      <c r="E38" s="436"/>
      <c r="F38" s="436"/>
      <c r="G38" s="436"/>
      <c r="H38" s="436"/>
      <c r="I38" s="436"/>
      <c r="J38" s="436"/>
      <c r="K38" s="436"/>
      <c r="L38" s="381"/>
    </row>
    <row r="39" spans="1:12">
      <c r="A39" s="424">
        <f t="shared" si="3"/>
        <v>34</v>
      </c>
      <c r="B39" s="436" t="s">
        <v>1383</v>
      </c>
      <c r="C39" s="436"/>
      <c r="D39" s="436"/>
      <c r="E39" s="436"/>
      <c r="F39" s="436"/>
      <c r="G39" s="436"/>
      <c r="H39" s="436"/>
      <c r="I39" s="436"/>
      <c r="J39" s="436"/>
      <c r="K39" s="436"/>
      <c r="L39" s="381"/>
    </row>
    <row r="40" spans="1:12">
      <c r="A40" s="424">
        <f t="shared" si="3"/>
        <v>35</v>
      </c>
      <c r="B40" s="436" t="s">
        <v>1382</v>
      </c>
      <c r="C40" s="436"/>
      <c r="D40" s="436"/>
      <c r="E40" s="436"/>
      <c r="F40" s="436"/>
      <c r="G40" s="436"/>
      <c r="H40" s="436"/>
      <c r="I40" s="436"/>
      <c r="J40" s="436"/>
      <c r="K40" s="436"/>
      <c r="L40" s="381"/>
    </row>
    <row r="41" spans="1:12" ht="13.5" thickBot="1">
      <c r="A41" s="446">
        <f t="shared" si="3"/>
        <v>36</v>
      </c>
      <c r="B41" s="447" t="s">
        <v>1381</v>
      </c>
      <c r="C41" s="447"/>
      <c r="D41" s="447"/>
      <c r="E41" s="447"/>
      <c r="F41" s="447"/>
      <c r="G41" s="447"/>
      <c r="H41" s="447"/>
      <c r="I41" s="447"/>
      <c r="J41" s="447"/>
      <c r="K41" s="447"/>
      <c r="L41" s="448"/>
    </row>
    <row r="42" spans="1:12">
      <c r="A42" s="347" t="str">
        <f>A1</f>
        <v>WAPA-UGP 2020 Rate Estimate Calculation</v>
      </c>
      <c r="B42" s="423"/>
      <c r="C42" s="353"/>
      <c r="D42" s="353"/>
      <c r="E42" s="353"/>
      <c r="F42" s="353"/>
      <c r="G42" s="353"/>
      <c r="H42" s="353"/>
      <c r="I42" s="353"/>
      <c r="J42" s="353"/>
      <c r="K42" s="353"/>
      <c r="L42" s="380"/>
    </row>
    <row r="43" spans="1:12">
      <c r="A43" s="424"/>
      <c r="B43" s="425"/>
      <c r="C43" s="425" t="s">
        <v>1320</v>
      </c>
      <c r="D43" s="426"/>
      <c r="E43" s="425" t="s">
        <v>1319</v>
      </c>
      <c r="F43" s="426"/>
      <c r="G43" s="425" t="s">
        <v>948</v>
      </c>
      <c r="H43" s="427"/>
      <c r="I43" s="425" t="s">
        <v>1318</v>
      </c>
      <c r="J43" s="427"/>
      <c r="K43" s="425" t="s">
        <v>952</v>
      </c>
      <c r="L43" s="381"/>
    </row>
    <row r="44" spans="1:12" s="349" customFormat="1" ht="13.5" thickBot="1">
      <c r="A44" s="424" t="s">
        <v>0</v>
      </c>
      <c r="B44" s="428">
        <v>-1</v>
      </c>
      <c r="C44" s="429">
        <v>-2</v>
      </c>
      <c r="D44" s="430"/>
      <c r="E44" s="429">
        <v>-3</v>
      </c>
      <c r="F44" s="430"/>
      <c r="G44" s="428">
        <v>-5</v>
      </c>
      <c r="H44" s="431"/>
      <c r="I44" s="428">
        <v>-6</v>
      </c>
      <c r="J44" s="431"/>
      <c r="K44" s="428">
        <v>-7</v>
      </c>
      <c r="L44" s="432"/>
    </row>
    <row r="45" spans="1:12">
      <c r="A45" s="433">
        <v>1</v>
      </c>
      <c r="B45" s="434" t="s">
        <v>1380</v>
      </c>
      <c r="C45" s="435"/>
      <c r="D45" s="435"/>
      <c r="E45" s="435"/>
      <c r="F45" s="435"/>
      <c r="G45" s="435"/>
      <c r="H45" s="435"/>
      <c r="I45" s="435"/>
      <c r="J45" s="435"/>
      <c r="K45" s="435"/>
      <c r="L45" s="380"/>
    </row>
    <row r="46" spans="1:12">
      <c r="A46" s="424">
        <f>A45+1</f>
        <v>2</v>
      </c>
      <c r="B46" s="441" t="s">
        <v>1379</v>
      </c>
      <c r="C46" s="441">
        <f>35378568</f>
        <v>35378568</v>
      </c>
      <c r="D46" s="442" t="s">
        <v>1363</v>
      </c>
      <c r="E46" s="449">
        <f>19115399.03</f>
        <v>19115399.030000001</v>
      </c>
      <c r="F46" s="450" t="s">
        <v>1359</v>
      </c>
      <c r="G46" s="443">
        <f>2139553+1456929+6120290+1165689+2501715+1734162</f>
        <v>15118338</v>
      </c>
      <c r="H46" s="450" t="s">
        <v>1355</v>
      </c>
      <c r="I46" s="449">
        <v>3224032.68</v>
      </c>
      <c r="J46" s="450" t="s">
        <v>1354</v>
      </c>
      <c r="K46" s="441">
        <f t="shared" ref="K46:K51" si="4">SUM(C46:I46)</f>
        <v>72836337.710000008</v>
      </c>
      <c r="L46" s="451"/>
    </row>
    <row r="47" spans="1:12">
      <c r="A47" s="424">
        <f>A46+1</f>
        <v>3</v>
      </c>
      <c r="B47" s="436" t="s">
        <v>1378</v>
      </c>
      <c r="C47" s="436">
        <f>C46*C14</f>
        <v>33624262.749280922</v>
      </c>
      <c r="D47" s="431"/>
      <c r="E47" s="436">
        <f>E46*E14</f>
        <v>238224.40173502819</v>
      </c>
      <c r="F47" s="431"/>
      <c r="G47" s="452">
        <f>G46*G14</f>
        <v>1193760.4158738817</v>
      </c>
      <c r="H47" s="431"/>
      <c r="I47" s="436">
        <f>I46*I14</f>
        <v>0</v>
      </c>
      <c r="J47" s="431"/>
      <c r="K47" s="436">
        <f t="shared" si="4"/>
        <v>35056247.566889837</v>
      </c>
      <c r="L47" s="451"/>
    </row>
    <row r="48" spans="1:12">
      <c r="A48" s="424">
        <f>A47+1</f>
        <v>4</v>
      </c>
      <c r="B48" s="436" t="s">
        <v>1377</v>
      </c>
      <c r="C48" s="436">
        <f>C46*C13</f>
        <v>444006.90801921301</v>
      </c>
      <c r="D48" s="431"/>
      <c r="E48" s="436">
        <v>0</v>
      </c>
      <c r="F48" s="431"/>
      <c r="G48" s="437">
        <f>G46-G47</f>
        <v>13924577.584126119</v>
      </c>
      <c r="H48" s="431"/>
      <c r="I48" s="436">
        <f>I46*I13</f>
        <v>3224032.68</v>
      </c>
      <c r="J48" s="431"/>
      <c r="K48" s="436">
        <f t="shared" si="4"/>
        <v>17592617.172145333</v>
      </c>
      <c r="L48" s="451"/>
    </row>
    <row r="49" spans="1:12">
      <c r="A49" s="424">
        <f>A48+1</f>
        <v>5</v>
      </c>
      <c r="B49" s="436" t="s">
        <v>1376</v>
      </c>
      <c r="C49" s="436">
        <f>C46*C15</f>
        <v>308765.47317710589</v>
      </c>
      <c r="D49" s="431"/>
      <c r="E49" s="436"/>
      <c r="F49" s="431"/>
      <c r="G49" s="437"/>
      <c r="H49" s="431"/>
      <c r="I49" s="436"/>
      <c r="J49" s="431"/>
      <c r="K49" s="436">
        <f t="shared" si="4"/>
        <v>308765.47317710589</v>
      </c>
      <c r="L49" s="451"/>
    </row>
    <row r="50" spans="1:12">
      <c r="A50" s="424">
        <f t="shared" ref="A50:A57" si="5">A49+1</f>
        <v>6</v>
      </c>
      <c r="B50" s="436" t="s">
        <v>2529</v>
      </c>
      <c r="C50" s="436">
        <f>C46*C16</f>
        <v>25480.64092174271</v>
      </c>
      <c r="D50" s="431"/>
      <c r="E50" s="436"/>
      <c r="F50" s="431"/>
      <c r="G50" s="437"/>
      <c r="H50" s="431"/>
      <c r="I50" s="436"/>
      <c r="J50" s="431"/>
      <c r="K50" s="436">
        <f t="shared" si="4"/>
        <v>25480.64092174271</v>
      </c>
      <c r="L50" s="451"/>
    </row>
    <row r="51" spans="1:12">
      <c r="A51" s="424">
        <f t="shared" si="5"/>
        <v>7</v>
      </c>
      <c r="B51" s="436" t="s">
        <v>2530</v>
      </c>
      <c r="C51" s="436">
        <f>C46*C17</f>
        <v>159528.40296122199</v>
      </c>
      <c r="D51" s="431"/>
      <c r="E51" s="436"/>
      <c r="F51" s="431"/>
      <c r="G51" s="437"/>
      <c r="H51" s="431"/>
      <c r="I51" s="436"/>
      <c r="J51" s="431"/>
      <c r="K51" s="436">
        <f t="shared" si="4"/>
        <v>159528.40296122199</v>
      </c>
      <c r="L51" s="451"/>
    </row>
    <row r="52" spans="1:12">
      <c r="A52" s="424">
        <f t="shared" si="5"/>
        <v>8</v>
      </c>
      <c r="B52" s="453" t="s">
        <v>1375</v>
      </c>
      <c r="C52" s="436"/>
      <c r="D52" s="436"/>
      <c r="E52" s="436"/>
      <c r="F52" s="436"/>
      <c r="G52" s="436"/>
      <c r="H52" s="436"/>
      <c r="I52" s="436"/>
      <c r="J52" s="436"/>
      <c r="K52" s="436"/>
      <c r="L52" s="451"/>
    </row>
    <row r="53" spans="1:12">
      <c r="A53" s="424">
        <f t="shared" si="5"/>
        <v>9</v>
      </c>
      <c r="B53" s="453" t="s">
        <v>1374</v>
      </c>
      <c r="C53" s="436"/>
      <c r="D53" s="436"/>
      <c r="E53" s="436"/>
      <c r="F53" s="436"/>
      <c r="G53" s="436"/>
      <c r="H53" s="436"/>
      <c r="I53" s="436"/>
      <c r="J53" s="436"/>
      <c r="K53" s="436"/>
      <c r="L53" s="451"/>
    </row>
    <row r="54" spans="1:12">
      <c r="A54" s="424">
        <f t="shared" si="5"/>
        <v>10</v>
      </c>
      <c r="B54" s="436" t="s">
        <v>1373</v>
      </c>
      <c r="C54" s="436"/>
      <c r="D54" s="436"/>
      <c r="E54" s="436"/>
      <c r="F54" s="436"/>
      <c r="G54" s="436"/>
      <c r="H54" s="436"/>
      <c r="I54" s="436"/>
      <c r="J54" s="436"/>
      <c r="K54" s="436"/>
      <c r="L54" s="451"/>
    </row>
    <row r="55" spans="1:12">
      <c r="A55" s="424">
        <f t="shared" si="5"/>
        <v>11</v>
      </c>
      <c r="B55" s="436" t="s">
        <v>1372</v>
      </c>
      <c r="C55" s="436"/>
      <c r="D55" s="436"/>
      <c r="E55" s="436"/>
      <c r="F55" s="436"/>
      <c r="G55" s="436"/>
      <c r="H55" s="436"/>
      <c r="I55" s="436"/>
      <c r="J55" s="436"/>
      <c r="K55" s="436"/>
      <c r="L55" s="451"/>
    </row>
    <row r="56" spans="1:12">
      <c r="A56" s="424">
        <f t="shared" si="5"/>
        <v>12</v>
      </c>
      <c r="B56" s="453" t="s">
        <v>1371</v>
      </c>
      <c r="C56" s="436"/>
      <c r="D56" s="436"/>
      <c r="E56" s="436"/>
      <c r="F56" s="436"/>
      <c r="G56" s="436"/>
      <c r="H56" s="436"/>
      <c r="I56" s="436"/>
      <c r="J56" s="436"/>
      <c r="K56" s="436"/>
      <c r="L56" s="451"/>
    </row>
    <row r="57" spans="1:12">
      <c r="A57" s="424">
        <f t="shared" si="5"/>
        <v>13</v>
      </c>
      <c r="B57" s="453" t="s">
        <v>1370</v>
      </c>
      <c r="C57" s="436"/>
      <c r="D57" s="436"/>
      <c r="E57" s="436"/>
      <c r="F57" s="436"/>
      <c r="G57" s="436"/>
      <c r="H57" s="436"/>
      <c r="I57" s="436"/>
      <c r="J57" s="436"/>
      <c r="K57" s="436"/>
      <c r="L57" s="451"/>
    </row>
    <row r="58" spans="1:12">
      <c r="A58" s="424">
        <f t="shared" ref="A58:A61" si="6">A57+1</f>
        <v>14</v>
      </c>
      <c r="B58" s="453" t="s">
        <v>1369</v>
      </c>
      <c r="C58" s="436"/>
      <c r="D58" s="436"/>
      <c r="E58" s="436"/>
      <c r="F58" s="436"/>
      <c r="G58" s="436"/>
      <c r="H58" s="436"/>
      <c r="I58" s="436"/>
      <c r="J58" s="436"/>
      <c r="K58" s="436"/>
      <c r="L58" s="451"/>
    </row>
    <row r="59" spans="1:12">
      <c r="A59" s="424">
        <f t="shared" si="6"/>
        <v>15</v>
      </c>
      <c r="B59" s="453" t="s">
        <v>1368</v>
      </c>
      <c r="C59" s="436"/>
      <c r="D59" s="436"/>
      <c r="E59" s="436"/>
      <c r="F59" s="436"/>
      <c r="G59" s="436"/>
      <c r="H59" s="436"/>
      <c r="I59" s="436"/>
      <c r="J59" s="436"/>
      <c r="K59" s="436"/>
      <c r="L59" s="451"/>
    </row>
    <row r="60" spans="1:12">
      <c r="A60" s="424">
        <f t="shared" si="6"/>
        <v>16</v>
      </c>
      <c r="B60" s="453" t="s">
        <v>1367</v>
      </c>
      <c r="C60" s="436"/>
      <c r="D60" s="436"/>
      <c r="E60" s="436"/>
      <c r="F60" s="436"/>
      <c r="G60" s="436"/>
      <c r="H60" s="436"/>
      <c r="I60" s="436"/>
      <c r="J60" s="436"/>
      <c r="K60" s="436"/>
      <c r="L60" s="451"/>
    </row>
    <row r="61" spans="1:12" ht="13.5" thickBot="1">
      <c r="A61" s="446">
        <f t="shared" si="6"/>
        <v>17</v>
      </c>
      <c r="B61" s="454" t="s">
        <v>1366</v>
      </c>
      <c r="C61" s="447"/>
      <c r="D61" s="447"/>
      <c r="E61" s="447"/>
      <c r="F61" s="447"/>
      <c r="G61" s="447"/>
      <c r="H61" s="447"/>
      <c r="I61" s="447"/>
      <c r="J61" s="447"/>
      <c r="K61" s="447"/>
      <c r="L61" s="455"/>
    </row>
    <row r="62" spans="1:12">
      <c r="A62" s="347" t="str">
        <f>A1</f>
        <v>WAPA-UGP 2020 Rate Estimate Calculation</v>
      </c>
      <c r="B62" s="423"/>
      <c r="C62" s="353"/>
      <c r="D62" s="353"/>
      <c r="E62" s="353"/>
      <c r="F62" s="353"/>
      <c r="G62" s="353"/>
      <c r="H62" s="353"/>
      <c r="I62" s="353"/>
      <c r="J62" s="353"/>
      <c r="K62" s="353"/>
      <c r="L62" s="380"/>
    </row>
    <row r="63" spans="1:12">
      <c r="A63" s="424"/>
      <c r="B63" s="425"/>
      <c r="C63" s="425" t="s">
        <v>1320</v>
      </c>
      <c r="D63" s="426"/>
      <c r="E63" s="425" t="s">
        <v>1319</v>
      </c>
      <c r="F63" s="426"/>
      <c r="G63" s="425" t="s">
        <v>948</v>
      </c>
      <c r="H63" s="427"/>
      <c r="I63" s="425" t="s">
        <v>1318</v>
      </c>
      <c r="J63" s="427"/>
      <c r="K63" s="425" t="s">
        <v>952</v>
      </c>
      <c r="L63" s="381"/>
    </row>
    <row r="64" spans="1:12" s="349" customFormat="1" ht="13.5" thickBot="1">
      <c r="A64" s="424" t="s">
        <v>0</v>
      </c>
      <c r="B64" s="428">
        <v>-1</v>
      </c>
      <c r="C64" s="429">
        <v>-2</v>
      </c>
      <c r="D64" s="430"/>
      <c r="E64" s="429">
        <v>-3</v>
      </c>
      <c r="F64" s="430"/>
      <c r="G64" s="428">
        <v>-5</v>
      </c>
      <c r="H64" s="431"/>
      <c r="I64" s="428">
        <v>-6</v>
      </c>
      <c r="J64" s="431"/>
      <c r="K64" s="428">
        <v>-7</v>
      </c>
      <c r="L64" s="432"/>
    </row>
    <row r="65" spans="1:12">
      <c r="A65" s="433">
        <v>1</v>
      </c>
      <c r="B65" s="434" t="s">
        <v>1033</v>
      </c>
      <c r="C65" s="435"/>
      <c r="D65" s="435"/>
      <c r="E65" s="435"/>
      <c r="F65" s="435"/>
      <c r="G65" s="435"/>
      <c r="H65" s="435"/>
      <c r="I65" s="435"/>
      <c r="J65" s="435"/>
      <c r="K65" s="435"/>
      <c r="L65" s="456"/>
    </row>
    <row r="66" spans="1:12">
      <c r="A66" s="424">
        <f t="shared" ref="A66:A87" si="7">A65+1</f>
        <v>2</v>
      </c>
      <c r="B66" s="457" t="s">
        <v>1365</v>
      </c>
      <c r="C66" s="436"/>
      <c r="D66" s="436"/>
      <c r="E66" s="436"/>
      <c r="F66" s="436"/>
      <c r="G66" s="436"/>
      <c r="H66" s="436"/>
      <c r="I66" s="436"/>
      <c r="J66" s="436"/>
      <c r="K66" s="436"/>
      <c r="L66" s="451"/>
    </row>
    <row r="67" spans="1:12">
      <c r="A67" s="424">
        <f t="shared" si="7"/>
        <v>3</v>
      </c>
      <c r="B67" s="436" t="s">
        <v>1364</v>
      </c>
      <c r="C67" s="436">
        <f>363576829+71842675+602173+339381810+112882562+2582544</f>
        <v>890868593</v>
      </c>
      <c r="D67" s="431" t="s">
        <v>1363</v>
      </c>
      <c r="E67" s="436">
        <f>262341710+8786658+141709127+1660014</f>
        <v>414497509</v>
      </c>
      <c r="F67" s="431" t="s">
        <v>1363</v>
      </c>
      <c r="G67" s="436">
        <f>521555771+107661984</f>
        <v>629217755</v>
      </c>
      <c r="H67" s="431" t="s">
        <v>1363</v>
      </c>
      <c r="I67" s="436">
        <f>154441912+65126585</f>
        <v>219568497</v>
      </c>
      <c r="J67" s="431" t="s">
        <v>1363</v>
      </c>
      <c r="K67" s="436">
        <f>SUM(C67:I67)</f>
        <v>2154152354</v>
      </c>
      <c r="L67" s="451"/>
    </row>
    <row r="68" spans="1:12">
      <c r="A68" s="424">
        <f t="shared" si="7"/>
        <v>4</v>
      </c>
      <c r="B68" s="457" t="s">
        <v>1362</v>
      </c>
      <c r="C68" s="436"/>
      <c r="D68" s="431"/>
      <c r="E68" s="436"/>
      <c r="F68" s="431"/>
      <c r="G68" s="436"/>
      <c r="H68" s="431"/>
      <c r="I68" s="436"/>
      <c r="J68" s="431"/>
      <c r="K68" s="436"/>
      <c r="L68" s="451"/>
    </row>
    <row r="69" spans="1:12">
      <c r="A69" s="424">
        <f t="shared" si="7"/>
        <v>5</v>
      </c>
      <c r="B69" s="436" t="s">
        <v>1361</v>
      </c>
      <c r="C69" s="436">
        <f>18993530+15664221+1517427-1303614+2821.86+4578197+5730700-348643-181473.76</f>
        <v>44653166.100000001</v>
      </c>
      <c r="D69" s="431" t="s">
        <v>1360</v>
      </c>
      <c r="E69" s="436">
        <f>19197702+8321295-902450.64</f>
        <v>26616546.359999999</v>
      </c>
      <c r="F69" s="431" t="s">
        <v>1360</v>
      </c>
      <c r="G69" s="436">
        <f>18849555+3010530-1004292</f>
        <v>20855793</v>
      </c>
      <c r="H69" s="431" t="s">
        <v>1359</v>
      </c>
      <c r="I69" s="436">
        <f>5448769+3290371-371406</f>
        <v>8367734</v>
      </c>
      <c r="J69" s="431" t="s">
        <v>1359</v>
      </c>
      <c r="K69" s="436">
        <f>SUM(C69:I69)</f>
        <v>100493239.46000001</v>
      </c>
      <c r="L69" s="451"/>
    </row>
    <row r="70" spans="1:12">
      <c r="A70" s="424">
        <f t="shared" si="7"/>
        <v>6</v>
      </c>
      <c r="B70" s="436" t="s">
        <v>1358</v>
      </c>
      <c r="C70" s="458">
        <f>C69/C67</f>
        <v>5.0123179165661752E-2</v>
      </c>
      <c r="D70" s="459" t="s">
        <v>1357</v>
      </c>
      <c r="E70" s="458">
        <f>E69/E67</f>
        <v>6.421400800263917E-2</v>
      </c>
      <c r="F70" s="459" t="s">
        <v>1357</v>
      </c>
      <c r="G70" s="458">
        <f>G69/G67</f>
        <v>3.3145588843086604E-2</v>
      </c>
      <c r="H70" s="459" t="s">
        <v>1357</v>
      </c>
      <c r="I70" s="458">
        <f>I69/I67</f>
        <v>3.810990244197008E-2</v>
      </c>
      <c r="J70" s="459" t="s">
        <v>1357</v>
      </c>
      <c r="K70" s="460"/>
      <c r="L70" s="451"/>
    </row>
    <row r="71" spans="1:12">
      <c r="A71" s="424">
        <f t="shared" si="7"/>
        <v>7</v>
      </c>
      <c r="B71" s="436" t="s">
        <v>1356</v>
      </c>
      <c r="C71" s="461">
        <f>C8/(C8+E8+G8)</f>
        <v>0.93198515711441687</v>
      </c>
      <c r="D71" s="439" t="s">
        <v>1355</v>
      </c>
      <c r="E71" s="461">
        <f>E8/(C8+E8+G8)</f>
        <v>6.5910946821046935E-3</v>
      </c>
      <c r="F71" s="439" t="s">
        <v>1354</v>
      </c>
      <c r="G71" s="461">
        <f>G8/(C8+E8+G8)</f>
        <v>6.1423748203478443E-2</v>
      </c>
      <c r="H71" s="439" t="s">
        <v>1353</v>
      </c>
      <c r="I71" s="461">
        <v>0</v>
      </c>
      <c r="J71" s="439" t="s">
        <v>1352</v>
      </c>
      <c r="K71" s="460"/>
      <c r="L71" s="451"/>
    </row>
    <row r="72" spans="1:12">
      <c r="A72" s="424">
        <f t="shared" si="7"/>
        <v>8</v>
      </c>
      <c r="B72" s="436" t="s">
        <v>1351</v>
      </c>
      <c r="C72" s="460"/>
      <c r="D72" s="459"/>
      <c r="E72" s="460"/>
      <c r="F72" s="459"/>
      <c r="G72" s="460"/>
      <c r="H72" s="459"/>
      <c r="I72" s="460"/>
      <c r="J72" s="459"/>
      <c r="K72" s="458">
        <f>C70*C71+E70*E71+G70*G71+I70*I71</f>
        <v>4.9173225919599932E-2</v>
      </c>
      <c r="L72" s="462" t="s">
        <v>1350</v>
      </c>
    </row>
    <row r="73" spans="1:12">
      <c r="A73" s="424">
        <f t="shared" si="7"/>
        <v>9</v>
      </c>
      <c r="B73" s="436" t="s">
        <v>1349</v>
      </c>
      <c r="C73" s="461">
        <f>C9/(C9+E9+G9+I9)</f>
        <v>1.142712141942836E-2</v>
      </c>
      <c r="D73" s="439" t="s">
        <v>1348</v>
      </c>
      <c r="E73" s="461">
        <v>0</v>
      </c>
      <c r="F73" s="459" t="s">
        <v>1347</v>
      </c>
      <c r="G73" s="461">
        <f>G9/(C9+G9+I9)</f>
        <v>0.6652609929302844</v>
      </c>
      <c r="H73" s="439" t="s">
        <v>1346</v>
      </c>
      <c r="I73" s="461">
        <f>I9/(C9+G9+I9)</f>
        <v>0.32331188565028718</v>
      </c>
      <c r="J73" s="439" t="s">
        <v>1345</v>
      </c>
      <c r="K73" s="460"/>
      <c r="L73" s="451"/>
    </row>
    <row r="74" spans="1:12">
      <c r="A74" s="424">
        <f t="shared" si="7"/>
        <v>10</v>
      </c>
      <c r="B74" s="436" t="s">
        <v>1344</v>
      </c>
      <c r="C74" s="460"/>
      <c r="D74" s="459"/>
      <c r="E74" s="460"/>
      <c r="F74" s="460"/>
      <c r="G74" s="463"/>
      <c r="H74" s="463"/>
      <c r="I74" s="463"/>
      <c r="J74" s="459"/>
      <c r="K74" s="458">
        <f>C70*C73+E70*E73+G70*G73+I70*I73</f>
        <v>3.4944615419726363E-2</v>
      </c>
      <c r="L74" s="462" t="s">
        <v>1343</v>
      </c>
    </row>
    <row r="75" spans="1:12">
      <c r="A75" s="424">
        <f t="shared" si="7"/>
        <v>11</v>
      </c>
      <c r="B75" s="436" t="s">
        <v>1342</v>
      </c>
      <c r="C75" s="436"/>
      <c r="D75" s="436"/>
      <c r="E75" s="436"/>
      <c r="F75" s="436"/>
      <c r="G75" s="436"/>
      <c r="H75" s="436"/>
      <c r="I75" s="436"/>
      <c r="J75" s="436"/>
      <c r="K75" s="436"/>
      <c r="L75" s="451"/>
    </row>
    <row r="76" spans="1:12">
      <c r="A76" s="424">
        <f t="shared" si="7"/>
        <v>12</v>
      </c>
      <c r="B76" s="436" t="s">
        <v>1341</v>
      </c>
      <c r="C76" s="436"/>
      <c r="D76" s="436"/>
      <c r="E76" s="436"/>
      <c r="F76" s="436"/>
      <c r="G76" s="436"/>
      <c r="H76" s="436"/>
      <c r="I76" s="436"/>
      <c r="J76" s="436"/>
      <c r="K76" s="436"/>
      <c r="L76" s="451"/>
    </row>
    <row r="77" spans="1:12">
      <c r="A77" s="424">
        <f t="shared" si="7"/>
        <v>13</v>
      </c>
      <c r="B77" s="436" t="s">
        <v>1340</v>
      </c>
      <c r="C77" s="436"/>
      <c r="D77" s="436"/>
      <c r="E77" s="436"/>
      <c r="F77" s="436"/>
      <c r="G77" s="436"/>
      <c r="H77" s="436"/>
      <c r="I77" s="436"/>
      <c r="J77" s="436"/>
      <c r="K77" s="436"/>
      <c r="L77" s="451"/>
    </row>
    <row r="78" spans="1:12">
      <c r="A78" s="424">
        <f t="shared" si="7"/>
        <v>14</v>
      </c>
      <c r="B78" s="436" t="s">
        <v>1339</v>
      </c>
      <c r="C78" s="436"/>
      <c r="D78" s="436"/>
      <c r="E78" s="436"/>
      <c r="F78" s="436"/>
      <c r="G78" s="436"/>
      <c r="H78" s="436"/>
      <c r="I78" s="436"/>
      <c r="J78" s="436"/>
      <c r="K78" s="436"/>
      <c r="L78" s="451"/>
    </row>
    <row r="79" spans="1:12">
      <c r="A79" s="424">
        <f t="shared" si="7"/>
        <v>15</v>
      </c>
      <c r="B79" s="436" t="s">
        <v>1338</v>
      </c>
      <c r="C79" s="436"/>
      <c r="D79" s="436"/>
      <c r="E79" s="436"/>
      <c r="F79" s="436"/>
      <c r="G79" s="436"/>
      <c r="H79" s="436"/>
      <c r="I79" s="436"/>
      <c r="J79" s="436"/>
      <c r="K79" s="436"/>
      <c r="L79" s="451"/>
    </row>
    <row r="80" spans="1:12">
      <c r="A80" s="424">
        <f t="shared" si="7"/>
        <v>16</v>
      </c>
      <c r="B80" s="436" t="s">
        <v>1337</v>
      </c>
      <c r="C80" s="436"/>
      <c r="D80" s="436"/>
      <c r="E80" s="436"/>
      <c r="F80" s="436"/>
      <c r="G80" s="436"/>
      <c r="H80" s="436"/>
      <c r="I80" s="436"/>
      <c r="J80" s="436"/>
      <c r="K80" s="436"/>
      <c r="L80" s="451"/>
    </row>
    <row r="81" spans="1:12">
      <c r="A81" s="424">
        <f t="shared" si="7"/>
        <v>17</v>
      </c>
      <c r="B81" s="436" t="s">
        <v>1336</v>
      </c>
      <c r="C81" s="436"/>
      <c r="D81" s="436"/>
      <c r="E81" s="436"/>
      <c r="F81" s="436"/>
      <c r="G81" s="436"/>
      <c r="H81" s="436"/>
      <c r="I81" s="436"/>
      <c r="J81" s="436"/>
      <c r="K81" s="436"/>
      <c r="L81" s="451"/>
    </row>
    <row r="82" spans="1:12">
      <c r="A82" s="424">
        <f t="shared" si="7"/>
        <v>18</v>
      </c>
      <c r="B82" s="436" t="s">
        <v>1335</v>
      </c>
      <c r="C82" s="436"/>
      <c r="D82" s="436"/>
      <c r="E82" s="436"/>
      <c r="F82" s="436"/>
      <c r="G82" s="436"/>
      <c r="H82" s="436"/>
      <c r="I82" s="436"/>
      <c r="J82" s="436"/>
      <c r="K82" s="436"/>
      <c r="L82" s="451"/>
    </row>
    <row r="83" spans="1:12">
      <c r="A83" s="424">
        <f t="shared" si="7"/>
        <v>19</v>
      </c>
      <c r="B83" s="436" t="s">
        <v>1334</v>
      </c>
      <c r="C83" s="436"/>
      <c r="D83" s="436"/>
      <c r="E83" s="436"/>
      <c r="F83" s="436"/>
      <c r="G83" s="436"/>
      <c r="H83" s="436"/>
      <c r="I83" s="436"/>
      <c r="J83" s="436"/>
      <c r="K83" s="436"/>
      <c r="L83" s="451"/>
    </row>
    <row r="84" spans="1:12">
      <c r="A84" s="424">
        <f t="shared" si="7"/>
        <v>20</v>
      </c>
      <c r="B84" s="436" t="s">
        <v>1333</v>
      </c>
      <c r="C84" s="436"/>
      <c r="D84" s="436"/>
      <c r="E84" s="436"/>
      <c r="F84" s="436"/>
      <c r="G84" s="436"/>
      <c r="H84" s="436"/>
      <c r="I84" s="436"/>
      <c r="J84" s="436"/>
      <c r="K84" s="436"/>
      <c r="L84" s="451"/>
    </row>
    <row r="85" spans="1:12">
      <c r="A85" s="424">
        <f t="shared" si="7"/>
        <v>21</v>
      </c>
      <c r="B85" s="436" t="s">
        <v>1332</v>
      </c>
      <c r="C85" s="436"/>
      <c r="D85" s="436"/>
      <c r="E85" s="436"/>
      <c r="F85" s="436"/>
      <c r="G85" s="436"/>
      <c r="H85" s="436"/>
      <c r="I85" s="436"/>
      <c r="J85" s="436"/>
      <c r="K85" s="436"/>
      <c r="L85" s="451"/>
    </row>
    <row r="86" spans="1:12">
      <c r="A86" s="424">
        <f t="shared" si="7"/>
        <v>22</v>
      </c>
      <c r="B86" s="436" t="s">
        <v>1331</v>
      </c>
      <c r="C86" s="436"/>
      <c r="D86" s="436"/>
      <c r="E86" s="436"/>
      <c r="F86" s="436"/>
      <c r="G86" s="436"/>
      <c r="H86" s="436"/>
      <c r="I86" s="436"/>
      <c r="J86" s="436"/>
      <c r="K86" s="436"/>
      <c r="L86" s="451"/>
    </row>
    <row r="87" spans="1:12" ht="13.5" thickBot="1">
      <c r="A87" s="446">
        <f t="shared" si="7"/>
        <v>23</v>
      </c>
      <c r="B87" s="447" t="s">
        <v>1330</v>
      </c>
      <c r="C87" s="447"/>
      <c r="D87" s="447"/>
      <c r="E87" s="447"/>
      <c r="F87" s="447"/>
      <c r="G87" s="447"/>
      <c r="H87" s="447"/>
      <c r="I87" s="447"/>
      <c r="J87" s="447"/>
      <c r="K87" s="447"/>
      <c r="L87" s="455"/>
    </row>
    <row r="88" spans="1:12">
      <c r="A88" s="347" t="str">
        <f>A1</f>
        <v>WAPA-UGP 2020 Rate Estimate Calculation</v>
      </c>
      <c r="B88" s="423"/>
      <c r="C88" s="353"/>
      <c r="D88" s="353"/>
      <c r="E88" s="353"/>
      <c r="F88" s="353"/>
      <c r="G88" s="353"/>
      <c r="H88" s="353"/>
      <c r="I88" s="353"/>
      <c r="J88" s="353"/>
      <c r="K88" s="353"/>
      <c r="L88" s="380"/>
    </row>
    <row r="89" spans="1:12">
      <c r="A89" s="424"/>
      <c r="B89" s="425"/>
      <c r="C89" s="425" t="s">
        <v>1320</v>
      </c>
      <c r="D89" s="426"/>
      <c r="E89" s="425" t="s">
        <v>1319</v>
      </c>
      <c r="F89" s="426"/>
      <c r="G89" s="425" t="s">
        <v>948</v>
      </c>
      <c r="H89" s="427"/>
      <c r="I89" s="425" t="s">
        <v>1318</v>
      </c>
      <c r="J89" s="427"/>
      <c r="K89" s="425" t="s">
        <v>952</v>
      </c>
      <c r="L89" s="381"/>
    </row>
    <row r="90" spans="1:12" s="349" customFormat="1" ht="13.5" thickBot="1">
      <c r="A90" s="424" t="s">
        <v>0</v>
      </c>
      <c r="B90" s="428">
        <v>-1</v>
      </c>
      <c r="C90" s="429">
        <v>-2</v>
      </c>
      <c r="D90" s="430"/>
      <c r="E90" s="429">
        <v>-3</v>
      </c>
      <c r="F90" s="430"/>
      <c r="G90" s="428">
        <v>-5</v>
      </c>
      <c r="H90" s="431"/>
      <c r="I90" s="428">
        <v>-6</v>
      </c>
      <c r="J90" s="431"/>
      <c r="K90" s="428">
        <v>-7</v>
      </c>
      <c r="L90" s="432"/>
    </row>
    <row r="91" spans="1:12">
      <c r="A91" s="433">
        <v>1</v>
      </c>
      <c r="B91" s="434" t="s">
        <v>1042</v>
      </c>
      <c r="C91" s="464"/>
      <c r="D91" s="464"/>
      <c r="E91" s="464"/>
      <c r="F91" s="464"/>
      <c r="G91" s="464"/>
      <c r="H91" s="465"/>
      <c r="I91" s="465"/>
      <c r="J91" s="465"/>
      <c r="K91" s="465"/>
      <c r="L91" s="456"/>
    </row>
    <row r="92" spans="1:12">
      <c r="A92" s="424">
        <f t="shared" ref="A92:A106" si="8">A91+1</f>
        <v>2</v>
      </c>
      <c r="B92" s="466"/>
      <c r="C92" s="466" t="s">
        <v>2289</v>
      </c>
      <c r="D92" s="354"/>
      <c r="E92" s="466" t="s">
        <v>2291</v>
      </c>
      <c r="F92" s="467"/>
      <c r="G92" s="466" t="s">
        <v>1329</v>
      </c>
      <c r="H92" s="354"/>
      <c r="I92" s="466" t="s">
        <v>1328</v>
      </c>
      <c r="J92" s="354"/>
      <c r="K92" s="466" t="s">
        <v>1024</v>
      </c>
      <c r="L92" s="381"/>
    </row>
    <row r="93" spans="1:12">
      <c r="A93" s="424">
        <f>A92+1</f>
        <v>3</v>
      </c>
      <c r="B93" s="469" t="s">
        <v>2553</v>
      </c>
      <c r="C93" s="470">
        <v>19840517</v>
      </c>
      <c r="D93" s="354"/>
      <c r="E93" s="470">
        <v>9914051.5299999993</v>
      </c>
      <c r="F93" s="354"/>
      <c r="G93" s="470">
        <v>0</v>
      </c>
      <c r="H93" s="354"/>
      <c r="I93" s="470">
        <v>0</v>
      </c>
      <c r="J93" s="354"/>
      <c r="K93" s="470">
        <f t="shared" ref="K93:K94" si="9">SUM(C93:I93)</f>
        <v>29754568.530000001</v>
      </c>
      <c r="L93" s="381"/>
    </row>
    <row r="94" spans="1:12">
      <c r="A94" s="424">
        <f t="shared" si="8"/>
        <v>4</v>
      </c>
      <c r="B94" s="469" t="s">
        <v>2552</v>
      </c>
      <c r="C94" s="470">
        <f>C93*C14</f>
        <v>18856691.901423905</v>
      </c>
      <c r="D94" s="354"/>
      <c r="E94" s="470">
        <f>E93*E14</f>
        <v>123553.21439002629</v>
      </c>
      <c r="F94" s="354"/>
      <c r="G94" s="470">
        <v>0</v>
      </c>
      <c r="H94" s="354"/>
      <c r="I94" s="470">
        <v>0</v>
      </c>
      <c r="J94" s="354"/>
      <c r="K94" s="470">
        <f t="shared" si="9"/>
        <v>18980245.11581393</v>
      </c>
      <c r="L94" s="381"/>
    </row>
    <row r="95" spans="1:12">
      <c r="A95" s="424">
        <f t="shared" si="8"/>
        <v>5</v>
      </c>
      <c r="B95" s="469" t="s">
        <v>1327</v>
      </c>
      <c r="C95" s="470">
        <f>C93*C13</f>
        <v>249001.78567636292</v>
      </c>
      <c r="D95" s="354"/>
      <c r="E95" s="470">
        <v>0</v>
      </c>
      <c r="F95" s="470"/>
      <c r="G95" s="470">
        <v>0</v>
      </c>
      <c r="H95" s="354"/>
      <c r="I95" s="354">
        <v>0</v>
      </c>
      <c r="J95" s="354"/>
      <c r="K95" s="470">
        <f>SUM(C95:G95)</f>
        <v>249001.78567636292</v>
      </c>
      <c r="L95" s="381"/>
    </row>
    <row r="96" spans="1:12">
      <c r="A96" s="424">
        <f>A95+1</f>
        <v>6</v>
      </c>
      <c r="B96" s="469" t="s">
        <v>1326</v>
      </c>
      <c r="C96" s="470">
        <f>C93*C15</f>
        <v>173157.56306426573</v>
      </c>
      <c r="D96" s="354"/>
      <c r="E96" s="470">
        <v>0</v>
      </c>
      <c r="F96" s="470"/>
      <c r="G96" s="470">
        <v>0</v>
      </c>
      <c r="H96" s="354"/>
      <c r="I96" s="354">
        <v>0</v>
      </c>
      <c r="J96" s="354"/>
      <c r="K96" s="470">
        <f>SUM(C96:G96)</f>
        <v>173157.56306426573</v>
      </c>
      <c r="L96" s="381"/>
    </row>
    <row r="97" spans="1:12">
      <c r="A97" s="424">
        <f t="shared" si="8"/>
        <v>7</v>
      </c>
      <c r="B97" s="469" t="s">
        <v>2531</v>
      </c>
      <c r="C97" s="470">
        <f>C93*C16</f>
        <v>14289.699045442763</v>
      </c>
      <c r="D97" s="354"/>
      <c r="E97" s="470">
        <v>0</v>
      </c>
      <c r="F97" s="470"/>
      <c r="G97" s="470">
        <v>0</v>
      </c>
      <c r="H97" s="354"/>
      <c r="I97" s="354">
        <v>0</v>
      </c>
      <c r="J97" s="354"/>
      <c r="K97" s="470">
        <f t="shared" ref="K97:K98" si="10">SUM(C97:G97)</f>
        <v>14289.699045442763</v>
      </c>
      <c r="L97" s="381"/>
    </row>
    <row r="98" spans="1:12">
      <c r="A98" s="424">
        <f t="shared" si="8"/>
        <v>8</v>
      </c>
      <c r="B98" s="469" t="s">
        <v>2532</v>
      </c>
      <c r="C98" s="470">
        <f>C93*C17</f>
        <v>89464.50265977344</v>
      </c>
      <c r="D98" s="354"/>
      <c r="E98" s="470">
        <v>0</v>
      </c>
      <c r="F98" s="470"/>
      <c r="G98" s="470">
        <v>0</v>
      </c>
      <c r="H98" s="354"/>
      <c r="I98" s="354">
        <v>0</v>
      </c>
      <c r="J98" s="354"/>
      <c r="K98" s="470">
        <f t="shared" si="10"/>
        <v>89464.50265977344</v>
      </c>
      <c r="L98" s="381"/>
    </row>
    <row r="99" spans="1:12">
      <c r="A99" s="424">
        <f t="shared" si="8"/>
        <v>9</v>
      </c>
      <c r="B99" s="471" t="s">
        <v>2554</v>
      </c>
      <c r="C99" s="470"/>
      <c r="D99" s="354"/>
      <c r="E99" s="470"/>
      <c r="F99" s="470"/>
      <c r="G99" s="470"/>
      <c r="H99" s="354"/>
      <c r="I99" s="354"/>
      <c r="J99" s="354"/>
      <c r="K99" s="470"/>
      <c r="L99" s="381"/>
    </row>
    <row r="100" spans="1:12">
      <c r="A100" s="424">
        <f t="shared" si="8"/>
        <v>10</v>
      </c>
      <c r="B100" s="471" t="s">
        <v>2555</v>
      </c>
      <c r="C100" s="470"/>
      <c r="D100" s="354"/>
      <c r="E100" s="470"/>
      <c r="F100" s="470"/>
      <c r="G100" s="470"/>
      <c r="H100" s="354"/>
      <c r="I100" s="354"/>
      <c r="J100" s="354"/>
      <c r="K100" s="470"/>
      <c r="L100" s="381"/>
    </row>
    <row r="101" spans="1:12">
      <c r="A101" s="424">
        <f t="shared" si="8"/>
        <v>11</v>
      </c>
      <c r="B101" s="471" t="s">
        <v>1325</v>
      </c>
      <c r="C101" s="470"/>
      <c r="D101" s="354"/>
      <c r="E101" s="470"/>
      <c r="F101" s="470"/>
      <c r="G101" s="470"/>
      <c r="H101" s="354"/>
      <c r="I101" s="354"/>
      <c r="J101" s="354"/>
      <c r="K101" s="470"/>
      <c r="L101" s="381"/>
    </row>
    <row r="102" spans="1:12">
      <c r="A102" s="424">
        <f t="shared" si="8"/>
        <v>12</v>
      </c>
      <c r="B102" s="471" t="s">
        <v>1324</v>
      </c>
      <c r="C102" s="470"/>
      <c r="D102" s="354"/>
      <c r="E102" s="470"/>
      <c r="F102" s="470"/>
      <c r="G102" s="470"/>
      <c r="H102" s="354"/>
      <c r="I102" s="354"/>
      <c r="J102" s="354"/>
      <c r="K102" s="470"/>
      <c r="L102" s="381"/>
    </row>
    <row r="103" spans="1:12">
      <c r="A103" s="424">
        <f t="shared" si="8"/>
        <v>13</v>
      </c>
      <c r="B103" s="471" t="s">
        <v>1322</v>
      </c>
      <c r="C103" s="470"/>
      <c r="D103" s="354"/>
      <c r="E103" s="470"/>
      <c r="F103" s="470"/>
      <c r="G103" s="470"/>
      <c r="H103" s="354"/>
      <c r="I103" s="354"/>
      <c r="J103" s="354"/>
      <c r="K103" s="470"/>
      <c r="L103" s="381"/>
    </row>
    <row r="104" spans="1:12">
      <c r="A104" s="424">
        <f t="shared" si="8"/>
        <v>14</v>
      </c>
      <c r="B104" s="471" t="s">
        <v>1323</v>
      </c>
      <c r="C104" s="470"/>
      <c r="D104" s="354"/>
      <c r="E104" s="470"/>
      <c r="F104" s="470"/>
      <c r="G104" s="470"/>
      <c r="H104" s="354"/>
      <c r="I104" s="354"/>
      <c r="J104" s="354"/>
      <c r="K104" s="470"/>
      <c r="L104" s="381"/>
    </row>
    <row r="105" spans="1:12">
      <c r="A105" s="424">
        <f t="shared" si="8"/>
        <v>15</v>
      </c>
      <c r="B105" s="471" t="s">
        <v>1322</v>
      </c>
      <c r="C105" s="470"/>
      <c r="D105" s="354"/>
      <c r="E105" s="470"/>
      <c r="F105" s="470"/>
      <c r="G105" s="470"/>
      <c r="H105" s="354"/>
      <c r="I105" s="354"/>
      <c r="J105" s="354"/>
      <c r="K105" s="470"/>
      <c r="L105" s="381"/>
    </row>
    <row r="106" spans="1:12" ht="13.5" thickBot="1">
      <c r="A106" s="446">
        <f t="shared" si="8"/>
        <v>16</v>
      </c>
      <c r="B106" s="472" t="s">
        <v>1321</v>
      </c>
      <c r="C106" s="473"/>
      <c r="D106" s="379"/>
      <c r="E106" s="473"/>
      <c r="F106" s="473"/>
      <c r="G106" s="473"/>
      <c r="H106" s="379"/>
      <c r="I106" s="379"/>
      <c r="J106" s="379"/>
      <c r="K106" s="473"/>
      <c r="L106" s="448"/>
    </row>
    <row r="107" spans="1:12">
      <c r="A107" s="347" t="str">
        <f>A1</f>
        <v>WAPA-UGP 2020 Rate Estimate Calculation</v>
      </c>
      <c r="B107" s="423"/>
      <c r="C107" s="353"/>
      <c r="D107" s="353"/>
      <c r="E107" s="353"/>
      <c r="F107" s="353"/>
      <c r="G107" s="353"/>
      <c r="H107" s="353"/>
      <c r="I107" s="353"/>
      <c r="J107" s="353"/>
      <c r="K107" s="353"/>
      <c r="L107" s="380"/>
    </row>
    <row r="108" spans="1:12">
      <c r="A108" s="424"/>
      <c r="B108" s="425"/>
      <c r="C108" s="425" t="s">
        <v>1320</v>
      </c>
      <c r="D108" s="426"/>
      <c r="E108" s="425" t="s">
        <v>1319</v>
      </c>
      <c r="F108" s="426"/>
      <c r="G108" s="425" t="s">
        <v>948</v>
      </c>
      <c r="H108" s="427"/>
      <c r="I108" s="425" t="s">
        <v>1318</v>
      </c>
      <c r="J108" s="427"/>
      <c r="K108" s="425" t="s">
        <v>952</v>
      </c>
      <c r="L108" s="381"/>
    </row>
    <row r="109" spans="1:12" s="349" customFormat="1" ht="13.5" thickBot="1">
      <c r="A109" s="424" t="s">
        <v>0</v>
      </c>
      <c r="B109" s="428">
        <v>-1</v>
      </c>
      <c r="C109" s="429">
        <v>-2</v>
      </c>
      <c r="D109" s="430"/>
      <c r="E109" s="429">
        <v>-3</v>
      </c>
      <c r="F109" s="430"/>
      <c r="G109" s="428">
        <v>-5</v>
      </c>
      <c r="H109" s="431"/>
      <c r="I109" s="428">
        <v>-6</v>
      </c>
      <c r="J109" s="431"/>
      <c r="K109" s="428">
        <v>-7</v>
      </c>
      <c r="L109" s="432"/>
    </row>
    <row r="110" spans="1:12">
      <c r="A110" s="433">
        <v>1</v>
      </c>
      <c r="B110" s="434" t="s">
        <v>1044</v>
      </c>
      <c r="C110" s="464"/>
      <c r="D110" s="464"/>
      <c r="E110" s="464"/>
      <c r="F110" s="464"/>
      <c r="G110" s="464"/>
      <c r="H110" s="353"/>
      <c r="I110" s="353"/>
      <c r="J110" s="353"/>
      <c r="K110" s="353"/>
      <c r="L110" s="380"/>
    </row>
    <row r="111" spans="1:12">
      <c r="A111" s="424">
        <f>A110+1</f>
        <v>2</v>
      </c>
      <c r="B111" s="492"/>
      <c r="C111" s="474" t="s">
        <v>2289</v>
      </c>
      <c r="D111" s="493"/>
      <c r="E111" s="474" t="s">
        <v>2291</v>
      </c>
      <c r="F111" s="493"/>
      <c r="G111" s="494" t="s">
        <v>2290</v>
      </c>
      <c r="H111" s="354"/>
      <c r="I111" s="494" t="s">
        <v>2292</v>
      </c>
      <c r="J111" s="354"/>
      <c r="K111" s="354"/>
      <c r="L111" s="381"/>
    </row>
    <row r="112" spans="1:12">
      <c r="A112" s="424">
        <f t="shared" ref="A112:A120" si="11">A111+1</f>
        <v>3</v>
      </c>
      <c r="B112" s="466" t="s">
        <v>1317</v>
      </c>
      <c r="C112" s="453">
        <v>76219000</v>
      </c>
      <c r="D112" s="354"/>
      <c r="E112" s="453"/>
      <c r="F112" s="354"/>
      <c r="G112" s="453"/>
      <c r="H112" s="354"/>
      <c r="I112" s="453"/>
      <c r="J112" s="354"/>
      <c r="K112" s="453">
        <f>SUM(C112:I112)</f>
        <v>76219000</v>
      </c>
      <c r="L112" s="381"/>
    </row>
    <row r="113" spans="1:12">
      <c r="A113" s="424">
        <f t="shared" si="11"/>
        <v>4</v>
      </c>
      <c r="B113" s="474" t="s">
        <v>1316</v>
      </c>
      <c r="C113" s="453"/>
      <c r="D113" s="354"/>
      <c r="E113" s="453"/>
      <c r="F113" s="354"/>
      <c r="G113" s="453"/>
      <c r="H113" s="354"/>
      <c r="I113" s="453"/>
      <c r="J113" s="354"/>
      <c r="K113" s="453"/>
      <c r="L113" s="381"/>
    </row>
    <row r="114" spans="1:12">
      <c r="A114" s="424">
        <f t="shared" si="11"/>
        <v>5</v>
      </c>
      <c r="B114" s="474" t="s">
        <v>1315</v>
      </c>
      <c r="C114" s="453"/>
      <c r="D114" s="354"/>
      <c r="E114" s="453"/>
      <c r="F114" s="354"/>
      <c r="G114" s="453"/>
      <c r="H114" s="354"/>
      <c r="I114" s="453"/>
      <c r="J114" s="354"/>
      <c r="K114" s="453">
        <f>SUM(C114:I114)</f>
        <v>0</v>
      </c>
      <c r="L114" s="381"/>
    </row>
    <row r="115" spans="1:12">
      <c r="A115" s="424">
        <f>A114+1</f>
        <v>6</v>
      </c>
      <c r="B115" s="474" t="s">
        <v>1314</v>
      </c>
      <c r="C115" s="497">
        <f>C93</f>
        <v>19840517</v>
      </c>
      <c r="D115" s="354"/>
      <c r="E115" s="453"/>
      <c r="F115" s="354"/>
      <c r="G115" s="453"/>
      <c r="H115" s="354"/>
      <c r="I115" s="453"/>
      <c r="J115" s="354"/>
      <c r="K115" s="453">
        <f>SUM(C115:I115)</f>
        <v>19840517</v>
      </c>
      <c r="L115" s="381"/>
    </row>
    <row r="116" spans="1:12">
      <c r="A116" s="424">
        <f t="shared" si="11"/>
        <v>7</v>
      </c>
      <c r="B116" s="474" t="s">
        <v>1313</v>
      </c>
      <c r="C116" s="453"/>
      <c r="D116" s="354"/>
      <c r="E116" s="453"/>
      <c r="F116" s="354"/>
      <c r="G116" s="453"/>
      <c r="H116" s="354"/>
      <c r="I116" s="453"/>
      <c r="J116" s="354"/>
      <c r="K116" s="453">
        <f>SUM(C116:I116)</f>
        <v>0</v>
      </c>
      <c r="L116" s="381"/>
    </row>
    <row r="117" spans="1:12">
      <c r="A117" s="424">
        <f t="shared" si="11"/>
        <v>8</v>
      </c>
      <c r="B117" s="474" t="s">
        <v>2614</v>
      </c>
      <c r="C117" s="453">
        <v>68304.600000000006</v>
      </c>
      <c r="D117" s="354"/>
      <c r="E117" s="453"/>
      <c r="F117" s="354"/>
      <c r="G117" s="453"/>
      <c r="H117" s="354"/>
      <c r="I117" s="453"/>
      <c r="J117" s="354"/>
      <c r="K117" s="453">
        <f>SUM(C117:I117)</f>
        <v>68304.600000000006</v>
      </c>
      <c r="L117" s="381"/>
    </row>
    <row r="118" spans="1:12">
      <c r="A118" s="424">
        <f t="shared" si="11"/>
        <v>9</v>
      </c>
      <c r="B118" s="474" t="s">
        <v>1312</v>
      </c>
      <c r="C118" s="453"/>
      <c r="D118" s="354"/>
      <c r="E118" s="453"/>
      <c r="F118" s="354"/>
      <c r="G118" s="453"/>
      <c r="H118" s="354"/>
      <c r="I118" s="453"/>
      <c r="J118" s="354"/>
      <c r="K118" s="453"/>
      <c r="L118" s="381"/>
    </row>
    <row r="119" spans="1:12">
      <c r="A119" s="424">
        <f t="shared" si="11"/>
        <v>10</v>
      </c>
      <c r="B119" s="474" t="s">
        <v>1311</v>
      </c>
      <c r="C119" s="453">
        <v>7941000</v>
      </c>
      <c r="D119" s="354"/>
      <c r="E119" s="453"/>
      <c r="F119" s="354"/>
      <c r="G119" s="453"/>
      <c r="H119" s="354"/>
      <c r="I119" s="453"/>
      <c r="J119" s="354"/>
      <c r="K119" s="453">
        <f>SUM(C119:I119)</f>
        <v>7941000</v>
      </c>
      <c r="L119" s="381"/>
    </row>
    <row r="120" spans="1:12">
      <c r="A120" s="424">
        <f t="shared" si="11"/>
        <v>11</v>
      </c>
      <c r="B120" s="474" t="s">
        <v>1310</v>
      </c>
      <c r="C120" s="453"/>
      <c r="D120" s="354"/>
      <c r="E120" s="453"/>
      <c r="F120" s="354"/>
      <c r="G120" s="453"/>
      <c r="H120" s="354"/>
      <c r="I120" s="453"/>
      <c r="J120" s="354"/>
      <c r="K120" s="453">
        <f>SUM(C120:I120)</f>
        <v>0</v>
      </c>
      <c r="L120" s="381"/>
    </row>
    <row r="121" spans="1:12">
      <c r="A121" s="424">
        <f t="shared" ref="A121:A136" si="12">A120+1</f>
        <v>12</v>
      </c>
      <c r="B121" s="474" t="s">
        <v>1309</v>
      </c>
      <c r="C121" s="453">
        <f>7901015.86+1977555.16</f>
        <v>9878571.0199999996</v>
      </c>
      <c r="D121" s="354"/>
      <c r="E121" s="453"/>
      <c r="F121" s="354"/>
      <c r="G121" s="453"/>
      <c r="H121" s="354"/>
      <c r="I121" s="453"/>
      <c r="J121" s="354"/>
      <c r="K121" s="453">
        <f>SUM(C121:I121)</f>
        <v>9878571.0199999996</v>
      </c>
      <c r="L121" s="381"/>
    </row>
    <row r="122" spans="1:12">
      <c r="A122" s="424">
        <f t="shared" si="12"/>
        <v>13</v>
      </c>
      <c r="B122" s="475" t="s">
        <v>1308</v>
      </c>
      <c r="C122" s="476"/>
      <c r="D122" s="468"/>
      <c r="E122" s="476"/>
      <c r="F122" s="468"/>
      <c r="G122" s="476">
        <f>7387237+8981375+8757921+6041294+7109940+8465763</f>
        <v>46743530</v>
      </c>
      <c r="H122" s="468"/>
      <c r="I122" s="511">
        <f>42616977.9</f>
        <v>42616977.899999999</v>
      </c>
      <c r="J122" s="468"/>
      <c r="K122" s="476">
        <f>SUM(C122:I122)</f>
        <v>89360507.900000006</v>
      </c>
      <c r="L122" s="381"/>
    </row>
    <row r="123" spans="1:12">
      <c r="A123" s="424">
        <f t="shared" si="12"/>
        <v>14</v>
      </c>
      <c r="B123" s="477" t="s">
        <v>1307</v>
      </c>
      <c r="C123" s="478">
        <f>C112-C115-C117+C119</f>
        <v>64251178.399999999</v>
      </c>
      <c r="D123" s="354"/>
      <c r="E123" s="513">
        <v>46417099</v>
      </c>
      <c r="F123" s="354"/>
      <c r="G123" s="478">
        <f>G112-G114-G115-G116+G119+G120+G122</f>
        <v>46743530</v>
      </c>
      <c r="H123" s="354"/>
      <c r="I123" s="478">
        <f>I112-I114-I115-I116+I119+I120+I122</f>
        <v>42616977.899999999</v>
      </c>
      <c r="J123" s="354"/>
      <c r="K123" s="478">
        <f>K112-K114-K115-K116+K119+K120+K122+K121</f>
        <v>163558561.92000002</v>
      </c>
      <c r="L123" s="381"/>
    </row>
    <row r="124" spans="1:12">
      <c r="A124" s="424">
        <f t="shared" si="12"/>
        <v>15</v>
      </c>
      <c r="B124" s="477" t="s">
        <v>1306</v>
      </c>
      <c r="C124" s="478">
        <f>C123*C14</f>
        <v>61065176.647978596</v>
      </c>
      <c r="D124" s="354"/>
      <c r="E124" s="478">
        <f>E123*E14</f>
        <v>578470.03989801486</v>
      </c>
      <c r="F124" s="354"/>
      <c r="G124" s="478">
        <f>G123*G14</f>
        <v>3690919.9815623425</v>
      </c>
      <c r="H124" s="354"/>
      <c r="I124" s="478">
        <f>I123*I14</f>
        <v>0</v>
      </c>
      <c r="J124" s="354"/>
      <c r="K124" s="478">
        <f>SUM(C124:I124)</f>
        <v>65334566.669438958</v>
      </c>
      <c r="L124" s="381"/>
    </row>
    <row r="125" spans="1:12">
      <c r="A125" s="424">
        <f t="shared" si="12"/>
        <v>16</v>
      </c>
      <c r="B125" s="477" t="s">
        <v>1305</v>
      </c>
      <c r="C125" s="478">
        <f>C123*C13</f>
        <v>806362.96692321869</v>
      </c>
      <c r="D125" s="354"/>
      <c r="E125" s="478">
        <v>0</v>
      </c>
      <c r="F125" s="354"/>
      <c r="G125" s="453">
        <f>G123*G13</f>
        <v>43052610.018437661</v>
      </c>
      <c r="H125" s="354"/>
      <c r="I125" s="453">
        <f>I123*I13</f>
        <v>42616977.899999999</v>
      </c>
      <c r="J125" s="354"/>
      <c r="K125" s="478">
        <f>SUM(C125:I125)</f>
        <v>86475950.885360882</v>
      </c>
      <c r="L125" s="381"/>
    </row>
    <row r="126" spans="1:12">
      <c r="A126" s="424">
        <f t="shared" si="12"/>
        <v>17</v>
      </c>
      <c r="B126" s="477" t="s">
        <v>2533</v>
      </c>
      <c r="C126" s="478">
        <f>C123*C16</f>
        <v>46275.507974467233</v>
      </c>
      <c r="D126" s="354"/>
      <c r="E126" s="478"/>
      <c r="F126" s="354"/>
      <c r="G126" s="453"/>
      <c r="H126" s="354"/>
      <c r="I126" s="453"/>
      <c r="J126" s="354"/>
      <c r="K126" s="478">
        <f t="shared" ref="K126:K127" si="13">SUM(C126:I126)</f>
        <v>46275.507974467233</v>
      </c>
      <c r="L126" s="381"/>
    </row>
    <row r="127" spans="1:12">
      <c r="A127" s="424">
        <f t="shared" si="12"/>
        <v>18</v>
      </c>
      <c r="B127" s="477" t="s">
        <v>2534</v>
      </c>
      <c r="C127" s="478">
        <f>C123*C17</f>
        <v>289720.25884508842</v>
      </c>
      <c r="D127" s="354"/>
      <c r="E127" s="478"/>
      <c r="F127" s="354"/>
      <c r="G127" s="453"/>
      <c r="H127" s="354"/>
      <c r="I127" s="453"/>
      <c r="J127" s="354"/>
      <c r="K127" s="478">
        <f t="shared" si="13"/>
        <v>289720.25884508842</v>
      </c>
      <c r="L127" s="381"/>
    </row>
    <row r="128" spans="1:12">
      <c r="A128" s="424">
        <f t="shared" si="12"/>
        <v>19</v>
      </c>
      <c r="B128" s="453" t="s">
        <v>2556</v>
      </c>
      <c r="C128" s="453"/>
      <c r="D128" s="453"/>
      <c r="E128" s="453"/>
      <c r="F128" s="453"/>
      <c r="G128" s="453"/>
      <c r="H128" s="354"/>
      <c r="I128" s="354"/>
      <c r="J128" s="354"/>
      <c r="K128" s="354"/>
      <c r="L128" s="381"/>
    </row>
    <row r="129" spans="1:12">
      <c r="A129" s="424">
        <f t="shared" si="12"/>
        <v>20</v>
      </c>
      <c r="B129" s="453" t="s">
        <v>1304</v>
      </c>
      <c r="C129" s="453"/>
      <c r="D129" s="453"/>
      <c r="E129" s="453"/>
      <c r="F129" s="453"/>
      <c r="G129" s="453"/>
      <c r="H129" s="354"/>
      <c r="I129" s="354"/>
      <c r="J129" s="354"/>
      <c r="K129" s="354"/>
      <c r="L129" s="381"/>
    </row>
    <row r="130" spans="1:12">
      <c r="A130" s="424">
        <f t="shared" si="12"/>
        <v>21</v>
      </c>
      <c r="B130" s="453" t="s">
        <v>1303</v>
      </c>
      <c r="C130" s="453"/>
      <c r="D130" s="453"/>
      <c r="E130" s="453"/>
      <c r="F130" s="453"/>
      <c r="G130" s="453"/>
      <c r="H130" s="354"/>
      <c r="I130" s="354"/>
      <c r="J130" s="354"/>
      <c r="K130" s="354"/>
      <c r="L130" s="381"/>
    </row>
    <row r="131" spans="1:12">
      <c r="A131" s="424">
        <f t="shared" si="12"/>
        <v>22</v>
      </c>
      <c r="B131" s="453" t="s">
        <v>1302</v>
      </c>
      <c r="C131" s="453"/>
      <c r="D131" s="453"/>
      <c r="E131" s="453"/>
      <c r="F131" s="453"/>
      <c r="G131" s="453"/>
      <c r="H131" s="354"/>
      <c r="I131" s="354"/>
      <c r="J131" s="354"/>
      <c r="K131" s="354"/>
      <c r="L131" s="381"/>
    </row>
    <row r="132" spans="1:12">
      <c r="A132" s="424">
        <f t="shared" si="12"/>
        <v>23</v>
      </c>
      <c r="B132" s="453" t="s">
        <v>1301</v>
      </c>
      <c r="C132" s="453"/>
      <c r="D132" s="453"/>
      <c r="E132" s="453"/>
      <c r="F132" s="453"/>
      <c r="G132" s="453"/>
      <c r="H132" s="354"/>
      <c r="I132" s="354"/>
      <c r="J132" s="354"/>
      <c r="K132" s="354"/>
      <c r="L132" s="381"/>
    </row>
    <row r="133" spans="1:12">
      <c r="A133" s="424">
        <f t="shared" si="12"/>
        <v>24</v>
      </c>
      <c r="B133" s="453" t="s">
        <v>1300</v>
      </c>
      <c r="C133" s="453"/>
      <c r="D133" s="453"/>
      <c r="E133" s="453"/>
      <c r="F133" s="453"/>
      <c r="G133" s="453"/>
      <c r="H133" s="354"/>
      <c r="I133" s="354"/>
      <c r="J133" s="354"/>
      <c r="K133" s="354"/>
      <c r="L133" s="381"/>
    </row>
    <row r="134" spans="1:12">
      <c r="A134" s="424">
        <f t="shared" si="12"/>
        <v>25</v>
      </c>
      <c r="B134" s="453" t="s">
        <v>1299</v>
      </c>
      <c r="C134" s="453"/>
      <c r="D134" s="453"/>
      <c r="E134" s="453"/>
      <c r="F134" s="453"/>
      <c r="G134" s="453"/>
      <c r="H134" s="354"/>
      <c r="I134" s="354"/>
      <c r="J134" s="354"/>
      <c r="K134" s="354"/>
      <c r="L134" s="381"/>
    </row>
    <row r="135" spans="1:12">
      <c r="A135" s="424">
        <f t="shared" si="12"/>
        <v>26</v>
      </c>
      <c r="B135" s="453" t="s">
        <v>1298</v>
      </c>
      <c r="C135" s="453"/>
      <c r="D135" s="453"/>
      <c r="E135" s="453"/>
      <c r="F135" s="453"/>
      <c r="G135" s="453"/>
      <c r="H135" s="354"/>
      <c r="I135" s="354"/>
      <c r="J135" s="354"/>
      <c r="K135" s="354"/>
      <c r="L135" s="381"/>
    </row>
    <row r="136" spans="1:12" ht="13.5" thickBot="1">
      <c r="A136" s="446">
        <f t="shared" si="12"/>
        <v>27</v>
      </c>
      <c r="B136" s="454" t="s">
        <v>1297</v>
      </c>
      <c r="C136" s="454"/>
      <c r="D136" s="454"/>
      <c r="E136" s="454"/>
      <c r="F136" s="454"/>
      <c r="G136" s="454"/>
      <c r="H136" s="379"/>
      <c r="I136" s="379"/>
      <c r="J136" s="379"/>
      <c r="K136" s="379"/>
      <c r="L136" s="448"/>
    </row>
    <row r="137" spans="1:12">
      <c r="C137" s="350"/>
      <c r="D137" s="350"/>
      <c r="E137" s="350"/>
      <c r="F137" s="350"/>
      <c r="G137" s="350"/>
    </row>
    <row r="138" spans="1:12">
      <c r="B138" s="350"/>
      <c r="C138" s="350"/>
      <c r="D138" s="350"/>
      <c r="E138" s="350"/>
      <c r="F138" s="350"/>
      <c r="G138" s="350"/>
    </row>
    <row r="139" spans="1:12">
      <c r="C139" s="350"/>
      <c r="D139" s="350"/>
      <c r="E139" s="350"/>
      <c r="F139" s="350"/>
      <c r="G139" s="350"/>
    </row>
    <row r="140" spans="1:12">
      <c r="B140" s="350"/>
      <c r="C140" s="350"/>
      <c r="D140" s="350"/>
      <c r="E140" s="350"/>
      <c r="F140" s="350"/>
      <c r="G140" s="350"/>
    </row>
  </sheetData>
  <pageMargins left="0.7" right="0.7" top="0.75" bottom="0.75" header="0.3" footer="0.3"/>
  <pageSetup scale="79" fitToHeight="0" orientation="landscape" r:id="rId1"/>
  <headerFooter>
    <oddFooter>&amp;R&amp;A</oddFooter>
  </headerFooter>
  <rowBreaks count="4" manualBreakCount="4">
    <brk id="41" max="16383" man="1"/>
    <brk id="61" max="16383" man="1"/>
    <brk id="87" max="16383" man="1"/>
    <brk id="106" max="1638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view="pageBreakPreview" zoomScaleNormal="100" zoomScaleSheetLayoutView="100" workbookViewId="0">
      <selection activeCell="A4" sqref="A4"/>
    </sheetView>
  </sheetViews>
  <sheetFormatPr defaultColWidth="13.1796875" defaultRowHeight="14.5"/>
  <cols>
    <col min="1" max="1" width="9.7265625" style="33" customWidth="1"/>
    <col min="2" max="2" width="22.26953125" style="33" customWidth="1"/>
    <col min="3" max="3" width="14.81640625" style="33" customWidth="1"/>
    <col min="4" max="4" width="16.7265625" style="33" customWidth="1"/>
    <col min="5" max="11" width="13.1796875" style="33"/>
    <col min="12" max="12" width="13.81640625" style="33" bestFit="1" customWidth="1"/>
    <col min="13" max="16384" width="13.1796875" style="33"/>
  </cols>
  <sheetData>
    <row r="1" spans="1:13">
      <c r="A1" s="693" t="str">
        <f>'Cover Sheets'!A10:B10</f>
        <v>WAPA-UGP 2020 Rate Estimate Calculation</v>
      </c>
      <c r="B1" s="679"/>
      <c r="C1" s="398"/>
      <c r="D1" s="398"/>
      <c r="E1" s="398"/>
      <c r="F1" s="398"/>
      <c r="G1" s="398"/>
      <c r="H1" s="398"/>
      <c r="I1" s="398"/>
      <c r="J1" s="398"/>
      <c r="K1" s="398"/>
      <c r="L1" s="398"/>
      <c r="M1" s="398"/>
    </row>
    <row r="2" spans="1:13">
      <c r="A2" s="793" t="s">
        <v>2588</v>
      </c>
      <c r="B2" s="679"/>
      <c r="C2" s="398"/>
      <c r="D2" s="398"/>
      <c r="E2" s="398"/>
      <c r="F2" s="398"/>
      <c r="G2" s="398"/>
      <c r="H2" s="398"/>
      <c r="I2" s="398"/>
      <c r="J2" s="398"/>
      <c r="K2" s="398"/>
      <c r="L2" s="398"/>
      <c r="M2" s="398"/>
    </row>
    <row r="3" spans="1:13">
      <c r="A3" s="694" t="str">
        <f>'Summary-ATRR'!A3</f>
        <v>12 Months Ending 09/30/2020 ESTIMATE</v>
      </c>
      <c r="B3" s="398"/>
      <c r="C3" s="398"/>
      <c r="D3" s="398"/>
      <c r="E3" s="398"/>
      <c r="F3" s="398"/>
      <c r="G3" s="398"/>
      <c r="H3" s="398"/>
      <c r="I3" s="398"/>
      <c r="J3" s="398"/>
      <c r="K3" s="398"/>
      <c r="L3" s="398"/>
      <c r="M3" s="398"/>
    </row>
    <row r="4" spans="1:13" ht="39.5">
      <c r="A4" s="694"/>
      <c r="B4" s="356" t="s">
        <v>2492</v>
      </c>
      <c r="C4" s="357" t="s">
        <v>2493</v>
      </c>
      <c r="D4" s="356" t="s">
        <v>2494</v>
      </c>
      <c r="E4" s="356" t="s">
        <v>2537</v>
      </c>
      <c r="F4" s="356" t="s">
        <v>2495</v>
      </c>
      <c r="G4" s="356" t="s">
        <v>2496</v>
      </c>
      <c r="H4" s="356" t="s">
        <v>2497</v>
      </c>
      <c r="I4" s="356" t="s">
        <v>2512</v>
      </c>
      <c r="J4" s="356" t="s">
        <v>2511</v>
      </c>
      <c r="K4" s="356" t="s">
        <v>2498</v>
      </c>
      <c r="L4" s="356" t="s">
        <v>2511</v>
      </c>
      <c r="M4" s="356" t="s">
        <v>2499</v>
      </c>
    </row>
    <row r="5" spans="1:13">
      <c r="A5" s="684" t="s">
        <v>1046</v>
      </c>
      <c r="B5" s="685">
        <v>-1</v>
      </c>
      <c r="C5" s="685">
        <v>-2</v>
      </c>
      <c r="D5" s="685">
        <v>-3</v>
      </c>
      <c r="E5" s="685">
        <v>-4</v>
      </c>
      <c r="F5" s="685">
        <v>-5</v>
      </c>
      <c r="G5" s="685">
        <v>-6</v>
      </c>
      <c r="H5" s="685">
        <v>-7</v>
      </c>
      <c r="I5" s="685">
        <v>-8</v>
      </c>
      <c r="J5" s="685">
        <v>-9</v>
      </c>
      <c r="K5" s="685">
        <v>-10</v>
      </c>
      <c r="L5" s="685">
        <v>-11</v>
      </c>
      <c r="M5" s="685">
        <v>-12</v>
      </c>
    </row>
    <row r="6" spans="1:13">
      <c r="A6" s="680">
        <v>1</v>
      </c>
      <c r="B6" s="687" t="s">
        <v>2536</v>
      </c>
      <c r="C6" s="689" t="s">
        <v>4</v>
      </c>
      <c r="D6" s="690">
        <f>'WS7-BPUFac'!H6</f>
        <v>90576</v>
      </c>
      <c r="E6" s="695">
        <f>D6/D19</f>
        <v>1.345500613053102E-2</v>
      </c>
      <c r="F6" s="690">
        <f>'WS4-CostData'!C23*'WS5-BPUz'!E6</f>
        <v>45200.937865284206</v>
      </c>
      <c r="G6" s="677">
        <f>'WS4-CostData'!C127*'WS5-BPUz'!E6</f>
        <v>3898.1878588996988</v>
      </c>
      <c r="H6" s="703">
        <f>'WS4-CostData'!C51*'WS5-BPUz'!E6</f>
        <v>2146.4556398370646</v>
      </c>
      <c r="I6" s="677">
        <f>'WS4-CostData'!C97*'WS5-BPUz'!E6</f>
        <v>192.26798825987564</v>
      </c>
      <c r="J6" s="695">
        <f>'WS2-AllocFactor'!F24</f>
        <v>4.9173225919599932E-2</v>
      </c>
      <c r="K6" s="690">
        <f>D6-F6</f>
        <v>45375.062134715794</v>
      </c>
      <c r="L6" s="696">
        <f>J6*K6</f>
        <v>2231.238181466264</v>
      </c>
      <c r="M6" s="697">
        <f>L6+G6+I6+H6</f>
        <v>8468.1496684629037</v>
      </c>
    </row>
    <row r="7" spans="1:13">
      <c r="A7" s="680">
        <f t="shared" ref="A7:A19" si="0">A6+1</f>
        <v>2</v>
      </c>
      <c r="B7" s="687" t="s">
        <v>2500</v>
      </c>
      <c r="C7" s="689" t="s">
        <v>231</v>
      </c>
      <c r="D7" s="690">
        <f>'WS7-BPUFac'!I25</f>
        <v>6641193.5080400007</v>
      </c>
      <c r="E7" s="695">
        <f>D7/D19</f>
        <v>0.98654499386946903</v>
      </c>
      <c r="F7" s="690">
        <f>'WS4-CostData'!C23*'WS5-BPUz'!E7</f>
        <v>3314213.2033678344</v>
      </c>
      <c r="G7" s="677">
        <f>'WS4-CostData'!C127*'WS5-BPUz'!E7</f>
        <v>285822.07098618872</v>
      </c>
      <c r="H7" s="703">
        <f>'WS4-CostData'!C51*'WS5-BPUz'!E7</f>
        <v>157381.94732138494</v>
      </c>
      <c r="I7" s="677">
        <f>'WS4-CostData'!C98*'WS5-BPUz'!E7</f>
        <v>88260.757228021277</v>
      </c>
      <c r="J7" s="695">
        <f>'WS2-AllocFactor'!F24</f>
        <v>4.9173225919599932E-2</v>
      </c>
      <c r="K7" s="690">
        <f>D7-F7</f>
        <v>3326980.3046721662</v>
      </c>
      <c r="L7" s="696">
        <f>J7*K7</f>
        <v>163598.35415170385</v>
      </c>
      <c r="M7" s="697">
        <f>L7+G7+I7+H7</f>
        <v>695063.12968729879</v>
      </c>
    </row>
    <row r="8" spans="1:13">
      <c r="A8" s="680">
        <f t="shared" si="0"/>
        <v>3</v>
      </c>
      <c r="B8" s="686"/>
      <c r="C8" s="677"/>
      <c r="D8" s="406"/>
      <c r="E8" s="406"/>
      <c r="F8" s="406"/>
      <c r="G8" s="406"/>
      <c r="H8" s="406"/>
      <c r="I8" s="406"/>
      <c r="J8" s="406"/>
      <c r="K8" s="406"/>
      <c r="L8" s="406"/>
      <c r="M8" s="406"/>
    </row>
    <row r="9" spans="1:13">
      <c r="A9" s="680">
        <f t="shared" si="0"/>
        <v>4</v>
      </c>
      <c r="B9" s="686"/>
      <c r="C9" s="677"/>
      <c r="D9" s="406"/>
      <c r="E9" s="406"/>
      <c r="F9" s="406"/>
      <c r="G9" s="406"/>
      <c r="H9" s="406"/>
      <c r="I9" s="406"/>
      <c r="J9" s="406"/>
      <c r="K9" s="406"/>
      <c r="L9" s="406"/>
      <c r="M9" s="406"/>
    </row>
    <row r="10" spans="1:13">
      <c r="A10" s="680">
        <f t="shared" si="0"/>
        <v>5</v>
      </c>
      <c r="B10" s="686"/>
      <c r="C10" s="677"/>
      <c r="D10" s="681"/>
      <c r="E10" s="681"/>
      <c r="F10" s="681"/>
      <c r="G10" s="681"/>
      <c r="H10" s="681"/>
      <c r="I10" s="681"/>
      <c r="J10" s="681"/>
      <c r="K10" s="681"/>
      <c r="L10" s="681"/>
      <c r="M10" s="681"/>
    </row>
    <row r="11" spans="1:13">
      <c r="A11" s="680">
        <f t="shared" si="0"/>
        <v>6</v>
      </c>
      <c r="B11" s="686"/>
      <c r="C11" s="406"/>
      <c r="D11" s="406"/>
      <c r="E11" s="406"/>
      <c r="F11" s="406"/>
      <c r="G11" s="406"/>
      <c r="H11" s="406"/>
      <c r="I11" s="406"/>
      <c r="J11" s="406"/>
      <c r="K11" s="406"/>
      <c r="L11" s="406"/>
      <c r="M11" s="406"/>
    </row>
    <row r="12" spans="1:13">
      <c r="A12" s="680">
        <f t="shared" si="0"/>
        <v>7</v>
      </c>
      <c r="B12" s="687"/>
      <c r="C12" s="678"/>
      <c r="D12" s="406"/>
      <c r="E12" s="406"/>
      <c r="F12" s="406"/>
      <c r="G12" s="406"/>
      <c r="H12" s="406"/>
      <c r="I12" s="406"/>
      <c r="J12" s="406"/>
      <c r="K12" s="406"/>
      <c r="L12" s="406"/>
      <c r="M12" s="406"/>
    </row>
    <row r="13" spans="1:13">
      <c r="A13" s="680">
        <f t="shared" si="0"/>
        <v>8</v>
      </c>
      <c r="B13" s="687"/>
      <c r="C13" s="677"/>
      <c r="D13" s="406"/>
      <c r="E13" s="406"/>
      <c r="F13" s="406"/>
      <c r="G13" s="406"/>
      <c r="H13" s="406"/>
      <c r="I13" s="406"/>
      <c r="J13" s="406"/>
      <c r="K13" s="406"/>
      <c r="L13" s="406"/>
      <c r="M13" s="406"/>
    </row>
    <row r="14" spans="1:13">
      <c r="A14" s="680">
        <f t="shared" si="0"/>
        <v>9</v>
      </c>
      <c r="B14" s="687"/>
      <c r="C14" s="677"/>
      <c r="D14" s="406"/>
      <c r="E14" s="406"/>
      <c r="F14" s="406"/>
      <c r="G14" s="406"/>
      <c r="H14" s="406"/>
      <c r="I14" s="406"/>
      <c r="J14" s="406"/>
      <c r="K14" s="406"/>
      <c r="L14" s="406"/>
      <c r="M14" s="406"/>
    </row>
    <row r="15" spans="1:13">
      <c r="A15" s="680">
        <f t="shared" si="0"/>
        <v>10</v>
      </c>
      <c r="B15" s="686"/>
      <c r="C15" s="678"/>
      <c r="D15" s="682"/>
      <c r="E15" s="682"/>
      <c r="F15" s="682"/>
      <c r="G15" s="682"/>
      <c r="H15" s="682"/>
      <c r="I15" s="682"/>
      <c r="J15" s="682"/>
      <c r="K15" s="682"/>
      <c r="L15" s="682"/>
      <c r="M15" s="682"/>
    </row>
    <row r="16" spans="1:13">
      <c r="A16" s="680">
        <f t="shared" si="0"/>
        <v>11</v>
      </c>
      <c r="B16" s="687"/>
      <c r="C16" s="677"/>
      <c r="D16" s="406"/>
      <c r="E16" s="406"/>
      <c r="F16" s="406"/>
      <c r="G16" s="406"/>
      <c r="H16" s="406"/>
      <c r="I16" s="406"/>
      <c r="J16" s="406"/>
      <c r="K16" s="406"/>
      <c r="L16" s="406"/>
      <c r="M16" s="406"/>
    </row>
    <row r="17" spans="1:13">
      <c r="A17" s="680">
        <f t="shared" si="0"/>
        <v>12</v>
      </c>
      <c r="B17" s="688"/>
      <c r="C17" s="479"/>
      <c r="D17" s="683"/>
      <c r="E17" s="683"/>
      <c r="F17" s="683"/>
      <c r="G17" s="683"/>
      <c r="H17" s="683"/>
      <c r="I17" s="683"/>
      <c r="J17" s="683"/>
      <c r="K17" s="683"/>
      <c r="L17" s="683"/>
      <c r="M17" s="683"/>
    </row>
    <row r="18" spans="1:13">
      <c r="A18" s="680">
        <f t="shared" si="0"/>
        <v>13</v>
      </c>
      <c r="B18" s="688"/>
      <c r="C18" s="479"/>
      <c r="D18" s="683"/>
      <c r="E18" s="683"/>
      <c r="F18" s="683"/>
      <c r="G18" s="683"/>
      <c r="H18" s="683"/>
      <c r="I18" s="683"/>
      <c r="J18" s="683"/>
      <c r="K18" s="683"/>
      <c r="L18" s="683"/>
      <c r="M18" s="683"/>
    </row>
    <row r="19" spans="1:13">
      <c r="A19" s="752">
        <f t="shared" si="0"/>
        <v>14</v>
      </c>
      <c r="B19" s="753" t="s">
        <v>1024</v>
      </c>
      <c r="C19" s="754"/>
      <c r="D19" s="755">
        <f>SUM(D6:D18)</f>
        <v>6731769.5080400007</v>
      </c>
      <c r="E19" s="756"/>
      <c r="F19" s="755">
        <f>SUM(F6:F18)</f>
        <v>3359414.1412331187</v>
      </c>
      <c r="G19" s="755">
        <f>SUM(G6:G18)</f>
        <v>289720.25884508842</v>
      </c>
      <c r="H19" s="755">
        <f>SUM(H6:H18)</f>
        <v>159528.40296122202</v>
      </c>
      <c r="I19" s="755">
        <f>SUM(I6:I18)</f>
        <v>88453.025216281152</v>
      </c>
      <c r="J19" s="756"/>
      <c r="K19" s="755">
        <f>SUM(K6:K18)</f>
        <v>3372355.366806882</v>
      </c>
      <c r="L19" s="755">
        <f>SUM(L6:L18)</f>
        <v>165829.59233317012</v>
      </c>
      <c r="M19" s="755">
        <f>SUM(M6:M18)</f>
        <v>703531.27935576171</v>
      </c>
    </row>
    <row r="20" spans="1:13">
      <c r="A20" s="35"/>
      <c r="B20" s="34"/>
      <c r="C20" s="34"/>
      <c r="D20" s="34"/>
    </row>
  </sheetData>
  <pageMargins left="0.7" right="0.7" top="0.75" bottom="0.75" header="0.3" footer="0.3"/>
  <pageSetup scale="66" fitToHeight="0" orientation="landscape" r:id="rId1"/>
  <headerFooter>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view="pageBreakPreview" zoomScale="110" zoomScaleNormal="100" zoomScaleSheetLayoutView="110" workbookViewId="0">
      <selection activeCell="A4" sqref="A4"/>
    </sheetView>
  </sheetViews>
  <sheetFormatPr defaultColWidth="13.1796875" defaultRowHeight="14.5"/>
  <cols>
    <col min="1" max="1" width="23.54296875" style="33" bestFit="1" customWidth="1"/>
    <col min="2" max="2" width="22.26953125" style="33" customWidth="1"/>
    <col min="3" max="3" width="14.81640625" style="33" customWidth="1"/>
    <col min="4" max="13" width="13.7265625" style="33" customWidth="1"/>
    <col min="14" max="16384" width="13.1796875" style="33"/>
  </cols>
  <sheetData>
    <row r="1" spans="1:13">
      <c r="A1" s="675" t="str">
        <f>'Cover Sheets'!A10:B10</f>
        <v>WAPA-UGP 2020 Rate Estimate Calculation</v>
      </c>
      <c r="B1" s="679"/>
      <c r="C1" s="398"/>
      <c r="D1" s="398"/>
      <c r="E1" s="398"/>
      <c r="F1" s="398"/>
      <c r="G1" s="398"/>
      <c r="H1" s="398"/>
      <c r="I1" s="398"/>
      <c r="J1" s="398"/>
      <c r="K1" s="398"/>
      <c r="L1" s="398"/>
      <c r="M1" s="704"/>
    </row>
    <row r="2" spans="1:13">
      <c r="A2" s="793" t="s">
        <v>2589</v>
      </c>
      <c r="B2" s="679"/>
      <c r="C2" s="398"/>
      <c r="D2" s="398"/>
      <c r="E2" s="398"/>
      <c r="F2" s="398"/>
      <c r="G2" s="398"/>
      <c r="H2" s="398"/>
      <c r="I2" s="398"/>
      <c r="J2" s="398"/>
      <c r="K2" s="398"/>
      <c r="L2" s="398"/>
      <c r="M2" s="704"/>
    </row>
    <row r="3" spans="1:13">
      <c r="A3" s="676" t="str">
        <f>'Summary-ATRR'!A3</f>
        <v>12 Months Ending 09/30/2020 ESTIMATE</v>
      </c>
      <c r="B3" s="398"/>
      <c r="C3" s="398"/>
      <c r="D3" s="398"/>
      <c r="E3" s="398"/>
      <c r="F3" s="398"/>
      <c r="G3" s="398"/>
      <c r="H3" s="398"/>
      <c r="I3" s="398"/>
      <c r="J3" s="398"/>
      <c r="K3" s="398"/>
      <c r="L3" s="398"/>
      <c r="M3" s="704"/>
    </row>
    <row r="4" spans="1:13" ht="39.5">
      <c r="A4" s="694"/>
      <c r="B4" s="356" t="s">
        <v>2492</v>
      </c>
      <c r="C4" s="357" t="s">
        <v>2493</v>
      </c>
      <c r="D4" s="356" t="s">
        <v>2494</v>
      </c>
      <c r="E4" s="356" t="s">
        <v>2535</v>
      </c>
      <c r="F4" s="356" t="s">
        <v>2495</v>
      </c>
      <c r="G4" s="356" t="s">
        <v>2496</v>
      </c>
      <c r="H4" s="356" t="s">
        <v>2497</v>
      </c>
      <c r="I4" s="356" t="s">
        <v>2512</v>
      </c>
      <c r="J4" s="356" t="s">
        <v>2511</v>
      </c>
      <c r="K4" s="356" t="s">
        <v>2498</v>
      </c>
      <c r="L4" s="356" t="s">
        <v>2511</v>
      </c>
      <c r="M4" s="356" t="s">
        <v>2499</v>
      </c>
    </row>
    <row r="5" spans="1:13">
      <c r="A5" s="684" t="s">
        <v>1046</v>
      </c>
      <c r="B5" s="685">
        <v>-1</v>
      </c>
      <c r="C5" s="685">
        <v>-2</v>
      </c>
      <c r="D5" s="685">
        <v>-3</v>
      </c>
      <c r="E5" s="685">
        <v>-4</v>
      </c>
      <c r="F5" s="685">
        <v>-5</v>
      </c>
      <c r="G5" s="685">
        <v>-6</v>
      </c>
      <c r="H5" s="685">
        <v>-7</v>
      </c>
      <c r="I5" s="685">
        <v>-8</v>
      </c>
      <c r="J5" s="685">
        <v>-9</v>
      </c>
      <c r="K5" s="685">
        <v>-10</v>
      </c>
      <c r="L5" s="685">
        <v>-11</v>
      </c>
      <c r="M5" s="685">
        <v>-12</v>
      </c>
    </row>
    <row r="6" spans="1:13">
      <c r="A6" s="680">
        <v>1</v>
      </c>
      <c r="B6" s="687" t="s">
        <v>2536</v>
      </c>
      <c r="C6" s="689" t="s">
        <v>4</v>
      </c>
      <c r="D6" s="690">
        <f>'WS7-BPUFac'!G11</f>
        <v>45424</v>
      </c>
      <c r="E6" s="695">
        <f>D6/D19</f>
        <v>4.2245826138781133E-2</v>
      </c>
      <c r="F6" s="690">
        <f>'WS4-CostData'!C22*'WS6-BPUr'!E6</f>
        <v>22668.338208716108</v>
      </c>
      <c r="G6" s="677">
        <f>'WS4-CostData'!C126*'WS6-BPUr'!E6</f>
        <v>1954.9470643731227</v>
      </c>
      <c r="H6" s="703">
        <f>'WS4-CostData'!C50*'WS6-BPUr'!E6</f>
        <v>1076.4507262846544</v>
      </c>
      <c r="I6" s="677">
        <f>'WS4-CostData'!C97*'WS6-BPUr'!E6</f>
        <v>603.68014144928168</v>
      </c>
      <c r="J6" s="695">
        <f>'WS2-AllocFactor'!F24</f>
        <v>4.9173225919599932E-2</v>
      </c>
      <c r="K6" s="690">
        <f>D6-F6</f>
        <v>22755.661791283892</v>
      </c>
      <c r="L6" s="696">
        <f>J6*K6</f>
        <v>1118.9692982128108</v>
      </c>
      <c r="M6" s="697">
        <f>L6+H6+G6+I6</f>
        <v>4754.0472303198703</v>
      </c>
    </row>
    <row r="7" spans="1:13">
      <c r="A7" s="680">
        <f t="shared" ref="A7:A19" si="0">A6+1</f>
        <v>2</v>
      </c>
      <c r="B7" s="687" t="s">
        <v>2500</v>
      </c>
      <c r="C7" s="689" t="s">
        <v>231</v>
      </c>
      <c r="D7" s="690">
        <f>'WS7-BPUFac'!G25</f>
        <v>1029806.48196</v>
      </c>
      <c r="E7" s="695">
        <f>D7/D19</f>
        <v>0.95775417386121886</v>
      </c>
      <c r="F7" s="690">
        <f>'WS4-CostData'!C22*'WS6-BPUr'!E7</f>
        <v>513913.38549219316</v>
      </c>
      <c r="G7" s="677">
        <f>'WS4-CostData'!C126*'WS6-BPUr'!E7</f>
        <v>44320.560910094107</v>
      </c>
      <c r="H7" s="703">
        <f>'WS4-CostData'!C50*'WS6-BPUr'!E7</f>
        <v>24404.190195458057</v>
      </c>
      <c r="I7" s="677">
        <f>'WS4-CostData'!C97*'WS6-BPUr'!E7</f>
        <v>13686.018903993481</v>
      </c>
      <c r="J7" s="695">
        <f>'WS2-AllocFactor'!F24</f>
        <v>4.9173225919599932E-2</v>
      </c>
      <c r="K7" s="690">
        <f>D7-F7</f>
        <v>515893.09646780684</v>
      </c>
      <c r="L7" s="696">
        <f>J7*K7</f>
        <v>25368.127782973428</v>
      </c>
      <c r="M7" s="697">
        <f>L7+H7+G7+I7</f>
        <v>107778.89779251907</v>
      </c>
    </row>
    <row r="8" spans="1:13">
      <c r="A8" s="680">
        <f t="shared" si="0"/>
        <v>3</v>
      </c>
      <c r="B8" s="686"/>
      <c r="C8" s="677"/>
      <c r="D8" s="406"/>
      <c r="E8" s="406"/>
      <c r="F8" s="406"/>
      <c r="G8" s="406"/>
      <c r="H8" s="406"/>
      <c r="I8" s="406"/>
      <c r="J8" s="406"/>
      <c r="K8" s="406"/>
      <c r="L8" s="406"/>
      <c r="M8" s="704"/>
    </row>
    <row r="9" spans="1:13">
      <c r="A9" s="680">
        <f t="shared" si="0"/>
        <v>4</v>
      </c>
      <c r="B9" s="686"/>
      <c r="C9" s="677"/>
      <c r="D9" s="406"/>
      <c r="E9" s="406"/>
      <c r="F9" s="406"/>
      <c r="G9" s="406"/>
      <c r="H9" s="406"/>
      <c r="I9" s="406"/>
      <c r="J9" s="406"/>
      <c r="K9" s="406"/>
      <c r="L9" s="406"/>
      <c r="M9" s="704"/>
    </row>
    <row r="10" spans="1:13">
      <c r="A10" s="680">
        <f t="shared" si="0"/>
        <v>5</v>
      </c>
      <c r="B10" s="686"/>
      <c r="C10" s="677"/>
      <c r="D10" s="681"/>
      <c r="E10" s="681"/>
      <c r="F10" s="681"/>
      <c r="G10" s="681"/>
      <c r="H10" s="681"/>
      <c r="I10" s="681"/>
      <c r="J10" s="681"/>
      <c r="K10" s="681"/>
      <c r="L10" s="681"/>
      <c r="M10" s="704"/>
    </row>
    <row r="11" spans="1:13">
      <c r="A11" s="680">
        <f t="shared" si="0"/>
        <v>6</v>
      </c>
      <c r="B11" s="686"/>
      <c r="C11" s="406"/>
      <c r="D11" s="406"/>
      <c r="E11" s="406"/>
      <c r="F11" s="406"/>
      <c r="G11" s="406"/>
      <c r="H11" s="406"/>
      <c r="I11" s="406"/>
      <c r="J11" s="406"/>
      <c r="K11" s="406"/>
      <c r="L11" s="406"/>
      <c r="M11" s="704"/>
    </row>
    <row r="12" spans="1:13">
      <c r="A12" s="680">
        <f t="shared" si="0"/>
        <v>7</v>
      </c>
      <c r="B12" s="687"/>
      <c r="C12" s="678"/>
      <c r="D12" s="406"/>
      <c r="E12" s="406"/>
      <c r="F12" s="406"/>
      <c r="G12" s="406"/>
      <c r="H12" s="406"/>
      <c r="I12" s="406"/>
      <c r="J12" s="406"/>
      <c r="K12" s="406"/>
      <c r="L12" s="406"/>
      <c r="M12" s="704"/>
    </row>
    <row r="13" spans="1:13">
      <c r="A13" s="680">
        <f t="shared" si="0"/>
        <v>8</v>
      </c>
      <c r="B13" s="687"/>
      <c r="C13" s="677"/>
      <c r="D13" s="406"/>
      <c r="E13" s="406"/>
      <c r="F13" s="406"/>
      <c r="G13" s="406"/>
      <c r="H13" s="406"/>
      <c r="I13" s="406"/>
      <c r="J13" s="406"/>
      <c r="K13" s="406"/>
      <c r="L13" s="406"/>
      <c r="M13" s="704"/>
    </row>
    <row r="14" spans="1:13">
      <c r="A14" s="680">
        <f t="shared" si="0"/>
        <v>9</v>
      </c>
      <c r="B14" s="687"/>
      <c r="C14" s="677"/>
      <c r="D14" s="406"/>
      <c r="E14" s="406"/>
      <c r="F14" s="406"/>
      <c r="G14" s="406"/>
      <c r="H14" s="406"/>
      <c r="I14" s="406"/>
      <c r="J14" s="406"/>
      <c r="K14" s="406"/>
      <c r="L14" s="406"/>
      <c r="M14" s="704"/>
    </row>
    <row r="15" spans="1:13">
      <c r="A15" s="680">
        <f t="shared" si="0"/>
        <v>10</v>
      </c>
      <c r="B15" s="686"/>
      <c r="C15" s="678"/>
      <c r="D15" s="682"/>
      <c r="E15" s="682"/>
      <c r="F15" s="682"/>
      <c r="G15" s="682"/>
      <c r="H15" s="682"/>
      <c r="I15" s="682"/>
      <c r="J15" s="682"/>
      <c r="K15" s="682"/>
      <c r="L15" s="682"/>
      <c r="M15" s="704"/>
    </row>
    <row r="16" spans="1:13">
      <c r="A16" s="680">
        <f t="shared" si="0"/>
        <v>11</v>
      </c>
      <c r="B16" s="687"/>
      <c r="C16" s="677"/>
      <c r="D16" s="406"/>
      <c r="E16" s="406"/>
      <c r="F16" s="406"/>
      <c r="G16" s="406"/>
      <c r="H16" s="406"/>
      <c r="I16" s="406"/>
      <c r="J16" s="406"/>
      <c r="K16" s="406"/>
      <c r="L16" s="406"/>
      <c r="M16" s="704"/>
    </row>
    <row r="17" spans="1:13">
      <c r="A17" s="680">
        <f t="shared" si="0"/>
        <v>12</v>
      </c>
      <c r="B17" s="688"/>
      <c r="C17" s="479"/>
      <c r="D17" s="683"/>
      <c r="E17" s="683"/>
      <c r="F17" s="683"/>
      <c r="G17" s="683"/>
      <c r="H17" s="683"/>
      <c r="I17" s="683"/>
      <c r="J17" s="683"/>
      <c r="K17" s="683"/>
      <c r="L17" s="683"/>
      <c r="M17" s="704"/>
    </row>
    <row r="18" spans="1:13">
      <c r="A18" s="680">
        <f t="shared" si="0"/>
        <v>13</v>
      </c>
      <c r="B18" s="688"/>
      <c r="C18" s="479"/>
      <c r="D18" s="683"/>
      <c r="E18" s="683"/>
      <c r="F18" s="683"/>
      <c r="G18" s="683"/>
      <c r="H18" s="683"/>
      <c r="I18" s="683"/>
      <c r="J18" s="683"/>
      <c r="K18" s="683"/>
      <c r="L18" s="683"/>
      <c r="M18" s="704"/>
    </row>
    <row r="19" spans="1:13">
      <c r="A19" s="757">
        <f t="shared" si="0"/>
        <v>14</v>
      </c>
      <c r="B19" s="753" t="s">
        <v>1024</v>
      </c>
      <c r="C19" s="754"/>
      <c r="D19" s="755">
        <f>SUM(D6:D18)</f>
        <v>1075230.48196</v>
      </c>
      <c r="E19" s="758"/>
      <c r="F19" s="755">
        <f>SUM(F6:F18)</f>
        <v>536581.72370090929</v>
      </c>
      <c r="G19" s="754">
        <f>SUM(G6:G18)</f>
        <v>46275.507974467233</v>
      </c>
      <c r="H19" s="759">
        <f>SUM(H6:H18)</f>
        <v>25480.64092174271</v>
      </c>
      <c r="I19" s="759">
        <f>SUM(I6:I18)</f>
        <v>14289.699045442763</v>
      </c>
      <c r="J19" s="756"/>
      <c r="K19" s="759">
        <f>SUM(K6:K18)</f>
        <v>538648.75825909071</v>
      </c>
      <c r="L19" s="759">
        <f>SUM(L6:L18)</f>
        <v>26487.097081186239</v>
      </c>
      <c r="M19" s="759">
        <f>SUM(M6:M18)</f>
        <v>112532.94502283895</v>
      </c>
    </row>
    <row r="20" spans="1:13">
      <c r="A20" s="35"/>
      <c r="B20" s="34"/>
      <c r="C20" s="34"/>
      <c r="D20" s="34"/>
    </row>
  </sheetData>
  <pageMargins left="0.7" right="0.7" top="0.75" bottom="0.75" header="0.3" footer="0.3"/>
  <pageSetup scale="61" fitToHeight="0" orientation="landscape" r:id="rId1"/>
  <headerFooter>
    <oddFooter>&amp;R&amp;A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view="pageBreakPreview" zoomScale="130" zoomScaleNormal="100" zoomScaleSheetLayoutView="130" workbookViewId="0">
      <selection activeCell="A4" sqref="A4"/>
    </sheetView>
  </sheetViews>
  <sheetFormatPr defaultColWidth="9.1796875" defaultRowHeight="13"/>
  <cols>
    <col min="1" max="1" width="22.1796875" style="351" customWidth="1"/>
    <col min="2" max="2" width="19.26953125" style="351" bestFit="1" customWidth="1"/>
    <col min="3" max="3" width="76.1796875" style="351" bestFit="1" customWidth="1"/>
    <col min="4" max="4" width="27.81640625" style="351" hidden="1" customWidth="1"/>
    <col min="5" max="5" width="22" style="570" customWidth="1"/>
    <col min="6" max="6" width="16.54296875" style="351" customWidth="1"/>
    <col min="7" max="7" width="15" style="571" customWidth="1"/>
    <col min="8" max="8" width="17.1796875" style="351" customWidth="1"/>
    <col min="9" max="9" width="16.453125" style="572" customWidth="1"/>
    <col min="10" max="10" width="12.7265625" style="351" bestFit="1" customWidth="1"/>
    <col min="11" max="11" width="11.54296875" style="351" bestFit="1" customWidth="1"/>
    <col min="12" max="16384" width="9.1796875" style="351"/>
  </cols>
  <sheetData>
    <row r="1" spans="1:14">
      <c r="A1" s="347" t="str">
        <f>'Cover Sheets'!A10:B10</f>
        <v>WAPA-UGP 2020 Rate Estimate Calculation</v>
      </c>
      <c r="B1" s="423" t="s">
        <v>2435</v>
      </c>
      <c r="C1" s="736"/>
      <c r="D1" s="353"/>
      <c r="E1" s="578"/>
      <c r="F1" s="353"/>
      <c r="G1" s="558"/>
      <c r="H1" s="353"/>
      <c r="I1" s="559"/>
    </row>
    <row r="2" spans="1:14">
      <c r="A2" s="795" t="s">
        <v>2590</v>
      </c>
      <c r="B2" s="793"/>
      <c r="C2" s="354"/>
      <c r="D2" s="354"/>
      <c r="E2" s="576"/>
      <c r="F2" s="354"/>
      <c r="G2" s="542"/>
      <c r="H2" s="354"/>
      <c r="I2" s="543"/>
    </row>
    <row r="3" spans="1:14">
      <c r="A3" s="355" t="str">
        <f>'Summary-ATRR'!A3</f>
        <v>12 Months Ending 09/30/2020 ESTIMATE</v>
      </c>
      <c r="B3" s="794"/>
      <c r="C3" s="354"/>
      <c r="D3" s="354"/>
      <c r="E3" s="576"/>
      <c r="F3" s="354"/>
      <c r="G3" s="542"/>
      <c r="H3" s="354"/>
      <c r="I3" s="543"/>
    </row>
    <row r="4" spans="1:14" s="3" customFormat="1" ht="52">
      <c r="A4" s="729" t="s">
        <v>2444</v>
      </c>
      <c r="B4" s="750" t="s">
        <v>1</v>
      </c>
      <c r="C4" s="751" t="s">
        <v>2</v>
      </c>
      <c r="D4" s="534" t="s">
        <v>954</v>
      </c>
      <c r="E4" s="747" t="s">
        <v>955</v>
      </c>
      <c r="F4" s="747" t="s">
        <v>2502</v>
      </c>
      <c r="G4" s="748" t="s">
        <v>2507</v>
      </c>
      <c r="H4" s="748" t="s">
        <v>2508</v>
      </c>
      <c r="I4" s="749" t="s">
        <v>2445</v>
      </c>
      <c r="J4" s="8"/>
      <c r="N4" s="8"/>
    </row>
    <row r="5" spans="1:14" ht="13.5" thickBot="1">
      <c r="A5" s="730"/>
      <c r="B5" s="731" t="s">
        <v>2470</v>
      </c>
      <c r="C5" s="724" t="s">
        <v>2471</v>
      </c>
      <c r="D5" s="510" t="s">
        <v>2392</v>
      </c>
      <c r="E5" s="327">
        <v>0</v>
      </c>
      <c r="F5" s="327">
        <f>'WS8-TranFac'!F217</f>
        <v>7671000</v>
      </c>
      <c r="G5" s="452">
        <f>G25</f>
        <v>1029806.48196</v>
      </c>
      <c r="H5" s="452">
        <f>I25</f>
        <v>6641193.5080400007</v>
      </c>
      <c r="I5" s="518">
        <f>G5+H5</f>
        <v>7670999.9900000002</v>
      </c>
      <c r="J5" s="674"/>
      <c r="L5" s="11"/>
      <c r="M5" s="11"/>
      <c r="N5" s="15"/>
    </row>
    <row r="6" spans="1:14">
      <c r="A6" s="523"/>
      <c r="B6" s="731" t="s">
        <v>2515</v>
      </c>
      <c r="C6" s="738" t="s">
        <v>2516</v>
      </c>
      <c r="D6" s="726" t="s">
        <v>1486</v>
      </c>
      <c r="E6" s="727">
        <f>SUM(E4:E4)</f>
        <v>0</v>
      </c>
      <c r="F6" s="728">
        <v>136000</v>
      </c>
      <c r="G6" s="449">
        <f>G11</f>
        <v>45424</v>
      </c>
      <c r="H6" s="728">
        <f>I11</f>
        <v>90576</v>
      </c>
      <c r="I6" s="741">
        <f>G6+H6</f>
        <v>136000</v>
      </c>
      <c r="J6" s="14"/>
      <c r="K6" s="719"/>
      <c r="L6" s="11"/>
      <c r="M6" s="11"/>
      <c r="N6" s="15"/>
    </row>
    <row r="7" spans="1:14">
      <c r="A7" s="523"/>
      <c r="B7" s="731"/>
      <c r="C7" s="724" t="s">
        <v>952</v>
      </c>
      <c r="D7" s="510" t="s">
        <v>1486</v>
      </c>
      <c r="E7" s="327">
        <f>SUM(E5:E6)</f>
        <v>0</v>
      </c>
      <c r="F7" s="660">
        <f>SUM(F5:F6)</f>
        <v>7807000</v>
      </c>
      <c r="G7" s="452">
        <f>SUM(G5:G6)</f>
        <v>1075230.48196</v>
      </c>
      <c r="H7" s="452">
        <f>SUM(H5:H6)</f>
        <v>6731769.5080400007</v>
      </c>
      <c r="I7" s="725">
        <f>SUM(I5:I6)</f>
        <v>7806999.9900000002</v>
      </c>
      <c r="J7" s="14"/>
      <c r="K7" s="674"/>
      <c r="L7" s="11"/>
      <c r="M7" s="11"/>
      <c r="N7" s="15"/>
    </row>
    <row r="8" spans="1:14" ht="14.25" customHeight="1">
      <c r="A8" s="531" t="s">
        <v>2446</v>
      </c>
      <c r="B8" s="737" t="s">
        <v>1</v>
      </c>
      <c r="C8" s="533" t="s">
        <v>2</v>
      </c>
      <c r="D8" s="534" t="s">
        <v>2400</v>
      </c>
      <c r="E8" s="535" t="s">
        <v>2398</v>
      </c>
      <c r="F8" s="536" t="s">
        <v>2472</v>
      </c>
      <c r="G8" s="537" t="s">
        <v>2473</v>
      </c>
      <c r="H8" s="425" t="s">
        <v>2509</v>
      </c>
      <c r="I8" s="538" t="s">
        <v>2510</v>
      </c>
    </row>
    <row r="9" spans="1:14" ht="12.75" customHeight="1">
      <c r="A9" s="531"/>
      <c r="B9" s="731" t="s">
        <v>2515</v>
      </c>
      <c r="C9" s="739" t="s">
        <v>2520</v>
      </c>
      <c r="D9" s="534"/>
      <c r="E9" s="740">
        <v>20000</v>
      </c>
      <c r="F9" s="541">
        <v>0.33400000000000002</v>
      </c>
      <c r="G9" s="542">
        <f t="shared" ref="G9" si="0">F9*E9</f>
        <v>6680</v>
      </c>
      <c r="H9" s="541">
        <v>0.66600000000000004</v>
      </c>
      <c r="I9" s="543">
        <f>E9*H9</f>
        <v>13320</v>
      </c>
    </row>
    <row r="10" spans="1:14" ht="12.75" customHeight="1">
      <c r="A10" s="531"/>
      <c r="B10" s="731" t="s">
        <v>2515</v>
      </c>
      <c r="C10" s="739" t="s">
        <v>2521</v>
      </c>
      <c r="D10" s="534"/>
      <c r="E10" s="740">
        <v>116000</v>
      </c>
      <c r="F10" s="541">
        <v>0.33400000000000002</v>
      </c>
      <c r="G10" s="542">
        <f t="shared" ref="G10:G24" si="1">F10*E10</f>
        <v>38744</v>
      </c>
      <c r="H10" s="541">
        <v>0.66600000000000004</v>
      </c>
      <c r="I10" s="543">
        <f>E10*H10</f>
        <v>77256</v>
      </c>
    </row>
    <row r="11" spans="1:14" ht="13.5" thickBot="1">
      <c r="A11" s="539"/>
      <c r="B11" s="742"/>
      <c r="C11" s="746" t="s">
        <v>2517</v>
      </c>
      <c r="D11" s="545"/>
      <c r="E11" s="546">
        <f>SUM(E9:E10)</f>
        <v>136000</v>
      </c>
      <c r="F11" s="547"/>
      <c r="G11" s="548">
        <f>SUM(G9:G10)</f>
        <v>45424</v>
      </c>
      <c r="H11" s="547"/>
      <c r="I11" s="549">
        <f>SUM(I9:I10)</f>
        <v>90576</v>
      </c>
    </row>
    <row r="12" spans="1:14" ht="13.5" thickTop="1">
      <c r="A12" s="539"/>
      <c r="B12" s="539" t="s">
        <v>2470</v>
      </c>
      <c r="C12" s="539" t="s">
        <v>2476</v>
      </c>
      <c r="D12" s="510" t="s">
        <v>957</v>
      </c>
      <c r="E12" s="327">
        <v>456210.52</v>
      </c>
      <c r="F12" s="541">
        <v>0.33400000000000002</v>
      </c>
      <c r="G12" s="542">
        <f t="shared" si="1"/>
        <v>152374.31368000002</v>
      </c>
      <c r="H12" s="541">
        <v>0.66600000000000004</v>
      </c>
      <c r="I12" s="543">
        <f>E12*H12</f>
        <v>303836.20632000006</v>
      </c>
    </row>
    <row r="13" spans="1:14">
      <c r="A13" s="539"/>
      <c r="B13" s="539" t="s">
        <v>2470</v>
      </c>
      <c r="C13" s="539" t="s">
        <v>2477</v>
      </c>
      <c r="D13" s="510" t="s">
        <v>959</v>
      </c>
      <c r="E13" s="327">
        <v>261536.98</v>
      </c>
      <c r="F13" s="541">
        <v>0.33400000000000002</v>
      </c>
      <c r="G13" s="542">
        <f t="shared" si="1"/>
        <v>87353.351320000002</v>
      </c>
      <c r="H13" s="541">
        <v>0.66600000000000004</v>
      </c>
      <c r="I13" s="543">
        <f t="shared" ref="I13:I24" si="2">E13*H13</f>
        <v>174183.62868000002</v>
      </c>
    </row>
    <row r="14" spans="1:14">
      <c r="A14" s="539"/>
      <c r="B14" s="539" t="s">
        <v>2470</v>
      </c>
      <c r="C14" s="539" t="s">
        <v>2478</v>
      </c>
      <c r="D14" s="510" t="s">
        <v>959</v>
      </c>
      <c r="E14" s="327">
        <v>92393.1</v>
      </c>
      <c r="F14" s="541">
        <v>0.33400000000000002</v>
      </c>
      <c r="G14" s="542">
        <f t="shared" si="1"/>
        <v>30859.295400000003</v>
      </c>
      <c r="H14" s="541">
        <v>0.66600000000000004</v>
      </c>
      <c r="I14" s="543">
        <f t="shared" si="2"/>
        <v>61533.80460000001</v>
      </c>
    </row>
    <row r="15" spans="1:14">
      <c r="A15" s="539"/>
      <c r="B15" s="539" t="s">
        <v>2470</v>
      </c>
      <c r="C15" s="539" t="s">
        <v>2479</v>
      </c>
      <c r="D15" s="510" t="s">
        <v>962</v>
      </c>
      <c r="E15" s="327">
        <v>368804.87</v>
      </c>
      <c r="F15" s="541">
        <v>0.33400000000000002</v>
      </c>
      <c r="G15" s="542">
        <f t="shared" si="1"/>
        <v>123180.82658000001</v>
      </c>
      <c r="H15" s="541">
        <v>0.66600000000000004</v>
      </c>
      <c r="I15" s="543">
        <f t="shared" si="2"/>
        <v>245624.04342</v>
      </c>
    </row>
    <row r="16" spans="1:14">
      <c r="A16" s="539"/>
      <c r="B16" s="539" t="s">
        <v>2470</v>
      </c>
      <c r="C16" s="539" t="s">
        <v>2480</v>
      </c>
      <c r="D16" s="510" t="s">
        <v>957</v>
      </c>
      <c r="E16" s="327">
        <v>428624.46</v>
      </c>
      <c r="F16" s="541">
        <v>0.33400000000000002</v>
      </c>
      <c r="G16" s="542">
        <f t="shared" si="1"/>
        <v>143160.56964</v>
      </c>
      <c r="H16" s="541">
        <v>0.66600000000000004</v>
      </c>
      <c r="I16" s="543">
        <f t="shared" si="2"/>
        <v>285463.89036000002</v>
      </c>
    </row>
    <row r="17" spans="1:9">
      <c r="A17" s="539"/>
      <c r="B17" s="539" t="s">
        <v>2470</v>
      </c>
      <c r="C17" s="539" t="s">
        <v>2481</v>
      </c>
      <c r="D17" s="510" t="s">
        <v>2303</v>
      </c>
      <c r="E17" s="327">
        <v>1475683.01</v>
      </c>
      <c r="F17" s="541">
        <v>0.33400000000000002</v>
      </c>
      <c r="G17" s="542">
        <f t="shared" si="1"/>
        <v>492878.12534000003</v>
      </c>
      <c r="H17" s="541">
        <v>0.66600000000000004</v>
      </c>
      <c r="I17" s="543">
        <f t="shared" si="2"/>
        <v>982804.8846600001</v>
      </c>
    </row>
    <row r="18" spans="1:9">
      <c r="A18" s="539"/>
      <c r="B18" s="539" t="s">
        <v>2470</v>
      </c>
      <c r="C18" s="539" t="s">
        <v>2474</v>
      </c>
      <c r="D18" s="510" t="s">
        <v>2303</v>
      </c>
      <c r="E18" s="327">
        <v>440315.06</v>
      </c>
      <c r="F18" s="541">
        <v>0</v>
      </c>
      <c r="G18" s="542">
        <f t="shared" si="1"/>
        <v>0</v>
      </c>
      <c r="H18" s="541">
        <v>1</v>
      </c>
      <c r="I18" s="543">
        <f t="shared" si="2"/>
        <v>440315.06</v>
      </c>
    </row>
    <row r="19" spans="1:9">
      <c r="A19" s="539"/>
      <c r="B19" s="539" t="s">
        <v>2470</v>
      </c>
      <c r="C19" s="539" t="s">
        <v>2475</v>
      </c>
      <c r="D19" s="510" t="s">
        <v>964</v>
      </c>
      <c r="E19" s="327">
        <v>176084.66</v>
      </c>
      <c r="F19" s="541">
        <v>0</v>
      </c>
      <c r="G19" s="542">
        <f t="shared" si="1"/>
        <v>0</v>
      </c>
      <c r="H19" s="541">
        <v>1</v>
      </c>
      <c r="I19" s="543">
        <f t="shared" si="2"/>
        <v>176084.66</v>
      </c>
    </row>
    <row r="20" spans="1:9">
      <c r="A20" s="539"/>
      <c r="B20" s="539" t="s">
        <v>2470</v>
      </c>
      <c r="C20" s="539" t="s">
        <v>2482</v>
      </c>
      <c r="D20" s="510" t="s">
        <v>959</v>
      </c>
      <c r="E20" s="327">
        <v>29460.94</v>
      </c>
      <c r="F20" s="541">
        <v>0</v>
      </c>
      <c r="G20" s="542">
        <f t="shared" si="1"/>
        <v>0</v>
      </c>
      <c r="H20" s="541">
        <v>1</v>
      </c>
      <c r="I20" s="543">
        <f t="shared" si="2"/>
        <v>29460.94</v>
      </c>
    </row>
    <row r="21" spans="1:9">
      <c r="A21" s="539"/>
      <c r="B21" s="539" t="s">
        <v>2470</v>
      </c>
      <c r="C21" s="539" t="s">
        <v>2483</v>
      </c>
      <c r="D21" s="510" t="s">
        <v>966</v>
      </c>
      <c r="E21" s="327">
        <v>614722.1</v>
      </c>
      <c r="F21" s="541">
        <v>0</v>
      </c>
      <c r="G21" s="542">
        <f t="shared" si="1"/>
        <v>0</v>
      </c>
      <c r="H21" s="541">
        <v>1</v>
      </c>
      <c r="I21" s="543">
        <f t="shared" si="2"/>
        <v>614722.1</v>
      </c>
    </row>
    <row r="22" spans="1:9">
      <c r="A22" s="539"/>
      <c r="B22" s="539" t="s">
        <v>2470</v>
      </c>
      <c r="C22" s="539" t="s">
        <v>2484</v>
      </c>
      <c r="D22" s="510" t="s">
        <v>967</v>
      </c>
      <c r="E22" s="327">
        <v>1363300.87</v>
      </c>
      <c r="F22" s="541">
        <v>0</v>
      </c>
      <c r="G22" s="542">
        <f t="shared" si="1"/>
        <v>0</v>
      </c>
      <c r="H22" s="541">
        <v>1</v>
      </c>
      <c r="I22" s="543">
        <f t="shared" si="2"/>
        <v>1363300.87</v>
      </c>
    </row>
    <row r="23" spans="1:9">
      <c r="A23" s="539"/>
      <c r="B23" s="539" t="s">
        <v>2470</v>
      </c>
      <c r="C23" s="539" t="s">
        <v>2485</v>
      </c>
      <c r="D23" s="510" t="s">
        <v>969</v>
      </c>
      <c r="E23" s="327">
        <v>581532.62</v>
      </c>
      <c r="F23" s="541">
        <v>0</v>
      </c>
      <c r="G23" s="542">
        <f t="shared" si="1"/>
        <v>0</v>
      </c>
      <c r="H23" s="541">
        <v>1</v>
      </c>
      <c r="I23" s="543">
        <f t="shared" si="2"/>
        <v>581532.62</v>
      </c>
    </row>
    <row r="24" spans="1:9">
      <c r="A24" s="539"/>
      <c r="B24" s="539" t="s">
        <v>2470</v>
      </c>
      <c r="C24" s="539" t="s">
        <v>2486</v>
      </c>
      <c r="D24" s="510" t="s">
        <v>970</v>
      </c>
      <c r="E24" s="327">
        <v>1382330.8</v>
      </c>
      <c r="F24" s="541">
        <v>0</v>
      </c>
      <c r="G24" s="542">
        <f t="shared" si="1"/>
        <v>0</v>
      </c>
      <c r="H24" s="541">
        <v>1</v>
      </c>
      <c r="I24" s="543">
        <f t="shared" si="2"/>
        <v>1382330.8</v>
      </c>
    </row>
    <row r="25" spans="1:9">
      <c r="A25" s="539"/>
      <c r="B25" s="742"/>
      <c r="C25" s="743" t="s">
        <v>2517</v>
      </c>
      <c r="D25" s="551"/>
      <c r="E25" s="552">
        <f>SUM(E12:E24)</f>
        <v>7670999.9900000002</v>
      </c>
      <c r="F25" s="553">
        <v>0</v>
      </c>
      <c r="G25" s="554">
        <f>SUM(G12:G24)</f>
        <v>1029806.48196</v>
      </c>
      <c r="H25" s="553"/>
      <c r="I25" s="555">
        <f>SUM(I12:I24)</f>
        <v>6641193.5080400007</v>
      </c>
    </row>
    <row r="26" spans="1:9" ht="13.5" thickBot="1">
      <c r="A26" s="784"/>
      <c r="B26" s="744"/>
      <c r="C26" s="745" t="s">
        <v>2518</v>
      </c>
      <c r="D26" s="545"/>
      <c r="E26" s="732">
        <f>E11+E25</f>
        <v>7806999.9900000002</v>
      </c>
      <c r="F26" s="545"/>
      <c r="G26" s="732">
        <f>G11+G25</f>
        <v>1075230.48196</v>
      </c>
      <c r="H26" s="545"/>
      <c r="I26" s="785">
        <f>I11+I25</f>
        <v>6731769.5080400007</v>
      </c>
    </row>
    <row r="27" spans="1:9" ht="13.5" thickTop="1">
      <c r="A27" s="355"/>
      <c r="B27" s="355"/>
      <c r="C27" s="355"/>
      <c r="D27" s="354"/>
      <c r="E27" s="576"/>
      <c r="F27" s="354"/>
      <c r="G27" s="542"/>
      <c r="H27" s="354"/>
      <c r="I27" s="543"/>
    </row>
    <row r="28" spans="1:9">
      <c r="A28" s="355"/>
      <c r="B28" s="355"/>
      <c r="C28" s="355"/>
      <c r="D28" s="354"/>
      <c r="E28" s="576"/>
      <c r="F28" s="354"/>
      <c r="G28" s="542"/>
      <c r="H28" s="354"/>
      <c r="I28" s="543"/>
    </row>
    <row r="29" spans="1:9">
      <c r="A29" s="355"/>
      <c r="B29" s="355"/>
      <c r="C29" s="355"/>
      <c r="D29" s="354"/>
      <c r="E29" s="576"/>
      <c r="F29" s="354"/>
      <c r="G29" s="542"/>
      <c r="H29" s="354"/>
      <c r="I29" s="543"/>
    </row>
    <row r="30" spans="1:9">
      <c r="A30" s="355"/>
      <c r="B30" s="355"/>
      <c r="C30" s="355"/>
      <c r="D30" s="354"/>
      <c r="E30" s="576"/>
      <c r="F30" s="354"/>
      <c r="G30" s="542"/>
      <c r="H30" s="354"/>
      <c r="I30" s="543"/>
    </row>
    <row r="31" spans="1:9" ht="13.5" thickBot="1">
      <c r="A31" s="564"/>
      <c r="B31" s="564"/>
      <c r="C31" s="564"/>
      <c r="D31" s="379"/>
      <c r="E31" s="733"/>
      <c r="F31" s="379"/>
      <c r="G31" s="734"/>
      <c r="H31" s="379"/>
      <c r="I31" s="735"/>
    </row>
  </sheetData>
  <pageMargins left="0.7" right="0.7" top="0.75" bottom="0.75" header="0.3" footer="0.3"/>
  <pageSetup scale="59" fitToHeight="0" orientation="landscape" r:id="rId1"/>
  <headerFooter>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9</vt:i4>
      </vt:variant>
    </vt:vector>
  </HeadingPairs>
  <TitlesOfParts>
    <vt:vector size="26" baseType="lpstr">
      <vt:lpstr>Cover Sheets</vt:lpstr>
      <vt:lpstr>Summary-ATRR</vt:lpstr>
      <vt:lpstr>WS1-RateBase</vt:lpstr>
      <vt:lpstr>WS2-AllocFactor</vt:lpstr>
      <vt:lpstr>WS3-RevCredits</vt:lpstr>
      <vt:lpstr>WS4-CostData</vt:lpstr>
      <vt:lpstr>WS5-BPUz</vt:lpstr>
      <vt:lpstr>WS6-BPUr</vt:lpstr>
      <vt:lpstr>WS7-BPUFac</vt:lpstr>
      <vt:lpstr>WS8-TranFac</vt:lpstr>
      <vt:lpstr>WS9-AI-Incl</vt:lpstr>
      <vt:lpstr>WS10-AI-Excl</vt:lpstr>
      <vt:lpstr>WS11-FacChanges</vt:lpstr>
      <vt:lpstr>WS12-SSCD</vt:lpstr>
      <vt:lpstr>WS13-SSCDFac</vt:lpstr>
      <vt:lpstr>WS14-Reg</vt:lpstr>
      <vt:lpstr>WS15-Res</vt:lpstr>
      <vt:lpstr>'WS11-FacChanges'!Print_Area</vt:lpstr>
      <vt:lpstr>'WS12-SSCD'!Print_Area</vt:lpstr>
      <vt:lpstr>'WS14-Reg'!Print_Area</vt:lpstr>
      <vt:lpstr>'WS15-Res'!Print_Area</vt:lpstr>
      <vt:lpstr>'WS1-RateBase'!Print_Area</vt:lpstr>
      <vt:lpstr>'WS5-BPUz'!Print_Area</vt:lpstr>
      <vt:lpstr>'WS6-BPUr'!Print_Area</vt:lpstr>
      <vt:lpstr>'WS7-BPUFac'!Print_Area</vt:lpstr>
      <vt:lpstr>'WS8-TranFac'!Print_Area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Baker, Sara</dc:creator>
  <cp:lastModifiedBy>Sanders, Steven</cp:lastModifiedBy>
  <cp:lastPrinted>2019-10-21T19:18:17Z</cp:lastPrinted>
  <dcterms:created xsi:type="dcterms:W3CDTF">2016-09-02T16:44:11Z</dcterms:created>
  <dcterms:modified xsi:type="dcterms:W3CDTF">2019-10-22T02:49:41Z</dcterms:modified>
</cp:coreProperties>
</file>