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wapa.sharepoint.com/sites/GEN-CRSPRMRUGPRTORateProcess/Shared Documents/General/UGP-218/RTO Final Rate Templates/"/>
    </mc:Choice>
  </mc:AlternateContent>
  <xr:revisionPtr revIDLastSave="3" documentId="13_ncr:1_{12062EF2-66B1-4541-AACA-F7C6696111E2}" xr6:coauthVersionLast="47" xr6:coauthVersionMax="47" xr10:uidLastSave="{2800C72C-323D-433F-A0D2-635188979F58}"/>
  <bookViews>
    <workbookView xWindow="-120" yWindow="-120" windowWidth="29040" windowHeight="15720" tabRatio="826" firstSheet="1" activeTab="1" xr2:uid="{00000000-000D-0000-FFFF-FFFF00000000}"/>
  </bookViews>
  <sheets>
    <sheet name="Cover Sheets" sheetId="29" r:id="rId1"/>
    <sheet name="Summary-Est" sheetId="32" r:id="rId2"/>
    <sheet name="Rev Log" sheetId="31" r:id="rId3"/>
    <sheet name="WS1-ATRR RateBase" sheetId="36" r:id="rId4"/>
    <sheet name="WS2-RevCredits" sheetId="25" r:id="rId5"/>
    <sheet name="WS3-CostData" sheetId="35" r:id="rId6"/>
    <sheet name="WS4-TransFac" sheetId="1" r:id="rId7"/>
    <sheet name="WS5-FacDetail" sheetId="5" r:id="rId8"/>
    <sheet name="WS6-AI Detail" sheetId="39" r:id="rId9"/>
    <sheet name="WS7-IMEU" sheetId="41" r:id="rId10"/>
  </sheets>
  <definedNames>
    <definedName name="Act14_ActRegRevRqmt" localSheetId="0">#REF!</definedName>
    <definedName name="Act14_ActRegRevRqmt" localSheetId="2">#REF!</definedName>
    <definedName name="Act14_ActRegRevRqmt" localSheetId="3">#REF!</definedName>
    <definedName name="Act14_ActRegRevRqmt" localSheetId="4">#REF!</definedName>
    <definedName name="Act14_ActRegRevRqmt" localSheetId="8">#REF!</definedName>
    <definedName name="Act14_ActRegRevRqmt" localSheetId="9">'WS7-IMEU'!#REF!</definedName>
    <definedName name="Act14_ActRegRevRqmt">#REF!</definedName>
    <definedName name="Act14_AveControlAreaLoad" localSheetId="2">#REF!</definedName>
    <definedName name="Act14_AveControlAreaLoad" localSheetId="8">#REF!</definedName>
    <definedName name="Act14_AveControlAreaLoad" localSheetId="9">'WS7-IMEU'!#REF!</definedName>
    <definedName name="Act14_AveControlAreaLoad">#REF!</definedName>
    <definedName name="Act14_BOR_AccumDepr" localSheetId="2">#REF!</definedName>
    <definedName name="Act14_BOR_AccumDepr" localSheetId="8">#REF!</definedName>
    <definedName name="Act14_BOR_AccumDepr" localSheetId="9">'WS7-IMEU'!#REF!</definedName>
    <definedName name="Act14_BOR_AccumDepr">#REF!</definedName>
    <definedName name="Act14_BOR_DeprExp" localSheetId="2">#REF!</definedName>
    <definedName name="Act14_BOR_DeprExp" localSheetId="8">#REF!</definedName>
    <definedName name="Act14_BOR_DeprExp" localSheetId="9">'WS7-IMEU'!#REF!</definedName>
    <definedName name="Act14_BOR_DeprExp">#REF!</definedName>
    <definedName name="Act14_BOR_LTDebt" localSheetId="2">#REF!</definedName>
    <definedName name="Act14_BOR_LTDebt" localSheetId="8">#REF!</definedName>
    <definedName name="Act14_BOR_LTDebt" localSheetId="9">'WS7-IMEU'!#REF!</definedName>
    <definedName name="Act14_BOR_LTDebt">#REF!</definedName>
    <definedName name="Act14_BOR_LTInt" localSheetId="2">#REF!</definedName>
    <definedName name="Act14_BOR_LTInt" localSheetId="8">#REF!</definedName>
    <definedName name="Act14_BOR_LTInt" localSheetId="9">'WS7-IMEU'!#REF!</definedName>
    <definedName name="Act14_BOR_LTInt">#REF!</definedName>
    <definedName name="Act14_BOR_OM" localSheetId="2">#REF!</definedName>
    <definedName name="Act14_BOR_OM" localSheetId="8">#REF!</definedName>
    <definedName name="Act14_BOR_OM" localSheetId="9">'WS7-IMEU'!#REF!</definedName>
    <definedName name="Act14_BOR_OM">#REF!</definedName>
    <definedName name="Act14_BOR_Plant" localSheetId="2">#REF!</definedName>
    <definedName name="Act14_BOR_Plant" localSheetId="8">#REF!</definedName>
    <definedName name="Act14_BOR_Plant" localSheetId="9">'WS7-IMEU'!#REF!</definedName>
    <definedName name="Act14_BOR_Plant">#REF!</definedName>
    <definedName name="Act14_BxPS_BEFP_1411" localSheetId="2">#REF!</definedName>
    <definedName name="Act14_BxPS_BEFP_1411" localSheetId="8">#REF!</definedName>
    <definedName name="Act14_BxPS_BEFP_1411" localSheetId="9">'WS7-IMEU'!#REF!</definedName>
    <definedName name="Act14_BxPS_BEFP_1411">#REF!</definedName>
    <definedName name="Act14_BxPS_BEFP_1412" localSheetId="2">#REF!</definedName>
    <definedName name="Act14_BxPS_BEFP_1412" localSheetId="8">#REF!</definedName>
    <definedName name="Act14_BxPS_BEFP_1412" localSheetId="9">'WS7-IMEU'!#REF!</definedName>
    <definedName name="Act14_BxPS_BEFP_1412">#REF!</definedName>
    <definedName name="Act14_BxPS_BEFP_1415" localSheetId="2">#REF!</definedName>
    <definedName name="Act14_BxPS_BEFP_1415" localSheetId="8">#REF!</definedName>
    <definedName name="Act14_BxPS_BEFP_1415" localSheetId="9">'WS7-IMEU'!#REF!</definedName>
    <definedName name="Act14_BxPS_BEFP_1415">#REF!</definedName>
    <definedName name="Act14_BxPS_BEFP_1416" localSheetId="2">#REF!</definedName>
    <definedName name="Act14_BxPS_BEFP_1416" localSheetId="8">#REF!</definedName>
    <definedName name="Act14_BxPS_BEFP_1416" localSheetId="9">'WS7-IMEU'!#REF!</definedName>
    <definedName name="Act14_BxPS_BEFP_1416">#REF!</definedName>
    <definedName name="Act14_BxPS_BEFP_1421" localSheetId="2">#REF!</definedName>
    <definedName name="Act14_BxPS_BEFP_1421" localSheetId="8">#REF!</definedName>
    <definedName name="Act14_BxPS_BEFP_1421" localSheetId="9">'WS7-IMEU'!#REF!</definedName>
    <definedName name="Act14_BxPS_BEFP_1421">#REF!</definedName>
    <definedName name="Act14_BxPS_BEFP_1422" localSheetId="2">#REF!</definedName>
    <definedName name="Act14_BxPS_BEFP_1422" localSheetId="8">#REF!</definedName>
    <definedName name="Act14_BxPS_BEFP_1422" localSheetId="9">'WS7-IMEU'!#REF!</definedName>
    <definedName name="Act14_BxPS_BEFP_1422">#REF!</definedName>
    <definedName name="Act14_BxPS_BEFP_1425" localSheetId="2">#REF!</definedName>
    <definedName name="Act14_BxPS_BEFP_1425" localSheetId="8">#REF!</definedName>
    <definedName name="Act14_BxPS_BEFP_1425" localSheetId="9">'WS7-IMEU'!#REF!</definedName>
    <definedName name="Act14_BxPS_BEFP_1425">#REF!</definedName>
    <definedName name="Act14_BxPS_BEFP_1426" localSheetId="2">#REF!</definedName>
    <definedName name="Act14_BxPS_BEFP_1426" localSheetId="8">#REF!</definedName>
    <definedName name="Act14_BxPS_BEFP_1426" localSheetId="9">'WS7-IMEU'!#REF!</definedName>
    <definedName name="Act14_BxPS_BEFP_1426">#REF!</definedName>
    <definedName name="Act14_BxPS_BEFP_1431" localSheetId="2">#REF!</definedName>
    <definedName name="Act14_BxPS_BEFP_1431" localSheetId="8">#REF!</definedName>
    <definedName name="Act14_BxPS_BEFP_1431" localSheetId="9">'WS7-IMEU'!#REF!</definedName>
    <definedName name="Act14_BxPS_BEFP_1431">#REF!</definedName>
    <definedName name="Act14_BxPS_BEFP_1432" localSheetId="2">#REF!</definedName>
    <definedName name="Act14_BxPS_BEFP_1432" localSheetId="8">#REF!</definedName>
    <definedName name="Act14_BxPS_BEFP_1432" localSheetId="9">'WS7-IMEU'!#REF!</definedName>
    <definedName name="Act14_BxPS_BEFP_1432">#REF!</definedName>
    <definedName name="Act14_BxPS_BEFP_1441" localSheetId="2">#REF!</definedName>
    <definedName name="Act14_BxPS_BEFP_1441" localSheetId="8">#REF!</definedName>
    <definedName name="Act14_BxPS_BEFP_1441" localSheetId="9">'WS7-IMEU'!#REF!</definedName>
    <definedName name="Act14_BxPS_BEFP_1441">#REF!</definedName>
    <definedName name="Act14_BxPS_BEFP_1442" localSheetId="2">#REF!</definedName>
    <definedName name="Act14_BxPS_BEFP_1442" localSheetId="8">#REF!</definedName>
    <definedName name="Act14_BxPS_BEFP_1442" localSheetId="9">'WS7-IMEU'!#REF!</definedName>
    <definedName name="Act14_BxPS_BEFP_1442">#REF!</definedName>
    <definedName name="Act14_BxPS_BEFP_AccumDepr" localSheetId="2">#REF!</definedName>
    <definedName name="Act14_BxPS_BEFP_AccumDepr" localSheetId="8">#REF!</definedName>
    <definedName name="Act14_BxPS_BEFP_AccumDepr" localSheetId="9">'WS7-IMEU'!#REF!</definedName>
    <definedName name="Act14_BxPS_BEFP_AccumDepr">#REF!</definedName>
    <definedName name="Act14_BxPS_BEFP_Additions" localSheetId="2">#REF!</definedName>
    <definedName name="Act14_BxPS_BEFP_Additions" localSheetId="8">#REF!</definedName>
    <definedName name="Act14_BxPS_BEFP_Additions" localSheetId="9">'WS7-IMEU'!#REF!</definedName>
    <definedName name="Act14_BxPS_BEFP_Additions">#REF!</definedName>
    <definedName name="Act14_BxPS_BEFP_AdjTrans" localSheetId="2">#REF!</definedName>
    <definedName name="Act14_BxPS_BEFP_AdjTrans" localSheetId="8">#REF!</definedName>
    <definedName name="Act14_BxPS_BEFP_AdjTrans" localSheetId="9">'WS7-IMEU'!#REF!</definedName>
    <definedName name="Act14_BxPS_BEFP_AdjTrans">#REF!</definedName>
    <definedName name="Act14_BxPS_BEFP_AGExp" localSheetId="2">#REF!</definedName>
    <definedName name="Act14_BxPS_BEFP_AGExp" localSheetId="8">#REF!</definedName>
    <definedName name="Act14_BxPS_BEFP_AGExp" localSheetId="9">'WS7-IMEU'!#REF!</definedName>
    <definedName name="Act14_BxPS_BEFP_AGExp">#REF!</definedName>
    <definedName name="Act14_BxPS_BEFP_CME" localSheetId="2">#REF!</definedName>
    <definedName name="Act14_BxPS_BEFP_CME" localSheetId="8">#REF!</definedName>
    <definedName name="Act14_BxPS_BEFP_CME" localSheetId="9">'WS7-IMEU'!#REF!</definedName>
    <definedName name="Act14_BxPS_BEFP_CME">#REF!</definedName>
    <definedName name="Act14_BxPS_BEFP_DepMOVP" localSheetId="2">#REF!</definedName>
    <definedName name="Act14_BxPS_BEFP_DepMOVP" localSheetId="8">#REF!</definedName>
    <definedName name="Act14_BxPS_BEFP_DepMOVP" localSheetId="9">'WS7-IMEU'!#REF!</definedName>
    <definedName name="Act14_BxPS_BEFP_DepMOVP">#REF!</definedName>
    <definedName name="Act14_BxPS_BEFP_DeprExp" localSheetId="2">#REF!</definedName>
    <definedName name="Act14_BxPS_BEFP_DeprExp" localSheetId="8">#REF!</definedName>
    <definedName name="Act14_BxPS_BEFP_DeprExp" localSheetId="9">'WS7-IMEU'!#REF!</definedName>
    <definedName name="Act14_BxPS_BEFP_DeprExp">#REF!</definedName>
    <definedName name="Act14_BxPS_BEFP_DispofAssets" localSheetId="2">#REF!</definedName>
    <definedName name="Act14_BxPS_BEFP_DispofAssets" localSheetId="8">#REF!</definedName>
    <definedName name="Act14_BxPS_BEFP_DispofAssets" localSheetId="9">'WS7-IMEU'!#REF!</definedName>
    <definedName name="Act14_BxPS_BEFP_DispofAssets">#REF!</definedName>
    <definedName name="Act14_BxPS_BEFP_GenAccumDepr" localSheetId="2">#REF!</definedName>
    <definedName name="Act14_BxPS_BEFP_GenAccumDepr" localSheetId="8">#REF!</definedName>
    <definedName name="Act14_BxPS_BEFP_GenAccumDepr" localSheetId="9">'WS7-IMEU'!#REF!</definedName>
    <definedName name="Act14_BxPS_BEFP_GenAccumDepr">#REF!</definedName>
    <definedName name="Act14_BxPS_BEFP_GenPlant" localSheetId="2">#REF!</definedName>
    <definedName name="Act14_BxPS_BEFP_GenPlant" localSheetId="8">#REF!</definedName>
    <definedName name="Act14_BxPS_BEFP_GenPlant" localSheetId="9">'WS7-IMEU'!#REF!</definedName>
    <definedName name="Act14_BxPS_BEFP_GenPlant">#REF!</definedName>
    <definedName name="Act14_BxPS_BEFP_LTDebt" localSheetId="2">#REF!</definedName>
    <definedName name="Act14_BxPS_BEFP_LTDebt" localSheetId="8">#REF!</definedName>
    <definedName name="Act14_BxPS_BEFP_LTDebt" localSheetId="9">'WS7-IMEU'!#REF!</definedName>
    <definedName name="Act14_BxPS_BEFP_LTDebt">#REF!</definedName>
    <definedName name="Act14_BxPS_BEFP_LTInt" localSheetId="2">#REF!</definedName>
    <definedName name="Act14_BxPS_BEFP_LTInt" localSheetId="8">#REF!</definedName>
    <definedName name="Act14_BxPS_BEFP_LTInt" localSheetId="9">'WS7-IMEU'!#REF!</definedName>
    <definedName name="Act14_BxPS_BEFP_LTInt">#REF!</definedName>
    <definedName name="Act14_BxPS_BEFP_OtherPowerExp" localSheetId="2">#REF!</definedName>
    <definedName name="Act14_BxPS_BEFP_OtherPowerExp" localSheetId="8">#REF!</definedName>
    <definedName name="Act14_BxPS_BEFP_OtherPowerExp" localSheetId="9">'WS7-IMEU'!#REF!</definedName>
    <definedName name="Act14_BxPS_BEFP_OtherPowerExp">#REF!</definedName>
    <definedName name="Act14_BxPS_BEFP_Plant" localSheetId="2">#REF!</definedName>
    <definedName name="Act14_BxPS_BEFP_Plant" localSheetId="8">#REF!</definedName>
    <definedName name="Act14_BxPS_BEFP_Plant" localSheetId="9">'WS7-IMEU'!#REF!</definedName>
    <definedName name="Act14_BxPS_BEFP_Plant">#REF!</definedName>
    <definedName name="Act14_BxPS_BEFP_PY_Adj" localSheetId="2">#REF!</definedName>
    <definedName name="Act14_BxPS_BEFP_PY_Adj" localSheetId="8">#REF!</definedName>
    <definedName name="Act14_BxPS_BEFP_PY_Adj" localSheetId="9">'WS7-IMEU'!#REF!</definedName>
    <definedName name="Act14_BxPS_BEFP_PY_Adj">#REF!</definedName>
    <definedName name="Act14_BxPS_BEFP_Repl" localSheetId="2">#REF!</definedName>
    <definedName name="Act14_BxPS_BEFP_Repl" localSheetId="8">#REF!</definedName>
    <definedName name="Act14_BxPS_BEFP_Repl" localSheetId="9">'WS7-IMEU'!#REF!</definedName>
    <definedName name="Act14_BxPS_BEFP_Repl">#REF!</definedName>
    <definedName name="Act14_BxPS_BEFP_Retr" localSheetId="2">#REF!</definedName>
    <definedName name="Act14_BxPS_BEFP_Retr" localSheetId="8">#REF!</definedName>
    <definedName name="Act14_BxPS_BEFP_Retr" localSheetId="9">'WS7-IMEU'!#REF!</definedName>
    <definedName name="Act14_BxPS_BEFP_Retr">#REF!</definedName>
    <definedName name="Act14_BxPS_BEFP_SSCD_OpExp" localSheetId="2">#REF!</definedName>
    <definedName name="Act14_BxPS_BEFP_SSCD_OpExp" localSheetId="8">#REF!</definedName>
    <definedName name="Act14_BxPS_BEFP_SSCD_OpExp" localSheetId="9">'WS7-IMEU'!#REF!</definedName>
    <definedName name="Act14_BxPS_BEFP_SSCD_OpExp">#REF!</definedName>
    <definedName name="Act14_BxPS_BEFP_SSCDPlant" localSheetId="2">#REF!</definedName>
    <definedName name="Act14_BxPS_BEFP_SSCDPlant" localSheetId="8">#REF!</definedName>
    <definedName name="Act14_BxPS_BEFP_SSCDPlant" localSheetId="9">'WS7-IMEU'!#REF!</definedName>
    <definedName name="Act14_BxPS_BEFP_SSCDPlant">#REF!</definedName>
    <definedName name="Act14_BxPS_BEFP_TotalOpExpense" localSheetId="2">#REF!</definedName>
    <definedName name="Act14_BxPS_BEFP_TotalOpExpense" localSheetId="8">#REF!</definedName>
    <definedName name="Act14_BxPS_BEFP_TotalOpExpense" localSheetId="9">'WS7-IMEU'!#REF!</definedName>
    <definedName name="Act14_BxPS_BEFP_TotalOpExpense">#REF!</definedName>
    <definedName name="Act14_BxPS_BEFP_TPlant" localSheetId="2">#REF!</definedName>
    <definedName name="Act14_BxPS_BEFP_TPlant" localSheetId="8">#REF!</definedName>
    <definedName name="Act14_BxPS_BEFP_TPlant" localSheetId="9">'WS7-IMEU'!#REF!</definedName>
    <definedName name="Act14_BxPS_BEFP_TPlant">#REF!</definedName>
    <definedName name="Act14_BxPS_BEFP_TransAccumDepr" localSheetId="2">#REF!</definedName>
    <definedName name="Act14_BxPS_BEFP_TransAccumDepr" localSheetId="8">#REF!</definedName>
    <definedName name="Act14_BxPS_BEFP_TransAccumDepr" localSheetId="9">'WS7-IMEU'!#REF!</definedName>
    <definedName name="Act14_BxPS_BEFP_TransAccumDepr">#REF!</definedName>
    <definedName name="Act14_BxPS_BEFP_WageSalary" localSheetId="2">#REF!</definedName>
    <definedName name="Act14_BxPS_BEFP_WageSalary" localSheetId="8">#REF!</definedName>
    <definedName name="Act14_BxPS_BEFP_WageSalary" localSheetId="9">'WS7-IMEU'!#REF!</definedName>
    <definedName name="Act14_BxPS_BEFP_WageSalary">#REF!</definedName>
    <definedName name="Act14_BxPS_BEFP_Warehouse_Stores" localSheetId="2">#REF!</definedName>
    <definedName name="Act14_BxPS_BEFP_Warehouse_Stores" localSheetId="8">#REF!</definedName>
    <definedName name="Act14_BxPS_BEFP_Warehouse_Stores" localSheetId="9">'WS7-IMEU'!#REF!</definedName>
    <definedName name="Act14_BxPS_BEFP_Warehouse_Stores">#REF!</definedName>
    <definedName name="Act14_BXPS_OM" localSheetId="2">#REF!</definedName>
    <definedName name="Act14_BXPS_OM" localSheetId="8">#REF!</definedName>
    <definedName name="Act14_BXPS_OM" localSheetId="9">'WS7-IMEU'!#REF!</definedName>
    <definedName name="Act14_BXPS_OM">#REF!</definedName>
    <definedName name="Act14_COE_AccumDepr" localSheetId="2">#REF!</definedName>
    <definedName name="Act14_COE_AccumDepr" localSheetId="8">#REF!</definedName>
    <definedName name="Act14_COE_AccumDepr" localSheetId="9">'WS7-IMEU'!#REF!</definedName>
    <definedName name="Act14_COE_AccumDepr">#REF!</definedName>
    <definedName name="Act14_COE_AccumDeprGen" localSheetId="2">#REF!</definedName>
    <definedName name="Act14_COE_AccumDeprGen" localSheetId="8">#REF!</definedName>
    <definedName name="Act14_COE_AccumDeprGen" localSheetId="9">'WS7-IMEU'!#REF!</definedName>
    <definedName name="Act14_COE_AccumDeprGen">#REF!</definedName>
    <definedName name="Act14_COE_AG" localSheetId="2">#REF!</definedName>
    <definedName name="Act14_COE_AG" localSheetId="8">#REF!</definedName>
    <definedName name="Act14_COE_AG" localSheetId="9">'WS7-IMEU'!#REF!</definedName>
    <definedName name="Act14_COE_AG">#REF!</definedName>
    <definedName name="Act14_COE_DeprExp" localSheetId="2">#REF!</definedName>
    <definedName name="Act14_COE_DeprExp" localSheetId="8">#REF!</definedName>
    <definedName name="Act14_COE_DeprExp" localSheetId="9">'WS7-IMEU'!#REF!</definedName>
    <definedName name="Act14_COE_DeprExp">#REF!</definedName>
    <definedName name="Act14_COE_Gen" localSheetId="2">#REF!</definedName>
    <definedName name="Act14_COE_Gen" localSheetId="8">#REF!</definedName>
    <definedName name="Act14_COE_Gen" localSheetId="9">'WS7-IMEU'!#REF!</definedName>
    <definedName name="Act14_COE_Gen">#REF!</definedName>
    <definedName name="Act14_COE_GenDepr" localSheetId="2">#REF!</definedName>
    <definedName name="Act14_COE_GenDepr" localSheetId="8">#REF!</definedName>
    <definedName name="Act14_COE_GenDepr" localSheetId="9">'WS7-IMEU'!#REF!</definedName>
    <definedName name="Act14_COE_GenDepr">#REF!</definedName>
    <definedName name="Act14_COE_GenOM" localSheetId="2">#REF!</definedName>
    <definedName name="Act14_COE_GenOM" localSheetId="8">#REF!</definedName>
    <definedName name="Act14_COE_GenOM" localSheetId="9">'WS7-IMEU'!#REF!</definedName>
    <definedName name="Act14_COE_GenOM">#REF!</definedName>
    <definedName name="Act14_COE_GenPlant" localSheetId="2">#REF!</definedName>
    <definedName name="Act14_COE_GenPlant" localSheetId="8">#REF!</definedName>
    <definedName name="Act14_COE_GenPlant" localSheetId="9">'WS7-IMEU'!#REF!</definedName>
    <definedName name="Act14_COE_GenPlant">#REF!</definedName>
    <definedName name="Act14_COE_LTDebt" localSheetId="2">#REF!</definedName>
    <definedName name="Act14_COE_LTDebt" localSheetId="8">#REF!</definedName>
    <definedName name="Act14_COE_LTDebt" localSheetId="9">'WS7-IMEU'!#REF!</definedName>
    <definedName name="Act14_COE_LTDebt">#REF!</definedName>
    <definedName name="Act14_COE_LTInt" localSheetId="2">#REF!</definedName>
    <definedName name="Act14_COE_LTInt" localSheetId="8">#REF!</definedName>
    <definedName name="Act14_COE_LTInt" localSheetId="9">'WS7-IMEU'!#REF!</definedName>
    <definedName name="Act14_COE_LTInt">#REF!</definedName>
    <definedName name="Act14_COE_OM" localSheetId="2">#REF!</definedName>
    <definedName name="Act14_COE_OM" localSheetId="8">#REF!</definedName>
    <definedName name="Act14_COE_OM" localSheetId="9">'WS7-IMEU'!#REF!</definedName>
    <definedName name="Act14_COE_OM">#REF!</definedName>
    <definedName name="Act14_COE_Plant" localSheetId="2">#REF!</definedName>
    <definedName name="Act14_COE_Plant" localSheetId="8">#REF!</definedName>
    <definedName name="Act14_COE_Plant" localSheetId="9">'WS7-IMEU'!#REF!</definedName>
    <definedName name="Act14_COE_Plant">#REF!</definedName>
    <definedName name="Act14_COE_TPlant" localSheetId="2">#REF!</definedName>
    <definedName name="Act14_COE_TPlant" localSheetId="8">#REF!</definedName>
    <definedName name="Act14_COE_TPlant" localSheetId="9">'WS7-IMEU'!#REF!</definedName>
    <definedName name="Act14_COE_TPlant">#REF!</definedName>
    <definedName name="Act14_COE_TransAccumDepr" localSheetId="2">#REF!</definedName>
    <definedName name="Act14_COE_TransAccumDepr" localSheetId="8">#REF!</definedName>
    <definedName name="Act14_COE_TransAccumDepr" localSheetId="9">'WS7-IMEU'!#REF!</definedName>
    <definedName name="Act14_COE_TransAccumDepr">#REF!</definedName>
    <definedName name="Act14_ControlAreaLoad" localSheetId="2">#REF!</definedName>
    <definedName name="Act14_ControlAreaLoad" localSheetId="8">#REF!</definedName>
    <definedName name="Act14_ControlAreaLoad" localSheetId="9">'WS7-IMEU'!#REF!</definedName>
    <definedName name="Act14_ControlAreaLoad">#REF!</definedName>
    <definedName name="Act14_Credit_Acct454" localSheetId="2">#REF!</definedName>
    <definedName name="Act14_Credit_Acct454" localSheetId="8">#REF!</definedName>
    <definedName name="Act14_Credit_Acct454" localSheetId="9">'WS7-IMEU'!#REF!</definedName>
    <definedName name="Act14_Credit_Acct454">#REF!</definedName>
    <definedName name="Act14_Credit_ExstRev" localSheetId="2">#REF!</definedName>
    <definedName name="Act14_Credit_ExstRev" localSheetId="8">#REF!</definedName>
    <definedName name="Act14_Credit_ExstRev" localSheetId="9">'WS7-IMEU'!#REF!</definedName>
    <definedName name="Act14_Credit_ExstRev">#REF!</definedName>
    <definedName name="Act14_Credit_NFPTP" localSheetId="2">#REF!</definedName>
    <definedName name="Act14_Credit_NFPTP" localSheetId="8">#REF!</definedName>
    <definedName name="Act14_Credit_NFPTP" localSheetId="9">'WS7-IMEU'!#REF!</definedName>
    <definedName name="Act14_Credit_NFPTP">#REF!</definedName>
    <definedName name="Act14_Credit_SSCD" localSheetId="2">#REF!</definedName>
    <definedName name="Act14_Credit_SSCD" localSheetId="8">#REF!</definedName>
    <definedName name="Act14_Credit_SSCD" localSheetId="9">'WS7-IMEU'!#REF!</definedName>
    <definedName name="Act14_Credit_SSCD">#REF!</definedName>
    <definedName name="Act14_Credit_STPTP" localSheetId="2">#REF!</definedName>
    <definedName name="Act14_Credit_STPTP" localSheetId="8">#REF!</definedName>
    <definedName name="Act14_Credit_STPTP" localSheetId="9">'WS7-IMEU'!#REF!</definedName>
    <definedName name="Act14_Credit_STPTP">#REF!</definedName>
    <definedName name="Act14_GenAG" localSheetId="2">#REF!</definedName>
    <definedName name="Act14_GenAG" localSheetId="8">#REF!</definedName>
    <definedName name="Act14_GenAG" localSheetId="9">'WS7-IMEU'!#REF!</definedName>
    <definedName name="Act14_GenAG">#REF!</definedName>
    <definedName name="Act14_GenCompRate" localSheetId="2">#REF!</definedName>
    <definedName name="Act14_GenCompRate" localSheetId="8">#REF!</definedName>
    <definedName name="Act14_GenCompRate" localSheetId="9">'WS7-IMEU'!#REF!</definedName>
    <definedName name="Act14_GenCompRate">#REF!</definedName>
    <definedName name="Act14_GenDepr" localSheetId="2">#REF!</definedName>
    <definedName name="Act14_GenDepr" localSheetId="8">#REF!</definedName>
    <definedName name="Act14_GenDepr" localSheetId="9">'WS7-IMEU'!#REF!</definedName>
    <definedName name="Act14_GenDepr">#REF!</definedName>
    <definedName name="Act14_GenOM" localSheetId="2">#REF!</definedName>
    <definedName name="Act14_GenOM" localSheetId="8">#REF!</definedName>
    <definedName name="Act14_GenOM" localSheetId="9">'WS7-IMEU'!#REF!</definedName>
    <definedName name="Act14_GenOM">#REF!</definedName>
    <definedName name="Act14_GenPlant" localSheetId="2">#REF!</definedName>
    <definedName name="Act14_GenPlant" localSheetId="8">#REF!</definedName>
    <definedName name="Act14_GenPlant" localSheetId="9">'WS7-IMEU'!#REF!</definedName>
    <definedName name="Act14_GenPlant">#REF!</definedName>
    <definedName name="Act14_MaxControlAreaLoad" localSheetId="2">#REF!</definedName>
    <definedName name="Act14_MaxControlAreaLoad" localSheetId="8">#REF!</definedName>
    <definedName name="Act14_MaxControlAreaLoad" localSheetId="9">'WS7-IMEU'!#REF!</definedName>
    <definedName name="Act14_MaxControlAreaLoad">#REF!</definedName>
    <definedName name="Act14_MaxGenControlArea" localSheetId="2">#REF!</definedName>
    <definedName name="Act14_MaxGenControlArea" localSheetId="8">#REF!</definedName>
    <definedName name="Act14_MaxGenControlArea" localSheetId="9">'WS7-IMEU'!#REF!</definedName>
    <definedName name="Act14_MaxGenControlArea">#REF!</definedName>
    <definedName name="Act14_RateLoadControlArea" localSheetId="2">#REF!</definedName>
    <definedName name="Act14_RateLoadControlArea" localSheetId="8">#REF!</definedName>
    <definedName name="Act14_RateLoadControlArea" localSheetId="9">'WS7-IMEU'!#REF!</definedName>
    <definedName name="Act14_RateLoadControlArea">#REF!</definedName>
    <definedName name="Act14_RegRateRevRqmt" localSheetId="2">#REF!</definedName>
    <definedName name="Act14_RegRateRevRqmt" localSheetId="8">#REF!</definedName>
    <definedName name="Act14_RegRateRevRqmt" localSheetId="9">'WS7-IMEU'!#REF!</definedName>
    <definedName name="Act14_RegRateRevRqmt">#REF!</definedName>
    <definedName name="Act14_RMR_1411" localSheetId="2">#REF!</definedName>
    <definedName name="Act14_RMR_1411" localSheetId="8">#REF!</definedName>
    <definedName name="Act14_RMR_1411" localSheetId="9">'WS7-IMEU'!#REF!</definedName>
    <definedName name="Act14_RMR_1411">#REF!</definedName>
    <definedName name="Act14_RMR_1412" localSheetId="2">#REF!</definedName>
    <definedName name="Act14_RMR_1412" localSheetId="8">#REF!</definedName>
    <definedName name="Act14_RMR_1412" localSheetId="9">'WS7-IMEU'!#REF!</definedName>
    <definedName name="Act14_RMR_1412">#REF!</definedName>
    <definedName name="Act14_RMR_1415" localSheetId="2">#REF!</definedName>
    <definedName name="Act14_RMR_1415" localSheetId="8">#REF!</definedName>
    <definedName name="Act14_RMR_1415" localSheetId="9">'WS7-IMEU'!#REF!</definedName>
    <definedName name="Act14_RMR_1415">#REF!</definedName>
    <definedName name="Act14_RMR_1416" localSheetId="2">#REF!</definedName>
    <definedName name="Act14_RMR_1416" localSheetId="8">#REF!</definedName>
    <definedName name="Act14_RMR_1416" localSheetId="9">'WS7-IMEU'!#REF!</definedName>
    <definedName name="Act14_RMR_1416">#REF!</definedName>
    <definedName name="Act14_RMR_1421" localSheetId="2">#REF!</definedName>
    <definedName name="Act14_RMR_1421" localSheetId="8">#REF!</definedName>
    <definedName name="Act14_RMR_1421" localSheetId="9">'WS7-IMEU'!#REF!</definedName>
    <definedName name="Act14_RMR_1421">#REF!</definedName>
    <definedName name="Act14_RMR_1422" localSheetId="2">#REF!</definedName>
    <definedName name="Act14_RMR_1422" localSheetId="8">#REF!</definedName>
    <definedName name="Act14_RMR_1422" localSheetId="9">'WS7-IMEU'!#REF!</definedName>
    <definedName name="Act14_RMR_1422">#REF!</definedName>
    <definedName name="Act14_RMR_1425" localSheetId="2">#REF!</definedName>
    <definedName name="Act14_RMR_1425" localSheetId="8">#REF!</definedName>
    <definedName name="Act14_RMR_1425" localSheetId="9">'WS7-IMEU'!#REF!</definedName>
    <definedName name="Act14_RMR_1425">#REF!</definedName>
    <definedName name="Act14_RMR_1426" localSheetId="2">#REF!</definedName>
    <definedName name="Act14_RMR_1426" localSheetId="8">#REF!</definedName>
    <definedName name="Act14_RMR_1426" localSheetId="9">'WS7-IMEU'!#REF!</definedName>
    <definedName name="Act14_RMR_1426">#REF!</definedName>
    <definedName name="Act14_RMR_1431" localSheetId="2">#REF!</definedName>
    <definedName name="Act14_RMR_1431" localSheetId="8">#REF!</definedName>
    <definedName name="Act14_RMR_1431" localSheetId="9">'WS7-IMEU'!#REF!</definedName>
    <definedName name="Act14_RMR_1431">#REF!</definedName>
    <definedName name="Act14_RMR_1432" localSheetId="2">#REF!</definedName>
    <definedName name="Act14_RMR_1432" localSheetId="8">#REF!</definedName>
    <definedName name="Act14_RMR_1432" localSheetId="9">'WS7-IMEU'!#REF!</definedName>
    <definedName name="Act14_RMR_1432">#REF!</definedName>
    <definedName name="Act14_RMR_1441" localSheetId="2">#REF!</definedName>
    <definedName name="Act14_RMR_1441" localSheetId="8">#REF!</definedName>
    <definedName name="Act14_RMR_1441" localSheetId="9">'WS7-IMEU'!#REF!</definedName>
    <definedName name="Act14_RMR_1441">#REF!</definedName>
    <definedName name="Act14_RMR_1442" localSheetId="2">#REF!</definedName>
    <definedName name="Act14_RMR_1442" localSheetId="8">#REF!</definedName>
    <definedName name="Act14_RMR_1442" localSheetId="9">'WS7-IMEU'!#REF!</definedName>
    <definedName name="Act14_RMR_1442">#REF!</definedName>
    <definedName name="Act14_RMR_AccumDepr" localSheetId="2">#REF!</definedName>
    <definedName name="Act14_RMR_AccumDepr" localSheetId="8">#REF!</definedName>
    <definedName name="Act14_RMR_AccumDepr" localSheetId="9">'WS7-IMEU'!#REF!</definedName>
    <definedName name="Act14_RMR_AccumDepr">#REF!</definedName>
    <definedName name="Act14_RMR_AGExp" localSheetId="2">#REF!</definedName>
    <definedName name="Act14_RMR_AGExp" localSheetId="8">#REF!</definedName>
    <definedName name="Act14_RMR_AGExp" localSheetId="9">'WS7-IMEU'!#REF!</definedName>
    <definedName name="Act14_RMR_AGExp">#REF!</definedName>
    <definedName name="Act14_RMR_CME" localSheetId="2">#REF!</definedName>
    <definedName name="Act14_RMR_CME" localSheetId="8">#REF!</definedName>
    <definedName name="Act14_RMR_CME" localSheetId="9">'WS7-IMEU'!#REF!</definedName>
    <definedName name="Act14_RMR_CME">#REF!</definedName>
    <definedName name="Act14_RMR_DeprExp" localSheetId="2">#REF!</definedName>
    <definedName name="Act14_RMR_DeprExp" localSheetId="8">#REF!</definedName>
    <definedName name="Act14_RMR_DeprExp" localSheetId="9">'WS7-IMEU'!#REF!</definedName>
    <definedName name="Act14_RMR_DeprExp">#REF!</definedName>
    <definedName name="Act14_RMR_DispofAssets" localSheetId="2">#REF!</definedName>
    <definedName name="Act14_RMR_DispofAssets" localSheetId="8">#REF!</definedName>
    <definedName name="Act14_RMR_DispofAssets" localSheetId="9">'WS7-IMEU'!#REF!</definedName>
    <definedName name="Act14_RMR_DispofAssets">#REF!</definedName>
    <definedName name="Act14_RMR_LTDebt" localSheetId="2">#REF!</definedName>
    <definedName name="Act14_RMR_LTDebt" localSheetId="8">#REF!</definedName>
    <definedName name="Act14_RMR_LTDebt" localSheetId="9">'WS7-IMEU'!#REF!</definedName>
    <definedName name="Act14_RMR_LTDebt">#REF!</definedName>
    <definedName name="Act14_RMR_LTInt" localSheetId="2">#REF!</definedName>
    <definedName name="Act14_RMR_LTInt" localSheetId="8">#REF!</definedName>
    <definedName name="Act14_RMR_LTInt" localSheetId="9">'WS7-IMEU'!#REF!</definedName>
    <definedName name="Act14_RMR_LTInt">#REF!</definedName>
    <definedName name="Act14_RMR_MOVP_Depr" localSheetId="2">#REF!</definedName>
    <definedName name="Act14_RMR_MOVP_Depr" localSheetId="8">#REF!</definedName>
    <definedName name="Act14_RMR_MOVP_Depr" localSheetId="9">'WS7-IMEU'!#REF!</definedName>
    <definedName name="Act14_RMR_MOVP_Depr">#REF!</definedName>
    <definedName name="Act14_RMR_OM" localSheetId="2">#REF!</definedName>
    <definedName name="Act14_RMR_OM" localSheetId="8">#REF!</definedName>
    <definedName name="Act14_RMR_OM" localSheetId="9">'WS7-IMEU'!#REF!</definedName>
    <definedName name="Act14_RMR_OM">#REF!</definedName>
    <definedName name="Act14_RMR_Other_Power_Exp" localSheetId="2">#REF!</definedName>
    <definedName name="Act14_RMR_Other_Power_Exp" localSheetId="8">#REF!</definedName>
    <definedName name="Act14_RMR_Other_Power_Exp" localSheetId="9">'WS7-IMEU'!#REF!</definedName>
    <definedName name="Act14_RMR_Other_Power_Exp">#REF!</definedName>
    <definedName name="Act14_RMR_Plant" localSheetId="2">#REF!</definedName>
    <definedName name="Act14_RMR_Plant" localSheetId="8">#REF!</definedName>
    <definedName name="Act14_RMR_Plant" localSheetId="9">'WS7-IMEU'!#REF!</definedName>
    <definedName name="Act14_RMR_Plant">#REF!</definedName>
    <definedName name="Act14_RMR_Total_OM" localSheetId="2">#REF!</definedName>
    <definedName name="Act14_RMR_Total_OM" localSheetId="8">#REF!</definedName>
    <definedName name="Act14_RMR_Total_OM" localSheetId="9">'WS7-IMEU'!#REF!</definedName>
    <definedName name="Act14_RMR_Total_OM">#REF!</definedName>
    <definedName name="Act14_RMR_Total_OpExp" localSheetId="2">#REF!</definedName>
    <definedName name="Act14_RMR_Total_OpExp" localSheetId="8">#REF!</definedName>
    <definedName name="Act14_RMR_Total_OpExp" localSheetId="9">'WS7-IMEU'!#REF!</definedName>
    <definedName name="Act14_RMR_Total_OpExp">#REF!</definedName>
    <definedName name="Act14_RMR_TPlant" localSheetId="2">#REF!</definedName>
    <definedName name="Act14_RMR_TPlant" localSheetId="8">#REF!</definedName>
    <definedName name="Act14_RMR_TPlant" localSheetId="9">'WS7-IMEU'!#REF!</definedName>
    <definedName name="Act14_RMR_TPlant">#REF!</definedName>
    <definedName name="Act14_RMR_TransAccumDepr" localSheetId="2">#REF!</definedName>
    <definedName name="Act14_RMR_TransAccumDepr" localSheetId="8">#REF!</definedName>
    <definedName name="Act14_RMR_TransAccumDepr" localSheetId="9">'WS7-IMEU'!#REF!</definedName>
    <definedName name="Act14_RMR_TransAccumDepr">#REF!</definedName>
    <definedName name="Act14_RMR_Warehouse_Stores" localSheetId="2">#REF!</definedName>
    <definedName name="Act14_RMR_Warehouse_Stores" localSheetId="8">#REF!</definedName>
    <definedName name="Act14_RMR_Warehouse_Stores" localSheetId="9">'WS7-IMEU'!#REF!</definedName>
    <definedName name="Act14_RMR_Warehouse_Stores">#REF!</definedName>
    <definedName name="Act14_TotalTransPlant" localSheetId="2">#REF!</definedName>
    <definedName name="Act14_TotalTransPlant" localSheetId="8">#REF!</definedName>
    <definedName name="Act14_TotalTransPlant" localSheetId="9">'WS7-IMEU'!#REF!</definedName>
    <definedName name="Act14_TotalTransPlant">#REF!</definedName>
    <definedName name="Act14_TransAG" localSheetId="2">#REF!</definedName>
    <definedName name="Act14_TransAG" localSheetId="8">#REF!</definedName>
    <definedName name="Act14_TransAG" localSheetId="9">'WS7-IMEU'!#REF!</definedName>
    <definedName name="Act14_TransAG">#REF!</definedName>
    <definedName name="Act14_TransCompRate" localSheetId="2">#REF!</definedName>
    <definedName name="Act14_TransCompRate" localSheetId="8">#REF!</definedName>
    <definedName name="Act14_TransCompRate" localSheetId="9">'WS7-IMEU'!#REF!</definedName>
    <definedName name="Act14_TransCompRate">#REF!</definedName>
    <definedName name="Act14_TransDepr" localSheetId="2">#REF!</definedName>
    <definedName name="Act14_TransDepr" localSheetId="8">#REF!</definedName>
    <definedName name="Act14_TransDepr" localSheetId="9">'WS7-IMEU'!#REF!</definedName>
    <definedName name="Act14_TransDepr">#REF!</definedName>
    <definedName name="Act14_TransOM" localSheetId="2">#REF!</definedName>
    <definedName name="Act14_TransOM" localSheetId="8">#REF!</definedName>
    <definedName name="Act14_TransOM" localSheetId="9">'WS7-IMEU'!#REF!</definedName>
    <definedName name="Act14_TransOM">#REF!</definedName>
    <definedName name="Act14_TransPlant" localSheetId="2">#REF!</definedName>
    <definedName name="Act14_TransPlant" localSheetId="8">#REF!</definedName>
    <definedName name="Act14_TransPlant" localSheetId="9">'WS7-IMEU'!#REF!</definedName>
    <definedName name="Act14_TransPlant">#REF!</definedName>
    <definedName name="Act15_BxPS_BEFP_Additions" localSheetId="2">#REF!</definedName>
    <definedName name="Act15_BxPS_BEFP_Additions" localSheetId="8">#REF!</definedName>
    <definedName name="Act15_BxPS_BEFP_Additions" localSheetId="9">'WS7-IMEU'!#REF!</definedName>
    <definedName name="Act15_BxPS_BEFP_Additions">#REF!</definedName>
    <definedName name="Act15_BxPS_BEFP_AdjTrans" localSheetId="2">#REF!</definedName>
    <definedName name="Act15_BxPS_BEFP_AdjTrans" localSheetId="8">#REF!</definedName>
    <definedName name="Act15_BxPS_BEFP_AdjTrans" localSheetId="9">'WS7-IMEU'!#REF!</definedName>
    <definedName name="Act15_BxPS_BEFP_AdjTrans">#REF!</definedName>
    <definedName name="Act15_BxPS_BEFP_AGExp" localSheetId="2">#REF!</definedName>
    <definedName name="Act15_BxPS_BEFP_AGExp" localSheetId="8">#REF!</definedName>
    <definedName name="Act15_BxPS_BEFP_AGExp" localSheetId="9">'WS7-IMEU'!#REF!</definedName>
    <definedName name="Act15_BxPS_BEFP_AGExp">#REF!</definedName>
    <definedName name="Act15_BxPS_BEFP_CME" localSheetId="2">#REF!</definedName>
    <definedName name="Act15_BxPS_BEFP_CME" localSheetId="8">#REF!</definedName>
    <definedName name="Act15_BxPS_BEFP_CME" localSheetId="9">'WS7-IMEU'!#REF!</definedName>
    <definedName name="Act15_BxPS_BEFP_CME">#REF!</definedName>
    <definedName name="Act15_BxPS_BEFP_OtherPowerExp" localSheetId="2">#REF!</definedName>
    <definedName name="Act15_BxPS_BEFP_OtherPowerExp" localSheetId="8">#REF!</definedName>
    <definedName name="Act15_BxPS_BEFP_OtherPowerExp" localSheetId="9">'WS7-IMEU'!#REF!</definedName>
    <definedName name="Act15_BxPS_BEFP_OtherPowerExp">#REF!</definedName>
    <definedName name="Act15_BxPS_BEFP_Plant" localSheetId="2">#REF!</definedName>
    <definedName name="Act15_BxPS_BEFP_Plant" localSheetId="8">#REF!</definedName>
    <definedName name="Act15_BxPS_BEFP_Plant" localSheetId="9">'WS7-IMEU'!#REF!</definedName>
    <definedName name="Act15_BxPS_BEFP_Plant">#REF!</definedName>
    <definedName name="Act15_BxPS_BEFP_PY_Adj" localSheetId="2">#REF!</definedName>
    <definedName name="Act15_BxPS_BEFP_PY_Adj" localSheetId="8">#REF!</definedName>
    <definedName name="Act15_BxPS_BEFP_PY_Adj" localSheetId="9">'WS7-IMEU'!#REF!</definedName>
    <definedName name="Act15_BxPS_BEFP_PY_Adj">#REF!</definedName>
    <definedName name="Act15_BxPS_BEFP_Repl" localSheetId="2">#REF!</definedName>
    <definedName name="Act15_BxPS_BEFP_Repl" localSheetId="8">#REF!</definedName>
    <definedName name="Act15_BxPS_BEFP_Repl" localSheetId="9">'WS7-IMEU'!#REF!</definedName>
    <definedName name="Act15_BxPS_BEFP_Repl">#REF!</definedName>
    <definedName name="Act15_BxPS_BEFP_Retr" localSheetId="2">#REF!</definedName>
    <definedName name="Act15_BxPS_BEFP_Retr" localSheetId="8">#REF!</definedName>
    <definedName name="Act15_BxPS_BEFP_Retr" localSheetId="9">'WS7-IMEU'!#REF!</definedName>
    <definedName name="Act15_BxPS_BEFP_Retr">#REF!</definedName>
    <definedName name="Act15_BxPS_BEFP_TotalOpExpense" localSheetId="2">#REF!</definedName>
    <definedName name="Act15_BxPS_BEFP_TotalOpExpense" localSheetId="8">#REF!</definedName>
    <definedName name="Act15_BxPS_BEFP_TotalOpExpense" localSheetId="9">'WS7-IMEU'!#REF!</definedName>
    <definedName name="Act15_BxPS_BEFP_TotalOpExpense">#REF!</definedName>
    <definedName name="Act15_BxPS_BEFP_Warehouse_Stores" localSheetId="2">#REF!</definedName>
    <definedName name="Act15_BxPS_BEFP_Warehouse_Stores" localSheetId="8">#REF!</definedName>
    <definedName name="Act15_BxPS_BEFP_Warehouse_Stores" localSheetId="9">'WS7-IMEU'!#REF!</definedName>
    <definedName name="Act15_BxPS_BEFP_Warehouse_Stores">#REF!</definedName>
    <definedName name="Act15_RMR_AGExp" localSheetId="2">#REF!</definedName>
    <definedName name="Act15_RMR_AGExp" localSheetId="8">#REF!</definedName>
    <definedName name="Act15_RMR_AGExp" localSheetId="9">'WS7-IMEU'!#REF!</definedName>
    <definedName name="Act15_RMR_AGExp">#REF!</definedName>
    <definedName name="Act15_RMR_CME" localSheetId="2">#REF!</definedName>
    <definedName name="Act15_RMR_CME" localSheetId="8">#REF!</definedName>
    <definedName name="Act15_RMR_CME" localSheetId="9">'WS7-IMEU'!#REF!</definedName>
    <definedName name="Act15_RMR_CME">#REF!</definedName>
    <definedName name="Act15_RMR_Other_Power_Exp" localSheetId="2">#REF!</definedName>
    <definedName name="Act15_RMR_Other_Power_Exp" localSheetId="8">#REF!</definedName>
    <definedName name="Act15_RMR_Other_Power_Exp" localSheetId="9">'WS7-IMEU'!#REF!</definedName>
    <definedName name="Act15_RMR_Other_Power_Exp">#REF!</definedName>
    <definedName name="Act15_RMR_Plant" localSheetId="2">#REF!</definedName>
    <definedName name="Act15_RMR_Plant" localSheetId="8">#REF!</definedName>
    <definedName name="Act15_RMR_Plant" localSheetId="9">'WS7-IMEU'!#REF!</definedName>
    <definedName name="Act15_RMR_Plant">#REF!</definedName>
    <definedName name="Act15_RMR_Total_OpExp" localSheetId="2">#REF!</definedName>
    <definedName name="Act15_RMR_Total_OpExp" localSheetId="8">#REF!</definedName>
    <definedName name="Act15_RMR_Total_OpExp" localSheetId="9">'WS7-IMEU'!#REF!</definedName>
    <definedName name="Act15_RMR_Total_OpExp">#REF!</definedName>
    <definedName name="Act15_RMR_Warehouse_Stores" localSheetId="2">#REF!</definedName>
    <definedName name="Act15_RMR_Warehouse_Stores" localSheetId="8">#REF!</definedName>
    <definedName name="Act15_RMR_Warehouse_Stores" localSheetId="9">'WS7-IMEU'!#REF!</definedName>
    <definedName name="Act15_RMR_Warehouse_Stores">#REF!</definedName>
    <definedName name="CUSTAR" localSheetId="0">#REF!</definedName>
    <definedName name="CUSTAR" localSheetId="3">'WS1-ATRR RateBase'!#REF!</definedName>
    <definedName name="CUSTAR" localSheetId="4">#REF!</definedName>
    <definedName name="CUSTAR" localSheetId="8">#REF!</definedName>
    <definedName name="CUSTAR" localSheetId="9">#REF!</definedName>
    <definedName name="CUSTAR">#REF!</definedName>
    <definedName name="Custar1" localSheetId="0">#REF!</definedName>
    <definedName name="Custar1" localSheetId="3">'WS1-ATRR RateBase'!#REF!</definedName>
    <definedName name="Custar1" localSheetId="4">#REF!</definedName>
    <definedName name="Custar1" localSheetId="8">#REF!</definedName>
    <definedName name="Custar1" localSheetId="9">#REF!</definedName>
    <definedName name="Custar1">#REF!</definedName>
    <definedName name="CUYAHOGA_FALLS" localSheetId="0">#REF!</definedName>
    <definedName name="CUYAHOGA_FALLS" localSheetId="3">'WS1-ATRR RateBase'!#REF!</definedName>
    <definedName name="CUYAHOGA_FALLS" localSheetId="4">#REF!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3">'WS1-ATRR RateBase'!#REF!</definedName>
    <definedName name="DETERMINATION_OF_PICK_SLOAN_MISSOURI_BASIN_PROGRAM__EASTERN_DIVISION" localSheetId="4">#REF!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3">'WS1-ATRR RateBase'!#REF!</definedName>
    <definedName name="EDGERTON" localSheetId="4">#REF!</definedName>
    <definedName name="EDGERTON" localSheetId="8">#REF!</definedName>
    <definedName name="EDGERTON" localSheetId="9">#REF!</definedName>
    <definedName name="EDGERTON">#REF!</definedName>
    <definedName name="Ellwood_City" localSheetId="0">#REF!</definedName>
    <definedName name="Ellwood_City" localSheetId="3">'WS1-ATRR RateBase'!#REF!</definedName>
    <definedName name="Ellwood_City" localSheetId="4">#REF!</definedName>
    <definedName name="Ellwood_City" localSheetId="8">#REF!</definedName>
    <definedName name="Ellwood_City" localSheetId="9">#REF!</definedName>
    <definedName name="Ellwood_City">#REF!</definedName>
    <definedName name="ELMORE" localSheetId="0">#REF!</definedName>
    <definedName name="ELMORE" localSheetId="3">'WS1-ATRR RateBase'!#REF!</definedName>
    <definedName name="ELMORE" localSheetId="4">#REF!</definedName>
    <definedName name="ELMORE" localSheetId="8">#REF!</definedName>
    <definedName name="ELMORE" localSheetId="9">#REF!</definedName>
    <definedName name="ELMORE">#REF!</definedName>
    <definedName name="Est16_BOR_AccumDepr" localSheetId="2">#REF!</definedName>
    <definedName name="Est16_BOR_AccumDepr" localSheetId="8">#REF!</definedName>
    <definedName name="Est16_BOR_AccumDepr" localSheetId="9">'WS7-IMEU'!#REF!</definedName>
    <definedName name="Est16_BOR_AccumDepr">#REF!</definedName>
    <definedName name="Est16_BOR_DeprExp" localSheetId="2">#REF!</definedName>
    <definedName name="Est16_BOR_DeprExp" localSheetId="8">#REF!</definedName>
    <definedName name="Est16_BOR_DeprExp" localSheetId="9">'WS7-IMEU'!#REF!</definedName>
    <definedName name="Est16_BOR_DeprExp">#REF!</definedName>
    <definedName name="Est16_BOR_LTDebt" localSheetId="2">#REF!</definedName>
    <definedName name="Est16_BOR_LTDebt" localSheetId="8">#REF!</definedName>
    <definedName name="Est16_BOR_LTDebt" localSheetId="9">'WS7-IMEU'!#REF!</definedName>
    <definedName name="Est16_BOR_LTDebt">#REF!</definedName>
    <definedName name="Est16_BOR_LTInt" localSheetId="2">#REF!</definedName>
    <definedName name="Est16_BOR_LTInt" localSheetId="8">#REF!</definedName>
    <definedName name="Est16_BOR_LTInt" localSheetId="9">'WS7-IMEU'!#REF!</definedName>
    <definedName name="Est16_BOR_LTInt">#REF!</definedName>
    <definedName name="Est16_BOR_OM" localSheetId="2">#REF!</definedName>
    <definedName name="Est16_BOR_OM" localSheetId="8">#REF!</definedName>
    <definedName name="Est16_BOR_OM" localSheetId="9">'WS7-IMEU'!#REF!</definedName>
    <definedName name="Est16_BOR_OM">#REF!</definedName>
    <definedName name="Est16_BOR_Plant" localSheetId="2">#REF!</definedName>
    <definedName name="Est16_BOR_Plant" localSheetId="8">#REF!</definedName>
    <definedName name="Est16_BOR_Plant" localSheetId="9">'WS7-IMEU'!#REF!</definedName>
    <definedName name="Est16_BOR_Plant">#REF!</definedName>
    <definedName name="Est16_BxPS_BEFP_AccumDepr" localSheetId="2">#REF!</definedName>
    <definedName name="Est16_BxPS_BEFP_AccumDepr" localSheetId="8">#REF!</definedName>
    <definedName name="Est16_BxPS_BEFP_AccumDepr" localSheetId="9">'WS7-IMEU'!#REF!</definedName>
    <definedName name="Est16_BxPS_BEFP_AccumDepr">#REF!</definedName>
    <definedName name="Est16_BxPS_BEFP_AGExp" localSheetId="2">#REF!</definedName>
    <definedName name="Est16_BxPS_BEFP_AGExp" localSheetId="8">#REF!</definedName>
    <definedName name="Est16_BxPS_BEFP_AGExp" localSheetId="9">'WS7-IMEU'!#REF!</definedName>
    <definedName name="Est16_BxPS_BEFP_AGExp">#REF!</definedName>
    <definedName name="Est16_BxPS_BEFP_CME" localSheetId="2">#REF!</definedName>
    <definedName name="Est16_BxPS_BEFP_CME" localSheetId="8">#REF!</definedName>
    <definedName name="Est16_BxPS_BEFP_CME" localSheetId="9">'WS7-IMEU'!#REF!</definedName>
    <definedName name="Est16_BxPS_BEFP_CME">#REF!</definedName>
    <definedName name="Est16_BxPS_BEFP_DepMOVP" localSheetId="2">#REF!</definedName>
    <definedName name="Est16_BxPS_BEFP_DepMOVP" localSheetId="8">#REF!</definedName>
    <definedName name="Est16_BxPS_BEFP_DepMOVP" localSheetId="9">'WS7-IMEU'!#REF!</definedName>
    <definedName name="Est16_BxPS_BEFP_DepMOVP">#REF!</definedName>
    <definedName name="Est16_BxPS_BEFP_DeprExp" localSheetId="2">#REF!</definedName>
    <definedName name="Est16_BxPS_BEFP_DeprExp" localSheetId="8">#REF!</definedName>
    <definedName name="Est16_BxPS_BEFP_DeprExp" localSheetId="9">'WS7-IMEU'!#REF!</definedName>
    <definedName name="Est16_BxPS_BEFP_DeprExp">#REF!</definedName>
    <definedName name="Est16_BxPS_BEFP_DispofAssets" localSheetId="2">#REF!</definedName>
    <definedName name="Est16_BxPS_BEFP_DispofAssets" localSheetId="8">#REF!</definedName>
    <definedName name="Est16_BxPS_BEFP_DispofAssets" localSheetId="9">'WS7-IMEU'!#REF!</definedName>
    <definedName name="Est16_BxPS_BEFP_DispofAssets">#REF!</definedName>
    <definedName name="Est16_BxPS_BEFP_GenAccumDepr" localSheetId="2">#REF!</definedName>
    <definedName name="Est16_BxPS_BEFP_GenAccumDepr" localSheetId="8">#REF!</definedName>
    <definedName name="Est16_BxPS_BEFP_GenAccumDepr" localSheetId="9">'WS7-IMEU'!#REF!</definedName>
    <definedName name="Est16_BxPS_BEFP_GenAccumDepr">#REF!</definedName>
    <definedName name="Est16_BxPS_BEFP_GenPlant" localSheetId="2">#REF!</definedName>
    <definedName name="Est16_BxPS_BEFP_GenPlant" localSheetId="8">#REF!</definedName>
    <definedName name="Est16_BxPS_BEFP_GenPlant" localSheetId="9">'WS7-IMEU'!#REF!</definedName>
    <definedName name="Est16_BxPS_BEFP_GenPlant">#REF!</definedName>
    <definedName name="Est16_BxPS_BEFP_LTDebt" localSheetId="2">#REF!</definedName>
    <definedName name="Est16_BxPS_BEFP_LTDebt" localSheetId="8">#REF!</definedName>
    <definedName name="Est16_BxPS_BEFP_LTDebt" localSheetId="9">'WS7-IMEU'!#REF!</definedName>
    <definedName name="Est16_BxPS_BEFP_LTDebt">#REF!</definedName>
    <definedName name="Est16_BxPS_BEFP_LTInt" localSheetId="2">#REF!</definedName>
    <definedName name="Est16_BxPS_BEFP_LTInt" localSheetId="8">#REF!</definedName>
    <definedName name="Est16_BxPS_BEFP_LTInt" localSheetId="9">'WS7-IMEU'!#REF!</definedName>
    <definedName name="Est16_BxPS_BEFP_LTInt">#REF!</definedName>
    <definedName name="Est16_BxPS_BEFP_Plant" localSheetId="2">#REF!</definedName>
    <definedName name="Est16_BxPS_BEFP_Plant" localSheetId="8">#REF!</definedName>
    <definedName name="Est16_BxPS_BEFP_Plant" localSheetId="9">'WS7-IMEU'!#REF!</definedName>
    <definedName name="Est16_BxPS_BEFP_Plant">#REF!</definedName>
    <definedName name="Est16_BxPS_BEFP_SSCD_OpExp" localSheetId="2">#REF!</definedName>
    <definedName name="Est16_BxPS_BEFP_SSCD_OpExp" localSheetId="8">#REF!</definedName>
    <definedName name="Est16_BxPS_BEFP_SSCD_OpExp" localSheetId="9">'WS7-IMEU'!#REF!</definedName>
    <definedName name="Est16_BxPS_BEFP_SSCD_OpExp">#REF!</definedName>
    <definedName name="Est16_BxPS_BEFP_SSCDAllocator" localSheetId="2">#REF!</definedName>
    <definedName name="Est16_BxPS_BEFP_SSCDAllocator" localSheetId="8">#REF!</definedName>
    <definedName name="Est16_BxPS_BEFP_SSCDAllocator" localSheetId="9">'WS7-IMEU'!#REF!</definedName>
    <definedName name="Est16_BxPS_BEFP_SSCDAllocator">#REF!</definedName>
    <definedName name="Est16_BxPS_BEFP_SSCDPlant" localSheetId="2">#REF!</definedName>
    <definedName name="Est16_BxPS_BEFP_SSCDPlant" localSheetId="8">#REF!</definedName>
    <definedName name="Est16_BxPS_BEFP_SSCDPlant" localSheetId="9">'WS7-IMEU'!#REF!</definedName>
    <definedName name="Est16_BxPS_BEFP_SSCDPlant">#REF!</definedName>
    <definedName name="Est16_BxPS_BEFP_TotalOM" localSheetId="2">#REF!</definedName>
    <definedName name="Est16_BxPS_BEFP_TotalOM" localSheetId="8">#REF!</definedName>
    <definedName name="Est16_BxPS_BEFP_TotalOM" localSheetId="9">'WS7-IMEU'!#REF!</definedName>
    <definedName name="Est16_BxPS_BEFP_TotalOM">#REF!</definedName>
    <definedName name="Est16_BxPS_BEFP_TPlant" localSheetId="2">#REF!</definedName>
    <definedName name="Est16_BxPS_BEFP_TPlant" localSheetId="8">#REF!</definedName>
    <definedName name="Est16_BxPS_BEFP_TPlant" localSheetId="9">'WS7-IMEU'!#REF!</definedName>
    <definedName name="Est16_BxPS_BEFP_TPlant">#REF!</definedName>
    <definedName name="Est16_BxPS_BEFP_TransAccumDepr" localSheetId="2">#REF!</definedName>
    <definedName name="Est16_BxPS_BEFP_TransAccumDepr" localSheetId="8">#REF!</definedName>
    <definedName name="Est16_BxPS_BEFP_TransAccumDepr" localSheetId="9">'WS7-IMEU'!#REF!</definedName>
    <definedName name="Est16_BxPS_BEFP_TransAccumDepr">#REF!</definedName>
    <definedName name="Est16_BxPS_BEFP_WageSalary" localSheetId="2">#REF!</definedName>
    <definedName name="Est16_BxPS_BEFP_WageSalary" localSheetId="8">#REF!</definedName>
    <definedName name="Est16_BxPS_BEFP_WageSalary" localSheetId="9">'WS7-IMEU'!#REF!</definedName>
    <definedName name="Est16_BxPS_BEFP_WageSalary">#REF!</definedName>
    <definedName name="Est16_BxPS_BEFP_Warehouse_Stores" localSheetId="2">#REF!</definedName>
    <definedName name="Est16_BxPS_BEFP_Warehouse_Stores" localSheetId="8">#REF!</definedName>
    <definedName name="Est16_BxPS_BEFP_Warehouse_Stores" localSheetId="9">'WS7-IMEU'!#REF!</definedName>
    <definedName name="Est16_BxPS_BEFP_Warehouse_Stores">#REF!</definedName>
    <definedName name="Est16_BXPS_OM" localSheetId="2">#REF!</definedName>
    <definedName name="Est16_BXPS_OM" localSheetId="8">#REF!</definedName>
    <definedName name="Est16_BXPS_OM" localSheetId="9">'WS7-IMEU'!#REF!</definedName>
    <definedName name="Est16_BXPS_OM">#REF!</definedName>
    <definedName name="Est16_COE_AccumDepr" localSheetId="2">#REF!</definedName>
    <definedName name="Est16_COE_AccumDepr" localSheetId="8">#REF!</definedName>
    <definedName name="Est16_COE_AccumDepr" localSheetId="9">'WS7-IMEU'!#REF!</definedName>
    <definedName name="Est16_COE_AccumDepr">#REF!</definedName>
    <definedName name="Est16_COE_AG" localSheetId="2">#REF!</definedName>
    <definedName name="Est16_COE_AG" localSheetId="8">#REF!</definedName>
    <definedName name="Est16_COE_AG" localSheetId="9">'WS7-IMEU'!#REF!</definedName>
    <definedName name="Est16_COE_AG">#REF!</definedName>
    <definedName name="Est16_COE_DeprExp" localSheetId="2">#REF!</definedName>
    <definedName name="Est16_COE_DeprExp" localSheetId="8">#REF!</definedName>
    <definedName name="Est16_COE_DeprExp" localSheetId="9">'WS7-IMEU'!#REF!</definedName>
    <definedName name="Est16_COE_DeprExp">#REF!</definedName>
    <definedName name="Est16_COE_FixedChargeRate" localSheetId="2">#REF!</definedName>
    <definedName name="Est16_COE_FixedChargeRate" localSheetId="8">#REF!</definedName>
    <definedName name="Est16_COE_FixedChargeRate" localSheetId="9">'WS7-IMEU'!#REF!</definedName>
    <definedName name="Est16_COE_FixedChargeRate">#REF!</definedName>
    <definedName name="Est16_COE_Gen" localSheetId="2">#REF!</definedName>
    <definedName name="Est16_COE_Gen" localSheetId="8">#REF!</definedName>
    <definedName name="Est16_COE_Gen" localSheetId="9">'WS7-IMEU'!#REF!</definedName>
    <definedName name="Est16_COE_Gen">#REF!</definedName>
    <definedName name="Est16_COE_GenAccumDepr" localSheetId="2">#REF!</definedName>
    <definedName name="Est16_COE_GenAccumDepr" localSheetId="8">#REF!</definedName>
    <definedName name="Est16_COE_GenAccumDepr" localSheetId="9">'WS7-IMEU'!#REF!</definedName>
    <definedName name="Est16_COE_GenAccumDepr">#REF!</definedName>
    <definedName name="Est16_COE_GenDepr" localSheetId="2">#REF!</definedName>
    <definedName name="Est16_COE_GenDepr" localSheetId="8">#REF!</definedName>
    <definedName name="Est16_COE_GenDepr" localSheetId="9">'WS7-IMEU'!#REF!</definedName>
    <definedName name="Est16_COE_GenDepr">#REF!</definedName>
    <definedName name="Est16_COE_GenOM" localSheetId="2">#REF!</definedName>
    <definedName name="Est16_COE_GenOM" localSheetId="8">#REF!</definedName>
    <definedName name="Est16_COE_GenOM" localSheetId="9">'WS7-IMEU'!#REF!</definedName>
    <definedName name="Est16_COE_GenOM">#REF!</definedName>
    <definedName name="Est16_COE_GenPlant" localSheetId="2">#REF!</definedName>
    <definedName name="Est16_COE_GenPlant" localSheetId="8">#REF!</definedName>
    <definedName name="Est16_COE_GenPlant" localSheetId="9">'WS7-IMEU'!#REF!</definedName>
    <definedName name="Est16_COE_GenPlant">#REF!</definedName>
    <definedName name="Est16_COE_LTDebt" localSheetId="2">#REF!</definedName>
    <definedName name="Est16_COE_LTDebt" localSheetId="8">#REF!</definedName>
    <definedName name="Est16_COE_LTDebt" localSheetId="9">'WS7-IMEU'!#REF!</definedName>
    <definedName name="Est16_COE_LTDebt">#REF!</definedName>
    <definedName name="Est16_COE_LTInt" localSheetId="2">#REF!</definedName>
    <definedName name="Est16_COE_LTInt" localSheetId="8">#REF!</definedName>
    <definedName name="Est16_COE_LTInt" localSheetId="9">'WS7-IMEU'!#REF!</definedName>
    <definedName name="Est16_COE_LTInt">#REF!</definedName>
    <definedName name="Est16_COE_NetPlantInvest" localSheetId="2">#REF!</definedName>
    <definedName name="Est16_COE_NetPlantInvest" localSheetId="8">#REF!</definedName>
    <definedName name="Est16_COE_NetPlantInvest" localSheetId="9">'WS7-IMEU'!#REF!</definedName>
    <definedName name="Est16_COE_NetPlantInvest">#REF!</definedName>
    <definedName name="Est16_COE_OM" localSheetId="2">#REF!</definedName>
    <definedName name="Est16_COE_OM" localSheetId="8">#REF!</definedName>
    <definedName name="Est16_COE_OM" localSheetId="9">'WS7-IMEU'!#REF!</definedName>
    <definedName name="Est16_COE_OM">#REF!</definedName>
    <definedName name="Est16_COE_Plant" localSheetId="2">#REF!</definedName>
    <definedName name="Est16_COE_Plant" localSheetId="8">#REF!</definedName>
    <definedName name="Est16_COE_Plant" localSheetId="9">'WS7-IMEU'!#REF!</definedName>
    <definedName name="Est16_COE_Plant">#REF!</definedName>
    <definedName name="Est16_COE_TPlant" localSheetId="2">#REF!</definedName>
    <definedName name="Est16_COE_TPlant" localSheetId="8">#REF!</definedName>
    <definedName name="Est16_COE_TPlant" localSheetId="9">'WS7-IMEU'!#REF!</definedName>
    <definedName name="Est16_COE_TPlant">#REF!</definedName>
    <definedName name="Est16_COE_TransAccumDepr" localSheetId="2">#REF!</definedName>
    <definedName name="Est16_COE_TransAccumDepr" localSheetId="8">#REF!</definedName>
    <definedName name="Est16_COE_TransAccumDepr" localSheetId="9">'WS7-IMEU'!#REF!</definedName>
    <definedName name="Est16_COE_TransAccumDepr">#REF!</definedName>
    <definedName name="Est16_Credit_Acct454" localSheetId="2">#REF!</definedName>
    <definedName name="Est16_Credit_Acct454" localSheetId="8">#REF!</definedName>
    <definedName name="Est16_Credit_Acct454" localSheetId="9">'WS7-IMEU'!#REF!</definedName>
    <definedName name="Est16_Credit_Acct454">#REF!</definedName>
    <definedName name="Est16_Credit_ExstRev" localSheetId="2">#REF!</definedName>
    <definedName name="Est16_Credit_ExstRev" localSheetId="8">#REF!</definedName>
    <definedName name="Est16_Credit_ExstRev" localSheetId="9">'WS7-IMEU'!#REF!</definedName>
    <definedName name="Est16_Credit_ExstRev">#REF!</definedName>
    <definedName name="Est16_Credit_NFPTP" localSheetId="2">#REF!</definedName>
    <definedName name="Est16_Credit_NFPTP" localSheetId="8">#REF!</definedName>
    <definedName name="Est16_Credit_NFPTP" localSheetId="9">'WS7-IMEU'!#REF!</definedName>
    <definedName name="Est16_Credit_NFPTP">#REF!</definedName>
    <definedName name="Est16_Credit_STPTP" localSheetId="2">#REF!</definedName>
    <definedName name="Est16_Credit_STPTP" localSheetId="8">#REF!</definedName>
    <definedName name="Est16_Credit_STPTP" localSheetId="9">'WS7-IMEU'!#REF!</definedName>
    <definedName name="Est16_Credit_STPTP">#REF!</definedName>
    <definedName name="Est16_GenAG" localSheetId="2">#REF!</definedName>
    <definedName name="Est16_GenAG" localSheetId="8">#REF!</definedName>
    <definedName name="Est16_GenAG" localSheetId="9">'WS7-IMEU'!#REF!</definedName>
    <definedName name="Est16_GenAG">#REF!</definedName>
    <definedName name="Est16_GenCompRate" localSheetId="2">#REF!</definedName>
    <definedName name="Est16_GenCompRate" localSheetId="8">#REF!</definedName>
    <definedName name="Est16_GenCompRate" localSheetId="9">'WS7-IMEU'!#REF!</definedName>
    <definedName name="Est16_GenCompRate">#REF!</definedName>
    <definedName name="Est16_GenDepr" localSheetId="2">#REF!</definedName>
    <definedName name="Est16_GenDepr" localSheetId="8">#REF!</definedName>
    <definedName name="Est16_GenDepr" localSheetId="9">'WS7-IMEU'!#REF!</definedName>
    <definedName name="Est16_GenDepr">#REF!</definedName>
    <definedName name="Est16_GenOM" localSheetId="2">#REF!</definedName>
    <definedName name="Est16_GenOM" localSheetId="8">#REF!</definedName>
    <definedName name="Est16_GenOM" localSheetId="9">'WS7-IMEU'!#REF!</definedName>
    <definedName name="Est16_GenOM">#REF!</definedName>
    <definedName name="Est16_GenPlant" localSheetId="2">#REF!</definedName>
    <definedName name="Est16_GenPlant" localSheetId="8">#REF!</definedName>
    <definedName name="Est16_GenPlant" localSheetId="9">'WS7-IMEU'!#REF!</definedName>
    <definedName name="Est16_GenPlant">#REF!</definedName>
    <definedName name="Est16_PlantCapacity" localSheetId="2">#REF!</definedName>
    <definedName name="Est16_PlantCapacity" localSheetId="8">#REF!</definedName>
    <definedName name="Est16_PlantCapacity" localSheetId="9">'WS7-IMEU'!#REF!</definedName>
    <definedName name="Est16_PlantCapacity">#REF!</definedName>
    <definedName name="Est16_RegCapacity" localSheetId="2">#REF!</definedName>
    <definedName name="Est16_RegCapacity" localSheetId="8">#REF!</definedName>
    <definedName name="Est16_RegCapacity" localSheetId="9">'WS7-IMEU'!#REF!</definedName>
    <definedName name="Est16_RegCapacity">#REF!</definedName>
    <definedName name="Est16_RMR_AccumDepr" localSheetId="2">#REF!</definedName>
    <definedName name="Est16_RMR_AccumDepr" localSheetId="8">#REF!</definedName>
    <definedName name="Est16_RMR_AccumDepr" localSheetId="9">'WS7-IMEU'!#REF!</definedName>
    <definedName name="Est16_RMR_AccumDepr">#REF!</definedName>
    <definedName name="Est16_RMR_AGExp" localSheetId="2">#REF!</definedName>
    <definedName name="Est16_RMR_AGExp" localSheetId="8">#REF!</definedName>
    <definedName name="Est16_RMR_AGExp" localSheetId="9">'WS7-IMEU'!#REF!</definedName>
    <definedName name="Est16_RMR_AGExp">#REF!</definedName>
    <definedName name="Est16_RMR_CME" localSheetId="2">#REF!</definedName>
    <definedName name="Est16_RMR_CME" localSheetId="8">#REF!</definedName>
    <definedName name="Est16_RMR_CME" localSheetId="9">'WS7-IMEU'!#REF!</definedName>
    <definedName name="Est16_RMR_CME">#REF!</definedName>
    <definedName name="Est16_RMR_DeprExp" localSheetId="2">#REF!</definedName>
    <definedName name="Est16_RMR_DeprExp" localSheetId="8">#REF!</definedName>
    <definedName name="Est16_RMR_DeprExp" localSheetId="9">'WS7-IMEU'!#REF!</definedName>
    <definedName name="Est16_RMR_DeprExp">#REF!</definedName>
    <definedName name="Est16_RMR_LTDebt" localSheetId="2">#REF!</definedName>
    <definedName name="Est16_RMR_LTDebt" localSheetId="8">#REF!</definedName>
    <definedName name="Est16_RMR_LTDebt" localSheetId="9">'WS7-IMEU'!#REF!</definedName>
    <definedName name="Est16_RMR_LTDebt">#REF!</definedName>
    <definedName name="Est16_RMR_LTInt" localSheetId="2">#REF!</definedName>
    <definedName name="Est16_RMR_LTInt" localSheetId="8">#REF!</definedName>
    <definedName name="Est16_RMR_LTInt" localSheetId="9">'WS7-IMEU'!#REF!</definedName>
    <definedName name="Est16_RMR_LTInt">#REF!</definedName>
    <definedName name="Est16_RMR_OM" localSheetId="2">#REF!</definedName>
    <definedName name="Est16_RMR_OM" localSheetId="8">#REF!</definedName>
    <definedName name="Est16_RMR_OM" localSheetId="9">'WS7-IMEU'!#REF!</definedName>
    <definedName name="Est16_RMR_OM">#REF!</definedName>
    <definedName name="Est16_RMR_Plant" localSheetId="2">#REF!</definedName>
    <definedName name="Est16_RMR_Plant" localSheetId="8">#REF!</definedName>
    <definedName name="Est16_RMR_Plant" localSheetId="9">'WS7-IMEU'!#REF!</definedName>
    <definedName name="Est16_RMR_Plant">#REF!</definedName>
    <definedName name="Est16_RMR_Total_OM" localSheetId="2">#REF!</definedName>
    <definedName name="Est16_RMR_Total_OM" localSheetId="8">#REF!</definedName>
    <definedName name="Est16_RMR_Total_OM" localSheetId="9">'WS7-IMEU'!#REF!</definedName>
    <definedName name="Est16_RMR_Total_OM">#REF!</definedName>
    <definedName name="Est16_RMR_TPlant" localSheetId="2">#REF!</definedName>
    <definedName name="Est16_RMR_TPlant" localSheetId="8">#REF!</definedName>
    <definedName name="Est16_RMR_TPlant" localSheetId="9">'WS7-IMEU'!#REF!</definedName>
    <definedName name="Est16_RMR_TPlant">#REF!</definedName>
    <definedName name="Est16_RMR_TransAccumDepr" localSheetId="2">#REF!</definedName>
    <definedName name="Est16_RMR_TransAccumDepr" localSheetId="8">#REF!</definedName>
    <definedName name="Est16_RMR_TransAccumDepr" localSheetId="9">'WS7-IMEU'!#REF!</definedName>
    <definedName name="Est16_RMR_TransAccumDepr">#REF!</definedName>
    <definedName name="Est16_RMR_Warehouse_Stores" localSheetId="2">#REF!</definedName>
    <definedName name="Est16_RMR_Warehouse_Stores" localSheetId="8">#REF!</definedName>
    <definedName name="Est16_RMR_Warehouse_Stores" localSheetId="9">'WS7-IMEU'!#REF!</definedName>
    <definedName name="Est16_RMR_Warehouse_Stores">#REF!</definedName>
    <definedName name="Est16_SSCD_Other_Revenue" localSheetId="2">#REF!</definedName>
    <definedName name="Est16_SSCD_Other_Revenue" localSheetId="8">#REF!</definedName>
    <definedName name="Est16_SSCD_Other_Revenue" localSheetId="9">'WS7-IMEU'!#REF!</definedName>
    <definedName name="Est16_SSCD_Other_Revenue">#REF!</definedName>
    <definedName name="Est16_SSCD_RevRqmt" localSheetId="2">#REF!</definedName>
    <definedName name="Est16_SSCD_RevRqmt" localSheetId="8">#REF!</definedName>
    <definedName name="Est16_SSCD_RevRqmt" localSheetId="9">'WS7-IMEU'!#REF!</definedName>
    <definedName name="Est16_SSCD_RevRqmt">#REF!</definedName>
    <definedName name="Est16_Trans_Composite_IntRate" localSheetId="2">#REF!</definedName>
    <definedName name="Est16_Trans_Composite_IntRate" localSheetId="8">#REF!</definedName>
    <definedName name="Est16_Trans_Composite_IntRate" localSheetId="9">'WS7-IMEU'!#REF!</definedName>
    <definedName name="Est16_Trans_Composite_IntRate">#REF!</definedName>
    <definedName name="Est16_TransAG" localSheetId="2">#REF!</definedName>
    <definedName name="Est16_TransAG" localSheetId="8">#REF!</definedName>
    <definedName name="Est16_TransAG" localSheetId="9">'WS7-IMEU'!#REF!</definedName>
    <definedName name="Est16_TransAG">#REF!</definedName>
    <definedName name="Est16_TransDepr" localSheetId="2">#REF!</definedName>
    <definedName name="Est16_TransDepr" localSheetId="8">#REF!</definedName>
    <definedName name="Est16_TransDepr" localSheetId="9">'WS7-IMEU'!#REF!</definedName>
    <definedName name="Est16_TransDepr">#REF!</definedName>
    <definedName name="Est16_TransOM" localSheetId="2">#REF!</definedName>
    <definedName name="Est16_TransOM" localSheetId="8">#REF!</definedName>
    <definedName name="Est16_TransOM" localSheetId="9">'WS7-IMEU'!#REF!</definedName>
    <definedName name="Est16_TransOM">#REF!</definedName>
    <definedName name="Est16_TransPlant" localSheetId="2">#REF!</definedName>
    <definedName name="Est16_TransPlant" localSheetId="8">#REF!</definedName>
    <definedName name="Est16_TransPlant" localSheetId="9">'WS7-IMEU'!#REF!</definedName>
    <definedName name="Est16_TransPlant">#REF!</definedName>
    <definedName name="Est17_BOR_OM" localSheetId="2">#REF!</definedName>
    <definedName name="Est17_BOR_OM" localSheetId="8">#REF!</definedName>
    <definedName name="Est17_BOR_OM" localSheetId="9">'WS7-IMEU'!#REF!</definedName>
    <definedName name="Est17_BOR_OM">#REF!</definedName>
    <definedName name="Est17_BxPS_BEFP_AccumDepr" localSheetId="2">#REF!</definedName>
    <definedName name="Est17_BxPS_BEFP_AccumDepr" localSheetId="8">#REF!</definedName>
    <definedName name="Est17_BxPS_BEFP_AccumDepr" localSheetId="9">'WS7-IMEU'!#REF!</definedName>
    <definedName name="Est17_BxPS_BEFP_AccumDepr">#REF!</definedName>
    <definedName name="Est17_BxPS_BEFP_AGExp" localSheetId="2">#REF!</definedName>
    <definedName name="Est17_BxPS_BEFP_AGExp" localSheetId="8">#REF!</definedName>
    <definedName name="Est17_BxPS_BEFP_AGExp" localSheetId="9">'WS7-IMEU'!#REF!</definedName>
    <definedName name="Est17_BxPS_BEFP_AGExp">#REF!</definedName>
    <definedName name="Est17_BxPS_BEFP_CME" localSheetId="2">#REF!</definedName>
    <definedName name="Est17_BxPS_BEFP_CME" localSheetId="8">#REF!</definedName>
    <definedName name="Est17_BxPS_BEFP_CME" localSheetId="9">'WS7-IMEU'!#REF!</definedName>
    <definedName name="Est17_BxPS_BEFP_CME">#REF!</definedName>
    <definedName name="Est17_BxPS_BEFP_DepMOVP" localSheetId="2">#REF!</definedName>
    <definedName name="Est17_BxPS_BEFP_DepMOVP" localSheetId="8">#REF!</definedName>
    <definedName name="Est17_BxPS_BEFP_DepMOVP" localSheetId="9">'WS7-IMEU'!#REF!</definedName>
    <definedName name="Est17_BxPS_BEFP_DepMOVP">#REF!</definedName>
    <definedName name="Est17_BxPS_BEFP_DeprExp" localSheetId="2">#REF!</definedName>
    <definedName name="Est17_BxPS_BEFP_DeprExp" localSheetId="8">#REF!</definedName>
    <definedName name="Est17_BxPS_BEFP_DeprExp" localSheetId="9">'WS7-IMEU'!#REF!</definedName>
    <definedName name="Est17_BxPS_BEFP_DeprExp">#REF!</definedName>
    <definedName name="Est17_BxPS_BEFP_DispofAssets" localSheetId="2">#REF!</definedName>
    <definedName name="Est17_BxPS_BEFP_DispofAssets" localSheetId="8">#REF!</definedName>
    <definedName name="Est17_BxPS_BEFP_DispofAssets" localSheetId="9">'WS7-IMEU'!#REF!</definedName>
    <definedName name="Est17_BxPS_BEFP_DispofAssets">#REF!</definedName>
    <definedName name="Est17_BxPS_BEFP_GenAccumDepr" localSheetId="2">#REF!</definedName>
    <definedName name="Est17_BxPS_BEFP_GenAccumDepr" localSheetId="8">#REF!</definedName>
    <definedName name="Est17_BxPS_BEFP_GenAccumDepr" localSheetId="9">'WS7-IMEU'!#REF!</definedName>
    <definedName name="Est17_BxPS_BEFP_GenAccumDepr">#REF!</definedName>
    <definedName name="Est17_BxPS_BEFP_GenPlant" localSheetId="2">#REF!</definedName>
    <definedName name="Est17_BxPS_BEFP_GenPlant" localSheetId="8">#REF!</definedName>
    <definedName name="Est17_BxPS_BEFP_GenPlant" localSheetId="9">'WS7-IMEU'!#REF!</definedName>
    <definedName name="Est17_BxPS_BEFP_GenPlant">#REF!</definedName>
    <definedName name="Est17_BxPS_BEFP_Plant" localSheetId="2">#REF!</definedName>
    <definedName name="Est17_BxPS_BEFP_Plant" localSheetId="8">#REF!</definedName>
    <definedName name="Est17_BxPS_BEFP_Plant" localSheetId="9">'WS7-IMEU'!#REF!</definedName>
    <definedName name="Est17_BxPS_BEFP_Plant">#REF!</definedName>
    <definedName name="Est17_BxPS_BEFP_TotalOM" localSheetId="2">#REF!</definedName>
    <definedName name="Est17_BxPS_BEFP_TotalOM" localSheetId="8">#REF!</definedName>
    <definedName name="Est17_BxPS_BEFP_TotalOM" localSheetId="9">'WS7-IMEU'!#REF!</definedName>
    <definedName name="Est17_BxPS_BEFP_TotalOM">#REF!</definedName>
    <definedName name="Est17_BxPS_BEFP_TPlant" localSheetId="2">#REF!</definedName>
    <definedName name="Est17_BxPS_BEFP_TPlant" localSheetId="8">#REF!</definedName>
    <definedName name="Est17_BxPS_BEFP_TPlant" localSheetId="9">'WS7-IMEU'!#REF!</definedName>
    <definedName name="Est17_BxPS_BEFP_TPlant">#REF!</definedName>
    <definedName name="Est17_BxPS_BEFP_TransAccumDepr" localSheetId="2">#REF!</definedName>
    <definedName name="Est17_BxPS_BEFP_TransAccumDepr" localSheetId="8">#REF!</definedName>
    <definedName name="Est17_BxPS_BEFP_TransAccumDepr" localSheetId="9">'WS7-IMEU'!#REF!</definedName>
    <definedName name="Est17_BxPS_BEFP_TransAccumDepr">#REF!</definedName>
    <definedName name="Est17_BxPS_BEFP_WageSalary" localSheetId="2">#REF!</definedName>
    <definedName name="Est17_BxPS_BEFP_WageSalary" localSheetId="8">#REF!</definedName>
    <definedName name="Est17_BxPS_BEFP_WageSalary" localSheetId="9">'WS7-IMEU'!#REF!</definedName>
    <definedName name="Est17_BxPS_BEFP_WageSalary">#REF!</definedName>
    <definedName name="Est17_BxPS_BEFP_Warehouse_Stores" localSheetId="2">#REF!</definedName>
    <definedName name="Est17_BxPS_BEFP_Warehouse_Stores" localSheetId="8">#REF!</definedName>
    <definedName name="Est17_BxPS_BEFP_Warehouse_Stores" localSheetId="9">'WS7-IMEU'!#REF!</definedName>
    <definedName name="Est17_BxPS_BEFP_Warehouse_Stores">#REF!</definedName>
    <definedName name="Est17_BXPS_OM" localSheetId="2">#REF!</definedName>
    <definedName name="Est17_BXPS_OM" localSheetId="8">#REF!</definedName>
    <definedName name="Est17_BXPS_OM" localSheetId="9">'WS7-IMEU'!#REF!</definedName>
    <definedName name="Est17_BXPS_OM">#REF!</definedName>
    <definedName name="Est17_COE_AccumDeprGen" localSheetId="2">#REF!</definedName>
    <definedName name="Est17_COE_AccumDeprGen" localSheetId="8">#REF!</definedName>
    <definedName name="Est17_COE_AccumDeprGen" localSheetId="9">'WS7-IMEU'!#REF!</definedName>
    <definedName name="Est17_COE_AccumDeprGen">#REF!</definedName>
    <definedName name="Est17_COE_DeprExp" localSheetId="2">#REF!</definedName>
    <definedName name="Est17_COE_DeprExp" localSheetId="8">#REF!</definedName>
    <definedName name="Est17_COE_DeprExp" localSheetId="9">'WS7-IMEU'!#REF!</definedName>
    <definedName name="Est17_COE_DeprExp">#REF!</definedName>
    <definedName name="Est17_COE_Gen" localSheetId="2">#REF!</definedName>
    <definedName name="Est17_COE_Gen" localSheetId="8">#REF!</definedName>
    <definedName name="Est17_COE_Gen" localSheetId="9">'WS7-IMEU'!#REF!</definedName>
    <definedName name="Est17_COE_Gen">#REF!</definedName>
    <definedName name="Est17_COE_OM" localSheetId="2">#REF!</definedName>
    <definedName name="Est17_COE_OM" localSheetId="8">#REF!</definedName>
    <definedName name="Est17_COE_OM" localSheetId="9">'WS7-IMEU'!#REF!</definedName>
    <definedName name="Est17_COE_OM">#REF!</definedName>
    <definedName name="Est17_COE_Plant" localSheetId="2">#REF!</definedName>
    <definedName name="Est17_COE_Plant" localSheetId="8">#REF!</definedName>
    <definedName name="Est17_COE_Plant" localSheetId="9">'WS7-IMEU'!#REF!</definedName>
    <definedName name="Est17_COE_Plant">#REF!</definedName>
    <definedName name="Est17_COE_TPlant" localSheetId="2">#REF!</definedName>
    <definedName name="Est17_COE_TPlant" localSheetId="8">#REF!</definedName>
    <definedName name="Est17_COE_TPlant" localSheetId="9">'WS7-IMEU'!#REF!</definedName>
    <definedName name="Est17_COE_TPlant">#REF!</definedName>
    <definedName name="Est17_COE_TransAccumDepr" localSheetId="2">#REF!</definedName>
    <definedName name="Est17_COE_TransAccumDepr" localSheetId="8">#REF!</definedName>
    <definedName name="Est17_COE_TransAccumDepr" localSheetId="9">'WS7-IMEU'!#REF!</definedName>
    <definedName name="Est17_COE_TransAccumDepr">#REF!</definedName>
    <definedName name="Est17_Credit_Acct454" localSheetId="2">#REF!</definedName>
    <definedName name="Est17_Credit_Acct454" localSheetId="8">#REF!</definedName>
    <definedName name="Est17_Credit_Acct454" localSheetId="9">'WS7-IMEU'!#REF!</definedName>
    <definedName name="Est17_Credit_Acct454">#REF!</definedName>
    <definedName name="Est17_Credit_ExstRev" localSheetId="2">#REF!</definedName>
    <definedName name="Est17_Credit_ExstRev" localSheetId="8">#REF!</definedName>
    <definedName name="Est17_Credit_ExstRev" localSheetId="9">'WS7-IMEU'!#REF!</definedName>
    <definedName name="Est17_Credit_ExstRev">#REF!</definedName>
    <definedName name="Est17_Credit_NFPTP" localSheetId="2">#REF!</definedName>
    <definedName name="Est17_Credit_NFPTP" localSheetId="8">#REF!</definedName>
    <definedName name="Est17_Credit_NFPTP" localSheetId="9">'WS7-IMEU'!#REF!</definedName>
    <definedName name="Est17_Credit_NFPTP">#REF!</definedName>
    <definedName name="Est17_Credit_SSCD" localSheetId="2">#REF!</definedName>
    <definedName name="Est17_Credit_SSCD" localSheetId="8">#REF!</definedName>
    <definedName name="Est17_Credit_SSCD" localSheetId="9">'WS7-IMEU'!#REF!</definedName>
    <definedName name="Est17_Credit_SSCD">#REF!</definedName>
    <definedName name="Est17_Credit_STPTP" localSheetId="2">#REF!</definedName>
    <definedName name="Est17_Credit_STPTP" localSheetId="8">#REF!</definedName>
    <definedName name="Est17_Credit_STPTP" localSheetId="9">'WS7-IMEU'!#REF!</definedName>
    <definedName name="Est17_Credit_STPTP">#REF!</definedName>
    <definedName name="Est17_RMR_AGExp" localSheetId="2">#REF!</definedName>
    <definedName name="Est17_RMR_AGExp" localSheetId="8">#REF!</definedName>
    <definedName name="Est17_RMR_AGExp" localSheetId="9">'WS7-IMEU'!#REF!</definedName>
    <definedName name="Est17_RMR_AGExp">#REF!</definedName>
    <definedName name="Est17_RMR_CME" localSheetId="2">#REF!</definedName>
    <definedName name="Est17_RMR_CME" localSheetId="8">#REF!</definedName>
    <definedName name="Est17_RMR_CME" localSheetId="9">'WS7-IMEU'!#REF!</definedName>
    <definedName name="Est17_RMR_CME">#REF!</definedName>
    <definedName name="Est17_RMR_DeprExp" localSheetId="2">#REF!</definedName>
    <definedName name="Est17_RMR_DeprExp" localSheetId="8">#REF!</definedName>
    <definedName name="Est17_RMR_DeprExp" localSheetId="9">'WS7-IMEU'!#REF!</definedName>
    <definedName name="Est17_RMR_DeprExp">#REF!</definedName>
    <definedName name="Est17_RMR_OM" localSheetId="2">#REF!</definedName>
    <definedName name="Est17_RMR_OM" localSheetId="8">#REF!</definedName>
    <definedName name="Est17_RMR_OM" localSheetId="9">'WS7-IMEU'!#REF!</definedName>
    <definedName name="Est17_RMR_OM">#REF!</definedName>
    <definedName name="Est17_RMR_Plant" localSheetId="2">#REF!</definedName>
    <definedName name="Est17_RMR_Plant" localSheetId="8">#REF!</definedName>
    <definedName name="Est17_RMR_Plant" localSheetId="9">'WS7-IMEU'!#REF!</definedName>
    <definedName name="Est17_RMR_Plant">#REF!</definedName>
    <definedName name="Est17_RMR_Total_OM" localSheetId="2">#REF!</definedName>
    <definedName name="Est17_RMR_Total_OM" localSheetId="8">#REF!</definedName>
    <definedName name="Est17_RMR_Total_OM" localSheetId="9">'WS7-IMEU'!#REF!</definedName>
    <definedName name="Est17_RMR_Total_OM">#REF!</definedName>
    <definedName name="Est17_RMR_TPlant" localSheetId="2">#REF!</definedName>
    <definedName name="Est17_RMR_TPlant" localSheetId="8">#REF!</definedName>
    <definedName name="Est17_RMR_TPlant" localSheetId="9">'WS7-IMEU'!#REF!</definedName>
    <definedName name="Est17_RMR_TPlant">#REF!</definedName>
    <definedName name="Est17_RMR_TransAccumDepr" localSheetId="2">#REF!</definedName>
    <definedName name="Est17_RMR_TransAccumDepr" localSheetId="8">#REF!</definedName>
    <definedName name="Est17_RMR_TransAccumDepr" localSheetId="9">'WS7-IMEU'!#REF!</definedName>
    <definedName name="Est17_RMR_TransAccumDepr">#REF!</definedName>
    <definedName name="Est17_RMR_Warehouse_Stores" localSheetId="2">#REF!</definedName>
    <definedName name="Est17_RMR_Warehouse_Stores" localSheetId="8">#REF!</definedName>
    <definedName name="Est17_RMR_Warehouse_Stores" localSheetId="9">'WS7-IMEU'!#REF!</definedName>
    <definedName name="Est17_RMR_Warehouse_Stores">#REF!</definedName>
    <definedName name="GALION" localSheetId="0">#REF!</definedName>
    <definedName name="GALION" localSheetId="3">'WS1-ATRR RateBase'!#REF!</definedName>
    <definedName name="GALION" localSheetId="4">#REF!</definedName>
    <definedName name="GALION" localSheetId="8">#REF!</definedName>
    <definedName name="GALION" localSheetId="9">#REF!</definedName>
    <definedName name="GALION">#REF!</definedName>
    <definedName name="GENOA" localSheetId="0">#REF!</definedName>
    <definedName name="GENOA" localSheetId="3">'WS1-ATRR RateBase'!#REF!</definedName>
    <definedName name="GENOA" localSheetId="4">#REF!</definedName>
    <definedName name="GENOA" localSheetId="8">#REF!</definedName>
    <definedName name="GENOA" localSheetId="9">#REF!</definedName>
    <definedName name="GENOA">#REF!</definedName>
    <definedName name="GENOA_NORTH" localSheetId="0">#REF!</definedName>
    <definedName name="GENOA_NORTH" localSheetId="3">'WS1-ATRR RateBase'!#REF!</definedName>
    <definedName name="GENOA_NORTH" localSheetId="4">#REF!</definedName>
    <definedName name="GENOA_NORTH" localSheetId="8">#REF!</definedName>
    <definedName name="GENOA_NORTH" localSheetId="9">#REF!</definedName>
    <definedName name="GENOA_NORTH">#REF!</definedName>
    <definedName name="GENOA_SOUTH" localSheetId="0">#REF!</definedName>
    <definedName name="GENOA_SOUTH" localSheetId="3">'WS1-ATRR RateBase'!#REF!</definedName>
    <definedName name="GENOA_SOUTH" localSheetId="4">#REF!</definedName>
    <definedName name="GENOA_SOUTH" localSheetId="8">#REF!</definedName>
    <definedName name="GENOA_SOUTH" localSheetId="9">#REF!</definedName>
    <definedName name="GENOA_SOUTH">#REF!</definedName>
    <definedName name="GRAFTON" localSheetId="0">#REF!</definedName>
    <definedName name="GRAFTON" localSheetId="3">'WS1-ATRR RateBase'!#REF!</definedName>
    <definedName name="GRAFTON" localSheetId="4">#REF!</definedName>
    <definedName name="GRAFTON" localSheetId="8">#REF!</definedName>
    <definedName name="GRAFTON" localSheetId="9">#REF!</definedName>
    <definedName name="GRAFTON">#REF!</definedName>
    <definedName name="Grove_City" localSheetId="0">#REF!</definedName>
    <definedName name="Grove_City" localSheetId="3">'WS1-ATRR RateBase'!#REF!</definedName>
    <definedName name="Grove_City" localSheetId="4">#REF!</definedName>
    <definedName name="Grove_City" localSheetId="8">#REF!</definedName>
    <definedName name="Grove_City" localSheetId="9">#REF!</definedName>
    <definedName name="Grove_City">#REF!</definedName>
    <definedName name="HASKINS" localSheetId="0">#REF!</definedName>
    <definedName name="HASKINS" localSheetId="3">'WS1-ATRR RateBase'!#REF!</definedName>
    <definedName name="HASKINS" localSheetId="4">#REF!</definedName>
    <definedName name="HASKINS" localSheetId="8">#REF!</definedName>
    <definedName name="HASKINS" localSheetId="9">#REF!</definedName>
    <definedName name="HASKINS">#REF!</definedName>
    <definedName name="hourending" localSheetId="0">#REF!</definedName>
    <definedName name="hourending" localSheetId="3">'WS1-ATRR RateBase'!#REF!</definedName>
    <definedName name="hourending" localSheetId="4">#REF!</definedName>
    <definedName name="hourending" localSheetId="8">#REF!</definedName>
    <definedName name="hourending" localSheetId="9">#REF!</definedName>
    <definedName name="hourending">#REF!</definedName>
    <definedName name="HUBBARD" localSheetId="0">#REF!</definedName>
    <definedName name="HUBBARD" localSheetId="3">'WS1-ATRR RateBase'!#REF!</definedName>
    <definedName name="HUBBARD" localSheetId="4">#REF!</definedName>
    <definedName name="HUBBARD" localSheetId="8">#REF!</definedName>
    <definedName name="HUBBARD" localSheetId="9">#REF!</definedName>
    <definedName name="HUBBARD">#REF!</definedName>
    <definedName name="HUBBARD1" localSheetId="0">#REF!</definedName>
    <definedName name="HUBBARD1" localSheetId="3">'WS1-ATRR RateBase'!#REF!</definedName>
    <definedName name="HUBBARD1" localSheetId="4">#REF!</definedName>
    <definedName name="HUBBARD1" localSheetId="8">#REF!</definedName>
    <definedName name="HUBBARD1" localSheetId="9">#REF!</definedName>
    <definedName name="HUBBARD1">#REF!</definedName>
    <definedName name="LODI" localSheetId="0">#REF!</definedName>
    <definedName name="LODI" localSheetId="3">'WS1-ATRR RateBase'!#REF!</definedName>
    <definedName name="LODI" localSheetId="4">#REF!</definedName>
    <definedName name="LODI" localSheetId="8">#REF!</definedName>
    <definedName name="LODI" localSheetId="9">#REF!</definedName>
    <definedName name="LODI">#REF!</definedName>
    <definedName name="LUCAS" localSheetId="0">#REF!</definedName>
    <definedName name="LUCAS" localSheetId="3">'WS1-ATRR RateBase'!#REF!</definedName>
    <definedName name="LUCAS" localSheetId="4">#REF!</definedName>
    <definedName name="LUCAS" localSheetId="8">#REF!</definedName>
    <definedName name="LUCAS" localSheetId="9">#REF!</definedName>
    <definedName name="LUCAS">#REF!</definedName>
    <definedName name="MILAN" localSheetId="0">#REF!</definedName>
    <definedName name="MILAN" localSheetId="3">'WS1-ATRR RateBase'!#REF!</definedName>
    <definedName name="MILAN" localSheetId="4">#REF!</definedName>
    <definedName name="MILAN" localSheetId="8">#REF!</definedName>
    <definedName name="MILAN" localSheetId="9">#REF!</definedName>
    <definedName name="MILAN">#REF!</definedName>
    <definedName name="MONROEVILLE" localSheetId="0">#REF!</definedName>
    <definedName name="MONROEVILLE" localSheetId="3">'WS1-ATRR RateBase'!#REF!</definedName>
    <definedName name="MONROEVILLE" localSheetId="4">#REF!</definedName>
    <definedName name="MONROEVILLE" localSheetId="8">#REF!</definedName>
    <definedName name="MONROEVILLE" localSheetId="9">#REF!</definedName>
    <definedName name="MONROEVILLE">#REF!</definedName>
    <definedName name="NAPOLEON" localSheetId="0">#REF!</definedName>
    <definedName name="NAPOLEON" localSheetId="3">'WS1-ATRR RateBase'!#REF!</definedName>
    <definedName name="NAPOLEON" localSheetId="4">#REF!</definedName>
    <definedName name="NAPOLEON" localSheetId="8">#REF!</definedName>
    <definedName name="NAPOLEON" localSheetId="9">#REF!</definedName>
    <definedName name="NAPOLEON">#REF!</definedName>
    <definedName name="NEASG" localSheetId="0">#REF!</definedName>
    <definedName name="NEASG" localSheetId="3">'WS1-ATRR RateBase'!#REF!</definedName>
    <definedName name="NEASG" localSheetId="4">#REF!</definedName>
    <definedName name="NEASG" localSheetId="8">#REF!</definedName>
    <definedName name="NEASG" localSheetId="9">#REF!</definedName>
    <definedName name="NEASG">#REF!</definedName>
    <definedName name="New_Wilmington" localSheetId="0">#REF!</definedName>
    <definedName name="New_Wilmington" localSheetId="3">'WS1-ATRR RateBase'!#REF!</definedName>
    <definedName name="New_Wilmington" localSheetId="4">#REF!</definedName>
    <definedName name="New_Wilmington" localSheetId="8">#REF!</definedName>
    <definedName name="New_Wilmington" localSheetId="9">#REF!</definedName>
    <definedName name="New_Wilmington">#REF!</definedName>
    <definedName name="NEWTON_FALLS" localSheetId="0">#REF!</definedName>
    <definedName name="NEWTON_FALLS" localSheetId="3">'WS1-ATRR RateBase'!#REF!</definedName>
    <definedName name="NEWTON_FALLS" localSheetId="4">#REF!</definedName>
    <definedName name="NEWTON_FALLS" localSheetId="8">#REF!</definedName>
    <definedName name="NEWTON_FALLS" localSheetId="9">#REF!</definedName>
    <definedName name="NEWTON_FALLS">#REF!</definedName>
    <definedName name="NILES" localSheetId="0">#REF!</definedName>
    <definedName name="NILES" localSheetId="3">'WS1-ATRR RateBase'!#REF!</definedName>
    <definedName name="NILES" localSheetId="4">#REF!</definedName>
    <definedName name="NILES" localSheetId="8">#REF!</definedName>
    <definedName name="NILES" localSheetId="9">#REF!</definedName>
    <definedName name="NILES">#REF!</definedName>
    <definedName name="NWASG" localSheetId="0">#REF!</definedName>
    <definedName name="NWASG" localSheetId="3">'WS1-ATRR RateBase'!#REF!</definedName>
    <definedName name="NWASG" localSheetId="4">#REF!</definedName>
    <definedName name="NWASG" localSheetId="8">#REF!</definedName>
    <definedName name="NWASG" localSheetId="9">#REF!</definedName>
    <definedName name="NWASG">#REF!</definedName>
    <definedName name="OAK_HARBOR" localSheetId="0">#REF!</definedName>
    <definedName name="OAK_HARBOR" localSheetId="3">'WS1-ATRR RateBase'!#REF!</definedName>
    <definedName name="OAK_HARBOR" localSheetId="4">#REF!</definedName>
    <definedName name="OAK_HARBOR" localSheetId="8">#REF!</definedName>
    <definedName name="OAK_HARBOR" localSheetId="9">#REF!</definedName>
    <definedName name="OAK_HARBOR">#REF!</definedName>
    <definedName name="OBERLIN" localSheetId="0">#REF!</definedName>
    <definedName name="OBERLIN" localSheetId="3">'WS1-ATRR RateBase'!#REF!</definedName>
    <definedName name="OBERLIN" localSheetId="4">#REF!</definedName>
    <definedName name="OBERLIN" localSheetId="8">#REF!</definedName>
    <definedName name="OBERLIN" localSheetId="9">#REF!</definedName>
    <definedName name="OBERLIN">#REF!</definedName>
    <definedName name="PEMBERVILLE" localSheetId="0">#REF!</definedName>
    <definedName name="PEMBERVILLE" localSheetId="3">'WS1-ATRR RateBase'!#REF!</definedName>
    <definedName name="PEMBERVILLE" localSheetId="4">#REF!</definedName>
    <definedName name="PEMBERVILLE" localSheetId="8">#REF!</definedName>
    <definedName name="PEMBERVILLE" localSheetId="9">#REF!</definedName>
    <definedName name="PEMBERVILLE">#REF!</definedName>
    <definedName name="PIONEER" localSheetId="0">#REF!</definedName>
    <definedName name="PIONEER" localSheetId="3">'WS1-ATRR RateBase'!#REF!</definedName>
    <definedName name="PIONEER" localSheetId="4">#REF!</definedName>
    <definedName name="PIONEER" localSheetId="8">#REF!</definedName>
    <definedName name="PIONEER" localSheetId="9">#REF!</definedName>
    <definedName name="PIONEER">#REF!</definedName>
    <definedName name="_xlnm.Print_Area" localSheetId="0">'Cover Sheets'!$A$1:$D$26</definedName>
    <definedName name="_xlnm.Print_Area" localSheetId="2">'Rev Log'!$B:$J</definedName>
    <definedName name="_xlnm.Print_Area" localSheetId="1">'Summary-Est'!$A$1:$D$41</definedName>
    <definedName name="_xlnm.Print_Area" localSheetId="3">'WS1-ATRR RateBase'!$A$1:$T$50</definedName>
    <definedName name="_xlnm.Print_Area" localSheetId="4">'WS2-RevCredits'!$A$1:$D$23</definedName>
    <definedName name="_xlnm.Print_Area" localSheetId="5">'WS3-CostData'!$A$1:$L$191</definedName>
    <definedName name="_xlnm.Print_Area" localSheetId="6">'WS4-TransFac'!$A$1:$L$541</definedName>
    <definedName name="_xlnm.Print_Area" localSheetId="7">'WS5-FacDetail'!$A$1:$K$164</definedName>
    <definedName name="PROSPECT" localSheetId="0">#REF!</definedName>
    <definedName name="PROSPECT" localSheetId="3">'WS1-ATRR RateBase'!#REF!</definedName>
    <definedName name="PROSPECT" localSheetId="4">#REF!</definedName>
    <definedName name="PROSPECT" localSheetId="8">#REF!</definedName>
    <definedName name="PROSPECT" localSheetId="9">#REF!</definedName>
    <definedName name="PROSPECT">#REF!</definedName>
    <definedName name="revreq" localSheetId="0">#REF!</definedName>
    <definedName name="revreq" localSheetId="3">'WS1-ATRR RateBase'!#REF!</definedName>
    <definedName name="revreq" localSheetId="4">#REF!</definedName>
    <definedName name="revreq" localSheetId="8">#REF!</definedName>
    <definedName name="revreq" localSheetId="9">#REF!</definedName>
    <definedName name="revreq">#REF!</definedName>
    <definedName name="SEVILLE" localSheetId="0">#REF!</definedName>
    <definedName name="SEVILLE" localSheetId="3">'WS1-ATRR RateBase'!#REF!</definedName>
    <definedName name="SEVILLE" localSheetId="4">#REF!</definedName>
    <definedName name="SEVILLE" localSheetId="8">#REF!</definedName>
    <definedName name="SEVILLE" localSheetId="9">#REF!</definedName>
    <definedName name="SEVILLE">#REF!</definedName>
    <definedName name="SOUTH_VIENNA" localSheetId="0">#REF!</definedName>
    <definedName name="SOUTH_VIENNA" localSheetId="3">'WS1-ATRR RateBase'!#REF!</definedName>
    <definedName name="SOUTH_VIENNA" localSheetId="4">#REF!</definedName>
    <definedName name="SOUTH_VIENNA" localSheetId="8">#REF!</definedName>
    <definedName name="SOUTH_VIENNA" localSheetId="9">#REF!</definedName>
    <definedName name="SOUTH_VIENNA">#REF!</definedName>
    <definedName name="TOTAL_COLUMBIANA" localSheetId="0">#REF!</definedName>
    <definedName name="TOTAL_COLUMBIANA" localSheetId="3">'WS1-ATRR RateBase'!#REF!</definedName>
    <definedName name="TOTAL_COLUMBIANA" localSheetId="4">#REF!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3">'WS1-ATRR RateBase'!#REF!</definedName>
    <definedName name="Total_Grove_City" localSheetId="4">#REF!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3">'WS1-ATRR RateBase'!#REF!</definedName>
    <definedName name="TOTAL_HUDSON" localSheetId="4">#REF!</definedName>
    <definedName name="TOTAL_HUDSON" localSheetId="8">#REF!</definedName>
    <definedName name="TOTAL_HUDSON" localSheetId="9">#REF!</definedName>
    <definedName name="TOTAL_HUDSON">#REF!</definedName>
    <definedName name="TOTAL_MONTPELIER" localSheetId="0">#REF!</definedName>
    <definedName name="TOTAL_MONTPELIER" localSheetId="3">'WS1-ATRR RateBase'!#REF!</definedName>
    <definedName name="TOTAL_MONTPELIER" localSheetId="4">#REF!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3">'WS1-ATRR RateBase'!#REF!</definedName>
    <definedName name="TOTAL_WOODVILLE" localSheetId="4">#REF!</definedName>
    <definedName name="TOTAL_WOODVILLE" localSheetId="8">#REF!</definedName>
    <definedName name="TOTAL_WOODVILLE" localSheetId="9">#REF!</definedName>
    <definedName name="TOTAL_WOODVILLE">#REF!</definedName>
    <definedName name="WADSWORTH" localSheetId="0">#REF!</definedName>
    <definedName name="WADSWORTH" localSheetId="3">'WS1-ATRR RateBase'!#REF!</definedName>
    <definedName name="WADSWORTH" localSheetId="4">#REF!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2" l="1"/>
  <c r="A36" i="36"/>
  <c r="A37" i="36" s="1"/>
  <c r="A38" i="36" s="1"/>
  <c r="A39" i="36" s="1"/>
  <c r="A28" i="36"/>
  <c r="A29" i="36" s="1"/>
  <c r="A30" i="36" s="1"/>
  <c r="A31" i="36" s="1"/>
  <c r="S30" i="36"/>
  <c r="Q30" i="36"/>
  <c r="Q29" i="36"/>
  <c r="S28" i="36"/>
  <c r="N28" i="36"/>
  <c r="S37" i="36" l="1"/>
  <c r="S31" i="36"/>
  <c r="D31" i="36"/>
  <c r="I36" i="36"/>
  <c r="G36" i="36"/>
  <c r="F36" i="36"/>
  <c r="D163" i="35"/>
  <c r="D162" i="35"/>
  <c r="D161" i="35"/>
  <c r="D138" i="35"/>
  <c r="D137" i="35"/>
  <c r="D136" i="35"/>
  <c r="A136" i="35"/>
  <c r="A137" i="35" s="1"/>
  <c r="A138" i="35" s="1"/>
  <c r="A139" i="35" s="1"/>
  <c r="C162" i="35"/>
  <c r="C160" i="35"/>
  <c r="C19" i="35"/>
  <c r="K19" i="35" s="1"/>
  <c r="C17" i="35"/>
  <c r="K17" i="35" s="1"/>
  <c r="L18" i="41" l="1"/>
  <c r="J29" i="5"/>
  <c r="J27" i="5"/>
  <c r="J26" i="5"/>
  <c r="K27" i="5"/>
  <c r="A23" i="5"/>
  <c r="A24" i="5" s="1"/>
  <c r="A25" i="5" s="1"/>
  <c r="K23" i="5"/>
  <c r="J24" i="5"/>
  <c r="I24" i="5"/>
  <c r="H24" i="5"/>
  <c r="G24" i="5"/>
  <c r="K15" i="5"/>
  <c r="J16" i="5"/>
  <c r="I16" i="5"/>
  <c r="H16" i="5"/>
  <c r="G16" i="5"/>
  <c r="K24" i="5" l="1"/>
  <c r="C20" i="35" s="1"/>
  <c r="K20" i="35" s="1"/>
  <c r="K37" i="36"/>
  <c r="K16" i="5"/>
  <c r="C18" i="35" s="1"/>
  <c r="K18" i="35" s="1"/>
  <c r="K28" i="36"/>
  <c r="K29" i="36" l="1"/>
  <c r="K30" i="36" s="1"/>
  <c r="L28" i="36" l="1"/>
  <c r="Q28" i="36" s="1"/>
  <c r="A26" i="41" l="1"/>
  <c r="A27" i="41" s="1"/>
  <c r="A28" i="41" s="1"/>
  <c r="A33" i="32" l="1"/>
  <c r="A34" i="32" s="1"/>
  <c r="A35" i="32" s="1"/>
  <c r="A36" i="32" s="1"/>
  <c r="A37" i="32" s="1"/>
  <c r="Q27" i="36"/>
  <c r="Q38" i="36" l="1"/>
  <c r="A42" i="36" l="1"/>
  <c r="C7" i="35" l="1"/>
  <c r="I538" i="1"/>
  <c r="C38" i="35" l="1"/>
  <c r="C163" i="35" s="1"/>
  <c r="F38" i="36" s="1"/>
  <c r="C37" i="35"/>
  <c r="C36" i="35"/>
  <c r="C161" i="35" s="1"/>
  <c r="F29" i="36" s="1"/>
  <c r="F30" i="36" s="1"/>
  <c r="C35" i="35"/>
  <c r="L531" i="1"/>
  <c r="L534" i="1"/>
  <c r="N41" i="36"/>
  <c r="N5" i="36"/>
  <c r="S39" i="36"/>
  <c r="K38" i="36"/>
  <c r="L37" i="36" s="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9" i="1"/>
  <c r="A10" i="1" s="1"/>
  <c r="A11" i="1" s="1"/>
  <c r="A12" i="1" s="1"/>
  <c r="A8" i="1"/>
  <c r="A7" i="1"/>
  <c r="F37" i="36" l="1"/>
  <c r="F39" i="36"/>
  <c r="F28" i="36"/>
  <c r="Q37" i="36"/>
  <c r="C47" i="35"/>
  <c r="C74" i="35"/>
  <c r="K74" i="35" s="1"/>
  <c r="C45" i="35"/>
  <c r="C58" i="35" s="1"/>
  <c r="C72" i="35"/>
  <c r="C46" i="35"/>
  <c r="C73" i="35"/>
  <c r="G29" i="36" s="1"/>
  <c r="C48" i="35"/>
  <c r="C75" i="35"/>
  <c r="K47" i="35"/>
  <c r="C60" i="35"/>
  <c r="K60" i="35" s="1"/>
  <c r="G8" i="41"/>
  <c r="G7" i="41"/>
  <c r="H175" i="41"/>
  <c r="L174" i="41"/>
  <c r="L173" i="41"/>
  <c r="L172" i="41"/>
  <c r="L171" i="41"/>
  <c r="L170" i="41"/>
  <c r="L169" i="41"/>
  <c r="L168" i="41"/>
  <c r="L167" i="41"/>
  <c r="L166" i="41"/>
  <c r="L165" i="41"/>
  <c r="L164" i="41"/>
  <c r="L163" i="41"/>
  <c r="L162" i="41"/>
  <c r="L161" i="41"/>
  <c r="L160" i="41"/>
  <c r="L159" i="41"/>
  <c r="L158" i="41"/>
  <c r="L157" i="41"/>
  <c r="L156" i="41"/>
  <c r="L155" i="41"/>
  <c r="K155" i="41"/>
  <c r="L154" i="41"/>
  <c r="L153" i="41"/>
  <c r="L152" i="41"/>
  <c r="L151" i="41"/>
  <c r="L150" i="41"/>
  <c r="L149" i="41"/>
  <c r="L148" i="41"/>
  <c r="L147" i="41"/>
  <c r="L146" i="41"/>
  <c r="L145" i="41"/>
  <c r="L144" i="41"/>
  <c r="L143" i="41"/>
  <c r="L142" i="41"/>
  <c r="L141" i="41"/>
  <c r="L140" i="41"/>
  <c r="L139" i="41"/>
  <c r="I139" i="41"/>
  <c r="L138" i="41"/>
  <c r="I138" i="41"/>
  <c r="L137" i="41"/>
  <c r="L136" i="41"/>
  <c r="L135" i="41"/>
  <c r="L134" i="41"/>
  <c r="L133" i="41"/>
  <c r="L132" i="41"/>
  <c r="L131" i="41"/>
  <c r="L130" i="41"/>
  <c r="L129" i="41"/>
  <c r="L128" i="41"/>
  <c r="L127" i="41"/>
  <c r="L126" i="41"/>
  <c r="L125" i="41"/>
  <c r="L124" i="41"/>
  <c r="L123" i="41"/>
  <c r="L122" i="41"/>
  <c r="L121" i="41"/>
  <c r="L120" i="41"/>
  <c r="L119" i="41"/>
  <c r="K119" i="41"/>
  <c r="L118" i="41"/>
  <c r="K118" i="41"/>
  <c r="L117" i="41"/>
  <c r="K117" i="41"/>
  <c r="L116" i="41"/>
  <c r="L115" i="41"/>
  <c r="L114" i="41"/>
  <c r="L113" i="41"/>
  <c r="L112" i="41"/>
  <c r="K112" i="41"/>
  <c r="L111" i="41"/>
  <c r="K111" i="41"/>
  <c r="L110" i="41"/>
  <c r="L109" i="41"/>
  <c r="L108" i="41"/>
  <c r="L107" i="41"/>
  <c r="I107" i="41"/>
  <c r="L106" i="41"/>
  <c r="I106" i="41"/>
  <c r="L105" i="41"/>
  <c r="L104" i="41"/>
  <c r="L103" i="41"/>
  <c r="L102" i="41"/>
  <c r="K102" i="41"/>
  <c r="L101" i="41"/>
  <c r="J101" i="41"/>
  <c r="L100" i="41"/>
  <c r="L99" i="41"/>
  <c r="L98" i="41"/>
  <c r="J98" i="41"/>
  <c r="L97" i="41"/>
  <c r="J97" i="41"/>
  <c r="J175" i="41" s="1"/>
  <c r="G14" i="41" s="1"/>
  <c r="L96" i="41"/>
  <c r="L95" i="41"/>
  <c r="L94" i="41"/>
  <c r="L93" i="41"/>
  <c r="L92" i="41"/>
  <c r="L91" i="41"/>
  <c r="L90" i="41"/>
  <c r="L89" i="41"/>
  <c r="L88" i="41"/>
  <c r="L87" i="41"/>
  <c r="L86" i="41"/>
  <c r="L85" i="41"/>
  <c r="L84" i="41"/>
  <c r="L83" i="41"/>
  <c r="L82" i="41"/>
  <c r="L81" i="41"/>
  <c r="K81" i="41"/>
  <c r="L80" i="41"/>
  <c r="K80" i="41"/>
  <c r="L79" i="41"/>
  <c r="K79" i="41"/>
  <c r="L78" i="41"/>
  <c r="K78" i="41"/>
  <c r="L77" i="41"/>
  <c r="K77" i="41"/>
  <c r="L76" i="41"/>
  <c r="K76" i="41"/>
  <c r="L75" i="41"/>
  <c r="L74" i="41"/>
  <c r="L73" i="41"/>
  <c r="L72" i="41"/>
  <c r="L71" i="41"/>
  <c r="L70" i="41"/>
  <c r="L69" i="41"/>
  <c r="L68" i="41"/>
  <c r="L67" i="41"/>
  <c r="L66" i="41"/>
  <c r="L65" i="41"/>
  <c r="L64" i="41"/>
  <c r="L63" i="41"/>
  <c r="L62" i="41"/>
  <c r="L61" i="41"/>
  <c r="L60" i="41"/>
  <c r="L59" i="41"/>
  <c r="L58" i="41"/>
  <c r="K58" i="41"/>
  <c r="L57" i="41"/>
  <c r="K57" i="41"/>
  <c r="L56" i="41"/>
  <c r="L55" i="41"/>
  <c r="L54" i="41"/>
  <c r="L53" i="41"/>
  <c r="L52" i="41"/>
  <c r="L51" i="41"/>
  <c r="L50" i="41"/>
  <c r="L49" i="41"/>
  <c r="L48" i="41"/>
  <c r="L47" i="41"/>
  <c r="L46" i="41"/>
  <c r="L45" i="41"/>
  <c r="L44" i="41"/>
  <c r="L43" i="41"/>
  <c r="L42" i="41"/>
  <c r="L41" i="41"/>
  <c r="L40" i="41"/>
  <c r="I40" i="41"/>
  <c r="L39" i="41"/>
  <c r="I39" i="41"/>
  <c r="L38" i="41"/>
  <c r="I38" i="41"/>
  <c r="L37" i="41"/>
  <c r="I37" i="41"/>
  <c r="L36" i="41"/>
  <c r="L35" i="41"/>
  <c r="L34" i="41"/>
  <c r="L33" i="41"/>
  <c r="I15" i="41"/>
  <c r="K15" i="41" s="1"/>
  <c r="I14" i="41"/>
  <c r="K14" i="41" s="1"/>
  <c r="I13" i="41"/>
  <c r="A8" i="41"/>
  <c r="A9" i="41" s="1"/>
  <c r="A10" i="41" s="1"/>
  <c r="A11" i="41" s="1"/>
  <c r="A12" i="41" s="1"/>
  <c r="A13" i="41" s="1"/>
  <c r="A14" i="41" s="1"/>
  <c r="A15" i="41" s="1"/>
  <c r="A16" i="41" s="1"/>
  <c r="A17" i="41" s="1"/>
  <c r="A18" i="41" s="1"/>
  <c r="A19" i="41" s="1"/>
  <c r="A20" i="41" s="1"/>
  <c r="A21" i="41" s="1"/>
  <c r="A22" i="41" s="1"/>
  <c r="A23" i="41" s="1"/>
  <c r="A24" i="41" s="1"/>
  <c r="A25"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39" i="41" s="1"/>
  <c r="A140" i="41" s="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Q18" i="36"/>
  <c r="D11" i="36"/>
  <c r="D10" i="36"/>
  <c r="C22" i="35"/>
  <c r="A7" i="39"/>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65" i="39" s="1"/>
  <c r="A266" i="39" s="1"/>
  <c r="A267" i="39" s="1"/>
  <c r="A268" i="39" s="1"/>
  <c r="A269" i="39" s="1"/>
  <c r="A270" i="39" s="1"/>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91" i="39" s="1"/>
  <c r="A292" i="39" s="1"/>
  <c r="A293" i="39" s="1"/>
  <c r="A294" i="39" s="1"/>
  <c r="A295" i="39" s="1"/>
  <c r="A296" i="39" s="1"/>
  <c r="A297" i="39" s="1"/>
  <c r="A298" i="39" s="1"/>
  <c r="A299" i="39" s="1"/>
  <c r="A300" i="39" s="1"/>
  <c r="A301" i="39" s="1"/>
  <c r="A302" i="39" s="1"/>
  <c r="A303" i="39" s="1"/>
  <c r="A304" i="39" s="1"/>
  <c r="A305" i="39" s="1"/>
  <c r="A306" i="39" s="1"/>
  <c r="A307" i="39" s="1"/>
  <c r="A308" i="39" s="1"/>
  <c r="A309" i="39" s="1"/>
  <c r="A310" i="39" s="1"/>
  <c r="A311" i="39" s="1"/>
  <c r="A312" i="39" s="1"/>
  <c r="A313" i="39" s="1"/>
  <c r="A314" i="39" s="1"/>
  <c r="A315" i="39" s="1"/>
  <c r="A316" i="39" s="1"/>
  <c r="A317" i="39" s="1"/>
  <c r="A318" i="39" s="1"/>
  <c r="A319" i="39" s="1"/>
  <c r="A320" i="39" s="1"/>
  <c r="A321" i="39" s="1"/>
  <c r="A322" i="39" s="1"/>
  <c r="A323" i="39" s="1"/>
  <c r="A324" i="39" s="1"/>
  <c r="A325" i="39" s="1"/>
  <c r="A326" i="39" s="1"/>
  <c r="A327" i="39" s="1"/>
  <c r="A328" i="39" s="1"/>
  <c r="A329" i="39" s="1"/>
  <c r="A330" i="39" s="1"/>
  <c r="A331" i="39" s="1"/>
  <c r="A332" i="39" s="1"/>
  <c r="A333" i="39" s="1"/>
  <c r="A334" i="39" s="1"/>
  <c r="A335" i="39" s="1"/>
  <c r="A336" i="39" s="1"/>
  <c r="A337" i="39" s="1"/>
  <c r="A338" i="39" s="1"/>
  <c r="A339" i="39" s="1"/>
  <c r="A340" i="39" s="1"/>
  <c r="A341" i="39" s="1"/>
  <c r="A342" i="39" s="1"/>
  <c r="A343" i="39" s="1"/>
  <c r="A344" i="39" s="1"/>
  <c r="A345" i="39" s="1"/>
  <c r="A346" i="39" s="1"/>
  <c r="A347" i="39" s="1"/>
  <c r="A348" i="39" s="1"/>
  <c r="A349" i="39" s="1"/>
  <c r="A350" i="39" s="1"/>
  <c r="A351" i="39" s="1"/>
  <c r="A352" i="39" s="1"/>
  <c r="A353" i="39" s="1"/>
  <c r="A354" i="39" s="1"/>
  <c r="A355" i="39" s="1"/>
  <c r="A356" i="39" s="1"/>
  <c r="A357" i="39" s="1"/>
  <c r="A358" i="39" s="1"/>
  <c r="A359" i="39" s="1"/>
  <c r="A360" i="39" s="1"/>
  <c r="A361" i="39" s="1"/>
  <c r="A362" i="39" s="1"/>
  <c r="A363" i="39" s="1"/>
  <c r="A364" i="39" s="1"/>
  <c r="A365" i="39" s="1"/>
  <c r="A366" i="39" s="1"/>
  <c r="A367" i="39" s="1"/>
  <c r="A368" i="39" s="1"/>
  <c r="A369" i="39" s="1"/>
  <c r="A370" i="39" s="1"/>
  <c r="A371" i="39" s="1"/>
  <c r="A372" i="39" s="1"/>
  <c r="A373" i="39" s="1"/>
  <c r="A374" i="39" s="1"/>
  <c r="A375" i="39" s="1"/>
  <c r="A376" i="39" s="1"/>
  <c r="A377" i="39" s="1"/>
  <c r="A378" i="39" s="1"/>
  <c r="A379" i="39" s="1"/>
  <c r="A380" i="39" s="1"/>
  <c r="A381" i="39" s="1"/>
  <c r="A382" i="39" s="1"/>
  <c r="A383" i="39" s="1"/>
  <c r="A384" i="39" s="1"/>
  <c r="A385" i="39" s="1"/>
  <c r="A386" i="39" s="1"/>
  <c r="A387" i="39" s="1"/>
  <c r="A388" i="39" s="1"/>
  <c r="A389" i="39" s="1"/>
  <c r="A390" i="39" s="1"/>
  <c r="A391" i="39" s="1"/>
  <c r="A392" i="39" s="1"/>
  <c r="A393" i="39" s="1"/>
  <c r="A394" i="39" s="1"/>
  <c r="A395" i="39" s="1"/>
  <c r="A396" i="39" s="1"/>
  <c r="A397" i="39" s="1"/>
  <c r="A398" i="39" s="1"/>
  <c r="A399" i="39" s="1"/>
  <c r="A400" i="39" s="1"/>
  <c r="A401" i="39" s="1"/>
  <c r="A402" i="39" s="1"/>
  <c r="A403" i="39" s="1"/>
  <c r="A404" i="39" s="1"/>
  <c r="A405" i="39" s="1"/>
  <c r="A406" i="39" s="1"/>
  <c r="A407" i="39" s="1"/>
  <c r="A408" i="39" s="1"/>
  <c r="A409" i="39" s="1"/>
  <c r="A410" i="39" s="1"/>
  <c r="A411" i="39" s="1"/>
  <c r="A412" i="39" s="1"/>
  <c r="A413" i="39" s="1"/>
  <c r="A414" i="39" s="1"/>
  <c r="A415" i="39" s="1"/>
  <c r="A416" i="39" s="1"/>
  <c r="A417" i="39" s="1"/>
  <c r="A418" i="39" s="1"/>
  <c r="A419" i="39" s="1"/>
  <c r="A420" i="39" s="1"/>
  <c r="A421" i="39" s="1"/>
  <c r="A422" i="39" s="1"/>
  <c r="A423" i="39" s="1"/>
  <c r="A424" i="39" s="1"/>
  <c r="A425" i="39" s="1"/>
  <c r="A426" i="39" s="1"/>
  <c r="A427" i="39" s="1"/>
  <c r="A428" i="39" s="1"/>
  <c r="A429" i="39" s="1"/>
  <c r="A430" i="39" s="1"/>
  <c r="A431" i="39" s="1"/>
  <c r="A432" i="39" s="1"/>
  <c r="A433" i="39" s="1"/>
  <c r="A434" i="39" s="1"/>
  <c r="A435" i="39" s="1"/>
  <c r="A436" i="39" s="1"/>
  <c r="A437" i="39" s="1"/>
  <c r="A438" i="39" s="1"/>
  <c r="A439" i="39" s="1"/>
  <c r="A440" i="39" s="1"/>
  <c r="A441" i="39" s="1"/>
  <c r="A442" i="39" s="1"/>
  <c r="A443" i="39" s="1"/>
  <c r="A444" i="39" s="1"/>
  <c r="A445" i="39" s="1"/>
  <c r="A446" i="39" s="1"/>
  <c r="A447" i="39" s="1"/>
  <c r="A448" i="39" s="1"/>
  <c r="A449" i="39" s="1"/>
  <c r="A450" i="39" s="1"/>
  <c r="A451" i="39" s="1"/>
  <c r="A452" i="39" s="1"/>
  <c r="A453" i="39" s="1"/>
  <c r="A454" i="39" s="1"/>
  <c r="A455" i="39" s="1"/>
  <c r="A456" i="39" s="1"/>
  <c r="A457" i="39" s="1"/>
  <c r="A458" i="39" s="1"/>
  <c r="A459" i="39" s="1"/>
  <c r="A460" i="39" s="1"/>
  <c r="A461" i="39" s="1"/>
  <c r="A462" i="39" s="1"/>
  <c r="A463" i="39" s="1"/>
  <c r="A464" i="39" s="1"/>
  <c r="A465" i="39" s="1"/>
  <c r="A466" i="39" s="1"/>
  <c r="A467" i="39" s="1"/>
  <c r="A468" i="39" s="1"/>
  <c r="A469" i="39" s="1"/>
  <c r="A470" i="39" s="1"/>
  <c r="A471" i="39" s="1"/>
  <c r="A472" i="39" s="1"/>
  <c r="A473" i="39" s="1"/>
  <c r="A474" i="39" s="1"/>
  <c r="A475" i="39" s="1"/>
  <c r="A476" i="39" s="1"/>
  <c r="A477" i="39" s="1"/>
  <c r="A478" i="39" s="1"/>
  <c r="A479" i="39" s="1"/>
  <c r="A480" i="39" s="1"/>
  <c r="A481" i="39" s="1"/>
  <c r="A482" i="39" s="1"/>
  <c r="A483" i="39" s="1"/>
  <c r="A484" i="39" s="1"/>
  <c r="A485" i="39" s="1"/>
  <c r="A486" i="39" s="1"/>
  <c r="A487" i="39" s="1"/>
  <c r="A488" i="39" s="1"/>
  <c r="A489" i="39" s="1"/>
  <c r="A490" i="39" s="1"/>
  <c r="A491" i="39" s="1"/>
  <c r="A492" i="39" s="1"/>
  <c r="A493" i="39" s="1"/>
  <c r="A494" i="39" s="1"/>
  <c r="A495" i="39" s="1"/>
  <c r="A496" i="39" s="1"/>
  <c r="A497" i="39" s="1"/>
  <c r="A498" i="39" s="1"/>
  <c r="A499" i="39" s="1"/>
  <c r="A500" i="39" s="1"/>
  <c r="A501" i="39" s="1"/>
  <c r="A502" i="39" s="1"/>
  <c r="A503" i="39" s="1"/>
  <c r="A504" i="39" s="1"/>
  <c r="A505" i="39" s="1"/>
  <c r="A506" i="39" s="1"/>
  <c r="A507" i="39" s="1"/>
  <c r="A508" i="39" s="1"/>
  <c r="A509" i="39" s="1"/>
  <c r="A510" i="39" s="1"/>
  <c r="A511" i="39" s="1"/>
  <c r="A512" i="39" s="1"/>
  <c r="A513" i="39" s="1"/>
  <c r="A514" i="39" s="1"/>
  <c r="A515" i="39" s="1"/>
  <c r="A516" i="39" s="1"/>
  <c r="A517" i="39" s="1"/>
  <c r="A518" i="39" s="1"/>
  <c r="A519" i="39" s="1"/>
  <c r="A520" i="39" s="1"/>
  <c r="A521" i="39" s="1"/>
  <c r="A522" i="39" s="1"/>
  <c r="A523" i="39" s="1"/>
  <c r="A524" i="39" s="1"/>
  <c r="A525" i="39" s="1"/>
  <c r="A526" i="39" s="1"/>
  <c r="A527" i="39" s="1"/>
  <c r="A528" i="39" s="1"/>
  <c r="A529" i="39" s="1"/>
  <c r="A530" i="39" s="1"/>
  <c r="A531" i="39" s="1"/>
  <c r="A532" i="39" s="1"/>
  <c r="A533" i="39" s="1"/>
  <c r="A534" i="39" s="1"/>
  <c r="A535" i="39" s="1"/>
  <c r="A536" i="39" s="1"/>
  <c r="A537" i="39" s="1"/>
  <c r="A538" i="39" s="1"/>
  <c r="A539" i="39" s="1"/>
  <c r="A540" i="39" s="1"/>
  <c r="A541" i="39" s="1"/>
  <c r="A542" i="39" s="1"/>
  <c r="A543" i="39" s="1"/>
  <c r="A544" i="39" s="1"/>
  <c r="A545" i="39" s="1"/>
  <c r="A546" i="39" s="1"/>
  <c r="A547" i="39" s="1"/>
  <c r="A548" i="39" s="1"/>
  <c r="A549" i="39" s="1"/>
  <c r="A550" i="39" s="1"/>
  <c r="A551" i="39" s="1"/>
  <c r="A552" i="39" s="1"/>
  <c r="A553" i="39" s="1"/>
  <c r="A554" i="39" s="1"/>
  <c r="A555" i="39" s="1"/>
  <c r="A556" i="39" s="1"/>
  <c r="A557" i="39" s="1"/>
  <c r="A558" i="39" s="1"/>
  <c r="A559" i="39" s="1"/>
  <c r="A560" i="39" s="1"/>
  <c r="A561" i="39" s="1"/>
  <c r="A562" i="39" s="1"/>
  <c r="A563" i="39" s="1"/>
  <c r="A564" i="39" s="1"/>
  <c r="A565" i="39" s="1"/>
  <c r="A566" i="39" s="1"/>
  <c r="A567" i="39" s="1"/>
  <c r="A568" i="39" s="1"/>
  <c r="A569" i="39" s="1"/>
  <c r="A570" i="39" s="1"/>
  <c r="A571" i="39" s="1"/>
  <c r="A572" i="39" s="1"/>
  <c r="A573" i="39" s="1"/>
  <c r="A574" i="39" s="1"/>
  <c r="A575" i="39" s="1"/>
  <c r="A576" i="39" s="1"/>
  <c r="A577" i="39" s="1"/>
  <c r="A578" i="39" s="1"/>
  <c r="A579" i="39" s="1"/>
  <c r="A580" i="39" s="1"/>
  <c r="A581" i="39" s="1"/>
  <c r="A582" i="39" s="1"/>
  <c r="A583" i="39" s="1"/>
  <c r="A584" i="39" s="1"/>
  <c r="A585" i="39" s="1"/>
  <c r="A586" i="39" s="1"/>
  <c r="A587" i="39" s="1"/>
  <c r="A588" i="39" s="1"/>
  <c r="A589" i="39" s="1"/>
  <c r="A590" i="39" s="1"/>
  <c r="A591" i="39" s="1"/>
  <c r="A592" i="39" s="1"/>
  <c r="A593" i="39" s="1"/>
  <c r="A594" i="39" s="1"/>
  <c r="A595" i="39" s="1"/>
  <c r="A596" i="39" s="1"/>
  <c r="A597" i="39" s="1"/>
  <c r="A598" i="39" s="1"/>
  <c r="A599" i="39" s="1"/>
  <c r="A600" i="39" s="1"/>
  <c r="A601" i="39" s="1"/>
  <c r="A602" i="39" s="1"/>
  <c r="A603" i="39" s="1"/>
  <c r="A604" i="39" s="1"/>
  <c r="A605" i="39" s="1"/>
  <c r="A606" i="39" s="1"/>
  <c r="A607" i="39" s="1"/>
  <c r="A608" i="39" s="1"/>
  <c r="A609" i="39" s="1"/>
  <c r="A610" i="39" s="1"/>
  <c r="A611" i="39" s="1"/>
  <c r="A612" i="39" s="1"/>
  <c r="A613" i="39" s="1"/>
  <c r="A614" i="39" s="1"/>
  <c r="A615" i="39" s="1"/>
  <c r="A616" i="39" s="1"/>
  <c r="A617" i="39" s="1"/>
  <c r="A618" i="39" s="1"/>
  <c r="A619" i="39" s="1"/>
  <c r="A620" i="39" s="1"/>
  <c r="A621" i="39" s="1"/>
  <c r="A622" i="39" s="1"/>
  <c r="A623" i="39" s="1"/>
  <c r="A624" i="39" s="1"/>
  <c r="A625" i="39" s="1"/>
  <c r="A626" i="39" s="1"/>
  <c r="A627" i="39" s="1"/>
  <c r="A628" i="39" s="1"/>
  <c r="A629" i="39" s="1"/>
  <c r="A630" i="39" s="1"/>
  <c r="A631" i="39" s="1"/>
  <c r="A632" i="39" s="1"/>
  <c r="A633" i="39" s="1"/>
  <c r="A635" i="39" s="1"/>
  <c r="A636" i="39" s="1"/>
  <c r="A637" i="39" s="1"/>
  <c r="A638" i="39" s="1"/>
  <c r="A639" i="39" s="1"/>
  <c r="A640" i="39" s="1"/>
  <c r="A641" i="39" s="1"/>
  <c r="A642" i="39" s="1"/>
  <c r="A643" i="39" s="1"/>
  <c r="A644" i="39" s="1"/>
  <c r="A645" i="39" s="1"/>
  <c r="A646" i="39" s="1"/>
  <c r="A647" i="39" s="1"/>
  <c r="A648" i="39" s="1"/>
  <c r="A649" i="39" s="1"/>
  <c r="A650" i="39" s="1"/>
  <c r="A651" i="39" s="1"/>
  <c r="A652" i="39" s="1"/>
  <c r="A653" i="39" s="1"/>
  <c r="A654" i="39" s="1"/>
  <c r="A655" i="39" s="1"/>
  <c r="A656" i="39" s="1"/>
  <c r="A657" i="39" s="1"/>
  <c r="A658" i="39" s="1"/>
  <c r="A659" i="39" s="1"/>
  <c r="A660" i="39" s="1"/>
  <c r="A661" i="39" s="1"/>
  <c r="A662" i="39" s="1"/>
  <c r="A663" i="39" s="1"/>
  <c r="A664" i="39" s="1"/>
  <c r="A665" i="39" s="1"/>
  <c r="A666" i="39" s="1"/>
  <c r="A667" i="39" s="1"/>
  <c r="A668" i="39" s="1"/>
  <c r="A669" i="39" s="1"/>
  <c r="A670" i="39" s="1"/>
  <c r="A671" i="39" s="1"/>
  <c r="A672" i="39" s="1"/>
  <c r="A673" i="39" s="1"/>
  <c r="A674" i="39" s="1"/>
  <c r="A675" i="39" s="1"/>
  <c r="A676" i="39" s="1"/>
  <c r="A677" i="39" s="1"/>
  <c r="A678" i="39" s="1"/>
  <c r="A679" i="39" s="1"/>
  <c r="A680" i="39" s="1"/>
  <c r="A681" i="39" s="1"/>
  <c r="A682" i="39" s="1"/>
  <c r="A683" i="39" s="1"/>
  <c r="A684" i="39" s="1"/>
  <c r="A685" i="39" s="1"/>
  <c r="A686" i="39" s="1"/>
  <c r="A687" i="39" s="1"/>
  <c r="A688" i="39" s="1"/>
  <c r="A689" i="39" s="1"/>
  <c r="A690" i="39" s="1"/>
  <c r="A691" i="39" s="1"/>
  <c r="A692" i="39" s="1"/>
  <c r="A693" i="39" s="1"/>
  <c r="A694" i="39" s="1"/>
  <c r="A695" i="39" s="1"/>
  <c r="A696" i="39" s="1"/>
  <c r="A697" i="39" s="1"/>
  <c r="A698" i="39" s="1"/>
  <c r="A699" i="39" s="1"/>
  <c r="A700" i="39" s="1"/>
  <c r="A701" i="39" s="1"/>
  <c r="A702" i="39" s="1"/>
  <c r="A703" i="39" s="1"/>
  <c r="A704" i="39" s="1"/>
  <c r="A705" i="39" s="1"/>
  <c r="A706" i="39" s="1"/>
  <c r="A707" i="39" s="1"/>
  <c r="A708" i="39" s="1"/>
  <c r="A709" i="39" s="1"/>
  <c r="A710" i="39" s="1"/>
  <c r="A711" i="39" s="1"/>
  <c r="A712" i="39" s="1"/>
  <c r="A713" i="39" s="1"/>
  <c r="A714" i="39" s="1"/>
  <c r="A715" i="39" s="1"/>
  <c r="A716" i="39" s="1"/>
  <c r="A717" i="39" s="1"/>
  <c r="A718" i="39" s="1"/>
  <c r="A719" i="39" s="1"/>
  <c r="A720" i="39" s="1"/>
  <c r="A721" i="39" s="1"/>
  <c r="A722" i="39" s="1"/>
  <c r="A723" i="39" s="1"/>
  <c r="A724" i="39" s="1"/>
  <c r="A725" i="39" s="1"/>
  <c r="A726" i="39" s="1"/>
  <c r="A727" i="39" s="1"/>
  <c r="A728" i="39" s="1"/>
  <c r="A729" i="39" s="1"/>
  <c r="A730" i="39" s="1"/>
  <c r="A731" i="39" s="1"/>
  <c r="A732" i="39" s="1"/>
  <c r="A733" i="39" s="1"/>
  <c r="A734" i="39" s="1"/>
  <c r="A735" i="39" s="1"/>
  <c r="A736" i="39" s="1"/>
  <c r="A737" i="39" s="1"/>
  <c r="A738" i="39" s="1"/>
  <c r="A739" i="39" s="1"/>
  <c r="A740" i="39" s="1"/>
  <c r="A741" i="39" s="1"/>
  <c r="A742" i="39" s="1"/>
  <c r="A743" i="39" s="1"/>
  <c r="A744" i="39" s="1"/>
  <c r="A745" i="39" s="1"/>
  <c r="A746" i="39" s="1"/>
  <c r="A747" i="39" s="1"/>
  <c r="A748" i="39" s="1"/>
  <c r="A749" i="39" s="1"/>
  <c r="A750" i="39" s="1"/>
  <c r="A752" i="39" s="1"/>
  <c r="A753" i="39" s="1"/>
  <c r="A754" i="39" s="1"/>
  <c r="A755" i="39" s="1"/>
  <c r="A756" i="39" s="1"/>
  <c r="A757" i="39" s="1"/>
  <c r="A758" i="39" s="1"/>
  <c r="A759" i="39" s="1"/>
  <c r="A760" i="39" s="1"/>
  <c r="A761" i="39" s="1"/>
  <c r="A762" i="39" s="1"/>
  <c r="A763" i="39" s="1"/>
  <c r="A764" i="39" s="1"/>
  <c r="A765" i="39" s="1"/>
  <c r="A766" i="39" s="1"/>
  <c r="A767" i="39" s="1"/>
  <c r="A768" i="39" s="1"/>
  <c r="A769" i="39" s="1"/>
  <c r="A770" i="39" s="1"/>
  <c r="A771" i="39" s="1"/>
  <c r="A772" i="39" s="1"/>
  <c r="A773" i="39" s="1"/>
  <c r="A774" i="39" s="1"/>
  <c r="A775" i="39" s="1"/>
  <c r="A776" i="39" s="1"/>
  <c r="A777" i="39" s="1"/>
  <c r="A778" i="39" s="1"/>
  <c r="A779" i="39" s="1"/>
  <c r="A780" i="39" s="1"/>
  <c r="A781" i="39" s="1"/>
  <c r="A782" i="39" s="1"/>
  <c r="A783" i="39" s="1"/>
  <c r="A784" i="39" s="1"/>
  <c r="A785" i="39" s="1"/>
  <c r="A786" i="39" s="1"/>
  <c r="A787" i="39" s="1"/>
  <c r="A788" i="39" s="1"/>
  <c r="A789" i="39" s="1"/>
  <c r="A790" i="39" s="1"/>
  <c r="A791" i="39" s="1"/>
  <c r="A792" i="39" s="1"/>
  <c r="A793" i="39" s="1"/>
  <c r="A794" i="39" s="1"/>
  <c r="A795" i="39" s="1"/>
  <c r="A796" i="39" s="1"/>
  <c r="A797" i="39" s="1"/>
  <c r="A798" i="39" s="1"/>
  <c r="A799" i="39" s="1"/>
  <c r="A800" i="39" s="1"/>
  <c r="A801" i="39" s="1"/>
  <c r="A802" i="39" s="1"/>
  <c r="A803" i="39" s="1"/>
  <c r="A804" i="39" s="1"/>
  <c r="A805" i="39" s="1"/>
  <c r="A806" i="39" s="1"/>
  <c r="A807" i="39" s="1"/>
  <c r="A808" i="39" s="1"/>
  <c r="A809" i="39" s="1"/>
  <c r="A810" i="39" s="1"/>
  <c r="A811" i="39" s="1"/>
  <c r="A812" i="39" s="1"/>
  <c r="A813" i="39" s="1"/>
  <c r="A814" i="39" s="1"/>
  <c r="A815" i="39" s="1"/>
  <c r="A816" i="39" s="1"/>
  <c r="A817" i="39" s="1"/>
  <c r="A818" i="39" s="1"/>
  <c r="A819" i="39" s="1"/>
  <c r="A820" i="39" s="1"/>
  <c r="A821" i="39" s="1"/>
  <c r="A822" i="39" s="1"/>
  <c r="A823" i="39" s="1"/>
  <c r="A824" i="39" s="1"/>
  <c r="K48" i="35" l="1"/>
  <c r="M38" i="36"/>
  <c r="M37" i="36" s="1"/>
  <c r="O37" i="36" s="1"/>
  <c r="O38" i="36" s="1"/>
  <c r="G30" i="36"/>
  <c r="G28" i="36"/>
  <c r="K46" i="35"/>
  <c r="M29" i="36"/>
  <c r="C59" i="35"/>
  <c r="K59" i="35" s="1"/>
  <c r="K75" i="35"/>
  <c r="G38" i="36"/>
  <c r="G37" i="36" s="1"/>
  <c r="K73" i="35"/>
  <c r="C61" i="35"/>
  <c r="K61" i="35" s="1"/>
  <c r="G9" i="41"/>
  <c r="J15" i="41"/>
  <c r="L175" i="41"/>
  <c r="K175" i="41"/>
  <c r="G15" i="41" s="1"/>
  <c r="L15" i="41" s="1"/>
  <c r="I175" i="41"/>
  <c r="G13" i="41" s="1"/>
  <c r="H13" i="41" s="1"/>
  <c r="H14" i="41"/>
  <c r="J14" i="41"/>
  <c r="L14" i="41" s="1"/>
  <c r="K13" i="41"/>
  <c r="J13" i="41"/>
  <c r="M30" i="36" l="1"/>
  <c r="M28" i="36"/>
  <c r="O28" i="36" s="1"/>
  <c r="H15" i="41"/>
  <c r="G16" i="41"/>
  <c r="G20" i="41" s="1"/>
  <c r="L13" i="41"/>
  <c r="L16" i="41" s="1"/>
  <c r="D37" i="32" s="1"/>
  <c r="O29" i="36" l="1"/>
  <c r="O30" i="36" s="1"/>
  <c r="H28" i="36"/>
  <c r="G21" i="41"/>
  <c r="H16" i="41"/>
  <c r="H20" i="41"/>
  <c r="I472" i="1"/>
  <c r="G506" i="1"/>
  <c r="I506" i="1"/>
  <c r="K506" i="1"/>
  <c r="F506" i="1"/>
  <c r="H263" i="1"/>
  <c r="H264" i="1"/>
  <c r="H265" i="1"/>
  <c r="H266" i="1"/>
  <c r="L266" i="1" s="1"/>
  <c r="H267" i="1"/>
  <c r="H268" i="1"/>
  <c r="H269" i="1"/>
  <c r="H270" i="1"/>
  <c r="H271" i="1"/>
  <c r="L271" i="1" s="1"/>
  <c r="H272" i="1"/>
  <c r="H274" i="1"/>
  <c r="J478" i="1"/>
  <c r="K478" i="1"/>
  <c r="I478" i="1"/>
  <c r="G478" i="1"/>
  <c r="F478" i="1"/>
  <c r="H529" i="1"/>
  <c r="H530" i="1"/>
  <c r="H531" i="1"/>
  <c r="H532" i="1"/>
  <c r="H527" i="1"/>
  <c r="H521" i="1"/>
  <c r="H516" i="1"/>
  <c r="H517" i="1"/>
  <c r="H519" i="1"/>
  <c r="H515" i="1"/>
  <c r="H511" i="1"/>
  <c r="H510" i="1"/>
  <c r="H507" i="1"/>
  <c r="H495" i="1"/>
  <c r="H496" i="1"/>
  <c r="H497" i="1"/>
  <c r="H498" i="1"/>
  <c r="H499" i="1"/>
  <c r="H500" i="1"/>
  <c r="H501" i="1"/>
  <c r="H502" i="1"/>
  <c r="H503" i="1"/>
  <c r="H504" i="1"/>
  <c r="H505" i="1"/>
  <c r="H479" i="1"/>
  <c r="H480" i="1"/>
  <c r="H481" i="1"/>
  <c r="H482" i="1"/>
  <c r="H483" i="1"/>
  <c r="H484" i="1"/>
  <c r="H485" i="1"/>
  <c r="H486" i="1"/>
  <c r="H487" i="1"/>
  <c r="H488" i="1"/>
  <c r="H489" i="1"/>
  <c r="H490" i="1"/>
  <c r="H491" i="1"/>
  <c r="H492" i="1"/>
  <c r="H494" i="1"/>
  <c r="H477" i="1"/>
  <c r="H478" i="1" s="1"/>
  <c r="H474" i="1"/>
  <c r="H475" i="1"/>
  <c r="H466" i="1"/>
  <c r="H467" i="1"/>
  <c r="H468" i="1"/>
  <c r="H469" i="1"/>
  <c r="H470" i="1"/>
  <c r="H471" i="1"/>
  <c r="H454" i="1"/>
  <c r="H455" i="1"/>
  <c r="H457" i="1"/>
  <c r="H458" i="1"/>
  <c r="H459" i="1"/>
  <c r="H460" i="1"/>
  <c r="H461" i="1"/>
  <c r="H462" i="1"/>
  <c r="H463" i="1"/>
  <c r="H464" i="1"/>
  <c r="H465" i="1"/>
  <c r="H453" i="1"/>
  <c r="H441" i="1"/>
  <c r="H442" i="1"/>
  <c r="H443" i="1"/>
  <c r="H444" i="1"/>
  <c r="H445" i="1"/>
  <c r="H446" i="1"/>
  <c r="H447" i="1"/>
  <c r="H448" i="1"/>
  <c r="H449" i="1"/>
  <c r="H450" i="1"/>
  <c r="H451" i="1"/>
  <c r="H440" i="1"/>
  <c r="H422" i="1"/>
  <c r="H423" i="1"/>
  <c r="H424" i="1"/>
  <c r="H425" i="1"/>
  <c r="H426" i="1"/>
  <c r="H427" i="1"/>
  <c r="H428" i="1"/>
  <c r="H429" i="1"/>
  <c r="H430" i="1"/>
  <c r="H431" i="1"/>
  <c r="H432" i="1"/>
  <c r="H433" i="1"/>
  <c r="H434" i="1"/>
  <c r="H435" i="1"/>
  <c r="H436" i="1"/>
  <c r="H421"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493"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282" i="1"/>
  <c r="H283" i="1"/>
  <c r="H284" i="1"/>
  <c r="H285" i="1"/>
  <c r="H286" i="1"/>
  <c r="H287" i="1"/>
  <c r="H288" i="1"/>
  <c r="H289" i="1"/>
  <c r="H290" i="1"/>
  <c r="H291" i="1"/>
  <c r="H292" i="1"/>
  <c r="H293" i="1"/>
  <c r="H294" i="1"/>
  <c r="H295" i="1"/>
  <c r="H296" i="1"/>
  <c r="H297" i="1"/>
  <c r="H298" i="1"/>
  <c r="H281" i="1"/>
  <c r="H277" i="1"/>
  <c r="H278" i="1"/>
  <c r="H279" i="1"/>
  <c r="H276" i="1"/>
  <c r="H262" i="1"/>
  <c r="H259" i="1"/>
  <c r="H260" i="1"/>
  <c r="H258" i="1"/>
  <c r="H240" i="1"/>
  <c r="H241" i="1"/>
  <c r="H242" i="1"/>
  <c r="H243" i="1"/>
  <c r="H244" i="1"/>
  <c r="H246" i="1"/>
  <c r="H247" i="1"/>
  <c r="H248" i="1"/>
  <c r="H249" i="1"/>
  <c r="H250" i="1"/>
  <c r="H251" i="1"/>
  <c r="H252" i="1"/>
  <c r="H253" i="1"/>
  <c r="H254" i="1"/>
  <c r="H255" i="1"/>
  <c r="H256" i="1"/>
  <c r="H239" i="1"/>
  <c r="H217" i="1"/>
  <c r="H218" i="1"/>
  <c r="H219" i="1"/>
  <c r="H220" i="1"/>
  <c r="H221" i="1"/>
  <c r="H222" i="1"/>
  <c r="H223" i="1"/>
  <c r="H224" i="1"/>
  <c r="H225" i="1"/>
  <c r="H226" i="1"/>
  <c r="H227" i="1"/>
  <c r="H228" i="1"/>
  <c r="H229" i="1"/>
  <c r="H230" i="1"/>
  <c r="H231" i="1"/>
  <c r="H232" i="1"/>
  <c r="H233" i="1"/>
  <c r="H234" i="1"/>
  <c r="H235" i="1"/>
  <c r="H236" i="1"/>
  <c r="H237" i="1"/>
  <c r="H203" i="1"/>
  <c r="H204" i="1"/>
  <c r="H205" i="1"/>
  <c r="H206" i="1"/>
  <c r="H207" i="1"/>
  <c r="H208" i="1"/>
  <c r="H209" i="1"/>
  <c r="H210" i="1"/>
  <c r="H211" i="1"/>
  <c r="H212" i="1"/>
  <c r="H213" i="1"/>
  <c r="H214" i="1"/>
  <c r="H215" i="1"/>
  <c r="H216" i="1"/>
  <c r="H187" i="1"/>
  <c r="H188" i="1"/>
  <c r="H189" i="1"/>
  <c r="H190" i="1"/>
  <c r="H191" i="1"/>
  <c r="H192" i="1"/>
  <c r="H193" i="1"/>
  <c r="H194" i="1"/>
  <c r="H195" i="1"/>
  <c r="H197" i="1"/>
  <c r="H198" i="1"/>
  <c r="H199" i="1"/>
  <c r="H200" i="1"/>
  <c r="H201" i="1"/>
  <c r="H202" i="1"/>
  <c r="H163" i="1"/>
  <c r="H164" i="1"/>
  <c r="H165" i="1"/>
  <c r="H166" i="1"/>
  <c r="H167" i="1"/>
  <c r="H168" i="1"/>
  <c r="H169" i="1"/>
  <c r="H170" i="1"/>
  <c r="H171" i="1"/>
  <c r="H172" i="1"/>
  <c r="H173" i="1"/>
  <c r="H174" i="1"/>
  <c r="H175" i="1"/>
  <c r="H176" i="1"/>
  <c r="H177" i="1"/>
  <c r="H178" i="1"/>
  <c r="H179" i="1"/>
  <c r="H180" i="1"/>
  <c r="H181" i="1"/>
  <c r="H182" i="1"/>
  <c r="H183" i="1"/>
  <c r="H184" i="1"/>
  <c r="H185" i="1"/>
  <c r="H186" i="1"/>
  <c r="H145" i="1"/>
  <c r="H146" i="1"/>
  <c r="H147" i="1"/>
  <c r="H148" i="1"/>
  <c r="H149" i="1"/>
  <c r="H150" i="1"/>
  <c r="H151" i="1"/>
  <c r="H152" i="1"/>
  <c r="H153" i="1"/>
  <c r="H154" i="1"/>
  <c r="H155" i="1"/>
  <c r="H156" i="1"/>
  <c r="H157" i="1"/>
  <c r="H158" i="1"/>
  <c r="H159" i="1"/>
  <c r="H160" i="1"/>
  <c r="H161" i="1"/>
  <c r="H162" i="1"/>
  <c r="H127" i="1"/>
  <c r="H128" i="1"/>
  <c r="H129" i="1"/>
  <c r="H130" i="1"/>
  <c r="H131" i="1"/>
  <c r="H132" i="1"/>
  <c r="H133" i="1"/>
  <c r="H134" i="1"/>
  <c r="H136" i="1"/>
  <c r="H137" i="1"/>
  <c r="H138" i="1"/>
  <c r="H139" i="1"/>
  <c r="H140" i="1"/>
  <c r="H141" i="1"/>
  <c r="H142" i="1"/>
  <c r="H143" i="1"/>
  <c r="H144" i="1"/>
  <c r="H113" i="1"/>
  <c r="H114" i="1"/>
  <c r="H115" i="1"/>
  <c r="H116" i="1"/>
  <c r="H117" i="1"/>
  <c r="H118" i="1"/>
  <c r="H119" i="1"/>
  <c r="H121" i="1"/>
  <c r="H122" i="1"/>
  <c r="H124" i="1"/>
  <c r="H125" i="1"/>
  <c r="H126" i="1"/>
  <c r="H1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7" i="1"/>
  <c r="H8" i="1"/>
  <c r="H9" i="1"/>
  <c r="H10" i="1"/>
  <c r="H11" i="1"/>
  <c r="H12" i="1"/>
  <c r="H6" i="1"/>
  <c r="L6" i="1" s="1"/>
  <c r="H29" i="36" l="1"/>
  <c r="H30" i="36" s="1"/>
  <c r="H21" i="41"/>
  <c r="H506" i="1"/>
  <c r="D35" i="36" l="1"/>
  <c r="D34" i="36"/>
  <c r="D33" i="36"/>
  <c r="D32" i="36"/>
  <c r="D26" i="36"/>
  <c r="D23" i="36" l="1"/>
  <c r="D24" i="36"/>
  <c r="D25" i="36"/>
  <c r="H22" i="5"/>
  <c r="J22" i="5"/>
  <c r="I21" i="5"/>
  <c r="K21" i="5" s="1"/>
  <c r="K35" i="36" s="1"/>
  <c r="I20" i="5"/>
  <c r="K20" i="5" s="1"/>
  <c r="K34" i="36" s="1"/>
  <c r="I13" i="5"/>
  <c r="K13" i="5" s="1"/>
  <c r="K26" i="36" s="1"/>
  <c r="I12" i="5"/>
  <c r="K12" i="5" s="1"/>
  <c r="K25" i="36" s="1"/>
  <c r="I19" i="5"/>
  <c r="K19" i="5" s="1"/>
  <c r="K33" i="36" s="1"/>
  <c r="I11" i="5"/>
  <c r="K11" i="5" s="1"/>
  <c r="K24" i="36" s="1"/>
  <c r="H14" i="5"/>
  <c r="J14" i="5"/>
  <c r="I18" i="5"/>
  <c r="K18" i="5" s="1"/>
  <c r="K32" i="36" s="1"/>
  <c r="K9" i="5"/>
  <c r="I10" i="5"/>
  <c r="K10" i="5" s="1"/>
  <c r="K23" i="36" s="1"/>
  <c r="I22" i="5" l="1"/>
  <c r="I14" i="5"/>
  <c r="G535" i="1" l="1"/>
  <c r="G533" i="1"/>
  <c r="G524" i="1"/>
  <c r="G520" i="1"/>
  <c r="G512" i="1"/>
  <c r="G508" i="1"/>
  <c r="G476" i="1"/>
  <c r="G472" i="1"/>
  <c r="G452" i="1"/>
  <c r="G437" i="1"/>
  <c r="G420" i="1"/>
  <c r="G280" i="1"/>
  <c r="G275" i="1"/>
  <c r="G261" i="1"/>
  <c r="G257" i="1"/>
  <c r="G238" i="1"/>
  <c r="G111" i="1"/>
  <c r="G78" i="35"/>
  <c r="C78" i="35"/>
  <c r="G438" i="1" l="1"/>
  <c r="G513" i="1" s="1"/>
  <c r="G509" i="1"/>
  <c r="G525" i="1"/>
  <c r="G536" i="1"/>
  <c r="G51" i="35"/>
  <c r="C51" i="35"/>
  <c r="A7" i="25"/>
  <c r="A8" i="25" s="1"/>
  <c r="A9" i="25" s="1"/>
  <c r="A10" i="25" s="1"/>
  <c r="A11" i="25" s="1"/>
  <c r="A12" i="25" s="1"/>
  <c r="A13" i="25" s="1"/>
  <c r="A18" i="25" s="1"/>
  <c r="A19" i="25" s="1"/>
  <c r="A20" i="25" s="1"/>
  <c r="A21" i="25" s="1"/>
  <c r="A22" i="25" s="1"/>
  <c r="A3" i="25" l="1"/>
  <c r="A3" i="31"/>
  <c r="A1" i="31"/>
  <c r="A23" i="25" l="1"/>
  <c r="F111" i="1" l="1"/>
  <c r="A7" i="36" l="1"/>
  <c r="A8" i="36" s="1"/>
  <c r="A9" i="36" s="1"/>
  <c r="A10" i="36" s="1"/>
  <c r="A11" i="36" s="1"/>
  <c r="A12" i="36" s="1"/>
  <c r="A13" i="36" s="1"/>
  <c r="A14" i="36" s="1"/>
  <c r="A15" i="36" s="1"/>
  <c r="A16" i="36" s="1"/>
  <c r="A17" i="36" s="1"/>
  <c r="A18" i="36" s="1"/>
  <c r="A19" i="36" s="1"/>
  <c r="A20" i="36" s="1"/>
  <c r="A21" i="36" s="1"/>
  <c r="A22" i="36" s="1"/>
  <c r="A23" i="36" s="1"/>
  <c r="A24" i="36" s="1"/>
  <c r="A25" i="36" l="1"/>
  <c r="A26" i="36" s="1"/>
  <c r="A27" i="36" s="1"/>
  <c r="A32" i="36" s="1"/>
  <c r="A33" i="36" s="1"/>
  <c r="A34" i="36" s="1"/>
  <c r="A35" i="36" s="1"/>
  <c r="A43" i="36" s="1"/>
  <c r="A44" i="36" s="1"/>
  <c r="A45" i="36" s="1"/>
  <c r="A10" i="32" l="1"/>
  <c r="A11" i="32" s="1"/>
  <c r="A12" i="32" s="1"/>
  <c r="A13" i="32" s="1"/>
  <c r="E99" i="35"/>
  <c r="C99" i="35"/>
  <c r="C103" i="35" l="1"/>
  <c r="K103" i="35" s="1"/>
  <c r="C101" i="35"/>
  <c r="C102" i="35"/>
  <c r="K102" i="35" s="1"/>
  <c r="C104" i="35"/>
  <c r="K104" i="35" s="1"/>
  <c r="A14" i="32"/>
  <c r="A15" i="32" s="1"/>
  <c r="A16" i="32" l="1"/>
  <c r="I16" i="36"/>
  <c r="A1" i="36"/>
  <c r="A1" i="41" s="1"/>
  <c r="A3" i="36"/>
  <c r="A3" i="41" s="1"/>
  <c r="D19" i="36"/>
  <c r="D20" i="36"/>
  <c r="D21" i="36"/>
  <c r="D22" i="36"/>
  <c r="D42" i="36"/>
  <c r="D43" i="36"/>
  <c r="D44" i="36"/>
  <c r="A17" i="32" l="1"/>
  <c r="A18" i="32" s="1"/>
  <c r="A19" i="32" s="1"/>
  <c r="A20" i="32" s="1"/>
  <c r="J472" i="1"/>
  <c r="K472" i="1"/>
  <c r="I452" i="1"/>
  <c r="J452" i="1"/>
  <c r="K452" i="1"/>
  <c r="F452" i="1"/>
  <c r="I420" i="1"/>
  <c r="K420" i="1"/>
  <c r="F420" i="1"/>
  <c r="I280" i="1"/>
  <c r="J280" i="1"/>
  <c r="K280" i="1"/>
  <c r="F280" i="1"/>
  <c r="I275" i="1"/>
  <c r="J275" i="1"/>
  <c r="K275" i="1"/>
  <c r="I261" i="1"/>
  <c r="F261" i="1"/>
  <c r="I257" i="1"/>
  <c r="J257" i="1"/>
  <c r="K257" i="1"/>
  <c r="I238" i="1"/>
  <c r="J238" i="1"/>
  <c r="I111" i="1"/>
  <c r="J111" i="1"/>
  <c r="F45" i="36" l="1"/>
  <c r="I139" i="35"/>
  <c r="K169" i="35" l="1"/>
  <c r="I52" i="35"/>
  <c r="I53" i="35" l="1"/>
  <c r="A7" i="5"/>
  <c r="A8" i="5" s="1"/>
  <c r="A9" i="5" s="1"/>
  <c r="J535" i="1"/>
  <c r="K535" i="1"/>
  <c r="I534" i="1"/>
  <c r="I535" i="1" s="1"/>
  <c r="F534" i="1"/>
  <c r="H534" i="1" s="1"/>
  <c r="I528" i="1"/>
  <c r="F528" i="1"/>
  <c r="H528" i="1" s="1"/>
  <c r="J524" i="1"/>
  <c r="K524" i="1"/>
  <c r="I520" i="1"/>
  <c r="J520" i="1"/>
  <c r="K520" i="1"/>
  <c r="J437" i="1"/>
  <c r="K437" i="1"/>
  <c r="F437" i="1"/>
  <c r="I512" i="1"/>
  <c r="J512" i="1"/>
  <c r="K512" i="1"/>
  <c r="F512" i="1"/>
  <c r="I508" i="1"/>
  <c r="J508" i="1"/>
  <c r="K508" i="1"/>
  <c r="F508" i="1"/>
  <c r="I476" i="1"/>
  <c r="J476" i="1"/>
  <c r="K476" i="1"/>
  <c r="J505" i="1"/>
  <c r="J504" i="1"/>
  <c r="L475" i="1"/>
  <c r="L474" i="1"/>
  <c r="F245" i="1"/>
  <c r="H245" i="1" s="1"/>
  <c r="F473" i="1"/>
  <c r="H473" i="1" s="1"/>
  <c r="G17" i="5"/>
  <c r="G22" i="5" s="1"/>
  <c r="G7" i="5"/>
  <c r="I41" i="35"/>
  <c r="K7" i="5" l="1"/>
  <c r="A10" i="5"/>
  <c r="A11" i="5" s="1"/>
  <c r="A12" i="5" s="1"/>
  <c r="A13" i="5" s="1"/>
  <c r="A14" i="5" s="1"/>
  <c r="K509" i="1"/>
  <c r="I509" i="1"/>
  <c r="F535" i="1"/>
  <c r="F257" i="1"/>
  <c r="F533" i="1"/>
  <c r="F536" i="1" s="1"/>
  <c r="K17" i="5"/>
  <c r="A21" i="32"/>
  <c r="A22" i="32" s="1"/>
  <c r="A23" i="32" s="1"/>
  <c r="A24" i="32" s="1"/>
  <c r="A25" i="32" s="1"/>
  <c r="A26" i="32" s="1"/>
  <c r="A27" i="32" s="1"/>
  <c r="A28" i="32" s="1"/>
  <c r="A29" i="32" s="1"/>
  <c r="A30" i="32" s="1"/>
  <c r="A31" i="32" s="1"/>
  <c r="A32" i="32" s="1"/>
  <c r="L473" i="1"/>
  <c r="L476" i="1" s="1"/>
  <c r="F476" i="1"/>
  <c r="L440" i="1"/>
  <c r="K525" i="1"/>
  <c r="J525" i="1"/>
  <c r="L504" i="1"/>
  <c r="H476" i="1"/>
  <c r="L505" i="1"/>
  <c r="C155" i="35"/>
  <c r="C153" i="35"/>
  <c r="K152" i="35"/>
  <c r="I157" i="35"/>
  <c r="I166" i="35" s="1"/>
  <c r="G157" i="35"/>
  <c r="G166" i="35" s="1"/>
  <c r="I132" i="35"/>
  <c r="G132" i="35"/>
  <c r="C131" i="35"/>
  <c r="K131" i="35" s="1"/>
  <c r="C130" i="35"/>
  <c r="K130" i="35" s="1"/>
  <c r="K129" i="35"/>
  <c r="E128" i="35"/>
  <c r="C128" i="35"/>
  <c r="E127" i="35"/>
  <c r="K127" i="35" s="1"/>
  <c r="E126" i="35"/>
  <c r="C126" i="35"/>
  <c r="E125" i="35"/>
  <c r="C125" i="35"/>
  <c r="E124" i="35"/>
  <c r="C124" i="35"/>
  <c r="E123" i="35"/>
  <c r="C123" i="35"/>
  <c r="E122" i="35"/>
  <c r="C122" i="35"/>
  <c r="E121" i="35"/>
  <c r="C121" i="35"/>
  <c r="E120" i="35"/>
  <c r="C120" i="35"/>
  <c r="E119" i="35"/>
  <c r="C119" i="35"/>
  <c r="I99" i="35"/>
  <c r="G99" i="35"/>
  <c r="I86" i="35"/>
  <c r="G86" i="35"/>
  <c r="E86" i="35"/>
  <c r="C86" i="35"/>
  <c r="I70" i="35"/>
  <c r="I78" i="35" s="1"/>
  <c r="E70" i="35"/>
  <c r="E78" i="35" s="1"/>
  <c r="K78" i="35" s="1"/>
  <c r="I43" i="35"/>
  <c r="I51" i="35" s="1"/>
  <c r="E43" i="35"/>
  <c r="E51" i="35" s="1"/>
  <c r="K51" i="35" s="1"/>
  <c r="I7" i="35"/>
  <c r="I9" i="35" s="1"/>
  <c r="G7" i="35"/>
  <c r="E7" i="35"/>
  <c r="A7" i="35"/>
  <c r="A3" i="35"/>
  <c r="A1" i="35"/>
  <c r="Q36" i="36"/>
  <c r="Q39" i="36" s="1"/>
  <c r="C90" i="35" l="1"/>
  <c r="K90" i="35" s="1"/>
  <c r="C89" i="35"/>
  <c r="K89" i="35" s="1"/>
  <c r="C88" i="35"/>
  <c r="C91" i="35"/>
  <c r="K91" i="35" s="1"/>
  <c r="A15" i="5"/>
  <c r="A16" i="5" s="1"/>
  <c r="A17" i="5" s="1"/>
  <c r="A18" i="5" s="1"/>
  <c r="A19" i="5" s="1"/>
  <c r="A20" i="5" s="1"/>
  <c r="A21" i="5" s="1"/>
  <c r="A22" i="5" s="1"/>
  <c r="K31" i="36"/>
  <c r="K22" i="5"/>
  <c r="A8" i="35"/>
  <c r="K43" i="35"/>
  <c r="K70" i="35"/>
  <c r="G139" i="35"/>
  <c r="I8" i="36" s="1"/>
  <c r="L535" i="1"/>
  <c r="H535" i="1"/>
  <c r="E26" i="35"/>
  <c r="I26" i="35"/>
  <c r="I25" i="35"/>
  <c r="I44" i="35" s="1"/>
  <c r="I57" i="35" s="1"/>
  <c r="K121" i="35"/>
  <c r="K128" i="35"/>
  <c r="K126" i="35"/>
  <c r="K120" i="35"/>
  <c r="K124" i="35"/>
  <c r="K99" i="35"/>
  <c r="K156" i="35"/>
  <c r="K148" i="35"/>
  <c r="K155" i="35"/>
  <c r="K122" i="35"/>
  <c r="K119" i="35"/>
  <c r="K123" i="35"/>
  <c r="K86" i="35"/>
  <c r="K125" i="35"/>
  <c r="K153" i="35"/>
  <c r="C132" i="35"/>
  <c r="E132" i="35"/>
  <c r="K150" i="35"/>
  <c r="C141" i="35" l="1"/>
  <c r="C136" i="35"/>
  <c r="I29" i="36" s="1"/>
  <c r="C137" i="35"/>
  <c r="K137" i="35" s="1"/>
  <c r="C135" i="35"/>
  <c r="C138" i="35"/>
  <c r="A26" i="5"/>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G16" i="35"/>
  <c r="G34" i="35" s="1"/>
  <c r="G53" i="35" s="1"/>
  <c r="K36" i="36"/>
  <c r="L33" i="36" s="1"/>
  <c r="A9" i="35"/>
  <c r="J25" i="35"/>
  <c r="D25" i="35"/>
  <c r="H25" i="35"/>
  <c r="F25" i="35"/>
  <c r="J9" i="35"/>
  <c r="H9" i="35"/>
  <c r="E141" i="35"/>
  <c r="K141" i="35" s="1"/>
  <c r="E135" i="35"/>
  <c r="E139" i="35" s="1"/>
  <c r="I87" i="35"/>
  <c r="I62" i="35"/>
  <c r="I100" i="35"/>
  <c r="I159" i="35"/>
  <c r="I71" i="35"/>
  <c r="I12" i="35"/>
  <c r="I30" i="35"/>
  <c r="E157" i="35"/>
  <c r="C151" i="35"/>
  <c r="C157" i="35" s="1"/>
  <c r="K132" i="35"/>
  <c r="I30" i="36" l="1"/>
  <c r="I28" i="36"/>
  <c r="J28" i="36" s="1"/>
  <c r="F33" i="36"/>
  <c r="G33" i="36"/>
  <c r="K138" i="35"/>
  <c r="I38" i="36"/>
  <c r="I37" i="36" s="1"/>
  <c r="K136" i="35"/>
  <c r="G168" i="35"/>
  <c r="G108" i="35"/>
  <c r="K16" i="36"/>
  <c r="L31" i="36"/>
  <c r="Q31" i="36" s="1"/>
  <c r="K39" i="36"/>
  <c r="L32" i="36"/>
  <c r="Q32" i="36" s="1"/>
  <c r="L35" i="36"/>
  <c r="Q35" i="36" s="1"/>
  <c r="Q33" i="36"/>
  <c r="L34" i="36"/>
  <c r="Q34" i="36" s="1"/>
  <c r="A10" i="35"/>
  <c r="D26" i="35"/>
  <c r="F26" i="35"/>
  <c r="H26" i="35"/>
  <c r="J26" i="35"/>
  <c r="E166" i="35"/>
  <c r="I105" i="35"/>
  <c r="I49" i="35"/>
  <c r="I92" i="35"/>
  <c r="G80" i="35"/>
  <c r="G16" i="36" s="1"/>
  <c r="G95" i="35"/>
  <c r="M16" i="36"/>
  <c r="I164" i="35"/>
  <c r="I76" i="35"/>
  <c r="K151" i="35"/>
  <c r="K157" i="35" s="1"/>
  <c r="C166" i="35"/>
  <c r="J29" i="36" l="1"/>
  <c r="J30" i="36" s="1"/>
  <c r="T28" i="36"/>
  <c r="O16" i="36"/>
  <c r="A11" i="35"/>
  <c r="D28" i="35"/>
  <c r="K166" i="35"/>
  <c r="G66" i="35"/>
  <c r="T29" i="36" l="1"/>
  <c r="A12" i="35"/>
  <c r="A13" i="35" s="1"/>
  <c r="A14" i="35" s="1"/>
  <c r="A15" i="35" s="1"/>
  <c r="D29" i="35"/>
  <c r="L528" i="1"/>
  <c r="L529" i="1"/>
  <c r="L530" i="1"/>
  <c r="L532" i="1"/>
  <c r="L527" i="1"/>
  <c r="L516" i="1"/>
  <c r="L517" i="1"/>
  <c r="L519" i="1"/>
  <c r="L422" i="1"/>
  <c r="L423" i="1"/>
  <c r="L424" i="1"/>
  <c r="L427" i="1"/>
  <c r="L428" i="1"/>
  <c r="L429" i="1"/>
  <c r="L430" i="1"/>
  <c r="L431" i="1"/>
  <c r="L432" i="1"/>
  <c r="L433" i="1"/>
  <c r="L434" i="1"/>
  <c r="L435" i="1"/>
  <c r="L436" i="1"/>
  <c r="L511" i="1"/>
  <c r="L277" i="1"/>
  <c r="L278" i="1"/>
  <c r="L279" i="1"/>
  <c r="L272" i="1"/>
  <c r="L274" i="1"/>
  <c r="L263" i="1"/>
  <c r="L264" i="1"/>
  <c r="L265" i="1"/>
  <c r="L267" i="1"/>
  <c r="L268" i="1"/>
  <c r="L269" i="1"/>
  <c r="L270" i="1"/>
  <c r="L240" i="1"/>
  <c r="L241" i="1"/>
  <c r="L242" i="1"/>
  <c r="L243" i="1"/>
  <c r="L244" i="1"/>
  <c r="L245" i="1"/>
  <c r="L246" i="1"/>
  <c r="L247" i="1"/>
  <c r="L248" i="1"/>
  <c r="L249" i="1"/>
  <c r="L250" i="1"/>
  <c r="L251" i="1"/>
  <c r="L252" i="1"/>
  <c r="L253" i="1"/>
  <c r="L254" i="1"/>
  <c r="L255" i="1"/>
  <c r="L256" i="1"/>
  <c r="L125" i="1"/>
  <c r="L126" i="1"/>
  <c r="L127" i="1"/>
  <c r="L455" i="1"/>
  <c r="L128" i="1"/>
  <c r="L129" i="1"/>
  <c r="L130" i="1"/>
  <c r="L131" i="1"/>
  <c r="L132" i="1"/>
  <c r="L457" i="1"/>
  <c r="L133" i="1"/>
  <c r="L458" i="1"/>
  <c r="L134"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459" i="1"/>
  <c r="L163" i="1"/>
  <c r="L164" i="1"/>
  <c r="L165" i="1"/>
  <c r="L460" i="1"/>
  <c r="L461" i="1"/>
  <c r="L166" i="1"/>
  <c r="L167" i="1"/>
  <c r="L168" i="1"/>
  <c r="L169" i="1"/>
  <c r="L170" i="1"/>
  <c r="L171" i="1"/>
  <c r="L172" i="1"/>
  <c r="L173" i="1"/>
  <c r="L174" i="1"/>
  <c r="L175" i="1"/>
  <c r="L462" i="1"/>
  <c r="L176" i="1"/>
  <c r="L177" i="1"/>
  <c r="L178" i="1"/>
  <c r="L179" i="1"/>
  <c r="L180" i="1"/>
  <c r="L463" i="1"/>
  <c r="L181" i="1"/>
  <c r="L182" i="1"/>
  <c r="L183" i="1"/>
  <c r="L184" i="1"/>
  <c r="L185" i="1"/>
  <c r="L186" i="1"/>
  <c r="L187" i="1"/>
  <c r="L188" i="1"/>
  <c r="L189" i="1"/>
  <c r="L190" i="1"/>
  <c r="L191" i="1"/>
  <c r="L192" i="1"/>
  <c r="L193" i="1"/>
  <c r="L194" i="1"/>
  <c r="L195" i="1"/>
  <c r="L464" i="1"/>
  <c r="L197" i="1"/>
  <c r="L199" i="1"/>
  <c r="L465" i="1"/>
  <c r="L200" i="1"/>
  <c r="L201" i="1"/>
  <c r="L466" i="1"/>
  <c r="L467" i="1"/>
  <c r="L202" i="1"/>
  <c r="L203" i="1"/>
  <c r="L204" i="1"/>
  <c r="L205" i="1"/>
  <c r="L206" i="1"/>
  <c r="L207" i="1"/>
  <c r="L208" i="1"/>
  <c r="L209" i="1"/>
  <c r="L210" i="1"/>
  <c r="L211" i="1"/>
  <c r="L468" i="1"/>
  <c r="L212" i="1"/>
  <c r="L213" i="1"/>
  <c r="L214" i="1"/>
  <c r="L215" i="1"/>
  <c r="L216" i="1"/>
  <c r="L469" i="1"/>
  <c r="L217" i="1"/>
  <c r="L218" i="1"/>
  <c r="L219" i="1"/>
  <c r="L220" i="1"/>
  <c r="L221" i="1"/>
  <c r="L222" i="1"/>
  <c r="L223" i="1"/>
  <c r="L224" i="1"/>
  <c r="L225" i="1"/>
  <c r="L226" i="1"/>
  <c r="L227" i="1"/>
  <c r="L470" i="1"/>
  <c r="L471" i="1"/>
  <c r="L228" i="1"/>
  <c r="L229" i="1"/>
  <c r="L230" i="1"/>
  <c r="L231" i="1"/>
  <c r="L232" i="1"/>
  <c r="L233" i="1"/>
  <c r="L234" i="1"/>
  <c r="L235" i="1"/>
  <c r="L236" i="1"/>
  <c r="L237" i="1"/>
  <c r="L119" i="1"/>
  <c r="L121" i="1"/>
  <c r="L122" i="1"/>
  <c r="L124" i="1"/>
  <c r="L454" i="1"/>
  <c r="L113" i="1"/>
  <c r="L114" i="1"/>
  <c r="L115" i="1"/>
  <c r="L116" i="1"/>
  <c r="L117" i="1"/>
  <c r="L118" i="1"/>
  <c r="L8" i="1"/>
  <c r="L9" i="1"/>
  <c r="L10" i="1"/>
  <c r="L11" i="1"/>
  <c r="L12" i="1"/>
  <c r="L13" i="1"/>
  <c r="L14" i="1"/>
  <c r="L15" i="1"/>
  <c r="L16" i="1"/>
  <c r="L17" i="1"/>
  <c r="L18" i="1"/>
  <c r="L19" i="1"/>
  <c r="L20" i="1"/>
  <c r="L21" i="1"/>
  <c r="L22" i="1"/>
  <c r="L23" i="1"/>
  <c r="L24" i="1"/>
  <c r="L25" i="1"/>
  <c r="L26" i="1"/>
  <c r="L28" i="1"/>
  <c r="L29" i="1"/>
  <c r="L30" i="1"/>
  <c r="L31" i="1"/>
  <c r="L32" i="1"/>
  <c r="L33" i="1"/>
  <c r="L34" i="1"/>
  <c r="L35" i="1"/>
  <c r="L36" i="1"/>
  <c r="L37" i="1"/>
  <c r="L38" i="1"/>
  <c r="L39" i="1"/>
  <c r="L40" i="1"/>
  <c r="L442" i="1"/>
  <c r="L41" i="1"/>
  <c r="L42" i="1"/>
  <c r="L43" i="1"/>
  <c r="L44" i="1"/>
  <c r="L45" i="1"/>
  <c r="L46" i="1"/>
  <c r="L47" i="1"/>
  <c r="L48" i="1"/>
  <c r="L49" i="1"/>
  <c r="L50" i="1"/>
  <c r="L51" i="1"/>
  <c r="L52" i="1"/>
  <c r="L53" i="1"/>
  <c r="L54" i="1"/>
  <c r="L55" i="1"/>
  <c r="L56" i="1"/>
  <c r="L57" i="1"/>
  <c r="L58" i="1"/>
  <c r="L59" i="1"/>
  <c r="L443" i="1"/>
  <c r="L60" i="1"/>
  <c r="L61" i="1"/>
  <c r="L62" i="1"/>
  <c r="L444" i="1"/>
  <c r="L445" i="1"/>
  <c r="L63" i="1"/>
  <c r="L64" i="1"/>
  <c r="L65" i="1"/>
  <c r="L66" i="1"/>
  <c r="L67" i="1"/>
  <c r="L68" i="1"/>
  <c r="L69" i="1"/>
  <c r="L70" i="1"/>
  <c r="L71" i="1"/>
  <c r="L72" i="1"/>
  <c r="L446" i="1"/>
  <c r="L73" i="1"/>
  <c r="L74" i="1"/>
  <c r="L75" i="1"/>
  <c r="L76" i="1"/>
  <c r="L78" i="1"/>
  <c r="L79" i="1"/>
  <c r="L447" i="1"/>
  <c r="L80" i="1"/>
  <c r="L81" i="1"/>
  <c r="L82" i="1"/>
  <c r="L83" i="1"/>
  <c r="L84" i="1"/>
  <c r="L85" i="1"/>
  <c r="L86" i="1"/>
  <c r="L87" i="1"/>
  <c r="L88" i="1"/>
  <c r="L89" i="1"/>
  <c r="L90" i="1"/>
  <c r="L91" i="1"/>
  <c r="L92" i="1"/>
  <c r="L93" i="1"/>
  <c r="L94" i="1"/>
  <c r="L95" i="1"/>
  <c r="L96" i="1"/>
  <c r="L448" i="1"/>
  <c r="L97" i="1"/>
  <c r="L98" i="1"/>
  <c r="L99" i="1"/>
  <c r="L100" i="1"/>
  <c r="L101" i="1"/>
  <c r="L449" i="1"/>
  <c r="L102" i="1"/>
  <c r="L103" i="1"/>
  <c r="L450" i="1"/>
  <c r="L104" i="1"/>
  <c r="L105" i="1"/>
  <c r="L106" i="1"/>
  <c r="L107" i="1"/>
  <c r="L108" i="1"/>
  <c r="L109" i="1"/>
  <c r="L110" i="1"/>
  <c r="L451" i="1"/>
  <c r="U28" i="36" l="1"/>
  <c r="U29" i="36" s="1"/>
  <c r="T30" i="36"/>
  <c r="A16" i="35"/>
  <c r="A17" i="35" s="1"/>
  <c r="F33" i="35"/>
  <c r="D33" i="35"/>
  <c r="H33" i="35"/>
  <c r="K11" i="36"/>
  <c r="H261" i="1"/>
  <c r="H452" i="1"/>
  <c r="H420" i="1"/>
  <c r="H280" i="1"/>
  <c r="L262" i="1"/>
  <c r="H257" i="1"/>
  <c r="H111" i="1"/>
  <c r="L515" i="1"/>
  <c r="L239" i="1"/>
  <c r="L257" i="1" s="1"/>
  <c r="L276" i="1"/>
  <c r="L280" i="1" s="1"/>
  <c r="L510" i="1"/>
  <c r="H512" i="1"/>
  <c r="L112" i="1"/>
  <c r="L421" i="1"/>
  <c r="L507" i="1"/>
  <c r="L508" i="1" s="1"/>
  <c r="H508" i="1"/>
  <c r="L441" i="1"/>
  <c r="L452" i="1" s="1"/>
  <c r="L477" i="1"/>
  <c r="L478" i="1" s="1"/>
  <c r="L77" i="1"/>
  <c r="L453" i="1"/>
  <c r="H533" i="1"/>
  <c r="H536" i="1" s="1"/>
  <c r="L7" i="1"/>
  <c r="L425" i="1"/>
  <c r="A18" i="35" l="1"/>
  <c r="D35" i="35"/>
  <c r="D34" i="35"/>
  <c r="H34" i="35"/>
  <c r="F34" i="35"/>
  <c r="K10" i="36"/>
  <c r="L512" i="1"/>
  <c r="A19" i="35" l="1"/>
  <c r="D36" i="35"/>
  <c r="K12" i="36"/>
  <c r="L10" i="36" s="1"/>
  <c r="J533" i="1"/>
  <c r="J536" i="1" s="1"/>
  <c r="K533" i="1"/>
  <c r="K536" i="1" s="1"/>
  <c r="A20" i="35" l="1"/>
  <c r="D37" i="35"/>
  <c r="L11" i="36"/>
  <c r="L533" i="1"/>
  <c r="K22" i="36"/>
  <c r="K6" i="5"/>
  <c r="G8" i="5"/>
  <c r="A21" i="35" l="1"/>
  <c r="D38" i="35"/>
  <c r="G15" i="35"/>
  <c r="K8" i="36" s="1"/>
  <c r="L536" i="1"/>
  <c r="K19" i="36"/>
  <c r="K8" i="5"/>
  <c r="K14" i="5" s="1"/>
  <c r="G14" i="5"/>
  <c r="G8" i="35"/>
  <c r="K20" i="36"/>
  <c r="A22" i="35" l="1"/>
  <c r="D39" i="35"/>
  <c r="G33" i="35"/>
  <c r="G52" i="35" s="1"/>
  <c r="G65" i="35" s="1"/>
  <c r="K21" i="36"/>
  <c r="S21" i="36" s="1"/>
  <c r="G25" i="35"/>
  <c r="C10" i="35"/>
  <c r="G9" i="35"/>
  <c r="G94" i="35" l="1"/>
  <c r="G107" i="35"/>
  <c r="D40" i="35"/>
  <c r="A23" i="35"/>
  <c r="A24" i="35" s="1"/>
  <c r="A25" i="35" s="1"/>
  <c r="A26" i="35" s="1"/>
  <c r="A27" i="35" s="1"/>
  <c r="A28" i="35" s="1"/>
  <c r="G167" i="35"/>
  <c r="F8" i="36" s="1"/>
  <c r="G79" i="35"/>
  <c r="G8" i="36" s="1"/>
  <c r="G41" i="35"/>
  <c r="S19" i="36"/>
  <c r="S22" i="36"/>
  <c r="S20" i="36"/>
  <c r="K27" i="36"/>
  <c r="A29" i="35"/>
  <c r="G100" i="35"/>
  <c r="G87" i="35"/>
  <c r="G71" i="35"/>
  <c r="G44" i="35"/>
  <c r="G57" i="35" s="1"/>
  <c r="G159" i="35"/>
  <c r="M8" i="36"/>
  <c r="O8" i="36" s="1"/>
  <c r="F16" i="36"/>
  <c r="G12" i="35"/>
  <c r="G26" i="35"/>
  <c r="K10" i="35"/>
  <c r="L26" i="36" l="1"/>
  <c r="Q26" i="36" s="1"/>
  <c r="L25" i="36"/>
  <c r="Q25" i="36" s="1"/>
  <c r="L24" i="36"/>
  <c r="Q24" i="36" s="1"/>
  <c r="L23" i="36"/>
  <c r="Q23" i="36" s="1"/>
  <c r="L19" i="36"/>
  <c r="Q19" i="36" s="1"/>
  <c r="L22" i="36"/>
  <c r="Q22" i="36" s="1"/>
  <c r="L20" i="36"/>
  <c r="Q20" i="36" s="1"/>
  <c r="L21" i="36"/>
  <c r="Q21" i="36" s="1"/>
  <c r="A30" i="35"/>
  <c r="A31" i="35" s="1"/>
  <c r="A32" i="35" s="1"/>
  <c r="A33" i="35" s="1"/>
  <c r="C11" i="35"/>
  <c r="G105" i="35"/>
  <c r="G112" i="35"/>
  <c r="G49" i="35"/>
  <c r="G164" i="35"/>
  <c r="G30" i="35"/>
  <c r="G76" i="35"/>
  <c r="A34" i="35" l="1"/>
  <c r="A35" i="35" s="1"/>
  <c r="G92" i="35"/>
  <c r="G62" i="35"/>
  <c r="A36" i="35" l="1"/>
  <c r="F273" i="1"/>
  <c r="H273" i="1" s="1"/>
  <c r="J294" i="1"/>
  <c r="L294" i="1" s="1"/>
  <c r="J295" i="1"/>
  <c r="L295" i="1" s="1"/>
  <c r="J296" i="1"/>
  <c r="L296" i="1" s="1"/>
  <c r="J387" i="1"/>
  <c r="L387" i="1" s="1"/>
  <c r="J499" i="1"/>
  <c r="L499" i="1" s="1"/>
  <c r="J500" i="1"/>
  <c r="L500" i="1" s="1"/>
  <c r="A37" i="35" l="1"/>
  <c r="F275" i="1"/>
  <c r="H275" i="1"/>
  <c r="A38" i="35" l="1"/>
  <c r="L273" i="1"/>
  <c r="L275" i="1" s="1"/>
  <c r="A39" i="35" l="1"/>
  <c r="H437" i="1"/>
  <c r="I437" i="1"/>
  <c r="K22" i="35"/>
  <c r="K11" i="35"/>
  <c r="F135" i="1"/>
  <c r="H135" i="1" s="1"/>
  <c r="F120" i="1"/>
  <c r="H120" i="1" s="1"/>
  <c r="F123" i="1"/>
  <c r="H123" i="1" s="1"/>
  <c r="A40" i="35" l="1"/>
  <c r="A41" i="35" s="1"/>
  <c r="A42" i="35" s="1"/>
  <c r="A43" i="35" s="1"/>
  <c r="D54" i="35" s="1"/>
  <c r="L123" i="1"/>
  <c r="L135" i="1"/>
  <c r="L426" i="1"/>
  <c r="L437" i="1" s="1"/>
  <c r="I438" i="1"/>
  <c r="I513" i="1" s="1"/>
  <c r="D55" i="35" l="1"/>
  <c r="D45" i="35"/>
  <c r="D46" i="35"/>
  <c r="H53" i="35"/>
  <c r="D57" i="35"/>
  <c r="D44" i="35"/>
  <c r="H52" i="35"/>
  <c r="D52" i="35"/>
  <c r="D53" i="35"/>
  <c r="D47" i="35"/>
  <c r="F44" i="35"/>
  <c r="F53" i="35"/>
  <c r="A44" i="35"/>
  <c r="H44" i="35"/>
  <c r="F52" i="35"/>
  <c r="D48" i="35"/>
  <c r="L120" i="1"/>
  <c r="J57" i="35" l="1"/>
  <c r="A45" i="35"/>
  <c r="D58" i="35" s="1"/>
  <c r="H57" i="35"/>
  <c r="F57" i="35"/>
  <c r="F523" i="1"/>
  <c r="H523" i="1" s="1"/>
  <c r="F518" i="1"/>
  <c r="H518" i="1" s="1"/>
  <c r="A46" i="35" l="1"/>
  <c r="H520" i="1"/>
  <c r="F520" i="1"/>
  <c r="I523" i="1"/>
  <c r="A47" i="35" l="1"/>
  <c r="D60" i="35" s="1"/>
  <c r="D59" i="35"/>
  <c r="L523" i="1"/>
  <c r="L518" i="1"/>
  <c r="L520" i="1" s="1"/>
  <c r="E33" i="35" s="1"/>
  <c r="A48" i="35" l="1"/>
  <c r="E107" i="35"/>
  <c r="E79" i="35"/>
  <c r="E52" i="35"/>
  <c r="E167" i="35"/>
  <c r="E15" i="35"/>
  <c r="A49" i="35" l="1"/>
  <c r="A50" i="35" s="1"/>
  <c r="A51" i="35" s="1"/>
  <c r="A52" i="35" s="1"/>
  <c r="D61" i="35"/>
  <c r="E65" i="35"/>
  <c r="K7" i="36"/>
  <c r="F7" i="36"/>
  <c r="E94" i="35"/>
  <c r="G7" i="36"/>
  <c r="E142" i="35"/>
  <c r="I7" i="36" s="1"/>
  <c r="K143" i="5"/>
  <c r="K144" i="5"/>
  <c r="I143" i="5"/>
  <c r="I144" i="5"/>
  <c r="K71" i="5"/>
  <c r="K72" i="5"/>
  <c r="I71" i="5"/>
  <c r="I72" i="5"/>
  <c r="F65" i="35" l="1"/>
  <c r="A53" i="35"/>
  <c r="H65" i="35"/>
  <c r="D65" i="35"/>
  <c r="M7" i="36"/>
  <c r="O7" i="36" s="1"/>
  <c r="A54" i="35" l="1"/>
  <c r="D66" i="35"/>
  <c r="H66" i="35"/>
  <c r="F66" i="35"/>
  <c r="A55" i="35" l="1"/>
  <c r="D67" i="35"/>
  <c r="A1" i="32"/>
  <c r="D68" i="35" l="1"/>
  <c r="A56" i="35"/>
  <c r="A57" i="35" s="1"/>
  <c r="A58" i="35" s="1"/>
  <c r="K55" i="5"/>
  <c r="K56" i="5"/>
  <c r="I55" i="5"/>
  <c r="I56" i="5"/>
  <c r="K59" i="5"/>
  <c r="K60" i="5"/>
  <c r="K63" i="5"/>
  <c r="K64" i="5"/>
  <c r="I60" i="5"/>
  <c r="I63" i="5"/>
  <c r="I64" i="5"/>
  <c r="K82" i="5"/>
  <c r="K83" i="5"/>
  <c r="K84" i="5"/>
  <c r="K85" i="5"/>
  <c r="I82" i="5"/>
  <c r="I83" i="5"/>
  <c r="I84" i="5"/>
  <c r="I85" i="5"/>
  <c r="I86" i="5"/>
  <c r="A59" i="35" l="1"/>
  <c r="A60" i="35" s="1"/>
  <c r="A61" i="35" s="1"/>
  <c r="A62" i="35" s="1"/>
  <c r="A63" i="35" s="1"/>
  <c r="A64" i="35" s="1"/>
  <c r="A65" i="35" s="1"/>
  <c r="A66" i="35" s="1"/>
  <c r="A67" i="35" s="1"/>
  <c r="A68" i="35" s="1"/>
  <c r="A69" i="35" s="1"/>
  <c r="A70" i="35" s="1"/>
  <c r="J290" i="1"/>
  <c r="L290" i="1" s="1"/>
  <c r="J479" i="1"/>
  <c r="J291" i="1"/>
  <c r="L291" i="1" s="1"/>
  <c r="J292" i="1"/>
  <c r="L292" i="1" s="1"/>
  <c r="F456" i="1"/>
  <c r="H456" i="1" s="1"/>
  <c r="J416" i="1"/>
  <c r="L416" i="1" s="1"/>
  <c r="J392" i="1"/>
  <c r="L392" i="1" s="1"/>
  <c r="J339" i="1"/>
  <c r="L339" i="1" s="1"/>
  <c r="K94" i="5"/>
  <c r="K95" i="5"/>
  <c r="D72" i="35" l="1"/>
  <c r="D73" i="35"/>
  <c r="D74" i="35"/>
  <c r="D75" i="35"/>
  <c r="D71" i="35"/>
  <c r="A71" i="35"/>
  <c r="A72" i="35" s="1"/>
  <c r="H71" i="35"/>
  <c r="F71" i="35"/>
  <c r="F472" i="1"/>
  <c r="F509" i="1" s="1"/>
  <c r="L479" i="1"/>
  <c r="H472" i="1"/>
  <c r="H509" i="1" s="1"/>
  <c r="K27" i="1"/>
  <c r="K111" i="1" s="1"/>
  <c r="A73" i="35" l="1"/>
  <c r="A74" i="35" s="1"/>
  <c r="A75" i="35" s="1"/>
  <c r="A76" i="35" s="1"/>
  <c r="A77" i="35" s="1"/>
  <c r="A78" i="35" s="1"/>
  <c r="L27" i="1"/>
  <c r="L111" i="1" s="1"/>
  <c r="L456" i="1"/>
  <c r="L472" i="1" s="1"/>
  <c r="D82" i="35" l="1"/>
  <c r="D80" i="35"/>
  <c r="H79" i="35"/>
  <c r="F79" i="35"/>
  <c r="D79" i="35"/>
  <c r="H80" i="35"/>
  <c r="F80" i="35"/>
  <c r="A79" i="35"/>
  <c r="A80" i="35" s="1"/>
  <c r="A81" i="35" s="1"/>
  <c r="A82" i="35" s="1"/>
  <c r="A83" i="35" s="1"/>
  <c r="A84" i="35" s="1"/>
  <c r="A85" i="35" s="1"/>
  <c r="A86" i="35" s="1"/>
  <c r="D81" i="35"/>
  <c r="I95" i="5"/>
  <c r="K69" i="5"/>
  <c r="K70" i="5"/>
  <c r="I69" i="5"/>
  <c r="I70" i="5"/>
  <c r="F87" i="35" l="1"/>
  <c r="D88" i="35"/>
  <c r="D89" i="35"/>
  <c r="D90" i="35"/>
  <c r="D91" i="35"/>
  <c r="A87" i="35"/>
  <c r="A88" i="35" s="1"/>
  <c r="D96" i="35"/>
  <c r="D97" i="35"/>
  <c r="F95" i="35"/>
  <c r="D94" i="35"/>
  <c r="H87" i="35"/>
  <c r="D95" i="35"/>
  <c r="H95" i="35"/>
  <c r="H94" i="35"/>
  <c r="F94" i="35"/>
  <c r="D87" i="35"/>
  <c r="K198" i="1"/>
  <c r="K238" i="1" s="1"/>
  <c r="A89" i="35" l="1"/>
  <c r="A90" i="35" s="1"/>
  <c r="A91" i="35" s="1"/>
  <c r="A92" i="35" s="1"/>
  <c r="A93" i="35" s="1"/>
  <c r="A94" i="35" s="1"/>
  <c r="A95" i="35" s="1"/>
  <c r="A96" i="35" s="1"/>
  <c r="A97" i="35" s="1"/>
  <c r="A98" i="35" s="1"/>
  <c r="A99" i="35" s="1"/>
  <c r="L198" i="1"/>
  <c r="G106" i="5"/>
  <c r="D101" i="35" l="1"/>
  <c r="D102" i="35"/>
  <c r="D103" i="35"/>
  <c r="D104" i="35"/>
  <c r="A100" i="35"/>
  <c r="D107" i="35"/>
  <c r="H100" i="35"/>
  <c r="H108" i="35"/>
  <c r="F100" i="35"/>
  <c r="D108" i="35"/>
  <c r="D100" i="35"/>
  <c r="H107" i="35"/>
  <c r="D109" i="35"/>
  <c r="F108" i="35"/>
  <c r="D110" i="35"/>
  <c r="F107" i="35"/>
  <c r="G90" i="5"/>
  <c r="K89" i="5"/>
  <c r="K88" i="5"/>
  <c r="K87" i="5"/>
  <c r="K86" i="5"/>
  <c r="I87" i="5"/>
  <c r="I88" i="5"/>
  <c r="I89" i="5"/>
  <c r="K41" i="5"/>
  <c r="K42" i="5"/>
  <c r="I41" i="5"/>
  <c r="I42" i="5"/>
  <c r="G51" i="5"/>
  <c r="D112" i="35" l="1"/>
  <c r="H112" i="35"/>
  <c r="A101" i="35"/>
  <c r="J112" i="35"/>
  <c r="F112" i="35"/>
  <c r="K135" i="5"/>
  <c r="K136" i="5"/>
  <c r="K139" i="5"/>
  <c r="K140" i="5"/>
  <c r="K141" i="5"/>
  <c r="K142" i="5"/>
  <c r="I135" i="5"/>
  <c r="I136" i="5"/>
  <c r="I139" i="5"/>
  <c r="I140" i="5"/>
  <c r="I141" i="5"/>
  <c r="I142" i="5"/>
  <c r="G147" i="5"/>
  <c r="I147" i="5" s="1"/>
  <c r="J418" i="1"/>
  <c r="L418" i="1" s="1"/>
  <c r="J382" i="1"/>
  <c r="L382" i="1" s="1"/>
  <c r="J310" i="1"/>
  <c r="L310" i="1" s="1"/>
  <c r="A3" i="5"/>
  <c r="A3" i="1"/>
  <c r="A1" i="25"/>
  <c r="A1" i="5"/>
  <c r="A1" i="1"/>
  <c r="K155" i="5"/>
  <c r="I155" i="5"/>
  <c r="K81" i="5"/>
  <c r="I81" i="5"/>
  <c r="J487" i="1"/>
  <c r="L487" i="1" s="1"/>
  <c r="F196" i="1"/>
  <c r="H196" i="1" s="1"/>
  <c r="J334" i="1"/>
  <c r="L334" i="1" s="1"/>
  <c r="J328" i="1"/>
  <c r="L328" i="1" s="1"/>
  <c r="I533" i="1"/>
  <c r="I536" i="1" s="1"/>
  <c r="G163" i="5"/>
  <c r="K163" i="5" s="1"/>
  <c r="G162" i="5"/>
  <c r="K162" i="5" s="1"/>
  <c r="G161" i="5"/>
  <c r="I161" i="5" s="1"/>
  <c r="G160" i="5"/>
  <c r="G159" i="5"/>
  <c r="G158" i="5"/>
  <c r="K158" i="5" s="1"/>
  <c r="G157" i="5"/>
  <c r="K157" i="5" s="1"/>
  <c r="G156" i="5"/>
  <c r="G153" i="5"/>
  <c r="G152" i="5"/>
  <c r="G151" i="5"/>
  <c r="I151" i="5" s="1"/>
  <c r="G150" i="5"/>
  <c r="I137" i="5"/>
  <c r="G146" i="5"/>
  <c r="G134" i="5"/>
  <c r="I134" i="5" s="1"/>
  <c r="G133" i="5"/>
  <c r="G132" i="5"/>
  <c r="I132" i="5" s="1"/>
  <c r="G131" i="5"/>
  <c r="K131" i="5" s="1"/>
  <c r="G130" i="5"/>
  <c r="G129" i="5"/>
  <c r="G128" i="5"/>
  <c r="I128" i="5" s="1"/>
  <c r="G127" i="5"/>
  <c r="K127" i="5" s="1"/>
  <c r="G126" i="5"/>
  <c r="G125" i="5"/>
  <c r="G124" i="5"/>
  <c r="K124" i="5" s="1"/>
  <c r="G123" i="5"/>
  <c r="I123" i="5" s="1"/>
  <c r="G122" i="5"/>
  <c r="G121" i="5"/>
  <c r="K121" i="5" s="1"/>
  <c r="G120" i="5"/>
  <c r="K120" i="5" s="1"/>
  <c r="G119" i="5"/>
  <c r="K119" i="5" s="1"/>
  <c r="G118" i="5"/>
  <c r="G117" i="5"/>
  <c r="K117" i="5" s="1"/>
  <c r="G116" i="5"/>
  <c r="I116" i="5" s="1"/>
  <c r="G115" i="5"/>
  <c r="K115" i="5" s="1"/>
  <c r="G112" i="5"/>
  <c r="I112" i="5" s="1"/>
  <c r="G111" i="5"/>
  <c r="K111" i="5" s="1"/>
  <c r="G110" i="5"/>
  <c r="G109" i="5"/>
  <c r="G108" i="5"/>
  <c r="K108" i="5" s="1"/>
  <c r="G107" i="5"/>
  <c r="I107" i="5" s="1"/>
  <c r="G105" i="5"/>
  <c r="K105" i="5" s="1"/>
  <c r="G104" i="5"/>
  <c r="K104" i="5" s="1"/>
  <c r="G103" i="5"/>
  <c r="I103" i="5" s="1"/>
  <c r="G102" i="5"/>
  <c r="G101" i="5"/>
  <c r="K101" i="5" s="1"/>
  <c r="I100" i="5"/>
  <c r="G99" i="5"/>
  <c r="I99" i="5" s="1"/>
  <c r="G98" i="5"/>
  <c r="G97" i="5"/>
  <c r="G96" i="5"/>
  <c r="I96" i="5" s="1"/>
  <c r="G93" i="5"/>
  <c r="K93" i="5" s="1"/>
  <c r="G92" i="5"/>
  <c r="G91" i="5"/>
  <c r="G68" i="5"/>
  <c r="G67" i="5"/>
  <c r="K67" i="5" s="1"/>
  <c r="K66" i="5"/>
  <c r="G65" i="5"/>
  <c r="K65" i="5" s="1"/>
  <c r="G62" i="5"/>
  <c r="G61" i="5"/>
  <c r="G58" i="5"/>
  <c r="I58" i="5" s="1"/>
  <c r="G57" i="5"/>
  <c r="G54" i="5"/>
  <c r="K54" i="5" s="1"/>
  <c r="G53" i="5"/>
  <c r="I53" i="5" s="1"/>
  <c r="G52" i="5"/>
  <c r="K52" i="5" s="1"/>
  <c r="G50" i="5"/>
  <c r="G49" i="5"/>
  <c r="I49" i="5" s="1"/>
  <c r="G48" i="5"/>
  <c r="K48" i="5" s="1"/>
  <c r="G47" i="5"/>
  <c r="G46" i="5"/>
  <c r="G45" i="5"/>
  <c r="I45" i="5" s="1"/>
  <c r="G44" i="5"/>
  <c r="K44" i="5" s="1"/>
  <c r="G43" i="5"/>
  <c r="I43" i="5" s="1"/>
  <c r="G40" i="5"/>
  <c r="G39" i="5"/>
  <c r="I39" i="5" s="1"/>
  <c r="G38" i="5"/>
  <c r="K38" i="5" s="1"/>
  <c r="G37" i="5"/>
  <c r="G36" i="5"/>
  <c r="G35" i="5"/>
  <c r="K35" i="5" s="1"/>
  <c r="G34" i="5"/>
  <c r="I34" i="5" s="1"/>
  <c r="G33" i="5"/>
  <c r="K33" i="5" s="1"/>
  <c r="G32" i="5"/>
  <c r="G31" i="5"/>
  <c r="G79" i="5"/>
  <c r="G27" i="5" s="1"/>
  <c r="K77" i="5"/>
  <c r="K78" i="5"/>
  <c r="I77" i="5"/>
  <c r="I78" i="5"/>
  <c r="J346" i="1"/>
  <c r="L346" i="1" s="1"/>
  <c r="K76" i="5"/>
  <c r="I76" i="5"/>
  <c r="F522" i="1"/>
  <c r="H522" i="1" s="1"/>
  <c r="I521" i="1"/>
  <c r="K154" i="5"/>
  <c r="I154" i="5"/>
  <c r="K149" i="5"/>
  <c r="I149" i="5"/>
  <c r="K148" i="5"/>
  <c r="I148" i="5"/>
  <c r="I94" i="5"/>
  <c r="K80" i="5"/>
  <c r="I80" i="5"/>
  <c r="K75" i="5"/>
  <c r="I75" i="5"/>
  <c r="K74" i="5"/>
  <c r="I74" i="5"/>
  <c r="J419" i="1"/>
  <c r="L419" i="1" s="1"/>
  <c r="J417" i="1"/>
  <c r="L417" i="1" s="1"/>
  <c r="J415" i="1"/>
  <c r="L415" i="1" s="1"/>
  <c r="J414" i="1"/>
  <c r="L414" i="1" s="1"/>
  <c r="J413" i="1"/>
  <c r="L413" i="1" s="1"/>
  <c r="J412" i="1"/>
  <c r="L412" i="1" s="1"/>
  <c r="J411" i="1"/>
  <c r="L411" i="1" s="1"/>
  <c r="J410" i="1"/>
  <c r="L410" i="1" s="1"/>
  <c r="J409" i="1"/>
  <c r="L409" i="1" s="1"/>
  <c r="J408" i="1"/>
  <c r="L408" i="1" s="1"/>
  <c r="J407" i="1"/>
  <c r="L407" i="1" s="1"/>
  <c r="J406" i="1"/>
  <c r="L406" i="1" s="1"/>
  <c r="J405" i="1"/>
  <c r="L405" i="1" s="1"/>
  <c r="J404" i="1"/>
  <c r="L404" i="1" s="1"/>
  <c r="J403" i="1"/>
  <c r="L403" i="1" s="1"/>
  <c r="J402" i="1"/>
  <c r="L402" i="1" s="1"/>
  <c r="J401" i="1"/>
  <c r="L401" i="1" s="1"/>
  <c r="J400" i="1"/>
  <c r="L400" i="1" s="1"/>
  <c r="J399" i="1"/>
  <c r="L399" i="1" s="1"/>
  <c r="J398" i="1"/>
  <c r="L398" i="1" s="1"/>
  <c r="J397" i="1"/>
  <c r="L397" i="1" s="1"/>
  <c r="J396" i="1"/>
  <c r="L396" i="1" s="1"/>
  <c r="J395" i="1"/>
  <c r="L395" i="1" s="1"/>
  <c r="J394" i="1"/>
  <c r="L394" i="1" s="1"/>
  <c r="J503" i="1"/>
  <c r="L503" i="1" s="1"/>
  <c r="J393" i="1"/>
  <c r="L393" i="1" s="1"/>
  <c r="J502" i="1"/>
  <c r="L502" i="1" s="1"/>
  <c r="J391" i="1"/>
  <c r="L391" i="1" s="1"/>
  <c r="J390" i="1"/>
  <c r="L390" i="1" s="1"/>
  <c r="J389" i="1"/>
  <c r="L389" i="1" s="1"/>
  <c r="J388" i="1"/>
  <c r="L388" i="1" s="1"/>
  <c r="J501" i="1"/>
  <c r="L501" i="1" s="1"/>
  <c r="J386" i="1"/>
  <c r="L386" i="1" s="1"/>
  <c r="J385" i="1"/>
  <c r="L385" i="1" s="1"/>
  <c r="J384" i="1"/>
  <c r="L384" i="1" s="1"/>
  <c r="J383" i="1"/>
  <c r="L383" i="1" s="1"/>
  <c r="J498" i="1"/>
  <c r="L498" i="1" s="1"/>
  <c r="J381" i="1"/>
  <c r="L381" i="1" s="1"/>
  <c r="J380" i="1"/>
  <c r="L380" i="1" s="1"/>
  <c r="J379" i="1"/>
  <c r="L379" i="1" s="1"/>
  <c r="J378" i="1"/>
  <c r="L378" i="1" s="1"/>
  <c r="J377" i="1"/>
  <c r="L377" i="1" s="1"/>
  <c r="J376" i="1"/>
  <c r="L376" i="1" s="1"/>
  <c r="J375" i="1"/>
  <c r="L375" i="1" s="1"/>
  <c r="J374" i="1"/>
  <c r="L374" i="1" s="1"/>
  <c r="J373" i="1"/>
  <c r="L373" i="1" s="1"/>
  <c r="J372" i="1"/>
  <c r="L372" i="1" s="1"/>
  <c r="J371" i="1"/>
  <c r="L371" i="1" s="1"/>
  <c r="J370" i="1"/>
  <c r="L370" i="1" s="1"/>
  <c r="J369" i="1"/>
  <c r="L369" i="1" s="1"/>
  <c r="J368" i="1"/>
  <c r="L368" i="1" s="1"/>
  <c r="J367" i="1"/>
  <c r="L367" i="1" s="1"/>
  <c r="J366" i="1"/>
  <c r="L366" i="1" s="1"/>
  <c r="J365" i="1"/>
  <c r="L365" i="1" s="1"/>
  <c r="J364" i="1"/>
  <c r="L364" i="1" s="1"/>
  <c r="J497" i="1"/>
  <c r="L497" i="1" s="1"/>
  <c r="J363" i="1"/>
  <c r="L363" i="1" s="1"/>
  <c r="J362" i="1"/>
  <c r="L362" i="1" s="1"/>
  <c r="J361" i="1"/>
  <c r="L361" i="1" s="1"/>
  <c r="J360" i="1"/>
  <c r="L360" i="1" s="1"/>
  <c r="J359" i="1"/>
  <c r="L359" i="1" s="1"/>
  <c r="J358" i="1"/>
  <c r="J496" i="1"/>
  <c r="L496" i="1" s="1"/>
  <c r="J357" i="1"/>
  <c r="L357" i="1" s="1"/>
  <c r="J356" i="1"/>
  <c r="L356" i="1" s="1"/>
  <c r="J355" i="1"/>
  <c r="L355" i="1" s="1"/>
  <c r="J354" i="1"/>
  <c r="L354" i="1" s="1"/>
  <c r="J495" i="1"/>
  <c r="L495" i="1" s="1"/>
  <c r="J353" i="1"/>
  <c r="L353" i="1" s="1"/>
  <c r="J352" i="1"/>
  <c r="L352" i="1" s="1"/>
  <c r="J351" i="1"/>
  <c r="L351" i="1" s="1"/>
  <c r="J494" i="1"/>
  <c r="L494" i="1" s="1"/>
  <c r="J493" i="1"/>
  <c r="L493" i="1" s="1"/>
  <c r="J492" i="1"/>
  <c r="L492" i="1" s="1"/>
  <c r="J350" i="1"/>
  <c r="L350" i="1" s="1"/>
  <c r="J349" i="1"/>
  <c r="L349" i="1" s="1"/>
  <c r="J491" i="1"/>
  <c r="L491" i="1" s="1"/>
  <c r="J490" i="1"/>
  <c r="L490" i="1" s="1"/>
  <c r="J348" i="1"/>
  <c r="L348" i="1" s="1"/>
  <c r="J347" i="1"/>
  <c r="L347" i="1" s="1"/>
  <c r="J345" i="1"/>
  <c r="L345" i="1" s="1"/>
  <c r="J344" i="1"/>
  <c r="L344" i="1" s="1"/>
  <c r="J343" i="1"/>
  <c r="L343" i="1" s="1"/>
  <c r="J342" i="1"/>
  <c r="L342" i="1" s="1"/>
  <c r="J341" i="1"/>
  <c r="L341" i="1" s="1"/>
  <c r="J340" i="1"/>
  <c r="L340" i="1" s="1"/>
  <c r="J338" i="1"/>
  <c r="L338" i="1" s="1"/>
  <c r="J337" i="1"/>
  <c r="L337" i="1" s="1"/>
  <c r="J489" i="1"/>
  <c r="L489" i="1" s="1"/>
  <c r="J336" i="1"/>
  <c r="L336" i="1" s="1"/>
  <c r="J335" i="1"/>
  <c r="L335" i="1" s="1"/>
  <c r="J488" i="1"/>
  <c r="L488" i="1" s="1"/>
  <c r="J333" i="1"/>
  <c r="L333" i="1" s="1"/>
  <c r="J332" i="1"/>
  <c r="L332" i="1" s="1"/>
  <c r="J331" i="1"/>
  <c r="L331" i="1" s="1"/>
  <c r="J330" i="1"/>
  <c r="L330" i="1" s="1"/>
  <c r="J329" i="1"/>
  <c r="L329" i="1" s="1"/>
  <c r="J327" i="1"/>
  <c r="L327" i="1" s="1"/>
  <c r="J326" i="1"/>
  <c r="L326" i="1" s="1"/>
  <c r="J325" i="1"/>
  <c r="L325" i="1" s="1"/>
  <c r="J324" i="1"/>
  <c r="L324" i="1" s="1"/>
  <c r="J323" i="1"/>
  <c r="L323" i="1" s="1"/>
  <c r="J322" i="1"/>
  <c r="L322" i="1" s="1"/>
  <c r="J321" i="1"/>
  <c r="L321" i="1" s="1"/>
  <c r="J320" i="1"/>
  <c r="L320" i="1" s="1"/>
  <c r="J319" i="1"/>
  <c r="L319" i="1" s="1"/>
  <c r="J318" i="1"/>
  <c r="L318" i="1" s="1"/>
  <c r="J486" i="1"/>
  <c r="L486" i="1" s="1"/>
  <c r="J317" i="1"/>
  <c r="L317" i="1" s="1"/>
  <c r="J316" i="1"/>
  <c r="L316" i="1" s="1"/>
  <c r="J315" i="1"/>
  <c r="L315" i="1" s="1"/>
  <c r="J485" i="1"/>
  <c r="L485" i="1" s="1"/>
  <c r="J314" i="1"/>
  <c r="L314" i="1" s="1"/>
  <c r="J313" i="1"/>
  <c r="L313" i="1" s="1"/>
  <c r="J312" i="1"/>
  <c r="L312" i="1" s="1"/>
  <c r="J311" i="1"/>
  <c r="L311" i="1" s="1"/>
  <c r="J309" i="1"/>
  <c r="L309" i="1" s="1"/>
  <c r="J308" i="1"/>
  <c r="L308" i="1" s="1"/>
  <c r="J307" i="1"/>
  <c r="L307" i="1" s="1"/>
  <c r="J306" i="1"/>
  <c r="L306" i="1" s="1"/>
  <c r="J484" i="1"/>
  <c r="L484" i="1" s="1"/>
  <c r="J483" i="1"/>
  <c r="L483" i="1" s="1"/>
  <c r="J305" i="1"/>
  <c r="L305" i="1" s="1"/>
  <c r="J304" i="1"/>
  <c r="L304" i="1" s="1"/>
  <c r="J303" i="1"/>
  <c r="L303" i="1" s="1"/>
  <c r="J302" i="1"/>
  <c r="L302" i="1" s="1"/>
  <c r="J482" i="1"/>
  <c r="L482" i="1" s="1"/>
  <c r="J481" i="1"/>
  <c r="L481" i="1" s="1"/>
  <c r="J301" i="1"/>
  <c r="L301" i="1" s="1"/>
  <c r="J300" i="1"/>
  <c r="L300" i="1" s="1"/>
  <c r="J299" i="1"/>
  <c r="L299" i="1" s="1"/>
  <c r="J298" i="1"/>
  <c r="L298" i="1" s="1"/>
  <c r="J297" i="1"/>
  <c r="L297" i="1" s="1"/>
  <c r="J480" i="1"/>
  <c r="J293" i="1"/>
  <c r="L293" i="1" s="1"/>
  <c r="J289" i="1"/>
  <c r="L289" i="1" s="1"/>
  <c r="J288" i="1"/>
  <c r="L288" i="1" s="1"/>
  <c r="J287" i="1"/>
  <c r="L287" i="1" s="1"/>
  <c r="J286" i="1"/>
  <c r="L286" i="1" s="1"/>
  <c r="J285" i="1"/>
  <c r="L285" i="1" s="1"/>
  <c r="J284" i="1"/>
  <c r="L284" i="1" s="1"/>
  <c r="J283" i="1"/>
  <c r="L283" i="1" s="1"/>
  <c r="J282" i="1"/>
  <c r="L282" i="1" s="1"/>
  <c r="J281" i="1"/>
  <c r="L281" i="1" s="1"/>
  <c r="A102" i="35" l="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D135" i="35" s="1"/>
  <c r="J506" i="1"/>
  <c r="J509" i="1" s="1"/>
  <c r="F238" i="1"/>
  <c r="F438" i="1" s="1"/>
  <c r="F513" i="1" s="1"/>
  <c r="C27" i="35" s="1"/>
  <c r="F524" i="1"/>
  <c r="F525" i="1" s="1"/>
  <c r="K152" i="5"/>
  <c r="J420" i="1"/>
  <c r="L521" i="1"/>
  <c r="L480" i="1"/>
  <c r="L358" i="1"/>
  <c r="H238" i="1"/>
  <c r="H438" i="1" s="1"/>
  <c r="H513" i="1" s="1"/>
  <c r="K147" i="5"/>
  <c r="G145" i="5"/>
  <c r="G73" i="5"/>
  <c r="G26" i="5" s="1"/>
  <c r="I152" i="5"/>
  <c r="K103" i="5"/>
  <c r="K57" i="5"/>
  <c r="I57" i="5"/>
  <c r="I61" i="5"/>
  <c r="K61" i="5"/>
  <c r="I62" i="5"/>
  <c r="K62" i="5"/>
  <c r="I90" i="5"/>
  <c r="K146" i="5"/>
  <c r="G164" i="5"/>
  <c r="I91" i="5"/>
  <c r="K58" i="5"/>
  <c r="I67" i="5"/>
  <c r="I108" i="5"/>
  <c r="K31" i="5"/>
  <c r="K99" i="5"/>
  <c r="I157" i="5"/>
  <c r="I111" i="5"/>
  <c r="K123" i="5"/>
  <c r="K45" i="5"/>
  <c r="I127" i="5"/>
  <c r="I54" i="5"/>
  <c r="I119" i="5"/>
  <c r="I146" i="5"/>
  <c r="I35" i="5"/>
  <c r="K107" i="5"/>
  <c r="I44" i="5"/>
  <c r="I120" i="5"/>
  <c r="I131" i="5"/>
  <c r="K161" i="5"/>
  <c r="I115" i="5"/>
  <c r="I59" i="5"/>
  <c r="K151" i="5"/>
  <c r="K112" i="5"/>
  <c r="K100" i="5"/>
  <c r="I124" i="5"/>
  <c r="I48" i="5"/>
  <c r="K49" i="5"/>
  <c r="K116" i="5"/>
  <c r="I101" i="5"/>
  <c r="K53" i="5"/>
  <c r="I117" i="5"/>
  <c r="K134" i="5"/>
  <c r="K132" i="5"/>
  <c r="I163" i="5"/>
  <c r="I52" i="5"/>
  <c r="I79" i="5"/>
  <c r="K96" i="5"/>
  <c r="I33" i="5"/>
  <c r="K79" i="5"/>
  <c r="K137" i="5"/>
  <c r="K90" i="5"/>
  <c r="I38" i="5"/>
  <c r="I65" i="5"/>
  <c r="K128" i="5"/>
  <c r="K91" i="5"/>
  <c r="I66" i="5"/>
  <c r="I104" i="5"/>
  <c r="I31" i="5"/>
  <c r="K39" i="5"/>
  <c r="I105" i="5"/>
  <c r="I121" i="5"/>
  <c r="I158" i="5"/>
  <c r="I162" i="5"/>
  <c r="I522" i="1"/>
  <c r="I32" i="5"/>
  <c r="K32" i="5"/>
  <c r="I36" i="5"/>
  <c r="K36" i="5"/>
  <c r="K40" i="5"/>
  <c r="I40" i="5"/>
  <c r="K46" i="5"/>
  <c r="I46" i="5"/>
  <c r="K50" i="5"/>
  <c r="I50" i="5"/>
  <c r="I92" i="5"/>
  <c r="K92" i="5"/>
  <c r="K97" i="5"/>
  <c r="I97" i="5"/>
  <c r="I109" i="5"/>
  <c r="K109" i="5"/>
  <c r="K113" i="5"/>
  <c r="I113" i="5"/>
  <c r="I125" i="5"/>
  <c r="K125" i="5"/>
  <c r="K129" i="5"/>
  <c r="I129" i="5"/>
  <c r="K133" i="5"/>
  <c r="I133" i="5"/>
  <c r="I150" i="5"/>
  <c r="K150" i="5"/>
  <c r="I153" i="5"/>
  <c r="K153" i="5"/>
  <c r="K159" i="5"/>
  <c r="I159" i="5"/>
  <c r="K37" i="5"/>
  <c r="I37" i="5"/>
  <c r="K43" i="5"/>
  <c r="K47" i="5"/>
  <c r="I47" i="5"/>
  <c r="K51" i="5"/>
  <c r="I51" i="5"/>
  <c r="K68" i="5"/>
  <c r="I68" i="5"/>
  <c r="I93" i="5"/>
  <c r="I98" i="5"/>
  <c r="K98" i="5"/>
  <c r="I102" i="5"/>
  <c r="K102" i="5"/>
  <c r="I106" i="5"/>
  <c r="K106" i="5"/>
  <c r="I110" i="5"/>
  <c r="K110" i="5"/>
  <c r="I114" i="5"/>
  <c r="K114" i="5"/>
  <c r="I118" i="5"/>
  <c r="K118" i="5"/>
  <c r="I122" i="5"/>
  <c r="K122" i="5"/>
  <c r="I126" i="5"/>
  <c r="K126" i="5"/>
  <c r="I130" i="5"/>
  <c r="K130" i="5"/>
  <c r="K138" i="5"/>
  <c r="I138" i="5"/>
  <c r="I156" i="5"/>
  <c r="K156" i="5"/>
  <c r="I160" i="5"/>
  <c r="K160" i="5"/>
  <c r="K34" i="5"/>
  <c r="A133" i="35" l="1"/>
  <c r="F134" i="35"/>
  <c r="D134" i="35"/>
  <c r="J259" i="1"/>
  <c r="L506" i="1"/>
  <c r="L509" i="1" s="1"/>
  <c r="C16" i="35" s="1"/>
  <c r="K14" i="36" s="1"/>
  <c r="K43" i="36"/>
  <c r="L420" i="1"/>
  <c r="I524" i="1"/>
  <c r="I525" i="1" s="1"/>
  <c r="H524" i="1"/>
  <c r="H525" i="1" s="1"/>
  <c r="L196" i="1"/>
  <c r="L238" i="1" s="1"/>
  <c r="L522" i="1"/>
  <c r="L524" i="1" s="1"/>
  <c r="I145" i="5"/>
  <c r="K145" i="5"/>
  <c r="K73" i="5"/>
  <c r="K26" i="5" s="1"/>
  <c r="I73" i="5"/>
  <c r="K42" i="36" s="1"/>
  <c r="I164" i="5"/>
  <c r="K164" i="5"/>
  <c r="G28" i="5"/>
  <c r="G29" i="5" s="1"/>
  <c r="A134" i="35" l="1"/>
  <c r="C34" i="35"/>
  <c r="C80" i="35" s="1"/>
  <c r="C57" i="35"/>
  <c r="C28" i="35"/>
  <c r="C29" i="35"/>
  <c r="E16" i="35"/>
  <c r="E34" i="35"/>
  <c r="E108" i="35" s="1"/>
  <c r="K7" i="35"/>
  <c r="C40" i="35"/>
  <c r="K44" i="36"/>
  <c r="K45" i="36" s="1"/>
  <c r="L42" i="36" s="1"/>
  <c r="L525" i="1"/>
  <c r="E8" i="35" s="1"/>
  <c r="C21" i="35"/>
  <c r="K28" i="5"/>
  <c r="J28" i="5" s="1"/>
  <c r="J260" i="1" s="1"/>
  <c r="A135" i="35" l="1"/>
  <c r="M36" i="36"/>
  <c r="C53" i="35"/>
  <c r="C66" i="35" s="1"/>
  <c r="S42" i="36"/>
  <c r="F42" i="36"/>
  <c r="K29" i="5"/>
  <c r="K15" i="36"/>
  <c r="K17" i="36" s="1"/>
  <c r="C39" i="35"/>
  <c r="E25" i="35"/>
  <c r="E159" i="35" s="1"/>
  <c r="C55" i="35"/>
  <c r="C68" i="35" s="1"/>
  <c r="C82" i="35"/>
  <c r="E41" i="35"/>
  <c r="E53" i="35"/>
  <c r="E66" i="35" s="1"/>
  <c r="K16" i="35"/>
  <c r="L43" i="36"/>
  <c r="L44" i="36"/>
  <c r="S44" i="36" s="1"/>
  <c r="K101" i="35"/>
  <c r="I39" i="36"/>
  <c r="G39" i="36"/>
  <c r="C95" i="35"/>
  <c r="C108" i="35"/>
  <c r="E168" i="35"/>
  <c r="F15" i="36" s="1"/>
  <c r="E95" i="35"/>
  <c r="C168" i="35"/>
  <c r="E80" i="35"/>
  <c r="G15" i="36" s="1"/>
  <c r="E143" i="35"/>
  <c r="I15" i="36" s="1"/>
  <c r="C143" i="35"/>
  <c r="K21" i="35"/>
  <c r="L259" i="1"/>
  <c r="L260" i="1"/>
  <c r="E12" i="35"/>
  <c r="K258" i="1"/>
  <c r="M39" i="36" l="1"/>
  <c r="M35" i="36"/>
  <c r="A140" i="35"/>
  <c r="A141" i="35" s="1"/>
  <c r="S43" i="36"/>
  <c r="M32" i="36"/>
  <c r="O32" i="36" s="1"/>
  <c r="M34" i="36"/>
  <c r="O34" i="36" s="1"/>
  <c r="M33" i="36"/>
  <c r="O33" i="36" s="1"/>
  <c r="O35" i="36"/>
  <c r="M31" i="36"/>
  <c r="O31" i="36" s="1"/>
  <c r="F35" i="36"/>
  <c r="F34" i="36"/>
  <c r="F32" i="36"/>
  <c r="F31" i="36"/>
  <c r="G31" i="36"/>
  <c r="G32" i="36"/>
  <c r="G34" i="36"/>
  <c r="G35" i="36"/>
  <c r="I35" i="36"/>
  <c r="I31" i="36"/>
  <c r="I32" i="36"/>
  <c r="I33" i="36"/>
  <c r="I34" i="36"/>
  <c r="K108" i="35"/>
  <c r="E100" i="35"/>
  <c r="E105" i="35" s="1"/>
  <c r="E87" i="35"/>
  <c r="F43" i="36"/>
  <c r="F44" i="36"/>
  <c r="K261" i="1"/>
  <c r="K438" i="1" s="1"/>
  <c r="K513" i="1" s="1"/>
  <c r="J261" i="1"/>
  <c r="J438" i="1" s="1"/>
  <c r="J513" i="1" s="1"/>
  <c r="F27" i="36"/>
  <c r="G27" i="36"/>
  <c r="K72" i="35"/>
  <c r="I27" i="36"/>
  <c r="K135" i="35"/>
  <c r="K88" i="35"/>
  <c r="M27" i="36"/>
  <c r="M14" i="36"/>
  <c r="O14" i="36" s="1"/>
  <c r="E134" i="35"/>
  <c r="E30" i="35"/>
  <c r="E71" i="35"/>
  <c r="E44" i="35"/>
  <c r="E57" i="35" s="1"/>
  <c r="M15" i="36"/>
  <c r="O15" i="36" s="1"/>
  <c r="K143" i="35"/>
  <c r="I14" i="36"/>
  <c r="I17" i="36" s="1"/>
  <c r="K80" i="35"/>
  <c r="G14" i="36"/>
  <c r="G17" i="36" s="1"/>
  <c r="K168" i="35"/>
  <c r="F14" i="36"/>
  <c r="F17" i="36" s="1"/>
  <c r="K53" i="35"/>
  <c r="K45" i="35"/>
  <c r="L258" i="1"/>
  <c r="A142" i="35" l="1"/>
  <c r="A143" i="35" s="1"/>
  <c r="A144" i="35" s="1"/>
  <c r="A145" i="35" s="1"/>
  <c r="A146" i="35" s="1"/>
  <c r="A147" i="35" s="1"/>
  <c r="A148" i="35" s="1"/>
  <c r="A149" i="35" s="1"/>
  <c r="A150" i="35" s="1"/>
  <c r="A151" i="35" s="1"/>
  <c r="A152" i="35" s="1"/>
  <c r="A153" i="35" s="1"/>
  <c r="A154" i="35" s="1"/>
  <c r="A155" i="35" s="1"/>
  <c r="A156" i="35" s="1"/>
  <c r="A157" i="35" s="1"/>
  <c r="D160" i="35" s="1"/>
  <c r="F142" i="35"/>
  <c r="D144" i="35"/>
  <c r="D142" i="35"/>
  <c r="D145" i="35"/>
  <c r="D143" i="35"/>
  <c r="F143" i="35"/>
  <c r="O36" i="36"/>
  <c r="O39" i="36" s="1"/>
  <c r="F20" i="36"/>
  <c r="F21" i="36"/>
  <c r="F22" i="36"/>
  <c r="F23" i="36"/>
  <c r="F24" i="36"/>
  <c r="F25" i="36"/>
  <c r="F26" i="36"/>
  <c r="M21" i="36"/>
  <c r="O21" i="36" s="1"/>
  <c r="M22" i="36"/>
  <c r="O22" i="36" s="1"/>
  <c r="M23" i="36"/>
  <c r="O23" i="36" s="1"/>
  <c r="M24" i="36"/>
  <c r="O24" i="36" s="1"/>
  <c r="M25" i="36"/>
  <c r="O25" i="36" s="1"/>
  <c r="M26" i="36"/>
  <c r="O26" i="36" s="1"/>
  <c r="M20" i="36"/>
  <c r="O20" i="36" s="1"/>
  <c r="I23" i="36"/>
  <c r="I24" i="36"/>
  <c r="I25" i="36"/>
  <c r="I26" i="36"/>
  <c r="G23" i="36"/>
  <c r="G24" i="36"/>
  <c r="G25" i="36"/>
  <c r="G26" i="36"/>
  <c r="E112" i="35"/>
  <c r="L261" i="1"/>
  <c r="E49" i="35"/>
  <c r="E62" i="35"/>
  <c r="E76" i="35"/>
  <c r="E164" i="35"/>
  <c r="I20" i="36"/>
  <c r="I19" i="36"/>
  <c r="I22" i="36"/>
  <c r="I21" i="36"/>
  <c r="G21" i="36"/>
  <c r="G20" i="36"/>
  <c r="G19" i="36"/>
  <c r="G22" i="36"/>
  <c r="F19" i="36"/>
  <c r="M19" i="36"/>
  <c r="O19" i="36" s="1"/>
  <c r="E92" i="35"/>
  <c r="M17" i="36"/>
  <c r="K66" i="35"/>
  <c r="O17" i="36"/>
  <c r="C9" i="35"/>
  <c r="C26" i="35" s="1"/>
  <c r="A158" i="35" l="1"/>
  <c r="K160" i="35"/>
  <c r="D159" i="35"/>
  <c r="H159" i="35"/>
  <c r="F159" i="35"/>
  <c r="L438" i="1"/>
  <c r="C15" i="35" s="1"/>
  <c r="O27" i="36"/>
  <c r="A159" i="35" l="1"/>
  <c r="K161" i="35"/>
  <c r="L513" i="1"/>
  <c r="C33" i="35"/>
  <c r="C41" i="35" s="1"/>
  <c r="K15" i="35"/>
  <c r="K6" i="36"/>
  <c r="A160" i="35" l="1"/>
  <c r="K162" i="35"/>
  <c r="C8" i="35"/>
  <c r="C25" i="35" s="1"/>
  <c r="C44" i="35" s="1"/>
  <c r="L538" i="1"/>
  <c r="K9" i="36"/>
  <c r="K13" i="36" s="1"/>
  <c r="C79" i="35"/>
  <c r="C52" i="35"/>
  <c r="M6" i="36" s="1"/>
  <c r="M9" i="36" s="1"/>
  <c r="C167" i="35"/>
  <c r="C94" i="35"/>
  <c r="K94" i="35" s="1"/>
  <c r="C107" i="35"/>
  <c r="K107" i="35" s="1"/>
  <c r="C142" i="35"/>
  <c r="K18" i="36"/>
  <c r="A165" i="35" l="1"/>
  <c r="A166" i="35" s="1"/>
  <c r="K163" i="35"/>
  <c r="A161" i="35"/>
  <c r="A162" i="35" s="1"/>
  <c r="A163" i="35" s="1"/>
  <c r="A164" i="35" s="1"/>
  <c r="P43" i="36"/>
  <c r="P44" i="36"/>
  <c r="P42" i="36"/>
  <c r="O6" i="36"/>
  <c r="O9" i="36" s="1"/>
  <c r="C159" i="35"/>
  <c r="C12" i="35"/>
  <c r="C71" i="35"/>
  <c r="K71" i="35" s="1"/>
  <c r="K76" i="35" s="1"/>
  <c r="C100" i="35"/>
  <c r="C87" i="35"/>
  <c r="K87" i="35" s="1"/>
  <c r="C30" i="35"/>
  <c r="C65" i="35"/>
  <c r="K65" i="35" s="1"/>
  <c r="K52" i="35"/>
  <c r="G6" i="36"/>
  <c r="G9" i="36" s="1"/>
  <c r="K79" i="35"/>
  <c r="K167" i="35"/>
  <c r="F6" i="36"/>
  <c r="F9" i="36" s="1"/>
  <c r="K142" i="35"/>
  <c r="I6" i="36"/>
  <c r="I9" i="36" s="1"/>
  <c r="K159" i="35"/>
  <c r="D167" i="35" l="1"/>
  <c r="D168" i="35"/>
  <c r="A167" i="35"/>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F168" i="35"/>
  <c r="H167" i="35"/>
  <c r="D170" i="35"/>
  <c r="H168" i="35"/>
  <c r="F167" i="35"/>
  <c r="C134" i="35"/>
  <c r="K134" i="35" s="1"/>
  <c r="C112" i="35"/>
  <c r="K100" i="35"/>
  <c r="N6" i="36" s="1"/>
  <c r="H6" i="36" s="1"/>
  <c r="N37" i="36" l="1"/>
  <c r="H37" i="36" s="1"/>
  <c r="N16" i="36"/>
  <c r="N26" i="36"/>
  <c r="H26" i="36" s="1"/>
  <c r="J26" i="36" s="1"/>
  <c r="T26" i="36" s="1"/>
  <c r="U26" i="36" s="1"/>
  <c r="N35" i="36"/>
  <c r="H35" i="36" s="1"/>
  <c r="J35" i="36" s="1"/>
  <c r="T35" i="36" s="1"/>
  <c r="U35" i="36" s="1"/>
  <c r="N24" i="36"/>
  <c r="H24" i="36" s="1"/>
  <c r="J24" i="36" s="1"/>
  <c r="T24" i="36" s="1"/>
  <c r="U24" i="36" s="1"/>
  <c r="N23" i="36"/>
  <c r="H23" i="36" s="1"/>
  <c r="J23" i="36" s="1"/>
  <c r="N34" i="36"/>
  <c r="H34" i="36" s="1"/>
  <c r="J34" i="36" s="1"/>
  <c r="T34" i="36" s="1"/>
  <c r="U34" i="36" s="1"/>
  <c r="N33" i="36"/>
  <c r="N32" i="36"/>
  <c r="H32" i="36" s="1"/>
  <c r="J32" i="36" s="1"/>
  <c r="T32" i="36" s="1"/>
  <c r="U32" i="36" s="1"/>
  <c r="N25" i="36"/>
  <c r="H25" i="36" s="1"/>
  <c r="J25" i="36" s="1"/>
  <c r="T25" i="36" s="1"/>
  <c r="U25" i="36" s="1"/>
  <c r="N31" i="36"/>
  <c r="H31" i="36" s="1"/>
  <c r="N8" i="36"/>
  <c r="H8" i="36" s="1"/>
  <c r="J8" i="36" s="1"/>
  <c r="N21" i="36"/>
  <c r="H21" i="36" s="1"/>
  <c r="N7" i="36"/>
  <c r="N10" i="36"/>
  <c r="N11" i="36"/>
  <c r="N22" i="36"/>
  <c r="N19" i="36"/>
  <c r="N20" i="36"/>
  <c r="N14" i="36"/>
  <c r="N15" i="36"/>
  <c r="C110" i="35"/>
  <c r="K110" i="35" s="1"/>
  <c r="C96" i="35"/>
  <c r="C109" i="35"/>
  <c r="K109" i="35" s="1"/>
  <c r="C170" i="35"/>
  <c r="C97" i="35"/>
  <c r="K97" i="35" s="1"/>
  <c r="C81" i="35"/>
  <c r="C144" i="35"/>
  <c r="C145" i="35"/>
  <c r="C54" i="35"/>
  <c r="C67" i="35" s="1"/>
  <c r="H38" i="36" l="1"/>
  <c r="J37" i="36"/>
  <c r="T23" i="36"/>
  <c r="U23" i="36" s="1"/>
  <c r="H33" i="36"/>
  <c r="J33" i="36" s="1"/>
  <c r="T33" i="36" s="1"/>
  <c r="D25" i="32"/>
  <c r="D26" i="32"/>
  <c r="F12" i="36"/>
  <c r="I12" i="36"/>
  <c r="G12" i="36"/>
  <c r="M12" i="36"/>
  <c r="M10" i="36" s="1"/>
  <c r="K95" i="35"/>
  <c r="M45" i="36"/>
  <c r="M42" i="36" s="1"/>
  <c r="O42" i="36" s="1"/>
  <c r="K144" i="35"/>
  <c r="I45" i="36"/>
  <c r="I42" i="36" s="1"/>
  <c r="K96" i="35"/>
  <c r="K68" i="35"/>
  <c r="K145" i="35"/>
  <c r="K82" i="35"/>
  <c r="K81" i="35"/>
  <c r="G45" i="36"/>
  <c r="G42" i="36" s="1"/>
  <c r="K170" i="35"/>
  <c r="K55" i="35"/>
  <c r="K67" i="35"/>
  <c r="K54" i="35"/>
  <c r="K8" i="35"/>
  <c r="D23" i="32" l="1"/>
  <c r="J38" i="36"/>
  <c r="T37" i="36"/>
  <c r="U33" i="36"/>
  <c r="D24" i="32"/>
  <c r="P8" i="36"/>
  <c r="P7" i="36"/>
  <c r="S7" i="36" s="1"/>
  <c r="P14" i="36"/>
  <c r="P6" i="36"/>
  <c r="P10" i="36"/>
  <c r="P11" i="36"/>
  <c r="Q11" i="36" s="1"/>
  <c r="P16" i="36"/>
  <c r="P15" i="36"/>
  <c r="G11" i="36"/>
  <c r="G10" i="36"/>
  <c r="G18" i="36"/>
  <c r="G13" i="36"/>
  <c r="I11" i="36"/>
  <c r="I10" i="36"/>
  <c r="I18" i="36"/>
  <c r="I13" i="36"/>
  <c r="F11" i="36"/>
  <c r="F10" i="36"/>
  <c r="F13" i="36"/>
  <c r="F18" i="36"/>
  <c r="M11" i="36"/>
  <c r="O11" i="36" s="1"/>
  <c r="H11" i="36" s="1"/>
  <c r="M18" i="36"/>
  <c r="M13" i="36"/>
  <c r="O10" i="36"/>
  <c r="H10" i="36" s="1"/>
  <c r="M43" i="36"/>
  <c r="O43" i="36" s="1"/>
  <c r="M44" i="36"/>
  <c r="O44" i="36" s="1"/>
  <c r="E113" i="35"/>
  <c r="C113" i="35"/>
  <c r="G43" i="36"/>
  <c r="G44" i="36"/>
  <c r="I43" i="36"/>
  <c r="I44" i="36"/>
  <c r="G115" i="35"/>
  <c r="I115" i="35"/>
  <c r="C115" i="35"/>
  <c r="K9" i="35"/>
  <c r="K12" i="35" s="1"/>
  <c r="G113" i="35"/>
  <c r="U37" i="36" l="1"/>
  <c r="U38" i="36" s="1"/>
  <c r="T38" i="36"/>
  <c r="P9" i="36"/>
  <c r="P17" i="36"/>
  <c r="Q10" i="36"/>
  <c r="Q12" i="36" s="1"/>
  <c r="P12" i="36"/>
  <c r="J10" i="36"/>
  <c r="Q6" i="36"/>
  <c r="S6" i="36"/>
  <c r="S11" i="36"/>
  <c r="S10" i="36"/>
  <c r="S14" i="36"/>
  <c r="Q14" i="36"/>
  <c r="Q7" i="36"/>
  <c r="Q15" i="36"/>
  <c r="S15" i="36"/>
  <c r="S16" i="36"/>
  <c r="Q16" i="36"/>
  <c r="Q8" i="36"/>
  <c r="S8" i="36"/>
  <c r="H12" i="36"/>
  <c r="J11" i="36"/>
  <c r="O12" i="36"/>
  <c r="O45" i="36"/>
  <c r="K114" i="35"/>
  <c r="N42" i="36" s="1"/>
  <c r="K105" i="35"/>
  <c r="C105" i="35"/>
  <c r="C92" i="35"/>
  <c r="K44" i="35"/>
  <c r="K57" i="35"/>
  <c r="K116" i="35"/>
  <c r="P18" i="36" l="1"/>
  <c r="V38" i="36"/>
  <c r="D31" i="32"/>
  <c r="H42" i="36"/>
  <c r="J42" i="36" s="1"/>
  <c r="Q42" i="36" s="1"/>
  <c r="Q17" i="36"/>
  <c r="S12" i="36"/>
  <c r="S9" i="36"/>
  <c r="J12" i="36"/>
  <c r="S17" i="36"/>
  <c r="O13" i="36"/>
  <c r="O18" i="36"/>
  <c r="N43" i="36"/>
  <c r="N44" i="36"/>
  <c r="K58" i="35"/>
  <c r="C49" i="35"/>
  <c r="K49" i="35"/>
  <c r="K92" i="35"/>
  <c r="C76" i="35"/>
  <c r="C139" i="35"/>
  <c r="K139" i="35"/>
  <c r="K164" i="35"/>
  <c r="C164" i="35"/>
  <c r="T42" i="36" l="1"/>
  <c r="H22" i="36"/>
  <c r="J22" i="36" s="1"/>
  <c r="H14" i="36"/>
  <c r="H15" i="36"/>
  <c r="J15" i="36" s="1"/>
  <c r="H16" i="36"/>
  <c r="J6" i="36"/>
  <c r="H7" i="36"/>
  <c r="J7" i="36" s="1"/>
  <c r="H43" i="36"/>
  <c r="J43" i="36" s="1"/>
  <c r="H44" i="36"/>
  <c r="J44" i="36" s="1"/>
  <c r="H19" i="36"/>
  <c r="J19" i="36" s="1"/>
  <c r="H20" i="36"/>
  <c r="J20" i="36" s="1"/>
  <c r="T20" i="36" s="1"/>
  <c r="U20" i="36" s="1"/>
  <c r="J21" i="36"/>
  <c r="T21" i="36" s="1"/>
  <c r="J16" i="36" l="1"/>
  <c r="T19" i="36"/>
  <c r="U19" i="36" s="1"/>
  <c r="J27" i="36"/>
  <c r="Q43" i="36"/>
  <c r="T43" i="36" s="1"/>
  <c r="Q44" i="36"/>
  <c r="T44" i="36" s="1"/>
  <c r="D21" i="32"/>
  <c r="U21" i="36"/>
  <c r="J9" i="36"/>
  <c r="T22" i="36"/>
  <c r="H27" i="36"/>
  <c r="H9" i="36"/>
  <c r="H45" i="36"/>
  <c r="H36" i="36"/>
  <c r="H39" i="36" s="1"/>
  <c r="H17" i="36"/>
  <c r="J14" i="36"/>
  <c r="T27" i="36" l="1"/>
  <c r="D33" i="32" s="1"/>
  <c r="T45" i="36"/>
  <c r="D15" i="32" s="1"/>
  <c r="D22" i="32"/>
  <c r="U22" i="36"/>
  <c r="J17" i="36"/>
  <c r="H13" i="36"/>
  <c r="H18" i="36"/>
  <c r="J13" i="36"/>
  <c r="J31" i="36"/>
  <c r="J36" i="36" s="1"/>
  <c r="J45" i="36"/>
  <c r="R18" i="36" s="1"/>
  <c r="J18" i="36" l="1"/>
  <c r="U27" i="36"/>
  <c r="V27" i="36" s="1"/>
  <c r="T31" i="36"/>
  <c r="U31" i="36" s="1"/>
  <c r="U36" i="36" s="1"/>
  <c r="R6" i="36"/>
  <c r="R8" i="36"/>
  <c r="T8" i="36" s="1"/>
  <c r="U8" i="36" s="1"/>
  <c r="R11" i="36"/>
  <c r="T11" i="36" s="1"/>
  <c r="U11" i="36" s="1"/>
  <c r="R10" i="36"/>
  <c r="T10" i="36" s="1"/>
  <c r="U10" i="36" s="1"/>
  <c r="J39" i="36"/>
  <c r="R15" i="36"/>
  <c r="T15" i="36" s="1"/>
  <c r="U15" i="36" s="1"/>
  <c r="R14" i="36"/>
  <c r="T14" i="36" s="1"/>
  <c r="U14" i="36" s="1"/>
  <c r="R16" i="36"/>
  <c r="T16" i="36" s="1"/>
  <c r="R7" i="36"/>
  <c r="T7" i="36" s="1"/>
  <c r="U7" i="36" s="1"/>
  <c r="D19" i="32"/>
  <c r="U16" i="36" l="1"/>
  <c r="U30" i="36"/>
  <c r="T36" i="36"/>
  <c r="D29" i="32" s="1"/>
  <c r="T6" i="36"/>
  <c r="U6" i="36" s="1"/>
  <c r="U9" i="36" s="1"/>
  <c r="U12" i="36"/>
  <c r="U17" i="36"/>
  <c r="D20" i="32"/>
  <c r="D27" i="32" s="1"/>
  <c r="R12" i="36"/>
  <c r="R17" i="36"/>
  <c r="T17" i="36" s="1"/>
  <c r="D12" i="32" s="1"/>
  <c r="V36" i="36" l="1"/>
  <c r="T39" i="36"/>
  <c r="U39" i="36" s="1"/>
  <c r="V39" i="36" s="1"/>
  <c r="U13" i="36"/>
  <c r="U18" i="36" s="1"/>
  <c r="T12" i="36"/>
  <c r="V12" i="36" s="1"/>
  <c r="V17" i="36"/>
  <c r="K62" i="35"/>
  <c r="C62" i="35"/>
  <c r="D10" i="32" l="1"/>
  <c r="R9" i="36"/>
  <c r="R13" i="36" s="1"/>
  <c r="S13" i="36" l="1"/>
  <c r="Q9" i="36"/>
  <c r="T9" i="36" s="1"/>
  <c r="T18" i="36" s="1"/>
  <c r="V9" i="36" l="1"/>
  <c r="Q13" i="36"/>
  <c r="T13" i="36" s="1"/>
  <c r="V13" i="36" s="1"/>
  <c r="V18" i="36" l="1"/>
  <c r="D9" i="32"/>
  <c r="D11" i="32" s="1"/>
  <c r="D13" i="32" s="1"/>
  <c r="U42" i="36" l="1"/>
  <c r="U43" i="36"/>
  <c r="Q45" i="36"/>
  <c r="U44" i="36"/>
  <c r="U45" i="36" l="1"/>
  <c r="V45" i="36" l="1"/>
</calcChain>
</file>

<file path=xl/sharedStrings.xml><?xml version="1.0" encoding="utf-8"?>
<sst xmlns="http://schemas.openxmlformats.org/spreadsheetml/2006/main" count="5089" uniqueCount="2479">
  <si>
    <t>Western Area Power Administration (WAPA)</t>
  </si>
  <si>
    <t>Upper Great Plains Region (WAPA-UGP)</t>
  </si>
  <si>
    <t>Transmission and Ancillary Services</t>
  </si>
  <si>
    <t>Effective April 1, 2026 (proposed)</t>
  </si>
  <si>
    <t>WAPA-UGP 2025 Rate Estimate Calculation</t>
  </si>
  <si>
    <t>(Rate Order No. WAPA-218)</t>
  </si>
  <si>
    <t>WAPA-UGP</t>
  </si>
  <si>
    <t xml:space="preserve"> Transmission and Ancillary Services List of Workpapers and Schedules</t>
  </si>
  <si>
    <t>Worksheet Tab Label</t>
  </si>
  <si>
    <t>Worksheet Tab Description</t>
  </si>
  <si>
    <t>Summary-Estimate</t>
  </si>
  <si>
    <t>Worksheet "Summary-Estimate" -- Calculation of Estimate</t>
  </si>
  <si>
    <t>Log of Revisions</t>
  </si>
  <si>
    <t>WS1-ATRR RateBase</t>
  </si>
  <si>
    <t>WS2-RevCredits</t>
  </si>
  <si>
    <t>WS3-CostData</t>
  </si>
  <si>
    <t>WS4-TransFac</t>
  </si>
  <si>
    <t>WS5-FacDetail</t>
  </si>
  <si>
    <t>Worksheet 5 -- Other Facility Detail</t>
  </si>
  <si>
    <t>WS6-AI-Detail</t>
  </si>
  <si>
    <t>WS7-IMEU</t>
  </si>
  <si>
    <t>12 Months Ending 09/30/2025 Estimate</t>
  </si>
  <si>
    <t>Line No.</t>
  </si>
  <si>
    <t>Description</t>
  </si>
  <si>
    <t xml:space="preserve">East </t>
  </si>
  <si>
    <t xml:space="preserve">Schedule 9 East (AC Facilities) Sub-Total </t>
  </si>
  <si>
    <t xml:space="preserve">Schedule 9 East Sub-Total </t>
  </si>
  <si>
    <t>West</t>
  </si>
  <si>
    <t>Schedule 9 West Sub-Total</t>
  </si>
  <si>
    <t>East</t>
  </si>
  <si>
    <t>LEWIS-RICHLAND 115 kV Ckt 1, 72052</t>
  </si>
  <si>
    <t>ROBERTS COUNTY 115 kV SUBSTATION, 71926</t>
  </si>
  <si>
    <t>ROBERTS COUNTY 115/69 kV TRANSFORMER, 71927</t>
  </si>
  <si>
    <t>WILLISTON SUBSTATION 115 kV TERMINAL UPGRADES, 61856</t>
  </si>
  <si>
    <t>BISMARCK 12.47 kV REACTOR, 143157</t>
  </si>
  <si>
    <t>OAHE 230 kV TERMINAL UPGRADES, 122734</t>
  </si>
  <si>
    <t>SULLY BUTTES-WHITLOCK 230 kV LINE CLEARANCE INCREASE, 143613</t>
  </si>
  <si>
    <t>WHITLOCK-GLENHAM 230 kV CLEARANCE INCREASE, 143614</t>
  </si>
  <si>
    <t>BPU refers to the SPP Base Plan Upgrades throughout the workbook</t>
  </si>
  <si>
    <t>Rev Log</t>
  </si>
  <si>
    <t>Summary of incremental changes:</t>
  </si>
  <si>
    <t>Line</t>
  </si>
  <si>
    <t>(1)</t>
  </si>
  <si>
    <t>(2)</t>
  </si>
  <si>
    <t>(3)</t>
  </si>
  <si>
    <t>(4)</t>
  </si>
  <si>
    <t>(5)</t>
  </si>
  <si>
    <t>No.</t>
  </si>
  <si>
    <t>Date</t>
  </si>
  <si>
    <t>Worksheet</t>
  </si>
  <si>
    <t>Reference Cell(s)</t>
  </si>
  <si>
    <t>Change From</t>
  </si>
  <si>
    <t>Change To</t>
  </si>
  <si>
    <t>(Back to Worksheet Links)</t>
  </si>
  <si>
    <t>Worksheet 1 - SPP ATRR Calculations</t>
  </si>
  <si>
    <t>Location</t>
  </si>
  <si>
    <t>Rate</t>
  </si>
  <si>
    <t>Project Name and #</t>
  </si>
  <si>
    <t>Type</t>
  </si>
  <si>
    <t>O&amp;M $</t>
  </si>
  <si>
    <t>Depreciation $</t>
  </si>
  <si>
    <t>A&amp;G $</t>
  </si>
  <si>
    <t>Gross ATRR Estimate  $
(5)+(6)+(7)+(8)</t>
  </si>
  <si>
    <t>Subtotal of Gross Plant  $</t>
  </si>
  <si>
    <t>Sub Allocation Factor %(if applicable)</t>
  </si>
  <si>
    <t>Accumulated Depreciation $</t>
  </si>
  <si>
    <t>Cost of Capital</t>
  </si>
  <si>
    <t>Revenue Credit Allocation Rate</t>
  </si>
  <si>
    <t xml:space="preserve"> Line No.</t>
  </si>
  <si>
    <t>Crosscheck</t>
  </si>
  <si>
    <t>Schedule 9</t>
  </si>
  <si>
    <t>WAPA-UGP (Upper Great Plains)</t>
  </si>
  <si>
    <t>UGP</t>
  </si>
  <si>
    <t>WAPA-RMR (Rocky Mountain Region)</t>
  </si>
  <si>
    <t>RMR</t>
  </si>
  <si>
    <t>WAPA-COE (Corps of Engineers)</t>
  </si>
  <si>
    <t>COE</t>
  </si>
  <si>
    <t>DC Tie</t>
  </si>
  <si>
    <t>Schedule 9 Total</t>
  </si>
  <si>
    <t>BPU-Zonal</t>
  </si>
  <si>
    <t>TL</t>
  </si>
  <si>
    <t>N/A</t>
  </si>
  <si>
    <t>SUB</t>
  </si>
  <si>
    <t>BPU-Regional</t>
  </si>
  <si>
    <t>BPU-Regional Total</t>
  </si>
  <si>
    <t>Gross ATRR Estimate $
(5)+(6)+(7)+(8)</t>
  </si>
  <si>
    <t>Non SPP Facilities SSCD Utilization Rate</t>
  </si>
  <si>
    <t>SSCD</t>
  </si>
  <si>
    <t>OPS</t>
  </si>
  <si>
    <t>Total</t>
  </si>
  <si>
    <t>Worksheet 2 - Revenue Credit Calculation</t>
  </si>
  <si>
    <t>ACCOUNT</t>
  </si>
  <si>
    <t>TOTAL</t>
  </si>
  <si>
    <t>Sch 7/8/11 Z2</t>
  </si>
  <si>
    <t>Schedule 7 Firm PTP</t>
  </si>
  <si>
    <t>Schedule 8 Nonfirm PTP</t>
  </si>
  <si>
    <t>Sch 7/8/11 MISO Seams</t>
  </si>
  <si>
    <t>45420 Rent from Electric Property</t>
  </si>
  <si>
    <t>Sch 11 Zonal PTP Adjustments</t>
  </si>
  <si>
    <t>Sch 11 BPU-Zonal Revenue</t>
  </si>
  <si>
    <t>Sch 11 BPU-Zonal PTP</t>
  </si>
  <si>
    <t xml:space="preserve">Sch 11 BPU-Regional Revenue </t>
  </si>
  <si>
    <t>Sch 11 BPU-Regional PTP</t>
  </si>
  <si>
    <t>Includes twelve months of revenue credits from January-December or February-January depending on when WAPA began receiving revenue credits from SPP.  Revenue credit sheet may be updated or adjusted as necessary to include all revenue credits received.  Reference to FERC Code or Object Class indicates Financial Account source.   Other reference indicates SPP Invoice as source document.</t>
  </si>
  <si>
    <t>Worksheet 4 - Transmission Facilities</t>
  </si>
  <si>
    <t>SPLIT</t>
  </si>
  <si>
    <t>FID</t>
  </si>
  <si>
    <t>DESCRIPTION</t>
  </si>
  <si>
    <t>FY2023  Facility Totals ($)</t>
  </si>
  <si>
    <t>Est Add/Repl/Retire ($)</t>
  </si>
  <si>
    <t>Subtotal of Transmission Facility Costs ($)</t>
  </si>
  <si>
    <t>Attachment AI Adjustments ($)</t>
  </si>
  <si>
    <t>Generation Adjustments ($)</t>
  </si>
  <si>
    <t>Other Adjustments ($)</t>
  </si>
  <si>
    <t>FY2025 Estimate Total ($)</t>
  </si>
  <si>
    <t>NOTES</t>
  </si>
  <si>
    <t>AUR FL</t>
  </si>
  <si>
    <t>AURORA-FLANDREAU 115-KV T/L</t>
  </si>
  <si>
    <t>AUR BR</t>
  </si>
  <si>
    <t>AURORA- BROOKINGS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</si>
  <si>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</si>
  <si>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</si>
  <si>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</si>
  <si>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</si>
  <si>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</si>
  <si>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</si>
  <si>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</si>
  <si>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</si>
  <si>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</si>
  <si>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</si>
  <si>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</si>
  <si>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</si>
  <si>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</si>
  <si>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</si>
  <si>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</si>
  <si>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</si>
  <si>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</si>
  <si>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</si>
  <si>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</si>
  <si>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</si>
  <si>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</si>
  <si>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</si>
  <si>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</si>
  <si>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</si>
  <si>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CCRBEF</t>
  </si>
  <si>
    <t>CHARLIE CREEK-BELFIELD</t>
  </si>
  <si>
    <t>CR DC</t>
  </si>
  <si>
    <t>CIRCLE-DAWSON COUNTY</t>
  </si>
  <si>
    <t>CS MY</t>
  </si>
  <si>
    <t>CRESTON-MARYVILLE</t>
  </si>
  <si>
    <t>DC MC</t>
  </si>
  <si>
    <t>DAWSON COUNTY - MILES CITY</t>
  </si>
  <si>
    <t>DC GL</t>
  </si>
  <si>
    <t>DAWSON-GLENDIVE</t>
  </si>
  <si>
    <t>DC MDR</t>
  </si>
  <si>
    <t>DAWSON-MEDORA</t>
  </si>
  <si>
    <t>DC OF</t>
  </si>
  <si>
    <t>DAWSON-O'FALLON CREEK</t>
  </si>
  <si>
    <t>DC WN</t>
  </si>
  <si>
    <t>DAWSON-WILLISTON /1</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</si>
  <si>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</si>
  <si>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</si>
  <si>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</si>
  <si>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</si>
  <si>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</si>
  <si>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</si>
  <si>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</si>
  <si>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</si>
  <si>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</si>
  <si>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</si>
  <si>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</si>
  <si>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</si>
  <si>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</si>
  <si>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</si>
  <si>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</si>
  <si>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</si>
  <si>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</si>
  <si>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</si>
  <si>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</si>
  <si>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</si>
  <si>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</si>
  <si>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</si>
  <si>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</si>
  <si>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</si>
  <si>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</si>
  <si>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</si>
  <si>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</si>
  <si>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</si>
  <si>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</si>
  <si>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</si>
  <si>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</si>
  <si>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</si>
  <si>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</si>
  <si>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</si>
  <si>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</si>
  <si>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</si>
  <si>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</si>
  <si>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</si>
  <si>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</si>
  <si>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</si>
  <si>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</si>
  <si>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</si>
  <si>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</si>
  <si>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</si>
  <si>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</si>
  <si>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</si>
  <si>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</si>
  <si>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</si>
  <si>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</si>
  <si>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</si>
  <si>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</si>
  <si>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</si>
  <si>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</si>
  <si>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</si>
  <si>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</si>
  <si>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</si>
  <si>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</si>
  <si>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</si>
  <si>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</si>
  <si>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</si>
  <si>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</si>
  <si>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</si>
  <si>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</si>
  <si>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</si>
  <si>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GY MS</t>
  </si>
  <si>
    <t>GREGORY-MISSION</t>
  </si>
  <si>
    <t>GR HU</t>
  </si>
  <si>
    <t>GROTON-HURON</t>
  </si>
  <si>
    <t>GR SU</t>
  </si>
  <si>
    <t>GROTON-SUMMIT</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</si>
  <si>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</si>
  <si>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</si>
  <si>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</si>
  <si>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</si>
  <si>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</si>
  <si>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</si>
  <si>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</si>
  <si>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</si>
  <si>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</si>
  <si>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</si>
  <si>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</si>
  <si>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</si>
  <si>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</si>
  <si>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</si>
  <si>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</si>
  <si>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</si>
  <si>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</si>
  <si>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</si>
  <si>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</si>
  <si>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KILDEER-CHARLIE CREEK</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</si>
  <si>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</si>
  <si>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</si>
  <si>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</si>
  <si>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</si>
  <si>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</si>
  <si>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</si>
  <si>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</si>
  <si>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</si>
  <si>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</si>
  <si>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</si>
  <si>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</si>
  <si>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</si>
  <si>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</si>
  <si>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</si>
  <si>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</si>
  <si>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</si>
  <si>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</si>
  <si>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</si>
  <si>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</si>
  <si>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</si>
  <si>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</si>
  <si>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</si>
  <si>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</si>
  <si>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</si>
  <si>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</si>
  <si>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</si>
  <si>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</si>
  <si>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</si>
  <si>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</si>
  <si>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</si>
  <si>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</si>
  <si>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</si>
  <si>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</si>
  <si>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</si>
  <si>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</si>
  <si>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</si>
  <si>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ORD GSO</t>
  </si>
  <si>
    <t>ORDWAY-GROTON SOUTH</t>
  </si>
  <si>
    <t>PI PL</t>
  </si>
  <si>
    <t>PIERRE-PHILIP</t>
  </si>
  <si>
    <t>RC DRY</t>
  </si>
  <si>
    <t>RAPID CITY-DRY CREEK</t>
  </si>
  <si>
    <t>ELCRC</t>
  </si>
  <si>
    <t>RAPID CITY-ELK CREEK 115-kV T/L</t>
  </si>
  <si>
    <t>RCOSU</t>
  </si>
  <si>
    <t>ROBERTS COUNTY-SUMMIT</t>
  </si>
  <si>
    <t>RG LE</t>
  </si>
  <si>
    <t>RUGBY-LEEDS</t>
  </si>
  <si>
    <t>SC DN</t>
  </si>
  <si>
    <t>SIOUX CITY-DENISON</t>
  </si>
  <si>
    <t>SC SP</t>
  </si>
  <si>
    <t>SIOUX CITY-SPENCER</t>
  </si>
  <si>
    <t>SC SF</t>
  </si>
  <si>
    <t>SIOUX FALLS- SIOUX CITY</t>
  </si>
  <si>
    <t>SF VFO</t>
  </si>
  <si>
    <t>SIOUX FALLS-VIRGIL FODNESS 230KV T-LINE</t>
  </si>
  <si>
    <t>SU WT</t>
  </si>
  <si>
    <t>SUMMIT-WATERTOWN</t>
  </si>
  <si>
    <t>UJ SF</t>
  </si>
  <si>
    <t>UTICA JCT-SIOUX FALLS</t>
  </si>
  <si>
    <t>VC FO</t>
  </si>
  <si>
    <t>VALLEY CITY-FORMAN</t>
  </si>
  <si>
    <t>UJ VFO</t>
  </si>
  <si>
    <t>VIRGIL FODNESS-UTICA JUNCTION-FT RANDALL/RASMUS</t>
  </si>
  <si>
    <t>WDDBEF</t>
  </si>
  <si>
    <t>WARD DELIVERY-BELFIELD 230KV T-LINE</t>
  </si>
  <si>
    <t>WT GF D</t>
  </si>
  <si>
    <t>WATERTOWN-GRANITE FALLS 1&amp;2</t>
  </si>
  <si>
    <t>WT SC</t>
  </si>
  <si>
    <t>WATERTOWN-SIOUX CITY</t>
  </si>
  <si>
    <t>WN WC</t>
  </si>
  <si>
    <t>WILLISTON-WATFORD CITY</t>
  </si>
  <si>
    <t>WP CR</t>
  </si>
  <si>
    <t>WOLF POINT-CIRCLE</t>
  </si>
  <si>
    <t>WJ RG</t>
  </si>
  <si>
    <t>WM. J. NEAL-RUGBY</t>
  </si>
  <si>
    <t>TL Total</t>
  </si>
  <si>
    <t>TRANSMISSION LINES</t>
  </si>
  <si>
    <t>AN</t>
  </si>
  <si>
    <t>ANITA</t>
  </si>
  <si>
    <t>AVS</t>
  </si>
  <si>
    <t>ANTELOPE VALLEY</t>
  </si>
  <si>
    <t>APD</t>
  </si>
  <si>
    <t>APPELDORN SUBSTATION</t>
  </si>
  <si>
    <t>AR</t>
  </si>
  <si>
    <t>ARMOUR SUBSTATION</t>
  </si>
  <si>
    <t>AHS</t>
  </si>
  <si>
    <t>ASH SUBSTATION</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</si>
  <si>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</si>
  <si>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</si>
  <si>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</si>
  <si>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</si>
  <si>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</si>
  <si>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</si>
  <si>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</si>
  <si>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</si>
  <si>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</si>
  <si>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</si>
  <si>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</si>
  <si>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</si>
  <si>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</si>
  <si>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</si>
  <si>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</si>
  <si>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</si>
  <si>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 xml:space="preserve">BO </t>
  </si>
  <si>
    <t>BONESTEEL SUBSTATION</t>
  </si>
  <si>
    <t>BR</t>
  </si>
  <si>
    <t>BROOKINGS SUBSTATION</t>
  </si>
  <si>
    <t>CBC</t>
  </si>
  <si>
    <t>CAMPBELL COUNTY SWITCHING STATION</t>
  </si>
  <si>
    <t>CRP</t>
  </si>
  <si>
    <t>CARPENTER SUBSTATION</t>
  </si>
  <si>
    <t xml:space="preserve">CA </t>
  </si>
  <si>
    <t>CARRINGTON SUBSTATION</t>
  </si>
  <si>
    <t>CCR</t>
  </si>
  <si>
    <t>CHARLIE CREEK</t>
  </si>
  <si>
    <t>CR</t>
  </si>
  <si>
    <t>CIRCLE SUBSTATION</t>
  </si>
  <si>
    <t>CS</t>
  </si>
  <si>
    <t>CRESTON SUBSTATION</t>
  </si>
  <si>
    <t>CQE</t>
  </si>
  <si>
    <t>CULBERTSON EAST SWITCHING 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</si>
  <si>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</si>
  <si>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</si>
  <si>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</si>
  <si>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</si>
  <si>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</si>
  <si>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</si>
  <si>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</si>
  <si>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</si>
  <si>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</si>
  <si>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</si>
  <si>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</si>
  <si>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</si>
  <si>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</si>
  <si>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</si>
  <si>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</si>
  <si>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</si>
  <si>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</si>
  <si>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</si>
  <si>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</si>
  <si>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</si>
  <si>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</si>
  <si>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</si>
  <si>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</si>
  <si>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</si>
  <si>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</si>
  <si>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</si>
  <si>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</si>
  <si>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</si>
  <si>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</si>
  <si>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</si>
  <si>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</si>
  <si>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</si>
  <si>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</si>
  <si>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</si>
  <si>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</si>
  <si>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</si>
  <si>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</si>
  <si>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</si>
  <si>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</si>
  <si>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</si>
  <si>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</si>
  <si>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</si>
  <si>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</si>
  <si>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</si>
  <si>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</si>
  <si>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</si>
  <si>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</si>
  <si>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</si>
  <si>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</si>
  <si>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</si>
  <si>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</si>
  <si>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</si>
  <si>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</si>
  <si>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</si>
  <si>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</si>
  <si>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t>
  </si>
  <si>
    <t>GF</t>
  </si>
  <si>
    <t>GRANITE FALLS SUBSTATION</t>
  </si>
  <si>
    <t>GY</t>
  </si>
  <si>
    <t>GREGORY SUBSTATION</t>
  </si>
  <si>
    <t>GR</t>
  </si>
  <si>
    <t>GROTON SUBSTATION</t>
  </si>
  <si>
    <t>GSO</t>
  </si>
  <si>
    <t>GROTON SOUTH SUBSTATION</t>
  </si>
  <si>
    <t>HBN</t>
  </si>
  <si>
    <t>HEBRON SWITCHING STATION</t>
  </si>
  <si>
    <t>HET</t>
  </si>
  <si>
    <t>HETTINGER</t>
  </si>
  <si>
    <t>HLK</t>
  </si>
  <si>
    <t>HILKEN SWITCHING 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</si>
  <si>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</si>
  <si>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</si>
  <si>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</si>
  <si>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</si>
  <si>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</si>
  <si>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</si>
  <si>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</si>
  <si>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</si>
  <si>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</si>
  <si>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</si>
  <si>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</si>
  <si>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</si>
  <si>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</si>
  <si>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</si>
  <si>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MDN</t>
  </si>
  <si>
    <t>MANDAN SUBSTATION</t>
  </si>
  <si>
    <t>MR</t>
  </si>
  <si>
    <t>MARTIN SUBSTATION</t>
  </si>
  <si>
    <t>MA</t>
  </si>
  <si>
    <t>MAURINE SUBSTATION</t>
  </si>
  <si>
    <t>MD</t>
  </si>
  <si>
    <t>MIDLAND SUBSTATION</t>
  </si>
  <si>
    <t>MC2</t>
  </si>
  <si>
    <t>MILES CITY SUB #2</t>
  </si>
  <si>
    <t>MC</t>
  </si>
  <si>
    <t>MILES CITY SUBSTATION</t>
  </si>
  <si>
    <t>MGV</t>
  </si>
  <si>
    <t>MINGUSVILLE SUBSTATION</t>
  </si>
  <si>
    <t>MS</t>
  </si>
  <si>
    <t>MISSION SUBSTATION</t>
  </si>
  <si>
    <t>MO</t>
  </si>
  <si>
    <t>MORRIS SUBSTATION</t>
  </si>
  <si>
    <t>MV</t>
  </si>
  <si>
    <t>MT VERNON SUBSTATION</t>
  </si>
  <si>
    <t>NA</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</si>
  <si>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</si>
  <si>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</si>
  <si>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</si>
  <si>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</si>
  <si>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</si>
  <si>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</si>
  <si>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</si>
  <si>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</si>
  <si>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</si>
  <si>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</si>
  <si>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</si>
  <si>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</si>
  <si>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</si>
  <si>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</si>
  <si>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</si>
  <si>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</si>
  <si>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</si>
  <si>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</si>
  <si>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</si>
  <si>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RC</t>
  </si>
  <si>
    <t>RAPID CITY SUBSTATION</t>
  </si>
  <si>
    <t>RH</t>
  </si>
  <si>
    <t>RICHLAND SUBSTATION</t>
  </si>
  <si>
    <t>RCO</t>
  </si>
  <si>
    <t>ROBERTS COUNTY /2</t>
  </si>
  <si>
    <t>RL</t>
  </si>
  <si>
    <t>ROLLA SUBSTATION</t>
  </si>
  <si>
    <t>RG</t>
  </si>
  <si>
    <t>RUGBY SUBSTATION</t>
  </si>
  <si>
    <t>SA</t>
  </si>
  <si>
    <t>SAVAGE SUB</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</si>
  <si>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</si>
  <si>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</si>
  <si>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</si>
  <si>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</si>
  <si>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</si>
  <si>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</si>
  <si>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</si>
  <si>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</si>
  <si>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</si>
  <si>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</si>
  <si>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</si>
  <si>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</si>
  <si>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</si>
  <si>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</si>
  <si>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</si>
  <si>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</si>
  <si>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</si>
  <si>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</si>
  <si>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</si>
  <si>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</si>
  <si>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TN</t>
  </si>
  <si>
    <t>TOWNER</t>
  </si>
  <si>
    <t>TY</t>
  </si>
  <si>
    <t>TYNDALL SUBSTATION</t>
  </si>
  <si>
    <t>UJ</t>
  </si>
  <si>
    <t>UTICA JCT.</t>
  </si>
  <si>
    <t>VH</t>
  </si>
  <si>
    <t>V. T. HANLON</t>
  </si>
  <si>
    <t>VC</t>
  </si>
  <si>
    <t>VALLEY CITY SUBSTATION</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</si>
  <si>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</si>
  <si>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</si>
  <si>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</si>
  <si>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</si>
  <si>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</si>
  <si>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</si>
  <si>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</si>
  <si>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</si>
  <si>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</si>
  <si>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</si>
  <si>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</si>
  <si>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</si>
  <si>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</si>
  <si>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</si>
  <si>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</si>
  <si>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</si>
  <si>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</si>
  <si>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</si>
  <si>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</si>
  <si>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</si>
  <si>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</si>
  <si>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</si>
  <si>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WHT</t>
  </si>
  <si>
    <t>WHITE 345/115 SUB</t>
  </si>
  <si>
    <t>WV</t>
  </si>
  <si>
    <t>WICKSVILLE SUBSTATION</t>
  </si>
  <si>
    <t>WN2</t>
  </si>
  <si>
    <t>WILLISTON 2 SUBSTATION</t>
  </si>
  <si>
    <t>WN</t>
  </si>
  <si>
    <t>WILLISTON SUBSTATION /2</t>
  </si>
  <si>
    <t>WI</t>
  </si>
  <si>
    <t>WINNER SUBSTATION</t>
  </si>
  <si>
    <t>WJ</t>
  </si>
  <si>
    <t>WM. J. NEAL</t>
  </si>
  <si>
    <t>WP</t>
  </si>
  <si>
    <t>WOLF POINT SUBSTATION</t>
  </si>
  <si>
    <t>WO</t>
  </si>
  <si>
    <t>WOONSOCKET SUBSTATION</t>
  </si>
  <si>
    <t>YJ</t>
  </si>
  <si>
    <t>YANKTON JCT.</t>
  </si>
  <si>
    <t>YA</t>
  </si>
  <si>
    <t>YANKTON SUBSTATION</t>
  </si>
  <si>
    <t>SUB Total</t>
  </si>
  <si>
    <t>SUBSTATIONS</t>
  </si>
  <si>
    <t>O&amp;M</t>
  </si>
  <si>
    <t>ARC</t>
  </si>
  <si>
    <t>ARMOUR O&amp;M SER. CEN.</t>
  </si>
  <si>
    <t>BSM</t>
  </si>
  <si>
    <t>BISMARCK O&amp;M SER. CEN.</t>
  </si>
  <si>
    <t>DCF</t>
  </si>
  <si>
    <t>DAWSON SER. CEN.</t>
  </si>
  <si>
    <t>DLM</t>
  </si>
  <si>
    <t>DEVILS LAKE O&amp;M SER. CEN.</t>
  </si>
  <si>
    <t>FAO</t>
  </si>
  <si>
    <t>FARGO LINE MAINTENANCE FACILITY</t>
  </si>
  <si>
    <t>FAM</t>
  </si>
  <si>
    <t>FARGO O&amp;M SER. CEN.</t>
  </si>
  <si>
    <t>East/West 50%</t>
  </si>
  <si>
    <t>FPM</t>
  </si>
  <si>
    <t>FORT PECK SER. CEN.</t>
  </si>
  <si>
    <t>FTM</t>
  </si>
  <si>
    <t>FORT THOMPSON O&amp;M S. C.</t>
  </si>
  <si>
    <t>HUM</t>
  </si>
  <si>
    <t>HURON O&amp;M SER. CEN.</t>
  </si>
  <si>
    <t>JTM</t>
  </si>
  <si>
    <t>JAMESTOWN O&amp;M SER. CEN.</t>
  </si>
  <si>
    <t xml:space="preserve">NUM </t>
  </si>
  <si>
    <t>NEW UNDERWOOD SER. CEN.</t>
  </si>
  <si>
    <t>PLM</t>
  </si>
  <si>
    <t>PHILIP O&amp;M SER. CENT.</t>
  </si>
  <si>
    <t>PIM</t>
  </si>
  <si>
    <t>PIERRE O&amp;M SER. CEN.</t>
  </si>
  <si>
    <t>RCM</t>
  </si>
  <si>
    <t>RAPID CITY GARAGE &amp; STOR.</t>
  </si>
  <si>
    <t>RCN</t>
  </si>
  <si>
    <t>RAPID CITY NORTH O&amp;M SER. CEN.</t>
  </si>
  <si>
    <t>SCM</t>
  </si>
  <si>
    <t>SIOUX CITY O&amp;M SER. CEN.</t>
  </si>
  <si>
    <t>SFC</t>
  </si>
  <si>
    <t>SIOUX FALLS O&amp;M SER. CEN.</t>
  </si>
  <si>
    <t>WTM</t>
  </si>
  <si>
    <t>WATERTOWN MAINT. CEN.</t>
  </si>
  <si>
    <t>O&amp;M Total</t>
  </si>
  <si>
    <t>O&amp;M SERVICE &amp; MAINT. CENTERS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</si>
  <si>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</si>
  <si>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</si>
  <si>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</si>
  <si>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</si>
  <si>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</si>
  <si>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</si>
  <si>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</si>
  <si>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</si>
  <si>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</si>
  <si>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</si>
  <si>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</si>
  <si>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</si>
  <si>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MOBT2</t>
  </si>
  <si>
    <t>MOB TRANSF 115KV 10MVA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</si>
  <si>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</si>
  <si>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</si>
  <si>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</si>
  <si>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</si>
  <si>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</si>
  <si>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</si>
  <si>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</si>
  <si>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</si>
  <si>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</si>
  <si>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</si>
  <si>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</si>
  <si>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</si>
  <si>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</si>
  <si>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</si>
  <si>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</si>
  <si>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</si>
  <si>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</si>
  <si>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</si>
  <si>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</si>
  <si>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</si>
  <si>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</si>
  <si>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</si>
  <si>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</si>
  <si>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</si>
  <si>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</si>
  <si>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</si>
  <si>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</si>
  <si>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</si>
  <si>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</si>
  <si>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</si>
  <si>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</si>
  <si>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</si>
  <si>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</si>
  <si>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</si>
  <si>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</si>
  <si>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</si>
  <si>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</si>
  <si>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</si>
  <si>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</si>
  <si>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</si>
  <si>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</si>
  <si>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</si>
  <si>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</si>
  <si>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</si>
  <si>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</si>
  <si>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</si>
  <si>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</si>
  <si>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</si>
  <si>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</si>
  <si>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</si>
  <si>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</si>
  <si>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</si>
  <si>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</si>
  <si>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</si>
  <si>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</si>
  <si>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</si>
  <si>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</si>
  <si>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BDO</t>
  </si>
  <si>
    <t>BISMARCK DIS. OFFICE</t>
  </si>
  <si>
    <t>BSR</t>
  </si>
  <si>
    <t>BISMARCK REPEATER</t>
  </si>
  <si>
    <t>BIR</t>
  </si>
  <si>
    <t>BISON REPEATER</t>
  </si>
  <si>
    <t>BOW</t>
  </si>
  <si>
    <t>BOWMAN</t>
  </si>
  <si>
    <t>BRI</t>
  </si>
  <si>
    <t>BRINSMADE</t>
  </si>
  <si>
    <t>BSL</t>
  </si>
  <si>
    <t>BRISTOL</t>
  </si>
  <si>
    <t>BRV</t>
  </si>
  <si>
    <t>BRUNSVILLE REPEATER</t>
  </si>
  <si>
    <t>BFF</t>
  </si>
  <si>
    <t>BUFFALO</t>
  </si>
  <si>
    <t>CAH</t>
  </si>
  <si>
    <t>CAHOON</t>
  </si>
  <si>
    <t>CAZ</t>
  </si>
  <si>
    <t>CARRINGTON REPEATER</t>
  </si>
  <si>
    <t>CHK</t>
  </si>
  <si>
    <t>CHARTER OAK REPEATER</t>
  </si>
  <si>
    <t>CKR</t>
  </si>
  <si>
    <t>CLARK MW REPEATER</t>
  </si>
  <si>
    <t>CLV</t>
  </si>
  <si>
    <t>CLEVELAND REPEATER, N.D.</t>
  </si>
  <si>
    <t>CMR</t>
  </si>
  <si>
    <t>COLEMAN REPEATER</t>
  </si>
  <si>
    <t>CME</t>
  </si>
  <si>
    <t>COLOME REPEATER</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</si>
  <si>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</si>
  <si>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</si>
  <si>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</si>
  <si>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</si>
  <si>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</si>
  <si>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</si>
  <si>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</si>
  <si>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</si>
  <si>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</si>
  <si>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</si>
  <si>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</si>
  <si>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</si>
  <si>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</si>
  <si>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</si>
  <si>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</si>
  <si>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</si>
  <si>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</si>
  <si>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</si>
  <si>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 xml:space="preserve">DO </t>
  </si>
  <si>
    <t>DOGDEN BUTTE</t>
  </si>
  <si>
    <t>DRS</t>
  </si>
  <si>
    <t>DRISCOLL</t>
  </si>
  <si>
    <t>DU</t>
  </si>
  <si>
    <t>DUPREE REPEATER</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</si>
  <si>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</si>
  <si>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</si>
  <si>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</si>
  <si>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</si>
  <si>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</si>
  <si>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</si>
  <si>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</si>
  <si>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</si>
  <si>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</si>
  <si>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</si>
  <si>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</si>
  <si>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</si>
  <si>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</si>
  <si>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</si>
  <si>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</si>
  <si>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</si>
  <si>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</si>
  <si>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</si>
  <si>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</si>
  <si>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</si>
  <si>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</si>
  <si>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</si>
  <si>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</si>
  <si>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</si>
  <si>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</si>
  <si>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</si>
  <si>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</si>
  <si>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</si>
  <si>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FP1</t>
  </si>
  <si>
    <t>FORT PECK RELAY (WES)</t>
  </si>
  <si>
    <t>FPC</t>
  </si>
  <si>
    <t>FORT PECK COMMUNICATIONS BUILDING</t>
  </si>
  <si>
    <t>FPI</t>
  </si>
  <si>
    <t>FORT PIERRE POLE YARD</t>
  </si>
  <si>
    <t>FTR</t>
  </si>
  <si>
    <t>FORT THOMPSON REPEATER</t>
  </si>
  <si>
    <t>FTP</t>
  </si>
  <si>
    <t>FORT THOMPSON REPEATER (EAST RIVER)</t>
  </si>
  <si>
    <t>FRY</t>
  </si>
  <si>
    <t>FRYBURG SUB &amp; MICROWAVE</t>
  </si>
  <si>
    <t>GA</t>
  </si>
  <si>
    <t>GARRISON</t>
  </si>
  <si>
    <t>GAD</t>
  </si>
  <si>
    <t>GARRISON DAM</t>
  </si>
  <si>
    <t>GRR</t>
  </si>
  <si>
    <t>GARY REPEATER</t>
  </si>
  <si>
    <t>GP</t>
  </si>
  <si>
    <t>GAVIN'S POINT</t>
  </si>
  <si>
    <t>GPR</t>
  </si>
  <si>
    <t>GAVINS POINT REPEATER</t>
  </si>
  <si>
    <t>GET</t>
  </si>
  <si>
    <t>GETTYSBURG REPEATER</t>
  </si>
  <si>
    <t>GH</t>
  </si>
  <si>
    <t>GLENHAM COMM SITE</t>
  </si>
  <si>
    <t>GKM</t>
  </si>
  <si>
    <t>GRAND FORKS MINNKOTA (MPC)</t>
  </si>
  <si>
    <t>GWN</t>
  </si>
  <si>
    <t>GWINNER COMMUNICATIONS SITE</t>
  </si>
  <si>
    <t>HSB</t>
  </si>
  <si>
    <t>HAILSTONE BUTTE</t>
  </si>
  <si>
    <t>HOY</t>
  </si>
  <si>
    <t>HALLOWAY REPEATER</t>
  </si>
  <si>
    <t>HMW</t>
  </si>
  <si>
    <t>HERMOSA MICROWAVE</t>
  </si>
  <si>
    <t>HMR</t>
  </si>
  <si>
    <t>HIGHMORE REPEATER</t>
  </si>
  <si>
    <t>HOE</t>
  </si>
  <si>
    <t>HOPEWELL REPEATER</t>
  </si>
  <si>
    <t>HNT</t>
  </si>
  <si>
    <t>HUNTER MICROWAVE</t>
  </si>
  <si>
    <t>HUD</t>
  </si>
  <si>
    <t>HURON DISTRICT OFFICE</t>
  </si>
  <si>
    <t>JTR</t>
  </si>
  <si>
    <t>JAMESTOWN REPEATER</t>
  </si>
  <si>
    <t>JCK</t>
  </si>
  <si>
    <t>JONES CREEK</t>
  </si>
  <si>
    <t>KCK</t>
  </si>
  <si>
    <t>KELLY CREEK</t>
  </si>
  <si>
    <t>KDZ</t>
  </si>
  <si>
    <t>KILLDEER REPEATER</t>
  </si>
  <si>
    <t>LAC</t>
  </si>
  <si>
    <t>LAC QUI PARLE</t>
  </si>
  <si>
    <t>LKR</t>
  </si>
  <si>
    <t>LAKE ANDES REPEATER</t>
  </si>
  <si>
    <t>LEF</t>
  </si>
  <si>
    <t>LEFOR</t>
  </si>
  <si>
    <t>LI</t>
  </si>
  <si>
    <t>LINDSAY RIDGE</t>
  </si>
  <si>
    <t>LCS</t>
  </si>
  <si>
    <t>LINTON COMMUNICATIONS SITE</t>
  </si>
  <si>
    <t>LMO</t>
  </si>
  <si>
    <t>LITTLE MISSOURI SUBSTATION</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</si>
  <si>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</si>
  <si>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</si>
  <si>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</si>
  <si>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</si>
  <si>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</si>
  <si>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</si>
  <si>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</si>
  <si>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</si>
  <si>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</si>
  <si>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</si>
  <si>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</si>
  <si>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</si>
  <si>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</si>
  <si>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</si>
  <si>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</si>
  <si>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</si>
  <si>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</si>
  <si>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</si>
  <si>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</si>
  <si>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</si>
  <si>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</si>
  <si>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</si>
  <si>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</si>
  <si>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</si>
  <si>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</si>
  <si>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</si>
  <si>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</si>
  <si>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</si>
  <si>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</si>
  <si>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</si>
  <si>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</si>
  <si>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</si>
  <si>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</si>
  <si>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</si>
  <si>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</si>
  <si>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</si>
  <si>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</si>
  <si>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</si>
  <si>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PO</t>
  </si>
  <si>
    <t>POPLAR (MDU)</t>
  </si>
  <si>
    <t>PRR</t>
  </si>
  <si>
    <t>PRIMGHAR REPEATER</t>
  </si>
  <si>
    <t>PUR</t>
  </si>
  <si>
    <t>PUKWANNA REPEATER</t>
  </si>
  <si>
    <t>RCR</t>
  </si>
  <si>
    <t>RAPID CITY REPEATER</t>
  </si>
  <si>
    <t>RHE</t>
  </si>
  <si>
    <t>RHAME</t>
  </si>
  <si>
    <t>RRR</t>
  </si>
  <si>
    <t>ROCKY RIDGE REPEATER</t>
  </si>
  <si>
    <t>ROG</t>
  </si>
  <si>
    <t>ROLLAG</t>
  </si>
  <si>
    <t>RGZ</t>
  </si>
  <si>
    <t>RUGBY REPEATER</t>
  </si>
  <si>
    <t>RI</t>
  </si>
  <si>
    <t>RUTLAND</t>
  </si>
  <si>
    <t>RP</t>
  </si>
  <si>
    <t>ROUNDUP</t>
  </si>
  <si>
    <t>SNB</t>
  </si>
  <si>
    <t>SENTINEL BUTTE</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</si>
  <si>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</si>
  <si>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</si>
  <si>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</si>
  <si>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</si>
  <si>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</si>
  <si>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</si>
  <si>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</si>
  <si>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</si>
  <si>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</si>
  <si>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</si>
  <si>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</si>
  <si>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</si>
  <si>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</si>
  <si>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</si>
  <si>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</si>
  <si>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</si>
  <si>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</si>
  <si>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 SITE</t>
  </si>
  <si>
    <t>TA</t>
  </si>
  <si>
    <t>TAPPEN REPEATER</t>
  </si>
  <si>
    <t>TEN</t>
  </si>
  <si>
    <t>TENNANT COMMUNICATIONS SITE</t>
  </si>
  <si>
    <t>TOR</t>
  </si>
  <si>
    <t>TORONTO REPEATER</t>
  </si>
  <si>
    <t>TFR</t>
  </si>
  <si>
    <t>TRIPP REPEATER</t>
  </si>
  <si>
    <t>TU</t>
  </si>
  <si>
    <t>TURKEY RIDGE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</si>
  <si>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</si>
  <si>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</si>
  <si>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</si>
  <si>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</si>
  <si>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</si>
  <si>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</si>
  <si>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</si>
  <si>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</si>
  <si>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</si>
  <si>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</si>
  <si>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</si>
  <si>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</si>
  <si>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</si>
  <si>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</si>
  <si>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</si>
  <si>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</si>
  <si>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 xml:space="preserve">WK  </t>
  </si>
  <si>
    <t xml:space="preserve">WHITLOCK  </t>
  </si>
  <si>
    <t>WK C</t>
  </si>
  <si>
    <t>WHITLOCK (BCPS)</t>
  </si>
  <si>
    <t>WRP</t>
  </si>
  <si>
    <t>WILLISTON REPEATER</t>
  </si>
  <si>
    <t>WOB</t>
  </si>
  <si>
    <t>WOLBACH REPEATER</t>
  </si>
  <si>
    <t>COM Total</t>
  </si>
  <si>
    <t>COMMUNICATION FACILITIES</t>
  </si>
  <si>
    <t>DIST</t>
  </si>
  <si>
    <t>BFTBP</t>
  </si>
  <si>
    <t>BUFORD TRENTON TAP - BUFORD TRENTON P.P.</t>
  </si>
  <si>
    <t>BP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</si>
  <si>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</si>
  <si>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</si>
  <si>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</si>
  <si>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</si>
  <si>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</si>
  <si>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</si>
  <si>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</si>
  <si>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</si>
  <si>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</si>
  <si>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</si>
  <si>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</si>
  <si>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</si>
  <si>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</si>
  <si>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</si>
  <si>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</si>
  <si>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</si>
  <si>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</si>
  <si>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</si>
  <si>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</si>
  <si>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</si>
  <si>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</si>
  <si>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</si>
  <si>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</si>
  <si>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</si>
  <si>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</si>
  <si>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t>
  </si>
  <si>
    <t>TERRY PUMPING PLANT SWITCH</t>
  </si>
  <si>
    <t>VA</t>
  </si>
  <si>
    <t>WIOTA SUBSTATION</t>
  </si>
  <si>
    <t>DIST Total</t>
  </si>
  <si>
    <t>DISTRIBUTION FACILITIES</t>
  </si>
  <si>
    <t>Sub Total</t>
  </si>
  <si>
    <t>TOTAL EAST UGP FACILITIES</t>
  </si>
  <si>
    <t>CONSH2</t>
  </si>
  <si>
    <t>CONRAD-SHELBY #2</t>
  </si>
  <si>
    <t>FP HV</t>
  </si>
  <si>
    <t>FORT PECK-HAVRE</t>
  </si>
  <si>
    <t>FP WH</t>
  </si>
  <si>
    <t>FORT PECK-WHATELY</t>
  </si>
  <si>
    <t>GTFCON</t>
  </si>
  <si>
    <t>GREAT FALLS-CONRAD</t>
  </si>
  <si>
    <t>HV RB</t>
  </si>
  <si>
    <t>HAVRE-RAINBOW</t>
  </si>
  <si>
    <t>HV SH2</t>
  </si>
  <si>
    <t>HAVRE-SHELBY#2</t>
  </si>
  <si>
    <t>LAHCF</t>
  </si>
  <si>
    <t>LAKE HELENA SWITCHYARD - CANYON FERRY 100 KV</t>
  </si>
  <si>
    <t>MC CU</t>
  </si>
  <si>
    <t>MILES CITY-CUSTER</t>
  </si>
  <si>
    <t>SH SH2</t>
  </si>
  <si>
    <t>SHELBY-SHELBY #2</t>
  </si>
  <si>
    <t>TT TI</t>
  </si>
  <si>
    <t>TIBER TAP-TIBER</t>
  </si>
  <si>
    <t>VR GTF</t>
  </si>
  <si>
    <t>VERONA GREAT FALLS 161-kV LINE</t>
  </si>
  <si>
    <t>YT CU</t>
  </si>
  <si>
    <t>YELLOWTAIL-CUSTER</t>
  </si>
  <si>
    <t>AB</t>
  </si>
  <si>
    <t>ASSINNIBOINE</t>
  </si>
  <si>
    <t>BOL</t>
  </si>
  <si>
    <t>BOLE SUB</t>
  </si>
  <si>
    <t>CF</t>
  </si>
  <si>
    <t>CANYON FERRY</t>
  </si>
  <si>
    <t>CON</t>
  </si>
  <si>
    <t>CONRAD SUB</t>
  </si>
  <si>
    <t>CRO</t>
  </si>
  <si>
    <t>CROSSOVER SUB</t>
  </si>
  <si>
    <t>CU</t>
  </si>
  <si>
    <t>CUSTER SUBSTATION</t>
  </si>
  <si>
    <t>GTF</t>
  </si>
  <si>
    <t>GREAT FALLS SUBSTATION</t>
  </si>
  <si>
    <t>HA</t>
  </si>
  <si>
    <t>HARLEM</t>
  </si>
  <si>
    <t>HV</t>
  </si>
  <si>
    <t>HAVRE SUBSTATION</t>
  </si>
  <si>
    <t>MT</t>
  </si>
  <si>
    <t>MALTA</t>
  </si>
  <si>
    <t>MC3</t>
  </si>
  <si>
    <t>MILES CITY SUB #3</t>
  </si>
  <si>
    <t>RB</t>
  </si>
  <si>
    <t>RAINBOW SUBSTATION</t>
  </si>
  <si>
    <t>RY</t>
  </si>
  <si>
    <t>RUDYARD SUBSTATION</t>
  </si>
  <si>
    <t>SH</t>
  </si>
  <si>
    <t>SHELBY SUBSTATION</t>
  </si>
  <si>
    <t>SH2</t>
  </si>
  <si>
    <t>SHELBY SUBSTATION #2</t>
  </si>
  <si>
    <t>TT</t>
  </si>
  <si>
    <t>TIBER TAP</t>
  </si>
  <si>
    <t>VR</t>
  </si>
  <si>
    <t>VERONA</t>
  </si>
  <si>
    <t>WH2</t>
  </si>
  <si>
    <t>WHATELY (NORTHERN)</t>
  </si>
  <si>
    <t xml:space="preserve">WH </t>
  </si>
  <si>
    <t>WHATELY SUBSTATION</t>
  </si>
  <si>
    <t>HVM</t>
  </si>
  <si>
    <t>HAVRE SERVICE CENTER</t>
  </si>
  <si>
    <t>MCM</t>
  </si>
  <si>
    <t>MILES CITY MTCE FAC.</t>
  </si>
  <si>
    <t>MOBT12</t>
  </si>
  <si>
    <t>MOB TRANSF 115KV 25MVA</t>
  </si>
  <si>
    <t>MobTotal</t>
  </si>
  <si>
    <t>BAO</t>
  </si>
  <si>
    <t>BILLINGS AREA OFFICE</t>
  </si>
  <si>
    <t>BON</t>
  </si>
  <si>
    <t>BOLE NORTH REPEATER</t>
  </si>
  <si>
    <t>CHI F</t>
  </si>
  <si>
    <t>CHINOOK (BEFP)</t>
  </si>
  <si>
    <t>CHR</t>
  </si>
  <si>
    <t>CHINOOK REPEATER</t>
  </si>
  <si>
    <t>CBR</t>
  </si>
  <si>
    <t>CONRAD BUTTE REPEATER</t>
  </si>
  <si>
    <t>CNN</t>
  </si>
  <si>
    <t>COTTON</t>
  </si>
  <si>
    <t>DOD</t>
  </si>
  <si>
    <t>DODSON REPEATER</t>
  </si>
  <si>
    <t>DUT</t>
  </si>
  <si>
    <t>DUTTON REPEATER (BEFP)</t>
  </si>
  <si>
    <t>FTH</t>
  </si>
  <si>
    <t>FORSYTH</t>
  </si>
  <si>
    <t>FPR</t>
  </si>
  <si>
    <t>FORT PECK REPEATER</t>
  </si>
  <si>
    <t>FCR</t>
  </si>
  <si>
    <t>FOX CREEK MICROWAVE</t>
  </si>
  <si>
    <t>HRT</t>
  </si>
  <si>
    <t>HARLEM REPEATER</t>
  </si>
  <si>
    <t>HTH</t>
  </si>
  <si>
    <t>HATHAWAY</t>
  </si>
  <si>
    <t>HIW</t>
  </si>
  <si>
    <t>HIGHWOOD</t>
  </si>
  <si>
    <t>HI</t>
  </si>
  <si>
    <t>HINSDALE</t>
  </si>
  <si>
    <t>HIR</t>
  </si>
  <si>
    <t>HINSDALE REPEATER</t>
  </si>
  <si>
    <t>HYS</t>
  </si>
  <si>
    <t>HYSHAM</t>
  </si>
  <si>
    <t>KNE</t>
  </si>
  <si>
    <t>KNEE HILL MW</t>
  </si>
  <si>
    <t>MRP</t>
  </si>
  <si>
    <t>MALTA REPEATER</t>
  </si>
  <si>
    <t>PIR</t>
  </si>
  <si>
    <t>PINE RIDGE</t>
  </si>
  <si>
    <t>RE</t>
  </si>
  <si>
    <t>RICHARDSON COULEE</t>
  </si>
  <si>
    <t>RER</t>
  </si>
  <si>
    <t>RICHARDSON COULEE REPEATER</t>
  </si>
  <si>
    <t>RHM</t>
  </si>
  <si>
    <t>RICHLAND MW REPEATER (BEPS)</t>
  </si>
  <si>
    <t>SAO</t>
  </si>
  <si>
    <t>SACO</t>
  </si>
  <si>
    <t>SRE</t>
  </si>
  <si>
    <t>SHEEP COULEE REPEATER</t>
  </si>
  <si>
    <t>TYE</t>
  </si>
  <si>
    <t>TYLER REPEATER</t>
  </si>
  <si>
    <t>YT P</t>
  </si>
  <si>
    <t>YELLOWTAIL SWITCHYARD (BEPS)</t>
  </si>
  <si>
    <t>TI</t>
  </si>
  <si>
    <t>TIBER DAM SUBSTATION</t>
  </si>
  <si>
    <t>TOTAL WEST UGP FACILITIES</t>
  </si>
  <si>
    <t>MCCS</t>
  </si>
  <si>
    <t>MC4</t>
  </si>
  <si>
    <t>MILES CITY CONVERTER STATION - BEPS</t>
  </si>
  <si>
    <t>MILES CITY CONVERTER STATION - BEFP</t>
  </si>
  <si>
    <t>MCCS Total</t>
  </si>
  <si>
    <t>MILES CITY CONVERTER STATION</t>
  </si>
  <si>
    <t>TOTAL UGP FACILITIES</t>
  </si>
  <si>
    <t>FY2023  UGP/RMR Facility Totals ($)</t>
  </si>
  <si>
    <t>Subtotal of Recoverable Transmission Facility Costs ($)</t>
  </si>
  <si>
    <t>RMR Adjustments ($)</t>
  </si>
  <si>
    <t>FY2023 Actual Total ($)</t>
  </si>
  <si>
    <t>NU SG J</t>
  </si>
  <si>
    <t>NEW UNDERWOOD-STEGALL</t>
  </si>
  <si>
    <t>SG</t>
  </si>
  <si>
    <t>STEGALL SUBSTATION</t>
  </si>
  <si>
    <t>SG WS</t>
  </si>
  <si>
    <t>STEGALL-WAYSIDE</t>
  </si>
  <si>
    <t>TOTAL EAST RMR FACILITIES</t>
  </si>
  <si>
    <t xml:space="preserve">YT PY </t>
  </si>
  <si>
    <t>YELLOWTAIL SWITCHYARD-YELLOWTAIL (PPL)</t>
  </si>
  <si>
    <t xml:space="preserve">PY </t>
  </si>
  <si>
    <t>YELLOWTAIL (PPL)</t>
  </si>
  <si>
    <t>YT</t>
  </si>
  <si>
    <t>YELLOWTAIL SWITCHYARD</t>
  </si>
  <si>
    <t>RMR Sub Total</t>
  </si>
  <si>
    <t>ROCKY MOUNTAIN REGION FACILITIES</t>
  </si>
  <si>
    <t>RMR Total</t>
  </si>
  <si>
    <t>COE Adjustments ($)</t>
  </si>
  <si>
    <t>FORT PECK</t>
  </si>
  <si>
    <t>GAVINS POINT</t>
  </si>
  <si>
    <t>COE Sub Total</t>
  </si>
  <si>
    <t>COE EAST FACILITIES</t>
  </si>
  <si>
    <t>COE WEST FACILITIES</t>
  </si>
  <si>
    <t>Grand Total</t>
  </si>
  <si>
    <t>TOTAL COE FACILITIES</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</si>
  <si>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</si>
  <si>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Calculations, WS5-FacDetail</t>
  </si>
  <si>
    <t>Worksheet 3 - Cost Support Data</t>
  </si>
  <si>
    <t xml:space="preserve">WAPA-UGP </t>
  </si>
  <si>
    <t>WAPA-RMR</t>
  </si>
  <si>
    <t>BOR</t>
  </si>
  <si>
    <t>Total Plant-in-Service</t>
  </si>
  <si>
    <t>1/</t>
  </si>
  <si>
    <t>2/</t>
  </si>
  <si>
    <t>3/</t>
  </si>
  <si>
    <t>4/</t>
  </si>
  <si>
    <t>Transmission Plant-in-Service</t>
  </si>
  <si>
    <t>Generation Plant-in-Service</t>
  </si>
  <si>
    <t>Zonal BPU Plant-in-Service</t>
  </si>
  <si>
    <t>5/</t>
  </si>
  <si>
    <t>Regional BPU Plant-in-Service</t>
  </si>
  <si>
    <t>Net Plant Investment Total</t>
  </si>
  <si>
    <t>Total PS  Sub-Allocated Plant-in-Service</t>
  </si>
  <si>
    <t>PS-ED Transmission Plant-in-Service - East</t>
  </si>
  <si>
    <t>PS-ED Transmission Plant-in-Service - West</t>
  </si>
  <si>
    <t>PS-ED SSCD Plant-in-Service</t>
  </si>
  <si>
    <t>PS-ED DC Tie Plant-in-Service</t>
  </si>
  <si>
    <t>Agency Allocation Rates</t>
  </si>
  <si>
    <t>Transmission Plant to Total Plant</t>
  </si>
  <si>
    <t>Generation Plant to Total Plant (N/R)</t>
  </si>
  <si>
    <t>AI Excluded (N/R)</t>
  </si>
  <si>
    <t>BPU Zonal Plant to Total Plant</t>
  </si>
  <si>
    <t>BPU Regional Plant to Total Plant</t>
  </si>
  <si>
    <t>Total Allocation Rate</t>
  </si>
  <si>
    <t>Agency Sub-Allocation Rates</t>
  </si>
  <si>
    <t>Schedule 9-East Allocation to Total Plant</t>
  </si>
  <si>
    <t>Schedule 9-West Allocation to Total Plant</t>
  </si>
  <si>
    <t>SSCD Allocation to Total Plant</t>
  </si>
  <si>
    <t>DC Tie Allocation to Total Plant</t>
  </si>
  <si>
    <t>Total Sub-Allocation Rate</t>
  </si>
  <si>
    <t>PS Accumulated Depreciation</t>
  </si>
  <si>
    <t>6/</t>
  </si>
  <si>
    <t>7/</t>
  </si>
  <si>
    <t>8/</t>
  </si>
  <si>
    <t>Transmission Accumulated Depreciation</t>
  </si>
  <si>
    <t>Net Recoverable Accum. Depreciation Total</t>
  </si>
  <si>
    <t>PS Accumulated Depreciation Sub-Allocation</t>
  </si>
  <si>
    <t>Sch 9-East Accumulated Depreciation</t>
  </si>
  <si>
    <t>Sch 9-West Accumulated Depreciation</t>
  </si>
  <si>
    <t>Sch 1 SSCD Accumulated Depreciation</t>
  </si>
  <si>
    <t>DC Tie Accumulated Depreciation</t>
  </si>
  <si>
    <t>PS-ED Net Transmission Plant</t>
  </si>
  <si>
    <t>Net Plant less Accumulated Depreciation Total</t>
  </si>
  <si>
    <t>PS Net Plant Sub-Allocation</t>
  </si>
  <si>
    <t>Sch 9-East Net Plant</t>
  </si>
  <si>
    <t>Sch 9-West Net Plant</t>
  </si>
  <si>
    <t>Sch 1 SSCD Net Plant</t>
  </si>
  <si>
    <t>DC Tie Net Plant</t>
  </si>
  <si>
    <t>PS Depreciation Expense</t>
  </si>
  <si>
    <t>9/</t>
  </si>
  <si>
    <t>PS-ED Transmission Annual Depreciation</t>
  </si>
  <si>
    <t>Total Annual Depreciation Expense</t>
  </si>
  <si>
    <t>PS Sub-Allocated Depreciation Expense</t>
  </si>
  <si>
    <t>Sch 9-East Annual Depreciation</t>
  </si>
  <si>
    <t>Sch 9-West Annual Depreciation</t>
  </si>
  <si>
    <t>Sch 1 SSCD Annual Depreciation</t>
  </si>
  <si>
    <t>DC Tie Annual Depreciation</t>
  </si>
  <si>
    <t>Long Term Debt:</t>
  </si>
  <si>
    <t>FY Balances</t>
  </si>
  <si>
    <t>10/</t>
  </si>
  <si>
    <t>PS-ED Transmission LTD</t>
  </si>
  <si>
    <t xml:space="preserve">Total </t>
  </si>
  <si>
    <t>Long Term Debt Sub-Allocation:</t>
  </si>
  <si>
    <t>Sch 9-East LTD</t>
  </si>
  <si>
    <t>Sch 9-West LTD</t>
  </si>
  <si>
    <t>Sch 1 SSCD LTD</t>
  </si>
  <si>
    <t>DC Tie LTD</t>
  </si>
  <si>
    <t>FY Interest</t>
  </si>
  <si>
    <t>11/</t>
  </si>
  <si>
    <t>12/</t>
  </si>
  <si>
    <t>PS-ED Transmission Interest</t>
  </si>
  <si>
    <t>Sch 9-East Interest</t>
  </si>
  <si>
    <t>Sch 9-West Interest</t>
  </si>
  <si>
    <t>Sch 1 SSCD Interest</t>
  </si>
  <si>
    <t>DC Tie Interest</t>
  </si>
  <si>
    <t>Average Interest Rate</t>
  </si>
  <si>
    <t>Transmission Plant Factor</t>
  </si>
  <si>
    <t>Weighted Trans. Composite Rate</t>
  </si>
  <si>
    <t>Generation Plant Factor</t>
  </si>
  <si>
    <t>Weighted Gen. Composite Rate</t>
  </si>
  <si>
    <t>A&amp;G Expenses</t>
  </si>
  <si>
    <t>13/</t>
  </si>
  <si>
    <t>14/</t>
  </si>
  <si>
    <t>15/</t>
  </si>
  <si>
    <t>PS Total A&amp;G</t>
  </si>
  <si>
    <t>PS-ED Transmission A&amp;G</t>
  </si>
  <si>
    <t>Total Allocated A&amp;G</t>
  </si>
  <si>
    <t>PS Sub-Allocated A&amp;G</t>
  </si>
  <si>
    <t>Sch 9-East  A&amp;G</t>
  </si>
  <si>
    <t>Sch 9-West A&amp;G</t>
  </si>
  <si>
    <t>Sch 1 SSCD A&amp;G</t>
  </si>
  <si>
    <t>DC Tie A&amp;G</t>
  </si>
  <si>
    <t>O&amp;M Expenses</t>
  </si>
  <si>
    <t>16/</t>
  </si>
  <si>
    <t>17/</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</si>
  <si>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</si>
  <si>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</si>
  <si>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</si>
  <si>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</si>
  <si>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</si>
  <si>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</si>
  <si>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</si>
  <si>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</si>
  <si>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</si>
  <si>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PS Total O&amp;M</t>
  </si>
  <si>
    <t>PS-ED Transmission O&amp;M</t>
  </si>
  <si>
    <t>Total O&amp;M Allocated</t>
  </si>
  <si>
    <t>PS Sub-Allocated O&amp;M</t>
  </si>
  <si>
    <t>Sch 9-East O&amp;M</t>
  </si>
  <si>
    <t>Sch 9-West O&amp;M</t>
  </si>
  <si>
    <t xml:space="preserve">  Scheduling, System Control &amp; Dispatch O&amp;M</t>
  </si>
  <si>
    <t>18/</t>
  </si>
  <si>
    <t>DC Tie O&amp;M</t>
  </si>
  <si>
    <t>1/ WS4-TransFac Worksheet</t>
  </si>
  <si>
    <t>2/  RMCSR - Pick-Sloan Missouri River Basin Results of Operations (ROOs), Schedule 1</t>
  </si>
  <si>
    <t>3/  Corps of Engineers (COE) Financial Statements, Electric and Power Multi-Purpose Plant in Service</t>
  </si>
  <si>
    <t>4/  Combined Financial Statements, Combining Schedules of Revenues and Expenses Data by Agency</t>
  </si>
  <si>
    <t>5/  WS5-FacDetail Worksheet</t>
  </si>
  <si>
    <t>6/  UGPCSR - Pick-Sloan Missouri River Basin and UGPCSR - Ft. Peck Power System Results of Operations, Schedule 4</t>
  </si>
  <si>
    <t>7/  RMCSR - Pick-Sloan Missouri River Basin Results of Operations, Schedule 4</t>
  </si>
  <si>
    <t>8/  Corps of Engineers Financial Statements, Statement of Assets and Liabilities</t>
  </si>
  <si>
    <t>9/ Corps of Engineers Financial Statements, Statement of Revenues and Expenses</t>
  </si>
  <si>
    <t>10/ Historical Financial Data in Support of the Power Repayment Study for the P-SMBP, Schedules 21X and 21RX</t>
  </si>
  <si>
    <t>11/ FY UGPCSR - Pick-Sloan Missouri River Basin and UGPCSR - Ft. Peck Power System Results of Operations, Schedule 5-excludes deficit interest</t>
  </si>
  <si>
    <t>12/ FY RMCSR - Pick-Sloan Missouri River Basin and UGPCSR - Ft. Peck Power System Results of Operations, Schedule 5-excludes deficit interest</t>
  </si>
  <si>
    <t>13/  WAPA-UGP A&amp;G Expenses are from the UGPCSR - Pick-Sloan Missouri River Basin and UGPCSR - Ft. Peck Power System Results of Operations, Schedule 11A</t>
  </si>
  <si>
    <t>14/  WAPA-RMR A&amp;G Expenses are from the RMCSR - Pick-Sloan Missouri River Basin Results of Operations, Schedule 11A</t>
  </si>
  <si>
    <t>15/  A&amp;G Expenses for COE and BOR are unavailable.  All COE and BOR A&amp;G expenses are included in O&amp;M Expenses</t>
  </si>
  <si>
    <t xml:space="preserve">16/  All WAPA-UGP O&amp;M Expenses are from the UGPCSR - Pick-Sloan Missouri River Basin and UGPCSR -  Ft. Peck Power System Results of Operations, Schedule 11; except </t>
  </si>
  <si>
    <t>Moveable Property and Warehouse Stores Interest,  which are from Schedule 5</t>
  </si>
  <si>
    <t xml:space="preserve">17/  All WAPA-RMR O&amp;M Expenses are from the RMCSR - Pick-Sloan Missouri River Basin Results of Operations, Schedule 11; except Moveable Property and Warehouse </t>
  </si>
  <si>
    <t>Stores Interest, which are from Schedule 5</t>
  </si>
  <si>
    <t>18/ SSCD O&amp;M detail is provided in SSCD O&amp;M report</t>
  </si>
  <si>
    <t>Split</t>
  </si>
  <si>
    <t>PRIOR YEAR FACILITY TOTALS ($)</t>
  </si>
  <si>
    <t>EST ADD/REPL/RETIRE ($)</t>
  </si>
  <si>
    <t>LC-RH</t>
  </si>
  <si>
    <t>OA-GH</t>
  </si>
  <si>
    <t>WATERTOWN OPERATIONS CENTER</t>
  </si>
  <si>
    <t xml:space="preserve">WATERTOWN OPERATIONS CENTER (BFPS) </t>
  </si>
  <si>
    <t>FID COST DETAIL ($)</t>
  </si>
  <si>
    <t>SSCD %</t>
  </si>
  <si>
    <t>SSCD TOTAL ($)</t>
  </si>
  <si>
    <t>TRANS %</t>
  </si>
  <si>
    <t>TRANS TOTAL ($)</t>
  </si>
  <si>
    <t xml:space="preserve">WAO </t>
  </si>
  <si>
    <t>IDC</t>
  </si>
  <si>
    <t>LAND &amp; RIGHTS</t>
  </si>
  <si>
    <t>LAND AT KCR</t>
  </si>
  <si>
    <t>MICROWAVE TOWER</t>
  </si>
  <si>
    <t>INTEREST DURING CONSTRUCTION</t>
  </si>
  <si>
    <t>ANTENNA</t>
  </si>
  <si>
    <t>MICROWAVE SYSTEM</t>
  </si>
  <si>
    <t>SCADA COMMUNICATION EQUIPMENT</t>
  </si>
  <si>
    <t>PLANT COMM SYSTEM</t>
  </si>
  <si>
    <t>BUILDINGS</t>
  </si>
  <si>
    <t>OTHER STRUCTURES AND IMPROVEMENTS</t>
  </si>
  <si>
    <t>STATION EQUIPMENT</t>
  </si>
  <si>
    <t>MICROWAVE COMMUNICATION EQUIPMENT</t>
  </si>
  <si>
    <t>TELEPHONE COMMUNICATION EQUIPMENT</t>
  </si>
  <si>
    <t>FIBER OPTIC EQUIPMENT</t>
  </si>
  <si>
    <t>AIR CONDITIONER</t>
  </si>
  <si>
    <t>ROOFING</t>
  </si>
  <si>
    <t>GATE</t>
  </si>
  <si>
    <t>FENCES</t>
  </si>
  <si>
    <t>FIBER OPTICS EQUIPMENT</t>
  </si>
  <si>
    <t>REMOTE TERMINAL UNIT</t>
  </si>
  <si>
    <t>ALCATEL 5620 FIBER TERMINAL EQUIP PART 2 OF 2</t>
  </si>
  <si>
    <t>ADD DROP MULTIPLEXER (PART 2 OF 2)</t>
  </si>
  <si>
    <t>POWER SYSTEM DISPATCH CONSOLES</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</si>
  <si>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</si>
  <si>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</si>
  <si>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</si>
  <si>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</si>
  <si>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</si>
  <si>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</si>
  <si>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</si>
  <si>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SCADA</t>
  </si>
  <si>
    <t>AUX PWR SYS - BACKUP GENERATOR</t>
  </si>
  <si>
    <t>(5) DIGITAL VOICE RECORDERS - WTO F</t>
  </si>
  <si>
    <t>BATTERY BANK FOR UPS</t>
  </si>
  <si>
    <t>DIGITAL TRANS &amp; REC EQUIP</t>
  </si>
  <si>
    <t>FREQUENCY CONTROL ADDITIONS</t>
  </si>
  <si>
    <t>ADD DROP MULTIPLEXER</t>
  </si>
  <si>
    <t xml:space="preserve">TELEPHONE SYSTEM  </t>
  </si>
  <si>
    <t>WATERTOWN OPERATIONS BUILDING</t>
  </si>
  <si>
    <t>RESURFACE PARKING LOT AT WATERTOWN OPS OFFICE</t>
  </si>
  <si>
    <t>WALLS</t>
  </si>
  <si>
    <t>VEHICLE/STORAGE BUILDING</t>
  </si>
  <si>
    <t>SIDEWALKS</t>
  </si>
  <si>
    <t>IDC - REPLACEMENTS</t>
  </si>
  <si>
    <t>IDC - ADDITIONS</t>
  </si>
  <si>
    <t>PSOO-WATER SYSTEM</t>
  </si>
  <si>
    <t>PWR SYS OPERATIONS OFFICE BUILDING (Part 1 of 2)</t>
  </si>
  <si>
    <t>WATERTOWN OPS BLDG EXPANSION (PSOO)</t>
  </si>
  <si>
    <t>WATERTOWN OPS BLDG EXPANSION</t>
  </si>
  <si>
    <t>Worksheet 6 - WAPA-UGP Facilities Included per SPP Tariff Attachment AI*</t>
  </si>
  <si>
    <t>12 Months Ending 09/30/2025 ESTIMATE</t>
  </si>
  <si>
    <t>(6)</t>
  </si>
  <si>
    <t>(7)</t>
  </si>
  <si>
    <t>(8)</t>
  </si>
  <si>
    <t>Facility</t>
  </si>
  <si>
    <t>Plant Included</t>
  </si>
  <si>
    <t>Inclusion Notes</t>
  </si>
  <si>
    <t>Plant Excluded</t>
  </si>
  <si>
    <t>Exclusion Notes</t>
  </si>
  <si>
    <t>Changed Facilities</t>
  </si>
  <si>
    <t>Substations</t>
  </si>
  <si>
    <t>Appeldorn</t>
  </si>
  <si>
    <t>230-kV breakers 482, 586, 682 and assoc. switches and switch 487</t>
  </si>
  <si>
    <t>station service KW4A, KW30A and switches</t>
  </si>
  <si>
    <t>Armour</t>
  </si>
  <si>
    <t>115-kV switches 16x, 26x, 76x</t>
  </si>
  <si>
    <t>34.5-kV breaker 542 and assoc. switches</t>
  </si>
  <si>
    <t>NWPS</t>
  </si>
  <si>
    <t>12.47-kV switches 172x, KW1A</t>
  </si>
  <si>
    <t>maintenance building SS</t>
  </si>
  <si>
    <t>115/34.5-kV transformer KY2A</t>
  </si>
  <si>
    <t>station service KZ1A, KX2A and switches</t>
  </si>
  <si>
    <t>115/69 kV transformer KY1A</t>
  </si>
  <si>
    <t>1b</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</si>
  <si>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</si>
  <si>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</si>
  <si>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</si>
  <si>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</si>
  <si>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</si>
  <si>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</si>
  <si>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</si>
  <si>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 xml:space="preserve">115-kV breakers 266, </t>
    </r>
    <r>
      <rPr>
        <sz val="10"/>
        <rFont val="Calibri"/>
        <family val="2"/>
        <scheme val="minor"/>
      </rPr>
      <t>464, 562, 662 and assoc. switches</t>
    </r>
  </si>
  <si>
    <t>115-kV breaker 162, 362 and assoc. switches</t>
  </si>
  <si>
    <t>capacitor PY4A</t>
  </si>
  <si>
    <t>station service KY2A and KW2A</t>
  </si>
  <si>
    <t>Belden (NPPD)</t>
  </si>
  <si>
    <t>115-kV breaker 1106 and assoc. switches</t>
  </si>
  <si>
    <t>Belfield</t>
  </si>
  <si>
    <r>
      <t xml:space="preserve">230-kV breakers 1282, 1382, </t>
    </r>
    <r>
      <rPr>
        <sz val="10"/>
        <rFont val="Calibri"/>
        <family val="2"/>
        <scheme val="minor"/>
      </rPr>
      <t>1582 and assoc. switches</t>
    </r>
  </si>
  <si>
    <t>230-kV breaker 1482 and assoc switches</t>
  </si>
  <si>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</si>
  <si>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</si>
  <si>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</si>
  <si>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</si>
  <si>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</si>
  <si>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</si>
  <si>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69-kV breaker 1552 and assoc. switches</t>
  </si>
  <si>
    <t>East River</t>
  </si>
  <si>
    <t>capacitors PY7A, PY8A</t>
  </si>
  <si>
    <t>115-kV breaker and assoc. switches</t>
  </si>
  <si>
    <t>station service KZ1A and switch 1451</t>
  </si>
  <si>
    <t>12.47-kV switch 821, 823, 829</t>
  </si>
  <si>
    <t>City of Beresford</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</si>
  <si>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</si>
  <si>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</si>
  <si>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</si>
  <si>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</si>
  <si>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</si>
  <si>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</si>
  <si>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69/12.5-kV transformer KZ1A and switch 145</t>
  </si>
  <si>
    <t>12.5-kV breaker 124 and assoc. switches</t>
  </si>
  <si>
    <t>CPEC</t>
  </si>
  <si>
    <t>Bismarck</t>
  </si>
  <si>
    <t>230-kV breakers 182, 282, 382, 482, 582, 682, 782, 882, 986, 9182, 9282 and assoc. switches</t>
  </si>
  <si>
    <t>115-kV breaker 3462 and assoc. switches</t>
  </si>
  <si>
    <t>Capitol Electric</t>
  </si>
  <si>
    <t>Bismarck Reactor, UID 143157, Reactors, Breaker, Switches, station service</t>
  </si>
  <si>
    <t>230/115-kV transformers KV3A, KV8A</t>
  </si>
  <si>
    <t>12.5-kV switches 1527, 1529</t>
  </si>
  <si>
    <t>USBR</t>
  </si>
  <si>
    <t>115-kV breakers 3062, 3162, 3362, 3562 and assoc. switches</t>
  </si>
  <si>
    <t>12.47-kV interrupters 2323, 2325</t>
  </si>
  <si>
    <t>maintenance buildings ss</t>
  </si>
  <si>
    <t>station service KW4A, KW4E, KW4F, T1, T4 and assoc. switches</t>
  </si>
  <si>
    <t>Reactor breakers 1324, 1824 and assoc. switches</t>
  </si>
  <si>
    <t xml:space="preserve">12.47 current limiting reactors KW3A, KW8A and interupters 321, 821 </t>
  </si>
  <si>
    <t>Bole</t>
  </si>
  <si>
    <t>230-kV switches 182, 282, 481, 482</t>
  </si>
  <si>
    <t>69-kV breaker 1452 and 1252 and assoc. switches</t>
  </si>
  <si>
    <t>NWMT</t>
  </si>
  <si>
    <t xml:space="preserve">station service KW21A, switch 2123 </t>
  </si>
  <si>
    <t>230/69-kV transformer KV1A</t>
  </si>
  <si>
    <t>69-kV switches 1351, 1355</t>
  </si>
  <si>
    <t>69-kV breaker 1152 and assoc. switches</t>
  </si>
  <si>
    <t>1b, 2</t>
  </si>
  <si>
    <t>Sun River Electric Cooperative and NorthWestern MT</t>
  </si>
  <si>
    <t>Bonesteel</t>
  </si>
  <si>
    <t>115-kV breakers 664, 764 and assoc. switches</t>
  </si>
  <si>
    <t>115-kV breaker 362 and assoc. switches</t>
  </si>
  <si>
    <t>capacitors PY6A, PY7A</t>
  </si>
  <si>
    <t>115/12.47-kV transformer KY1A</t>
  </si>
  <si>
    <t>115-kV switches 46x, 26x</t>
  </si>
  <si>
    <t>12.47-kV breaker 1422 and assoc. switches</t>
  </si>
  <si>
    <t>Rosebud Electric</t>
  </si>
  <si>
    <t>station service KW1A, switch 1521</t>
  </si>
  <si>
    <t>Brookings</t>
  </si>
  <si>
    <t>115-kV breakers 952, 1162, 1266, 1462, 1466, 1562,1662,1666, 1762, 1766 and assoc. switches</t>
  </si>
  <si>
    <t>115-kV breakers 1262, 1362 and assoc. switches</t>
  </si>
  <si>
    <t>City of Brookings</t>
  </si>
  <si>
    <t>capacitors PY21A and PY20A, breakers 2164, 2064</t>
  </si>
  <si>
    <t>station service KW1A, KW21A and assoc. switches</t>
  </si>
  <si>
    <t>One East River member and two municipal customers served through KY1A (Sioux Valley Energy, City of White, and City of Volga)</t>
  </si>
  <si>
    <t>69 kV breaker 952, 1052 and assoc. switches</t>
  </si>
  <si>
    <t>One East River member and two municipal customers served through 1052 (Sioux Valley Energy, City of White, and City of Volga)</t>
  </si>
  <si>
    <t>Buford Trenton Pump</t>
  </si>
  <si>
    <t>All Excluded</t>
  </si>
  <si>
    <t>BFT</t>
  </si>
  <si>
    <t>Buford Trenton Tap</t>
  </si>
  <si>
    <t>Campbell County</t>
  </si>
  <si>
    <t>230-kV breakers 182, 282, 382 and assoc. switches</t>
  </si>
  <si>
    <t>CD2</t>
  </si>
  <si>
    <t>Cando Tap 2</t>
  </si>
  <si>
    <t>69-kV switches 151,251</t>
  </si>
  <si>
    <t>69-kV switch 351</t>
  </si>
  <si>
    <t>Canyon Ferry</t>
  </si>
  <si>
    <t>100-kV breakers 162, 262, 266, 362, 366 and assoc. switches</t>
  </si>
  <si>
    <t>Carpenter</t>
  </si>
  <si>
    <t>230-kV breakers 182, 286, 382, 486 and assoc. switches</t>
  </si>
  <si>
    <t>Two East River members (Coddington Clark and Kingsbury)</t>
  </si>
  <si>
    <t>Customer Funded, Breaker 286 added to ring bus.</t>
  </si>
  <si>
    <t>station service KW1A, KW3A and assoc. switches</t>
  </si>
  <si>
    <t>CA</t>
  </si>
  <si>
    <t>Carrington</t>
  </si>
  <si>
    <t>115-kV breakers 262, 362 and assoc. switches, switch 161</t>
  </si>
  <si>
    <t>115-kV interrupter 162</t>
  </si>
  <si>
    <t>protection for non-included transformer (transformer not owned by Western)</t>
  </si>
  <si>
    <t>capacitor PX3A</t>
  </si>
  <si>
    <t>41.8-kV breakers 142, 242, 342, 442, 542, 642, 842 and assoc. switches</t>
  </si>
  <si>
    <t>Otter Tail and CPE</t>
  </si>
  <si>
    <t>station service KW9A and assoc. switches</t>
  </si>
  <si>
    <t>Charlie Creek</t>
  </si>
  <si>
    <t>345-kV breakers 4096, 4192 and assoc switches</t>
  </si>
  <si>
    <t xml:space="preserve">CR </t>
  </si>
  <si>
    <t>Circle</t>
  </si>
  <si>
    <r>
      <t xml:space="preserve">115-kV breakers </t>
    </r>
    <r>
      <rPr>
        <sz val="10"/>
        <rFont val="Calibri"/>
        <family val="2"/>
        <scheme val="minor"/>
      </rPr>
      <t>1462, 1562, 1666, 1764, 1864 and assoc. switches</t>
    </r>
  </si>
  <si>
    <t>115-kV breaker 1162 and assoc. switches</t>
  </si>
  <si>
    <t>Keystone</t>
  </si>
  <si>
    <t>capacitors PY17A, PY18A</t>
  </si>
  <si>
    <t>115-kV breaker 1262, 1362 and assoc. switches</t>
  </si>
  <si>
    <t>McCone</t>
  </si>
  <si>
    <t>reactor KY17A</t>
  </si>
  <si>
    <t>115/34.5-kV transformer KY12A</t>
  </si>
  <si>
    <t>station service KX9A, switches 94x</t>
  </si>
  <si>
    <t>34.5-kV breaker 142 and assoc. switches</t>
  </si>
  <si>
    <t>Conrad</t>
  </si>
  <si>
    <t>230-kV breakers 182, 382, 482 and assoc. switches</t>
  </si>
  <si>
    <t>115-kV breaker 1062 and assoc. switches</t>
  </si>
  <si>
    <t>Sun River</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</si>
  <si>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</si>
  <si>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</si>
  <si>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</si>
  <si>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</si>
  <si>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</si>
  <si>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</si>
  <si>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</si>
  <si>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</si>
  <si>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</si>
  <si>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</si>
  <si>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</si>
  <si>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</si>
  <si>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</si>
  <si>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</si>
  <si>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</si>
  <si>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</si>
  <si>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</si>
  <si>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</si>
  <si>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</si>
  <si>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69-kV breakers 2252, 2352 and assoc. switches</t>
  </si>
  <si>
    <t>Yellowstone Valley and Mid-Yellowstone</t>
  </si>
  <si>
    <t>station service KW2A and assoc. switches</t>
  </si>
  <si>
    <t>reactor KW1B and assoc. switches</t>
  </si>
  <si>
    <t>230/69/12.47-kV transformer KV1A</t>
  </si>
  <si>
    <t>reactor KZ2A, 69-kV breaker 2152 and assoc. switches</t>
  </si>
  <si>
    <t>Custer Trail</t>
  </si>
  <si>
    <t>Dawson County</t>
  </si>
  <si>
    <t>115-kV breakers 162, 262, 362, 462, 662, 762, 862 and assoc. switches</t>
  </si>
  <si>
    <t>115-kV switch 1061</t>
  </si>
  <si>
    <t>230-kV breakers 2282, 2382, 2482, 2582, 2682 and assoc switches</t>
  </si>
  <si>
    <t>230/115-kV transformer KU5A</t>
  </si>
  <si>
    <t>reactor KY8A</t>
  </si>
  <si>
    <t>station service KZ2B, KW2B and assoc. switches</t>
  </si>
  <si>
    <t>reactors KZ1A, KZ2A, KZ3A, breakers 3122, 3222, 3322 and assoc. switches</t>
  </si>
  <si>
    <t>Denbigh Tap</t>
  </si>
  <si>
    <t>115kV breakers 1362, 1562 and assoc switches</t>
  </si>
  <si>
    <t>Switches 1460, 1461</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</si>
  <si>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</si>
  <si>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</si>
  <si>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</si>
  <si>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</si>
  <si>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</si>
  <si>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</si>
  <si>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2552, 2652, 2754, 2952, 5152 and assoc. switches</t>
  </si>
  <si>
    <t>capacitors PZ27A, PZ22A</t>
  </si>
  <si>
    <t>reactors KZ27A, KZ22A</t>
  </si>
  <si>
    <t>station service KW30B, KW20C and assoc. switches</t>
  </si>
  <si>
    <t>Devaul</t>
  </si>
  <si>
    <t>Devils Lake</t>
  </si>
  <si>
    <t>115-kV breakers 1162, 1262, 1362, 1462, 1564, 1664, 1762, 1882 and assoc. switches</t>
  </si>
  <si>
    <t>41.8-kV breaker 1442 and assoc. switches</t>
  </si>
  <si>
    <t>Otter Tail normally open-emergency tie</t>
  </si>
  <si>
    <t>50 percent of 115/41.8-kV transformer KY14A</t>
  </si>
  <si>
    <t>capacitors and maintenance building</t>
  </si>
  <si>
    <t>12.5-kV breaker 1122 and assoc. switches</t>
  </si>
  <si>
    <t>Minnkota</t>
  </si>
  <si>
    <t>41.8-kV breaker 244 and assoc. switches</t>
  </si>
  <si>
    <t>Cap bank breaker</t>
  </si>
  <si>
    <t>capacitors PX2A, PX15A, PY16A and assoc. switches</t>
  </si>
  <si>
    <t>station service KX3A and KW4A and assoc. switches</t>
  </si>
  <si>
    <t>transformers KX3B, KW4B and assoc. switches</t>
  </si>
  <si>
    <t>warehouse and maintenance buildings</t>
  </si>
  <si>
    <t>Eagle Butte</t>
  </si>
  <si>
    <t>115-kV breakers 162, 262, 462, 662 and assoc. switches</t>
  </si>
  <si>
    <t>115/69-kV transformer KY1A and 115-kV interrupter 762</t>
  </si>
  <si>
    <t>Station Service KW1A, KW2A and assoc. switches</t>
  </si>
  <si>
    <t>69-kV breaker 1752 and assoc. switches</t>
  </si>
  <si>
    <t>Moreau Grand</t>
  </si>
  <si>
    <t>Edgeley</t>
  </si>
  <si>
    <t xml:space="preserve">115-kV breakers 462, 562, 662, 762 and assoc. switches </t>
  </si>
  <si>
    <t>115/41.8-kV transformer KY2A</t>
  </si>
  <si>
    <t>115/69-kV transformer KY6A</t>
  </si>
  <si>
    <t>115-kV breaker 362</t>
  </si>
  <si>
    <t>69-kV breaker 1352 and assoc. switches</t>
  </si>
  <si>
    <t>41.8-kV breaker 2342 and assoc. switches</t>
  </si>
  <si>
    <t>Otter Tail</t>
  </si>
  <si>
    <t>capacitor KW31A, breaker 3124 and assoc. switches</t>
  </si>
  <si>
    <t>69-kV breaker 1252 and assoc. switches</t>
  </si>
  <si>
    <t>Elk Creek</t>
  </si>
  <si>
    <t xml:space="preserve">115-kV breakers 1162, 1262, 1462 and assoc switches </t>
  </si>
  <si>
    <t>115-kV ground switch 1160</t>
  </si>
  <si>
    <t>station service KY22A, switches 2261, 2221</t>
  </si>
  <si>
    <t>Elliot</t>
  </si>
  <si>
    <t>115-kV breakers 262, 362, 462 and assoc switches</t>
  </si>
  <si>
    <t>115-kV interrupter 2063 and assoc. switches, 115-kV switch 369</t>
  </si>
  <si>
    <t>Enderlin Tap</t>
  </si>
  <si>
    <t>115-kV switches 176x, 196x</t>
  </si>
  <si>
    <t>Interrupter 1862 and assoc. switches</t>
  </si>
  <si>
    <t>Exira</t>
  </si>
  <si>
    <t>161-kV breakers 162, 166, 262, 362, 366, 462, 562, 662 and assoc. switches</t>
  </si>
  <si>
    <t>Switches 169, 369, 569</t>
  </si>
  <si>
    <t>Generator Lead</t>
  </si>
  <si>
    <t>station service KHA</t>
  </si>
  <si>
    <t>Fairview West</t>
  </si>
  <si>
    <t>115-kV breakers 162, 262, 362, 462 and assoc. switches</t>
  </si>
  <si>
    <t>transformer KY20A for station service, switches 2011, 2061</t>
  </si>
  <si>
    <t>Faith</t>
  </si>
  <si>
    <t>115-kV switches 16x and 26x</t>
  </si>
  <si>
    <t>115/12.47-kV tranformer KY1A and 115-kV interrupter 362</t>
  </si>
  <si>
    <t>12.47-kV breaker 1022 and assoc. switches</t>
  </si>
  <si>
    <t>City of Faith</t>
  </si>
  <si>
    <t>Fallon Pumping</t>
  </si>
  <si>
    <t>Fallon Relift</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</si>
  <si>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</si>
  <si>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</si>
  <si>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</si>
  <si>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</si>
  <si>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</si>
  <si>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</si>
  <si>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</si>
  <si>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</si>
  <si>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</si>
  <si>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</si>
  <si>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</si>
  <si>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</si>
  <si>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</si>
  <si>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</si>
  <si>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</si>
  <si>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</si>
  <si>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12.47-kV switches 3121, 3122, 3123, 3129, 3223</t>
  </si>
  <si>
    <t>City of Flandreau</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</si>
  <si>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</si>
  <si>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</si>
  <si>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</si>
  <si>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</si>
  <si>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breakers 2152, 2252 and assoc. switches</t>
  </si>
  <si>
    <t>One East River member, two municipal customers and Basin generation served through 2152 and 2252 (Sioux Valley Energy, City of Colman, and City of Madison)</t>
  </si>
  <si>
    <t>Forman</t>
  </si>
  <si>
    <t>115-kV breakers 1162, 1362, 1462, 1562, 1764 and assoc switches</t>
  </si>
  <si>
    <t>69-kV breaker 452 and assoc. switches</t>
  </si>
  <si>
    <t>capacitor PY7A</t>
  </si>
  <si>
    <t>69/41.8-kV transformer KZ3A and 69-kV switches 353, 355</t>
  </si>
  <si>
    <t>station service KW9A, switches 92x</t>
  </si>
  <si>
    <t>115-kV breaker 1662 and assoc. switches</t>
  </si>
  <si>
    <t>115/69-kV transformer KY1A, switches 126x</t>
  </si>
  <si>
    <t>41.8-kV breaker 2142 and assoc. switches</t>
  </si>
  <si>
    <t xml:space="preserve">Otter Tail </t>
  </si>
  <si>
    <t>69-kV breakers 152, 252, 452 and assoc. switches</t>
  </si>
  <si>
    <t>41.8/12.5-kV transformer KX6A and switch 1443</t>
  </si>
  <si>
    <t>69-kV switches 353, 355</t>
  </si>
  <si>
    <t>12.5-kV breaker 2222 and assoc. switches</t>
  </si>
  <si>
    <t>Dakota Valley</t>
  </si>
  <si>
    <t>Fort Thompson</t>
  </si>
  <si>
    <t>230-kV breakers 582, 586, 682, 782, 786, 882, 1182, 1186, 1282, 1382, 1386, 1482, 1582, 1586, 1682, 1782, 1786, 1882, 2382, 2386, 2482 and assoc. switches</t>
  </si>
  <si>
    <t>69-kV breaker 4452 and assoc. switches</t>
  </si>
  <si>
    <t>West Central</t>
  </si>
  <si>
    <t>230-kV switches 181, 281, 381, 2583, 2683</t>
  </si>
  <si>
    <t>230/69-kV transformers KV1B, KV1A</t>
  </si>
  <si>
    <t>13.8-kV switches 121, 221, 253, 153, 6323, 6321, 6022, 3121, 3221</t>
  </si>
  <si>
    <t>station service KW1A, KW1B and assoc switches</t>
  </si>
  <si>
    <r>
      <t xml:space="preserve">69-kV breakers </t>
    </r>
    <r>
      <rPr>
        <sz val="10"/>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</si>
  <si>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</si>
  <si>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</si>
  <si>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</si>
  <si>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</si>
  <si>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</si>
  <si>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</si>
  <si>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</si>
  <si>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</si>
  <si>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</si>
  <si>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Frazer Pumping</t>
  </si>
  <si>
    <t>Glendive</t>
  </si>
  <si>
    <t>115-kV switch 362</t>
  </si>
  <si>
    <t>2 customers - MDU and Lower Yellowstone</t>
  </si>
  <si>
    <t>GGT</t>
  </si>
  <si>
    <t>Glendive Pumping No. 1 Tap</t>
  </si>
  <si>
    <t>Glendive Pumping No. 1</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</si>
  <si>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</si>
  <si>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</si>
  <si>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</si>
  <si>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</si>
  <si>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</si>
  <si>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</si>
  <si>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</si>
  <si>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</si>
  <si>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PZ34A, PZ33B, breaker 3452 and assoc. switches</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</si>
  <si>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</si>
  <si>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</si>
  <si>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</si>
  <si>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</si>
  <si>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</si>
  <si>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</si>
  <si>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</si>
  <si>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</si>
  <si>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</si>
  <si>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</si>
  <si>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</si>
  <si>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</si>
  <si>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69-kV breakers 4352, 4452, 4552, 4652 and assoc. switches</t>
  </si>
  <si>
    <t>GRE normally open and Minn. Valley</t>
  </si>
  <si>
    <t>capacitors PV1A, PV11A</t>
  </si>
  <si>
    <t>115/69-kV transformer KY2A</t>
  </si>
  <si>
    <t>reactors KV1A, KV11A</t>
  </si>
  <si>
    <t>115-kV breaker 2862, 3262 and assoc. switches</t>
  </si>
  <si>
    <t>reactors KW3A, KW54A, KW55A, KW56A, KW57A</t>
  </si>
  <si>
    <t>13.8-kV breakers 5424, 5524, 5624, 5724 with assoc. switches and switches 5121, 5123</t>
  </si>
  <si>
    <t>115-kV breakers 2062, 2262, 2366, 2762, 2862,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</si>
  <si>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</si>
  <si>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</si>
  <si>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</si>
  <si>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</si>
  <si>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</si>
  <si>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</si>
  <si>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</si>
  <si>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161-kV breaker 162 and assoc switchers</t>
  </si>
  <si>
    <t>station service KW1A and switch 221</t>
  </si>
  <si>
    <t>Gregory</t>
  </si>
  <si>
    <t>115-kV breakers 1166, 1366, 1566, 1662 and assoc. switches</t>
  </si>
  <si>
    <t>115-kV Disconnect Switch 1523</t>
  </si>
  <si>
    <t>The substation was rebuilt to a ring bus.</t>
  </si>
  <si>
    <t>station service KY13A1 and switch 1323</t>
  </si>
  <si>
    <t>Groton</t>
  </si>
  <si>
    <t xml:space="preserve">115-kV  breakers 262, 562, 862, 966 and assoc. switches </t>
  </si>
  <si>
    <t>115-kV interrupters 1062, 1262 and assoc. switches</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</si>
  <si>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</si>
  <si>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</si>
  <si>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</si>
  <si>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</si>
  <si>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</si>
  <si>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</si>
  <si>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</si>
  <si>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</si>
  <si>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</si>
  <si>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station service KW4A</t>
  </si>
  <si>
    <t>Havre</t>
  </si>
  <si>
    <t>161-kV breakers 162, 262, 362 and assoc. switches</t>
  </si>
  <si>
    <t>12.5-kV breaker 822 and assoc. switches</t>
  </si>
  <si>
    <t>Hill County</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</si>
  <si>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</si>
  <si>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</si>
  <si>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</si>
  <si>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</si>
  <si>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</si>
  <si>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</si>
  <si>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</si>
  <si>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</si>
  <si>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230-kV switches 989 and 589</t>
  </si>
  <si>
    <t>Hilken</t>
  </si>
  <si>
    <t>230-kV breakers 186, 386, 482 and assoc. switches</t>
  </si>
  <si>
    <t>take-off structure to Baldwin Wind</t>
  </si>
  <si>
    <t>generator lead</t>
  </si>
  <si>
    <t>Huron</t>
  </si>
  <si>
    <t>230-kV breakers 582, 586, 682, 782, 786, 882 and assoc. switches, switches 181, 281</t>
  </si>
  <si>
    <t>115-kV switches 1261, 1265</t>
  </si>
  <si>
    <t>Take over ownership of 230-kV Breaker 682 and assoc. switches, which was already qualified for AI inclusion.</t>
  </si>
  <si>
    <t>230/115-kV transformers KV1A, KV1B</t>
  </si>
  <si>
    <t>reactors KW1A, KW3A, breakers 132, 332 and assoc. switches</t>
  </si>
  <si>
    <t>69-kV breakers 1952, 2052 and assoc. switches</t>
  </si>
  <si>
    <t>station service KW1C, KW1D and assoc. switches</t>
  </si>
  <si>
    <t>115-kV breakers 1062, 1162, 1362, 1962 and assoc. switches, switches 126x, 1761</t>
  </si>
  <si>
    <t>Intake</t>
  </si>
  <si>
    <t>INP</t>
  </si>
  <si>
    <t>Intake Pumping</t>
  </si>
  <si>
    <t>JT</t>
  </si>
  <si>
    <t>Jamestown</t>
  </si>
  <si>
    <t>230-kV breakers 3182, 3282, 3382, 3482, 3582, 3682, 3782, 3882, 3982, 9182, 9282 and assoc switches</t>
  </si>
  <si>
    <t>115/41.8-kV transformers KY1A and KY2A</t>
  </si>
  <si>
    <t>Customer Funded, add Breaker 9282 (redundant sectionalizing breaker).</t>
  </si>
  <si>
    <t>115-kV breakers 162, 262, 362, 462, 562, 762, 1864, 1964, 2064 and assoc switches</t>
  </si>
  <si>
    <t>not 662 - to OTP N.O.</t>
  </si>
  <si>
    <t>115-kV breaker 662 and assoc. switches</t>
  </si>
  <si>
    <t>capacitors PY20A, PY19A</t>
  </si>
  <si>
    <t>41.8-kV breaker 1142 and assoc. switches</t>
  </si>
  <si>
    <t>Otter Tail, Normally Open - emergency tie</t>
  </si>
  <si>
    <t>reactors KY20A, KY19A, KY7A</t>
  </si>
  <si>
    <t>12.47-kV breaker 1522, 1722 and assoc. switches</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</si>
  <si>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</si>
  <si>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</si>
  <si>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</si>
  <si>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</si>
  <si>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</si>
  <si>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</si>
  <si>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</si>
  <si>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115/41.8-kV transformer KY4A and switch 469</t>
  </si>
  <si>
    <t>Capacitor PY2A, 115-kV breaker 264 and assoc. switches</t>
  </si>
  <si>
    <t>41.8-kV breaker 442, 642 and switches 343, 345</t>
  </si>
  <si>
    <t>MDU and Upper Mo.</t>
  </si>
  <si>
    <t>station service KY1A, switch 3163, KX3A and assoc. switches</t>
  </si>
  <si>
    <t>Lakota</t>
  </si>
  <si>
    <t>115-kV breaker 162 and assoc switches</t>
  </si>
  <si>
    <t>12.5-kV breaker 1022 and assoc. switches</t>
  </si>
  <si>
    <t>City of Lakota</t>
  </si>
  <si>
    <t>station service KW1A, switches 825, 921</t>
  </si>
  <si>
    <t>69-kV breaker 152 and assoc. switches</t>
  </si>
  <si>
    <t>115/69-kV transformer KY1A, switches 362, 363</t>
  </si>
  <si>
    <t>Leeds</t>
  </si>
  <si>
    <t>115-kV breakers 262, 362, 462, 562 and assoc. switches</t>
  </si>
  <si>
    <t>69/12.5-kV transformer KZ3A and switch 645</t>
  </si>
  <si>
    <t>capacitor PZ4A, breaker 744 and assoc. switches</t>
  </si>
  <si>
    <t>12.5-kV breaker 624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</si>
  <si>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</si>
  <si>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</si>
  <si>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</si>
  <si>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</si>
  <si>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</si>
  <si>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</si>
  <si>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</si>
  <si>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</si>
  <si>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</si>
  <si>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</si>
  <si>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2466, 2362, 2562 and assoc. switches</t>
  </si>
  <si>
    <t>115/34.5-kV tranformer KY1A and breaker 1962 and assoc. switches</t>
  </si>
  <si>
    <t>station service KW18A and switches 1821, 1823</t>
  </si>
  <si>
    <t>115 kV breaker 1962 and assoc switches</t>
  </si>
  <si>
    <t>Maurine</t>
  </si>
  <si>
    <t>230-kV breakers 182, 282, 582 and assoc. switches</t>
  </si>
  <si>
    <t>115/69-kV transformer KY1A and breaker 1262 and assoc. switches</t>
  </si>
  <si>
    <t>115-kV breaker 1762</t>
  </si>
  <si>
    <t>115-kV breakers 1262, 1362, 1462, 1562, 1662, 1964, 2064 and assoc switches</t>
  </si>
  <si>
    <t>69-kV breaker 2252 and assoc. switches</t>
  </si>
  <si>
    <t>Grand Electric</t>
  </si>
  <si>
    <t>capacitors PY19A, PY20A</t>
  </si>
  <si>
    <t>reactors KY19A, KY20A</t>
  </si>
  <si>
    <t>reactor KW32A, breaker 3224 and assoc switches</t>
  </si>
  <si>
    <t>station service KW30A, KW31A and assoc switches</t>
  </si>
  <si>
    <t>Midland</t>
  </si>
  <si>
    <t>115-kV switches 16x and 26x / switch 361</t>
  </si>
  <si>
    <t>Capacity Rights in 115/69 kV Transformer KY1A</t>
  </si>
  <si>
    <t>station service KW20A, switches 2031, 2011, 3011</t>
  </si>
  <si>
    <t>Miles City</t>
  </si>
  <si>
    <t>2 customers (MDU, Kinsey Irrigation)</t>
  </si>
  <si>
    <t>Miles City 2</t>
  </si>
  <si>
    <t>230-kV breakers 382, 386, 482, 582 and assoc. switches and switch 783</t>
  </si>
  <si>
    <t>115-kV breakers 1262, 1362, 1462, 1662 and assoc. switches, switches 1161 and 1165</t>
  </si>
  <si>
    <t>reactor KW7A, breaker 724 and assoc switches</t>
  </si>
  <si>
    <t>capacitor KPY5A, breaker 1562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</si>
  <si>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</si>
  <si>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</si>
  <si>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</si>
  <si>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</si>
  <si>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</si>
  <si>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</si>
  <si>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</si>
  <si>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</si>
  <si>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</si>
  <si>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115/24.9-kV transformer KY1A and interrupter 362</t>
  </si>
  <si>
    <t>Cherry-Todd</t>
  </si>
  <si>
    <t>reactors KY30A, KY31A, KY7A</t>
  </si>
  <si>
    <t>capacitors PY30A, PY31A</t>
  </si>
  <si>
    <t>115-kV breakers 764, 3064, 3164 and assoc. switches</t>
  </si>
  <si>
    <t>station service KX2A, KX1A and switches 243x, 253x</t>
  </si>
  <si>
    <t>Morris</t>
  </si>
  <si>
    <t>230-kV breakers 182, 382, 482, 582 and assoc switches</t>
  </si>
  <si>
    <t>41.8-kV breakers 3132, 3232, 3332 and assoc switches</t>
  </si>
  <si>
    <t>115/41.8-kV transformer KY3A</t>
  </si>
  <si>
    <t>115-kV breakers 1162, 1462, 1562, 1762 and assoc switches</t>
  </si>
  <si>
    <t>115-kV breaker 1362 and assoc switches</t>
  </si>
  <si>
    <t>station service KW1B and switches 512x</t>
  </si>
  <si>
    <t>Mount Vernon</t>
  </si>
  <si>
    <t>115-kV breakers 162, 262, 662 and assoc switches</t>
  </si>
  <si>
    <t>69-kV breaker 1852 and assoc. switches</t>
  </si>
  <si>
    <t>station service KW10A and assoc switches</t>
  </si>
  <si>
    <t>One East River member and one municipal customer served through KY1A and East River 1952 (Central and City of Plankinton)</t>
  </si>
  <si>
    <t>NAT</t>
  </si>
  <si>
    <t>Nashua Tap</t>
  </si>
  <si>
    <t>Nelson Tap</t>
  </si>
  <si>
    <t>Switch 1861</t>
  </si>
  <si>
    <t>New Underwood</t>
  </si>
  <si>
    <t>230-kV breakers 282, 382, 384, 484, 582, 682, 782, 882, 986, 9182, 9282 and assoc switches</t>
  </si>
  <si>
    <t>13.8 kV interrupter 4423 and assoc. switch</t>
  </si>
  <si>
    <t>reactor KV3A, KV4A</t>
  </si>
  <si>
    <t>115-kV breaker 1962 and assoc. switches</t>
  </si>
  <si>
    <t>230/115-kV transformers KV2A, KV1A</t>
  </si>
  <si>
    <t>115-kV breakers 1262, 1362, 1462, 1562, 1662, 1866, 8162, 8262 and assoc switches</t>
  </si>
  <si>
    <t>13.8-kV breaker 4522, 4022, 4122, 4222 and assoc switches</t>
  </si>
  <si>
    <t>reactor KW45A, KW40A, KW41A, KW42A</t>
  </si>
  <si>
    <t>Newell</t>
  </si>
  <si>
    <t>115-kV breakers 1162, 1362 and assoc switches and switch 1262</t>
  </si>
  <si>
    <t>2 customers: Butte Electric and West River</t>
  </si>
  <si>
    <t>Station Service KW1A and assoc equipment</t>
  </si>
  <si>
    <t>NBD</t>
  </si>
  <si>
    <t>North Bend</t>
  </si>
  <si>
    <t>230-kV breakers 182, 682, 782, 886 and assoc switches</t>
  </si>
  <si>
    <t>ring bus, generator and customer</t>
  </si>
  <si>
    <t>Customer funded 230-kV 4 breaker ring switching station added due to GIA and customer interconnection request.</t>
  </si>
  <si>
    <t>station service KW21A and switch 6683</t>
  </si>
  <si>
    <t>12.47-kV breaker 522 and assoc. switches and equipment</t>
  </si>
  <si>
    <t>MDU</t>
  </si>
  <si>
    <t>O'Fallon Creek</t>
  </si>
  <si>
    <t>115-kV breakers 162, 262, 362 and assoc switches</t>
  </si>
  <si>
    <t>2 customers: Buffalo Rapids Irrigation and Tongue River Electric</t>
  </si>
  <si>
    <t>69kV breaker 452 and assoc switches</t>
  </si>
  <si>
    <t>Station Service KW1B</t>
  </si>
  <si>
    <t>O'Neill</t>
  </si>
  <si>
    <t>115-kV interrupters and switches</t>
  </si>
  <si>
    <t>PY</t>
  </si>
  <si>
    <t>Pace Yellowtail</t>
  </si>
  <si>
    <t>230-kV breakers IH278, IH296 and assoc switches</t>
  </si>
  <si>
    <t>Penn Tap</t>
  </si>
  <si>
    <t>Philip</t>
  </si>
  <si>
    <t>115-kV breakers 1462, 1562, 1762, 1862 and assoc switches</t>
  </si>
  <si>
    <t>115/69-kV transformer KY1A and switches 1963</t>
  </si>
  <si>
    <t>station service KW32A, KW31A and assoc switches</t>
  </si>
  <si>
    <t>69-kV breaker 2152 and assoc. switches</t>
  </si>
  <si>
    <t>Pierre</t>
  </si>
  <si>
    <t>115-kV breakers 162, 362, 662, 862 and assoc switches</t>
  </si>
  <si>
    <t>115/12.47-kV transformer KY1A and 115-kV interrupter 762</t>
  </si>
  <si>
    <t>115-kV switches 563, 565, 761</t>
  </si>
  <si>
    <t>12.47-kV breakers 2212, 2312, 2412 and assoc. switches</t>
  </si>
  <si>
    <t>City of Pierre</t>
  </si>
  <si>
    <t>station service KW1A, KW2A, KW1B, switches 271x, 281x, 302x</t>
  </si>
  <si>
    <t>Station Service KW1D, KW1E, KW1F and assoc switches</t>
  </si>
  <si>
    <t>Pleasant Lake Tap</t>
  </si>
  <si>
    <t>115-kV switches 56x, 66x</t>
  </si>
  <si>
    <t>Rapid City</t>
  </si>
  <si>
    <t>115-kV breakers 162, 262, 362, 462, 562, 664, 766, 862, 2164 and assoc switches</t>
  </si>
  <si>
    <t xml:space="preserve">115/12.47-kV transformer KY1A </t>
  </si>
  <si>
    <t>reactors KY10A, KY21A</t>
  </si>
  <si>
    <t>capacitors PY6A, PY21A</t>
  </si>
  <si>
    <t>station service KW20A, KW43A KW42A, switches 202x, 422x, 432x, 431x</t>
  </si>
  <si>
    <t>Richland</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</si>
  <si>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</si>
  <si>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</si>
  <si>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</si>
  <si>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</si>
  <si>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</si>
  <si>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</si>
  <si>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</si>
  <si>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</si>
  <si>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115/69/12.5-kV transformer KY1A and interrupter 362</t>
  </si>
  <si>
    <t>station service KW1A, switches 521, 523</t>
  </si>
  <si>
    <t>69-kV breaker 752 and assoc. switches</t>
  </si>
  <si>
    <t>12.5-kV breaker 422 and assoc. switches</t>
  </si>
  <si>
    <t>Rugby</t>
  </si>
  <si>
    <t>115-kV breakers 1262, 1362, 1462, 1566, 1662, 1762, 1864, 1966 and assoc switches</t>
  </si>
  <si>
    <t>115/41.8-kV transformer KY1A and breaker 1162 and assoc. switches</t>
  </si>
  <si>
    <t>capacitor PY8A</t>
  </si>
  <si>
    <t>reactor KY2A</t>
  </si>
  <si>
    <t>Station Service KX2A, KW1A and assoc. switches and equipment</t>
  </si>
  <si>
    <t>Savage Pumping</t>
  </si>
  <si>
    <t>Shelby</t>
  </si>
  <si>
    <t>Shelby 2</t>
  </si>
  <si>
    <r>
      <t xml:space="preserve">115-kV breakers 1062, </t>
    </r>
    <r>
      <rPr>
        <sz val="10"/>
        <rFont val="Calibri"/>
        <family val="2"/>
        <scheme val="minor"/>
      </rPr>
      <t>1362, 1462 and assoc. switches, switches 1263, 1265</t>
    </r>
  </si>
  <si>
    <t>reactor KW3A, breaker 3124 and assoc switches</t>
  </si>
  <si>
    <t>230-kV breakers 482, switches 481, 383, 281, 183</t>
  </si>
  <si>
    <t>Shirley Pumping</t>
  </si>
  <si>
    <t>Shirley Tap</t>
  </si>
  <si>
    <t>115-kV switches 561, 560</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</si>
  <si>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</si>
  <si>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</si>
  <si>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</si>
  <si>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</si>
  <si>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</si>
  <si>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</si>
  <si>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</si>
  <si>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</si>
  <si>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</si>
  <si>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</si>
  <si>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</si>
  <si>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Removal of Transformer KU1B / replace Transformer KU1A, remove switches 8291, 8281.</t>
  </si>
  <si>
    <t>reactor KU6A</t>
  </si>
  <si>
    <t>345/230-kV transformers KU1A, KU1B, switches 8091, 8081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</si>
  <si>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</si>
  <si>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</si>
  <si>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</si>
  <si>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</si>
  <si>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</si>
  <si>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115-kV breaker 862 and assoc. switches</t>
  </si>
  <si>
    <t>230/115-kV transformers KV3A, KV5A</t>
  </si>
  <si>
    <t>reactors KW31A, KW51A</t>
  </si>
  <si>
    <t>breakers 3124, 5124 and assoc switches</t>
  </si>
  <si>
    <t>station service KW33A, KW53A, KZ1A, switches 33xx, 53xx, 1851</t>
  </si>
  <si>
    <r>
      <t xml:space="preserve">115-kV breakers 1162, 262, 362, 462, 562, 662, 762, </t>
    </r>
    <r>
      <rPr>
        <sz val="10"/>
        <rFont val="Calibri"/>
        <family val="2"/>
        <scheme val="minor"/>
      </rPr>
      <t>966, 7162 and assoc switches</t>
    </r>
  </si>
  <si>
    <t>Spencer</t>
  </si>
  <si>
    <t>161-kV breakers 162,462,562, 662 and assoc switches</t>
  </si>
  <si>
    <t>69-kV breaker 1642 and assoc. switches</t>
  </si>
  <si>
    <t>City of Spencer</t>
  </si>
  <si>
    <t>Reactor PY6A</t>
  </si>
  <si>
    <t>161/69-kV transformer KY1A</t>
  </si>
  <si>
    <t>69-kV breakers 1142, 1242, 1342, 1442, 1542 and assoc switches</t>
  </si>
  <si>
    <t>to NIPCO and Wisdom Sub</t>
  </si>
  <si>
    <t>Stegall</t>
  </si>
  <si>
    <t>230 kV main and transfer bus, breaker 382 and assoc switches</t>
  </si>
  <si>
    <t>Reactor KV3A, breaker 384 and assoc. switches</t>
  </si>
  <si>
    <t>Sulpher</t>
  </si>
  <si>
    <t>115-kV breakers 162, 362, 462, and assoc switches</t>
  </si>
  <si>
    <t>station service KY31A1 and switch 3161</t>
  </si>
  <si>
    <t>Summit</t>
  </si>
  <si>
    <t xml:space="preserve">115-kV breakers 262, 362, 462, 562, 762, and assoc switches , switch 163 </t>
  </si>
  <si>
    <t>41.8-kV breakers 2142, 2242 and assoc. switches</t>
  </si>
  <si>
    <t>station service KZ1A, switch 1351</t>
  </si>
  <si>
    <t>115/41.8-kV transformer KY1B</t>
  </si>
  <si>
    <t>Four East River members served through KY1A (Whetstone, Lake Region, Traverse, and Codington-Clark)</t>
  </si>
  <si>
    <t>115-kV interupter 862 and switch 861</t>
  </si>
  <si>
    <t>69 kV breaker 1152 and assoc. switches</t>
  </si>
  <si>
    <t>Three East River members served through 1152 (Whetstone, Lake Region, and Traverse)</t>
  </si>
  <si>
    <t>Terry Pumping</t>
  </si>
  <si>
    <t>Terry Tap</t>
  </si>
  <si>
    <t>115-kV switches 160, 161, 260, 261, 361</t>
  </si>
  <si>
    <t>115/34.5-kV transformer KY1A and switch 363</t>
  </si>
  <si>
    <t>34.5-kV breaker 342 and assoc. switches</t>
  </si>
  <si>
    <t>Buffalo Rapids and MDU</t>
  </si>
  <si>
    <t>Tiber</t>
  </si>
  <si>
    <t>115-kV switches 1260, 1261</t>
  </si>
  <si>
    <t>2 customers (generator and Marias)</t>
  </si>
  <si>
    <t>115/12.5-kV transformer KY1A and breaker 1262</t>
  </si>
  <si>
    <t>12.5-kV breaker 122 and assoc. switches</t>
  </si>
  <si>
    <t>Towner</t>
  </si>
  <si>
    <t>115-kV breakers 2166, 2262, 2362, 2366 and assoc switches</t>
  </si>
  <si>
    <t>station service KY1A1</t>
  </si>
  <si>
    <t>Tyndall</t>
  </si>
  <si>
    <t>115-kV switches 16x, 26x, 361</t>
  </si>
  <si>
    <t>Station Service KZ1A and switches 351 and 751</t>
  </si>
  <si>
    <t>115-kV interrupter 362</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</si>
  <si>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</si>
  <si>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</si>
  <si>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</si>
  <si>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</si>
  <si>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</si>
  <si>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</si>
  <si>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69-kV breakers 344, 1144 and assoc. switches</t>
  </si>
  <si>
    <t>City of Valley City</t>
  </si>
  <si>
    <t>2 customers (Minnkota Power and City of Valley City)</t>
  </si>
  <si>
    <t>station service KW2A and switch 321</t>
  </si>
  <si>
    <t>Vetal Tap</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</si>
  <si>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</si>
  <si>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</si>
  <si>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</si>
  <si>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</si>
  <si>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</si>
  <si>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</si>
  <si>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</si>
  <si>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</si>
  <si>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</si>
  <si>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</si>
  <si>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115/12.47-kV transformer KY1B and interrupters 461 and 562</t>
  </si>
  <si>
    <t>station service KW1B, switch 821</t>
  </si>
  <si>
    <t>12.47-kV breaker 622 and assoc. switches</t>
  </si>
  <si>
    <t>West River</t>
  </si>
  <si>
    <t>Wanblee Tap</t>
  </si>
  <si>
    <t>115-kV interrupters 162 and 262 and assoc. switches</t>
  </si>
  <si>
    <t>Zero costs, customer funded</t>
  </si>
  <si>
    <t>Interrupter 462 and assoc. switches</t>
  </si>
  <si>
    <t>Ward</t>
  </si>
  <si>
    <t>230-kV breakers 182, 282, 286 and assoc switches</t>
  </si>
  <si>
    <t>230-kV Switch 889</t>
  </si>
  <si>
    <t>new 230-kV breaker in ring bus</t>
  </si>
  <si>
    <t>Washburn</t>
  </si>
  <si>
    <t>230-kV switches 18x, 28x</t>
  </si>
  <si>
    <t>230/41.8-kV transformer KU1A and breaker 282</t>
  </si>
  <si>
    <t>station service KX3A, KW9A and assoc switches</t>
  </si>
  <si>
    <t>41.8-kV breaker 342 and assoc. switches</t>
  </si>
  <si>
    <t>Otter Tail - emergency tie</t>
  </si>
  <si>
    <t>41.8 kV breaker 242 and assoc switches</t>
  </si>
  <si>
    <t>MPC and CPEC Blue Flint</t>
  </si>
  <si>
    <t>Watertown</t>
  </si>
  <si>
    <t>230-kV breakers 182, 282, 382, 482, 582, 682, 882, 984, 1082, 1182, 9182 and assoc switches</t>
  </si>
  <si>
    <t>69-kV breaker and assoc. switches</t>
  </si>
  <si>
    <t>reactor KV9A</t>
  </si>
  <si>
    <t>capacitor PV9A</t>
  </si>
  <si>
    <t>230/115-kV transformers KV2A, KV8A</t>
  </si>
  <si>
    <t>115-kV breakers 862, 1162, 1262, 1362, 1562, 1762, 1862, 1962, 8162 and assoc switches</t>
  </si>
  <si>
    <t>1, 1b</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</si>
  <si>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</si>
  <si>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</si>
  <si>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</si>
  <si>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</si>
  <si>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</si>
  <si>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</si>
  <si>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</si>
  <si>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</si>
  <si>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</si>
  <si>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</si>
  <si>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</si>
  <si>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</si>
  <si>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</si>
  <si>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</si>
  <si>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</si>
  <si>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</si>
  <si>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</si>
  <si>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</si>
  <si>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</si>
  <si>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</si>
  <si>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</si>
  <si>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</si>
  <si>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</si>
  <si>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230-kV switch 989</t>
  </si>
  <si>
    <t>generator outlet</t>
  </si>
  <si>
    <t>Station Service</t>
  </si>
  <si>
    <t>WH</t>
  </si>
  <si>
    <t>Whately</t>
  </si>
  <si>
    <t>69 kV switches 151, 351</t>
  </si>
  <si>
    <t>69/12.5-kV transformer KYA and switches 253, 257</t>
  </si>
  <si>
    <t>12.5-kV breaker 224 and assoc. switches</t>
  </si>
  <si>
    <t>Norval</t>
  </si>
  <si>
    <t>White</t>
  </si>
  <si>
    <t>345-kV breakers 292, 296, 392, 396, 492, 496, 592, 596 and assoc switches</t>
  </si>
  <si>
    <t>Take over ownership of 2462 from East River, which already was qualified for AI Inclusion.</t>
  </si>
  <si>
    <t>115-kV breakers 2262, 2362, 2462 and assoc switches</t>
  </si>
  <si>
    <t>345/115-kV transformer KU1A, switches 2163, 2165</t>
  </si>
  <si>
    <t>station service KWA, KWB switches 312x, 3311, 3511</t>
  </si>
  <si>
    <t>Neutral blocking device</t>
  </si>
  <si>
    <t>Wicksville</t>
  </si>
  <si>
    <t>115-kV breakers 162, 262, and assoc switches / switch 361</t>
  </si>
  <si>
    <t>Williston</t>
  </si>
  <si>
    <t>115-kV breakers 1162, 1262, 1362, 1462, 1562, 1662, 1762, 1866 and assoc switches</t>
  </si>
  <si>
    <t>60-kV breaker 3552 and assoc. switches</t>
  </si>
  <si>
    <t>MDU non-credited line</t>
  </si>
  <si>
    <t>Take over ownership of 1162 from Basin Electric, which already was qualified for AI Inclusion.</t>
  </si>
  <si>
    <t>to MDU</t>
  </si>
  <si>
    <t>Williston 2</t>
  </si>
  <si>
    <t xml:space="preserve">230-kV breakers 182, 286, 382, 482, 486, 582, 686 and assoc switches </t>
  </si>
  <si>
    <t>115-kV breaker 2562 and assoc. switches</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</si>
  <si>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</si>
  <si>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</si>
  <si>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</si>
  <si>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</si>
  <si>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</si>
  <si>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12.47-kV breakers 2222, 2422, 2523 and assoc. switches</t>
  </si>
  <si>
    <t>City of Winner and Rosebud Electric</t>
  </si>
  <si>
    <t>reactor KY10A</t>
  </si>
  <si>
    <t>capacitor PY10A, PY11A, switches 1160, 1161</t>
  </si>
  <si>
    <t>Wiota</t>
  </si>
  <si>
    <t>VAT</t>
  </si>
  <si>
    <t>Wiota Tap</t>
  </si>
  <si>
    <t>Wolf Point</t>
  </si>
  <si>
    <t>115-kV breakers 1362, 1562, 1662, 1762, 1862 and assoc switches/switches 1963, 1965</t>
  </si>
  <si>
    <t>115/34.5-kV transformer KY1A and switches 1963, 1965</t>
  </si>
  <si>
    <t>station service KW1A</t>
  </si>
  <si>
    <t>34.5-kV breakers 2142, 2242, 2342, 2442 and assoc. switches</t>
  </si>
  <si>
    <t>MDU and Norval</t>
  </si>
  <si>
    <t>12.5-kV breakers 3222, 3322, 3422 and assoc. switches</t>
  </si>
  <si>
    <t>Norval and McCone</t>
  </si>
  <si>
    <t>Woonsocket</t>
  </si>
  <si>
    <t>115-kV breakers 162, 262 and assoc switches/ switches 361 and 861</t>
  </si>
  <si>
    <t>34.5-kV breakers 442 and 542 and assoc. switches</t>
  </si>
  <si>
    <t>NWPS and City of Wessington Springs</t>
  </si>
  <si>
    <t>station service KX1A, KW1B and assoc switches</t>
  </si>
  <si>
    <t>115/69-kV transformer KY1B and 115-kV breaker 862</t>
  </si>
  <si>
    <t>Mobile Transformer 115/34.5-kV</t>
  </si>
  <si>
    <t>115-kV interupters 362 and 862 and assoc. switches, switch M263, M261</t>
  </si>
  <si>
    <t>Transmission Lines</t>
  </si>
  <si>
    <t>CANYON FERRY - LAKE HELENA</t>
  </si>
  <si>
    <t>CHARLIE CREEK - BEULAH</t>
  </si>
  <si>
    <t>230-kV</t>
  </si>
  <si>
    <t>DAWSON-WILLISTON</t>
  </si>
  <si>
    <t>Customer Funded, Moorhead Reactor, UID 143159, Structures, Relay, Meter, RTU.</t>
  </si>
  <si>
    <t>FORT PECK-DAWSON #1</t>
  </si>
  <si>
    <t>FORT PECK-DAWSON #2</t>
  </si>
  <si>
    <t>161-kV</t>
  </si>
  <si>
    <t>69-kV</t>
  </si>
  <si>
    <t>HAVRE-VERONA</t>
  </si>
  <si>
    <t>115-kV</t>
  </si>
  <si>
    <t>Oahe 230-kV Terminal Upgrades, UID 122734, Stuctures, Conductor.
Sully Buttes-Whitlock 230-kV Line Clearance increase, UID 143613, Structures
Whitlock-Glenham 230-kV Clearance Increase, UID 143614, Structures</t>
  </si>
  <si>
    <t>VERONA GREAT FALLS</t>
  </si>
  <si>
    <t>WATFORD CITY-BEULAH</t>
  </si>
  <si>
    <t>YELLOWTAIL-YELLOWTAIL (PACE)</t>
  </si>
  <si>
    <t>230-kV, 110 MW Capacity Rights on RMR Line</t>
  </si>
  <si>
    <t>O&amp;M Service &amp; Maintenance Centers</t>
  </si>
  <si>
    <t>Operation Centers</t>
  </si>
  <si>
    <t>New common SCADA</t>
  </si>
  <si>
    <t>Mobile Equipment</t>
  </si>
  <si>
    <t>Transmission-Related Generation Facilities</t>
  </si>
  <si>
    <t>Communication Facilities</t>
  </si>
  <si>
    <t>meters for NWMT NITS from Havre</t>
  </si>
  <si>
    <t>microwave, RTU</t>
  </si>
  <si>
    <t>Bison</t>
  </si>
  <si>
    <t>microwave alarm system</t>
  </si>
  <si>
    <t>Bowman</t>
  </si>
  <si>
    <t>RTU, Fiber (Nokia)</t>
  </si>
  <si>
    <t>meters for Central MT (Basin NITS)</t>
  </si>
  <si>
    <t>communications equipment</t>
  </si>
  <si>
    <t>microwave, RTU, SCADA</t>
  </si>
  <si>
    <t>fiber, microwave, SCADA</t>
  </si>
  <si>
    <t>radio, quarters, fence</t>
  </si>
  <si>
    <t>Fort Randall</t>
  </si>
  <si>
    <t>Multiplexer, Termination Equiment</t>
  </si>
  <si>
    <t>GLENHAM</t>
  </si>
  <si>
    <t>RTU, PTs</t>
  </si>
  <si>
    <t>HIGHLAND REPEATER</t>
  </si>
  <si>
    <t>meters NWMT NITS from Great Falls</t>
  </si>
  <si>
    <t>LODGEPOLE REPEATER</t>
  </si>
  <si>
    <t>RTU, SCADA</t>
  </si>
  <si>
    <t>Mandan</t>
  </si>
  <si>
    <t>multiplexer</t>
  </si>
  <si>
    <t>MILES CITY SUB (BEFP)</t>
  </si>
  <si>
    <t>antenna, meters for MDU</t>
  </si>
  <si>
    <t>Rhame</t>
  </si>
  <si>
    <t>fiber (nokia)</t>
  </si>
  <si>
    <t>SAVAGE</t>
  </si>
  <si>
    <t>land, steel structure, meter equipment</t>
  </si>
  <si>
    <t>meters to MDU</t>
  </si>
  <si>
    <t>fiber termination equipment</t>
  </si>
  <si>
    <t>TAPPEN COMMUNICATIONS SITE</t>
  </si>
  <si>
    <t>Verona</t>
  </si>
  <si>
    <t>comm, miltiplex, battery</t>
  </si>
  <si>
    <t>Whately (Northern)</t>
  </si>
  <si>
    <t>Instrument Transformer</t>
  </si>
  <si>
    <t>multiplexer, channel bank, SCADA</t>
  </si>
  <si>
    <t>Miles City Converter Station</t>
  </si>
  <si>
    <t>Rocky Mountain Region Facilities</t>
  </si>
  <si>
    <t>SGQ</t>
  </si>
  <si>
    <t>230-kV breakers 182, 282, 9182 and assoc switches</t>
  </si>
  <si>
    <t>Corps Switchyard Facilities</t>
  </si>
  <si>
    <t>Big Bend</t>
  </si>
  <si>
    <t>230-kV interrupters 1083, 7089, 4083 and assoc. switches</t>
  </si>
  <si>
    <t>230-kV interrupters 1081, 2081, 2081, 4081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</si>
  <si>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</si>
  <si>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</si>
  <si>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</si>
  <si>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</si>
  <si>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</si>
  <si>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</si>
  <si>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</si>
  <si>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</si>
  <si>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 962 and assoc. switches</t>
  </si>
  <si>
    <t>115-kV breakers 962, 966, 1562, 1556, 1662, 1666, 1762, 1766, 1862, 1866, 1962, 1966 and assoc switches</t>
  </si>
  <si>
    <t>2 - 230/115-kV transformers</t>
  </si>
  <si>
    <t>Garrison</t>
  </si>
  <si>
    <t>115-kV breakers 2062, 2066, 2162, 2166, 2262, 2266, 2362, 2366, 2462, 2466, 2562, 2566, 2662, 2666, 2769 and assoc switches</t>
  </si>
  <si>
    <t>115-kV breakers 462, 562 and assoc switches</t>
  </si>
  <si>
    <t>generator leads</t>
  </si>
  <si>
    <t>230-kV breakers 3389, 3482, 3486, 3682, 3686, 3782, 3786, 3882, 3886, 3982, 3986, 4082, 4086, 4182, 4186 and assoc switches, switches 33xx</t>
  </si>
  <si>
    <t>Gavins Point</t>
  </si>
  <si>
    <t>115-kV breakers 462, 562, 662, 762, 862 and assoc switches</t>
  </si>
  <si>
    <t>115-kV breakers 162, 262, 362 and assoc. switches</t>
  </si>
  <si>
    <t>Oahe</t>
  </si>
  <si>
    <t>230-kV breakers 2182, 2282, 2286, 2382, 2482, 2486, 2582, 2682, 2782, 2982, 3082 and assoc switches</t>
  </si>
  <si>
    <t>230-kV breakers 2882, 2482, 2486, 2082, 1162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</si>
  <si>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</si>
  <si>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</si>
  <si>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</si>
  <si>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</si>
  <si>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</si>
  <si>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</si>
  <si>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</si>
  <si>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</si>
  <si>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</si>
  <si>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0"/>
        <rFont val="Calibri"/>
        <family val="2"/>
      </rPr>
      <t>Zone 19 (Upper Missouri Zone) - Attachment AI Guidance Document"</t>
    </r>
    <r>
      <rPr>
        <sz val="10"/>
        <rFont val="Calibri"/>
        <family val="2"/>
        <scheme val="minor"/>
      </rPr>
      <t xml:space="preserve">, dated 06/14/2016, as prepared by the Attachment AI Working </t>
    </r>
  </si>
  <si>
    <t>Group in FERC docket ER15-1775-000.</t>
  </si>
  <si>
    <t>Worksheet 7 - Incremental Market Efficiency Use (IMEU) Share</t>
  </si>
  <si>
    <t>Miles City DC Tie Facilities</t>
  </si>
  <si>
    <t>Gross Plant in Service ($)</t>
  </si>
  <si>
    <t>Eligible IMEU Groups</t>
  </si>
  <si>
    <t>Loss of Life due to SPP Market Use (Variable)</t>
  </si>
  <si>
    <t>Gross Plant Totals: ($)</t>
  </si>
  <si>
    <t>% of Total</t>
  </si>
  <si>
    <t>Average Useful Life (Yrs)</t>
  </si>
  <si>
    <t>Pre-IMEU Depreciation Rate</t>
  </si>
  <si>
    <t>IMEU Depreciation Rate</t>
  </si>
  <si>
    <t>Group 1 - DC Valve Hall (Thyristors, etc.)</t>
  </si>
  <si>
    <t>Group 2 - Converter Transformers/LTCs</t>
  </si>
  <si>
    <r>
      <t xml:space="preserve">Group 3 - Reactive Switched </t>
    </r>
    <r>
      <rPr>
        <i/>
        <sz val="8"/>
        <rFont val="Calibri"/>
        <family val="2"/>
        <scheme val="minor"/>
      </rPr>
      <t>2/</t>
    </r>
  </si>
  <si>
    <t>Subtotal IMEU Eligible Equipment</t>
  </si>
  <si>
    <t>Prior Year True-up</t>
  </si>
  <si>
    <t>Total IMEU Share</t>
  </si>
  <si>
    <t>Non-Eligible DC Tie Equipment</t>
  </si>
  <si>
    <t>1/ From WS4-TransFac</t>
  </si>
  <si>
    <t>2/ East Reactive Switched Equipment (Use based upon dispatch) - Interruptors(Reactive Devices): 5684/5784/5884 (PV57A/KV58A), 5284/5384/5484 (KV53A/PV54A), 5184 (PV51A), 5584 (PV55A), 5984 (PV59A) -- West Reactive Switched Equipment (Use based upon dispatch) - Interruptors(Reactive Devices): 7184/7284/7384 (KV72A/PV73A), 7484/7584/7684 (PV75A/KV76A), 7784 (PV77A)</t>
  </si>
  <si>
    <t>Description:</t>
  </si>
  <si>
    <t>USEFUL LIFE (YRS):</t>
  </si>
  <si>
    <t>INTERRUPTER SWITCH</t>
  </si>
  <si>
    <t>S&amp;C MARK V CIRCUIT SWITCHERS, CENTER BREAK</t>
  </si>
  <si>
    <t>THYRISTOR VALVE</t>
  </si>
  <si>
    <t>VALUES 5,21,26,36,38,46,53,61,69,70,76,75</t>
  </si>
  <si>
    <t>EUPEC THYRISTOR VALVES-WEST HALL</t>
  </si>
  <si>
    <t>INTERRUPTER SWTCH</t>
  </si>
  <si>
    <t>REMOTE TERM UNIT</t>
  </si>
  <si>
    <t>DISCONNECT SWITCH</t>
  </si>
  <si>
    <t>CONTRIBU PART OF INTERRUPTER#5284</t>
  </si>
  <si>
    <t>CONT PART INTERRUPTER#5284</t>
  </si>
  <si>
    <t>SWITCHBOARD</t>
  </si>
  <si>
    <t>Contributed part of Control Boards</t>
  </si>
  <si>
    <t>CONTRIB PART OF CONTROL BOARDS</t>
  </si>
  <si>
    <t>CONTROL BOARDS: CHC2F/CHC3F/CHC4F/CHC8F/CHC9F</t>
  </si>
  <si>
    <t>CONTRIB PART OF CIRCUIT INTERRUPTER SWITCH 7784 &amp; 5984 PART 2 OF 2</t>
  </si>
  <si>
    <t>CONTRIB PART OF INTERRUPTER SWITCH 7784 &amp; 5984</t>
  </si>
  <si>
    <t>CIRCUIT INTERRUPTER SWITCHES 7784 &amp; 5984 (PART 1 OF 2)</t>
  </si>
  <si>
    <t>METAL ROOF COVERING</t>
  </si>
  <si>
    <t>35210.AIR CONDITIONER</t>
  </si>
  <si>
    <t>(2) AIR COND UNITS</t>
  </si>
  <si>
    <t>CONTRIB PART OF METAL ROOF COVERING</t>
  </si>
  <si>
    <t>CONTRIBUT PART OF METAL ROOF COVERING</t>
  </si>
  <si>
    <t>CONTRIB PART OF (2) AIR COND UNITS</t>
  </si>
  <si>
    <t>FAULT RECORDER</t>
  </si>
  <si>
    <t>DIGITAL FAULT RECORDER</t>
  </si>
  <si>
    <t>CA_DIGITAL FAULT RECORDER</t>
  </si>
  <si>
    <t>SWITCHBOARDS CHC5F &amp; CHC7F</t>
  </si>
  <si>
    <t>CA_SWITCHBOARDS CHC5F &amp; CHC7F</t>
  </si>
  <si>
    <t>(2) 230KV INTERRUPTER SWITCHES 5684, 5284</t>
  </si>
  <si>
    <t>CA_(2) 230KV INTERRUPTER SWITCHES 5684, 5284</t>
  </si>
  <si>
    <t>(2) 230kV INTERRUPTER SWITCHES 5684, 5284</t>
  </si>
  <si>
    <t>(2) 230kV INTERRUPTER SWITCHES 7184, 7484</t>
  </si>
  <si>
    <t>(2) 230kV INTERRUPTER SWITCHES 5784, 7584</t>
  </si>
  <si>
    <t>Contributed (2) 230kV INTERRUPTER SWITCHES 5784, 7584</t>
  </si>
  <si>
    <t>Contributed_(2) 230kV INTERRUPTER SWITCHES 5784, 7584</t>
  </si>
  <si>
    <t>Contributed (2) 230kV INTERRUPTER SWITCHES 7184, 7484</t>
  </si>
  <si>
    <t>Contributed_(2) 230kV INTERRUPTER SWITCHES 7184, 7484</t>
  </si>
  <si>
    <t>BATTERY</t>
  </si>
  <si>
    <t>STATION BATTERY BAT1 AND RACK (PART 1 OF 2)</t>
  </si>
  <si>
    <t>BATTERY CHARGER</t>
  </si>
  <si>
    <t>(2) STATION BATTERY CHARGERS BCHA, BCH2 (PART 1 OF 2)</t>
  </si>
  <si>
    <t>STATION BATTERY BAT1 AND RACK (PART 2 OF 2)</t>
  </si>
  <si>
    <t>CA_STATION BATTERY BAT1 AND RACK (PART 2 OF 2)</t>
  </si>
  <si>
    <t>(2) STATION BATTERY CHARGERS BCH1, BCH2 (PART 2 OF 2)</t>
  </si>
  <si>
    <t>CA_(2) STATION BATTERY CHARGERS BCH1, BCH2 (PART 2 OF 2)</t>
  </si>
  <si>
    <t>TELEPHONE SYS</t>
  </si>
  <si>
    <t>VOIP Telephone System (Part 1)</t>
  </si>
  <si>
    <t>VOIP Telephone System (Part 2)</t>
  </si>
  <si>
    <t>CA_VOIP Telephone System (Part 2)</t>
  </si>
  <si>
    <t>PWR TRANSFORMER</t>
  </si>
  <si>
    <t>LOAD TAP CHANGER KV64A</t>
  </si>
  <si>
    <t>CONTRIB PART OF TRANSFORMER KV64A</t>
  </si>
  <si>
    <t>CA_LOAD TAP CHANGER KV64A</t>
  </si>
  <si>
    <t>CA_LOAD TAP CHANGER KV84A</t>
  </si>
  <si>
    <t>LOAD TAP CHANGER KV84A</t>
  </si>
  <si>
    <t>CONTRIBUTED_LTC KV84A</t>
  </si>
  <si>
    <t>CA_230kV CIRCUIT SWITCHERS 5384 &amp; 7284</t>
  </si>
  <si>
    <t>230kV CIRCUIT SWITCHERS 5384 &amp; 7284</t>
  </si>
  <si>
    <t>WATER SUPPLY</t>
  </si>
  <si>
    <t>FIRE PROTECTION SYSTEM (PART 1 OF 3)</t>
  </si>
  <si>
    <t>OIL STORAGE TANK</t>
  </si>
  <si>
    <t>OIL CONTAINMENT SYSTEM (PART 1 OF 3)</t>
  </si>
  <si>
    <t>230kV CIRCUIT SWITCHER 5884 (PART 1 OF 3)</t>
  </si>
  <si>
    <t>230kV CIRCUIT SWITCHER 7684 (PART 1 OF 3)</t>
  </si>
  <si>
    <t>CONTRIBUTED PART OF FIRE PROTECTION SYSTEM (PART 2 OF 3)</t>
  </si>
  <si>
    <t>CA_CONTRIBUTED PART OF FIRE PROTECTION SYSTEM (PART 3 OF 3)</t>
  </si>
  <si>
    <t>CONTRIBUTED PART OF OIL CONTAINMENT SYSTEM (PART 2 OF 3)</t>
  </si>
  <si>
    <t>CA_CONTRIBUTED PART OF OIL CONTAINMENT SYSTEM (PART 3 OF 3)</t>
  </si>
  <si>
    <t>CONTRIBUTED PART OF 230KV CIRCUIT SWITCHER 5884 (PART 2 OF 3)</t>
  </si>
  <si>
    <t>CA_CONTRIBUTED PART OF 230kV CIRCUIT SWITCHER 5884 (PART 3 OF 3)</t>
  </si>
  <si>
    <t>CONTRIBUTED PART OF 230kV CIRCUIT SWITCHER 7684 (PART 2 OF 3)</t>
  </si>
  <si>
    <t>CA_CONTRIBUTED PART OF 230kV CIRCUIT SWITCHER 7684 (PART 3 OF 3)</t>
  </si>
  <si>
    <t>PLANT COMMUN SYS</t>
  </si>
  <si>
    <t>Security Equip Critical(card reader) - Miles City 4</t>
  </si>
  <si>
    <t>Security Equip Critical(card reader) - Miles City 4 - Contributed</t>
  </si>
  <si>
    <t>CA_Security Equip Critical(card reader) - Miles City 4 (CONTRIB)</t>
  </si>
  <si>
    <t>AUX PWR SYS</t>
  </si>
  <si>
    <t>CA_(2) 20kVA SINGLE PHASE OUTPUT PARALLEL REDUNDANT PWM UPS SYSTEM (PART 3 OF 3)</t>
  </si>
  <si>
    <t>(2) 20KVA SINGLE PHASE OUTPUT PARALLEL REDUNDANT PWM UPS SYSTEM (PART 1 OF 3)</t>
  </si>
  <si>
    <t>(2) 20kVA SINGLE PHASE OUTPUT PARALLEL REDUNDANT PWM UPS SYSTEM (PART 2 OF 3)</t>
  </si>
  <si>
    <t>COOLING FAN</t>
  </si>
  <si>
    <t>CA_CLOSED CIRCUIT COOLING TOWERS</t>
  </si>
  <si>
    <t>CLOSED CIRCUIT COOLING TOWERS</t>
  </si>
  <si>
    <t>IDC FOR COOLING FAN</t>
  </si>
  <si>
    <t>MICROWAVE SYS</t>
  </si>
  <si>
    <t>Aviat IP Microwave Radio</t>
  </si>
  <si>
    <t>(2) Nokia 7705 Multiplexers</t>
  </si>
  <si>
    <t>CONDUCTOR</t>
  </si>
  <si>
    <t>RELAY</t>
  </si>
  <si>
    <t>STORAGE BUILDING</t>
  </si>
  <si>
    <t>CARRIER CRNT COM EQ</t>
  </si>
  <si>
    <t>STEEL STRUCTURE</t>
  </si>
  <si>
    <t>ROAD</t>
  </si>
  <si>
    <t>EX GRADE CLEARING</t>
  </si>
  <si>
    <t>EX-GRADE-CLEARING</t>
  </si>
  <si>
    <t>VOLT REG TRSF</t>
  </si>
  <si>
    <t xml:space="preserve">VOLT REG TRSF </t>
  </si>
  <si>
    <t>CONDUCTOR-contrib part</t>
  </si>
  <si>
    <t>CA_CONDUCTOR-contrib part</t>
  </si>
  <si>
    <t>LAND AND RIGHTS</t>
  </si>
  <si>
    <t>CA_LAND AND RIGHTS</t>
  </si>
  <si>
    <t>CA_STORAGE BUILDING</t>
  </si>
  <si>
    <t>CA EX GRADE CLEARING</t>
  </si>
  <si>
    <t>CA_EX_GRADE_CLEARING</t>
  </si>
  <si>
    <t>CARRIER CRNT COM</t>
  </si>
  <si>
    <t>CA_CARRIER CRNT COM</t>
  </si>
  <si>
    <t>LANDSCAPE</t>
  </si>
  <si>
    <t>LANDSCAPE-MC4</t>
  </si>
  <si>
    <t>STATION EQ MC4</t>
  </si>
  <si>
    <t>IDC-MC4</t>
  </si>
  <si>
    <t>Eligible Group 1 -- DC Valve Hall ($)</t>
  </si>
  <si>
    <t>Eligible Group 2 -- Converter Transformers ($)</t>
  </si>
  <si>
    <t>Eligible Group 3 -- Reactive Switched ($)</t>
  </si>
  <si>
    <t>5/ Not included in WAPA-UGP IMEU Share, May be included in IMEU Share of other DC Tie Owner</t>
  </si>
  <si>
    <t>CIRCUIT SWITCHERS 5484 &amp; 7383 (Part 1 of 2)</t>
  </si>
  <si>
    <t>CONTRIB_CIRCUIT SWITCHERS 5484 &amp; 7383 (Part 2 of 2)</t>
  </si>
  <si>
    <t>CA_CIRCUIT SWITCHERS 5484 &amp; 7383 (Part 2 of 2)</t>
  </si>
  <si>
    <t>CA_230 kV CIRCUT SWITCHERS 3584 &amp; 7284</t>
  </si>
  <si>
    <t>Summary-Est</t>
  </si>
  <si>
    <t>Scheduling, System Control &amp; Dispatch Service (SSCD) Total</t>
  </si>
  <si>
    <t>Schedule 9 EAST (AC Facilities) Sub-Total</t>
  </si>
  <si>
    <t>Schedule 9 EAST (DC Facilities) Sub-Total</t>
  </si>
  <si>
    <t>Schedule 9 EAST Total</t>
  </si>
  <si>
    <t>Schedule 9 WEST Total</t>
  </si>
  <si>
    <t>BPU-Zonal Total</t>
  </si>
  <si>
    <t>BPU-Regional EAST Sub-Total</t>
  </si>
  <si>
    <t>BPU-Zonal EAST Sub-Total</t>
  </si>
  <si>
    <t>BPU-Zonal WEST Sub-Total</t>
  </si>
  <si>
    <t>BPU-Regional WEST Sub-Total</t>
  </si>
  <si>
    <t>East/West</t>
  </si>
  <si>
    <t>Inputs Below 1/</t>
  </si>
  <si>
    <t>Prior-year True-up $</t>
  </si>
  <si>
    <t>BPU refers to SPP Base Plan Upgrades throughout the workbook</t>
  </si>
  <si>
    <t>Non SPP Facilities SSCD Utilization $
(9)*(15)</t>
  </si>
  <si>
    <t>Worksheet 1 -- SPP ATRR Calculations</t>
  </si>
  <si>
    <t>Worksheet 2 -- Revenue Credit Calculation</t>
  </si>
  <si>
    <t>Worksheet 3 -- Cost Support Data</t>
  </si>
  <si>
    <t>Worksheet 4 -- Transmission Facilities</t>
  </si>
  <si>
    <t>Worksheet 5 - Other Facility Detail</t>
  </si>
  <si>
    <t>Worksheet 6 -- WAPA-UGP Facilities Included per SPP Tariff Attachment AI</t>
  </si>
  <si>
    <t>Worksheet 7 -- Incremental Market Efficiency Use (IMEU) Share</t>
  </si>
  <si>
    <t>Rate Calculation</t>
  </si>
  <si>
    <t>EAST Sub-Total</t>
  </si>
  <si>
    <t>West Sub-Total</t>
  </si>
  <si>
    <t>NO CURRENT PROJECTS /2</t>
  </si>
  <si>
    <t>Schedule 9 East (DC Facilities) Sub-Total (Miles City DC Tie)</t>
  </si>
  <si>
    <t>LEWIS-RICHLAND 115 kV Ckt 1, 72052 /2</t>
  </si>
  <si>
    <t>WILLISTON SUBSTATION 115 kV TERMINAL UPGRADES, 61856 /2</t>
  </si>
  <si>
    <t>2/ The Region-Wide ATRR allocation for this project is 0%, pursuant to SPP Tariff Attach J, because the investment is less than $100,000.</t>
  </si>
  <si>
    <t>Total Net ATRR Estimate</t>
  </si>
  <si>
    <t>Net ATRR/ARR Estimates</t>
  </si>
  <si>
    <t>BPU Projects</t>
  </si>
  <si>
    <t>1/ The Total ATTR for each BPU Project is allocated by SPP (Zonal/Region-Wide) in accordance with the SPP Tariff.</t>
  </si>
  <si>
    <t>Attach AI Criteria</t>
  </si>
  <si>
    <t>Estimate IMEU Share ($)</t>
  </si>
  <si>
    <t>Interest $
(13)*(14)</t>
  </si>
  <si>
    <t>Net Plant $
(10)-(12)</t>
  </si>
  <si>
    <r>
      <t>Miles City DC Tie Equipment Gross Plant Details 4</t>
    </r>
    <r>
      <rPr>
        <b/>
        <i/>
        <sz val="8"/>
        <rFont val="Calibri"/>
        <family val="2"/>
        <scheme val="minor"/>
      </rPr>
      <t>/</t>
    </r>
  </si>
  <si>
    <t>4/ From Accumulated Depreciation report for Miles City DC Tie</t>
  </si>
  <si>
    <t>CAPACITOR</t>
  </si>
  <si>
    <t>CA_CAPACITOR</t>
  </si>
  <si>
    <r>
      <t>Non-WAPA-UGP Facility Costs ($) 5</t>
    </r>
    <r>
      <rPr>
        <b/>
        <sz val="8"/>
        <color theme="1"/>
        <rFont val="Calibri"/>
        <family val="2"/>
        <scheme val="minor"/>
      </rPr>
      <t>/</t>
    </r>
  </si>
  <si>
    <t>6/ Capacitors are allocated between Switchable Reactive (in IMEU) and Filters (Not in IMEU), based upon Mvar (91 Mvars Shunts, 150 Mvars Filters)</t>
  </si>
  <si>
    <t>Input Below 3/</t>
  </si>
  <si>
    <r>
      <t xml:space="preserve">CAPACITOR </t>
    </r>
    <r>
      <rPr>
        <b/>
        <sz val="10"/>
        <color theme="1"/>
        <rFont val="Calibri"/>
        <family val="2"/>
        <scheme val="minor"/>
      </rPr>
      <t>6</t>
    </r>
    <r>
      <rPr>
        <b/>
        <i/>
        <sz val="8"/>
        <color theme="1"/>
        <rFont val="Calibri"/>
        <family val="2"/>
        <scheme val="minor"/>
      </rPr>
      <t>/</t>
    </r>
  </si>
  <si>
    <t>Schedule 9/14</t>
  </si>
  <si>
    <t>Revenue Credit Allocation $</t>
  </si>
  <si>
    <t>2/ Associated template cells will be populated as projects added</t>
  </si>
  <si>
    <t>115/60-kV transformers KY4B, switches 2465, 2469</t>
  </si>
  <si>
    <t>60-kV breakers 3152, 3252, 3352, 3452 and assoc switches</t>
  </si>
  <si>
    <t>115/60-kV transformer KY1A</t>
  </si>
  <si>
    <t>60-kV breaker 342 and assoc. switches</t>
  </si>
  <si>
    <t>60-kV breaker 152 and assoc. switches</t>
  </si>
  <si>
    <r>
      <rPr>
        <b/>
        <sz val="10"/>
        <color theme="1"/>
        <rFont val="Calibri"/>
        <family val="2"/>
        <scheme val="minor"/>
      </rPr>
      <t>Schedule 9 Total</t>
    </r>
    <r>
      <rPr>
        <sz val="10"/>
        <color theme="1"/>
        <rFont val="Calibri"/>
        <family val="2"/>
        <scheme val="minor"/>
      </rPr>
      <t xml:space="preserve"> </t>
    </r>
    <r>
      <rPr>
        <sz val="10"/>
        <color rgb="FFFF0000"/>
        <rFont val="Calibri"/>
        <family val="2"/>
        <scheme val="minor"/>
      </rPr>
      <t xml:space="preserve">(from WS1-ATRR RateBase) </t>
    </r>
  </si>
  <si>
    <r>
      <rPr>
        <b/>
        <sz val="10"/>
        <color rgb="FF000000"/>
        <rFont val="Calibri"/>
        <family val="2"/>
        <scheme val="minor"/>
      </rPr>
      <t xml:space="preserve">SSCD Total </t>
    </r>
    <r>
      <rPr>
        <sz val="10"/>
        <color rgb="FFFF0000"/>
        <rFont val="Calibri"/>
        <family val="2"/>
        <scheme val="minor"/>
      </rPr>
      <t>(from WS1-ATRR RateBase)</t>
    </r>
  </si>
  <si>
    <t>BPU Total Schedule 11 (Zonal+Regional) ATRR by facility: /1</t>
  </si>
  <si>
    <r>
      <t xml:space="preserve">SPP BPU - Total EAST Schedule 11 (Regional) </t>
    </r>
    <r>
      <rPr>
        <sz val="10"/>
        <color rgb="FFFF0000"/>
        <rFont val="Calibri"/>
        <family val="2"/>
        <scheme val="minor"/>
      </rPr>
      <t xml:space="preserve">(from WS1-ATRR RateBase) </t>
    </r>
  </si>
  <si>
    <r>
      <t xml:space="preserve">SPP BPU - Total WEST Schedule 11 (Regional) </t>
    </r>
    <r>
      <rPr>
        <sz val="10"/>
        <color rgb="FFFF0000"/>
        <rFont val="Calibri"/>
        <family val="2"/>
        <scheme val="minor"/>
      </rPr>
      <t xml:space="preserve">(from WS1-ATRR RateBase) </t>
    </r>
  </si>
  <si>
    <r>
      <t xml:space="preserve">SPP BPU - Total EAST Schedule 11 (Zonal) </t>
    </r>
    <r>
      <rPr>
        <sz val="10"/>
        <color rgb="FFFF0000"/>
        <rFont val="Calibri"/>
        <family val="2"/>
        <scheme val="minor"/>
      </rPr>
      <t xml:space="preserve">(from WS1-ATRR RateBase) </t>
    </r>
  </si>
  <si>
    <r>
      <t xml:space="preserve">SPP BPU - Total WEST Schedule 11 (Zonal) </t>
    </r>
    <r>
      <rPr>
        <sz val="10"/>
        <color rgb="FFFF0000"/>
        <rFont val="Calibri"/>
        <family val="2"/>
        <scheme val="minor"/>
      </rPr>
      <t xml:space="preserve">(from WS1-ATRR RateBase) </t>
    </r>
  </si>
  <si>
    <r>
      <t xml:space="preserve">Incremental Market Efficiency Use (IMEU) Share </t>
    </r>
    <r>
      <rPr>
        <sz val="10"/>
        <color rgb="FFFF0000"/>
        <rFont val="Calibri"/>
        <family val="2"/>
        <scheme val="minor"/>
      </rPr>
      <t xml:space="preserve">(from WS7-IMEU) </t>
    </r>
  </si>
  <si>
    <t>Net ATRR Estimate $
(9)+(16)+(18)</t>
  </si>
  <si>
    <r>
      <t xml:space="preserve">SPP BPU - Total Schedule 11 </t>
    </r>
    <r>
      <rPr>
        <sz val="10"/>
        <color rgb="FFFF0000"/>
        <rFont val="Calibri"/>
        <family val="2"/>
        <scheme val="minor"/>
      </rPr>
      <t xml:space="preserve">(from WS1-ATRR RateBase) </t>
    </r>
  </si>
  <si>
    <t>Net ATRR Estimate $
(9)+(16)+(17)+(18) 3/</t>
  </si>
  <si>
    <t>3/ Column 17 in formula not applicable to BPUs</t>
  </si>
  <si>
    <t>SSCD Gross ATRR Credit Allocation $</t>
  </si>
  <si>
    <t xml:space="preserve">BPU Zonal Plant to Total Plant - East </t>
  </si>
  <si>
    <t>BPU Zonal Plant to Total Plant - West</t>
  </si>
  <si>
    <t>BPU Regional Plant to Total Plant - East</t>
  </si>
  <si>
    <t>BPU Regional Plant to Total Plant - West</t>
  </si>
  <si>
    <t>NO PROJECTS TO DATE</t>
  </si>
  <si>
    <t>ADJUSTMENT TO TRANSMISSION ($)</t>
  </si>
  <si>
    <t>SPP ESTIMATE SUMMARY:
DESCRIPTION</t>
  </si>
  <si>
    <t>ESTIMATE SPP TOTALS ($)</t>
  </si>
  <si>
    <t>ESTIMATE TRANS TOTALS ($)</t>
  </si>
  <si>
    <t>Estimate Summary</t>
  </si>
  <si>
    <t xml:space="preserve">3/ Manual input from True-Up Workbook "WS7-IMEU" From/To Here: L13 C11/L11 C11 </t>
  </si>
  <si>
    <t>BPU Zonal Accumulated Depreciation - East</t>
  </si>
  <si>
    <t>BPU Zonal Accumulated Depreciation - West</t>
  </si>
  <si>
    <t>BPU Regional Accumulated Depreciation - East</t>
  </si>
  <si>
    <t>BPU Regional Accumulated Depreciation - West</t>
  </si>
  <si>
    <t>BPU Zonal Net Plant - East</t>
  </si>
  <si>
    <t>BPU Zonal Net Plant - West</t>
  </si>
  <si>
    <t>BPU Regional Net Plant - East</t>
  </si>
  <si>
    <t>BPU Regional Net Plant - West</t>
  </si>
  <si>
    <t>BPU Zonal Annual Depreciation - East</t>
  </si>
  <si>
    <t>BPU Zonal Annual Depreciation - West</t>
  </si>
  <si>
    <t>BPU Regional Annual Depreciation - East</t>
  </si>
  <si>
    <t>BPU Regional Annual Depreciation - West</t>
  </si>
  <si>
    <t>BPU Zonal LTD - East</t>
  </si>
  <si>
    <t>BPU Zonal LTD - West</t>
  </si>
  <si>
    <t>BPU Regional LTD - East</t>
  </si>
  <si>
    <t>BPU Regional LTD - West</t>
  </si>
  <si>
    <t>BPU Zonal Interest - East</t>
  </si>
  <si>
    <t>BPU Zonal Interest - West</t>
  </si>
  <si>
    <t>BPU Regional Interest - East</t>
  </si>
  <si>
    <t>BPU Regional Interest - West</t>
  </si>
  <si>
    <t>BPU Zonal A&amp;G - East</t>
  </si>
  <si>
    <t>BPU Zonal A&amp;G - West</t>
  </si>
  <si>
    <t>BPU Regional A&amp;G - East</t>
  </si>
  <si>
    <t>BPU Regional A&amp;G - West</t>
  </si>
  <si>
    <t>BPU Zonal O&amp;M - East</t>
  </si>
  <si>
    <t>BPU Zonal O&amp;M - West</t>
  </si>
  <si>
    <t>BPU Regional O&amp;M - East</t>
  </si>
  <si>
    <t>BPU Regional O&amp;M - West</t>
  </si>
  <si>
    <t>SPP  DETAIL: 
DESCRIPTION</t>
  </si>
  <si>
    <t>1/ Manual inputs from Prior Year True-Up Workbook "WS1-ATRR RateBase" Column 21 to Column 18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</si>
</sst>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00"/>
    <numFmt numFmtId="171" formatCode="0.0000"/>
    <numFmt numFmtId="172" formatCode="0.000%"/>
    <numFmt numFmtId="173" formatCode="0_);[Red]\(0\)"/>
    <numFmt numFmtId="174" formatCode="#,##0.00000_);[Red]\(#,##0.00000\)"/>
    <numFmt numFmtId="175" formatCode="#,##0.00;\&lt;#,##0.00\&gt;"/>
    <numFmt numFmtId="176" formatCode="0_);\(0\)"/>
    <numFmt numFmtId="177" formatCode="0.0%"/>
    <numFmt numFmtId="178" formatCode="_(* #,##0.000_);_(* \(#,##0.000\);_(* &quot;-&quot;??_);_(@_)"/>
    <numFmt numFmtId="179" formatCode="0.000"/>
    <numFmt numFmtId="180" formatCode="0.00_);\(0.00\)"/>
    <numFmt numFmtId="181" formatCode="_(* #,##0.0000_);_(* \(#,##0.0000\);_(* &quot;-&quot;??_);_(@_)"/>
  </numFmts>
  <fonts count="83">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36"/>
      <color rgb="FFFF000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sz val="11"/>
      <color theme="1"/>
      <name val="Aptos"/>
      <family val="2"/>
    </font>
    <font>
      <sz val="11"/>
      <color theme="1"/>
      <name val="Calibri"/>
      <family val="2"/>
    </font>
    <font>
      <b/>
      <sz val="11"/>
      <color theme="1"/>
      <name val="Calibri"/>
      <family val="2"/>
    </font>
    <font>
      <u/>
      <sz val="10"/>
      <name val="Calibri"/>
      <family val="2"/>
      <scheme val="minor"/>
    </font>
    <font>
      <i/>
      <sz val="10"/>
      <name val="Calibri"/>
      <family val="2"/>
    </font>
    <font>
      <i/>
      <sz val="8"/>
      <name val="Calibri"/>
      <family val="2"/>
      <scheme val="minor"/>
    </font>
    <font>
      <i/>
      <sz val="8"/>
      <color theme="1"/>
      <name val="Calibri"/>
      <family val="2"/>
      <scheme val="minor"/>
    </font>
    <font>
      <sz val="8"/>
      <color theme="1"/>
      <name val="Calibri"/>
      <family val="2"/>
      <scheme val="minor"/>
    </font>
    <font>
      <b/>
      <i/>
      <sz val="8"/>
      <name val="Calibri"/>
      <family val="2"/>
      <scheme val="minor"/>
    </font>
    <font>
      <b/>
      <sz val="10"/>
      <color theme="1"/>
      <name val="Calibri"/>
      <family val="2"/>
    </font>
    <font>
      <sz val="10"/>
      <color theme="1"/>
      <name val="Calibri"/>
      <family val="2"/>
    </font>
    <font>
      <sz val="10"/>
      <name val="Calibri"/>
      <family val="2"/>
    </font>
    <font>
      <b/>
      <sz val="10"/>
      <name val="Calibri"/>
      <family val="2"/>
    </font>
    <font>
      <sz val="11"/>
      <color theme="1"/>
      <name val="Calibri"/>
      <family val="2"/>
    </font>
    <font>
      <b/>
      <sz val="11"/>
      <color theme="1"/>
      <name val="Calibri"/>
      <family val="2"/>
    </font>
    <font>
      <b/>
      <sz val="8"/>
      <color theme="1"/>
      <name val="Calibri"/>
      <family val="2"/>
      <scheme val="minor"/>
    </font>
    <font>
      <sz val="10"/>
      <color rgb="FFFF0000"/>
      <name val="Calibri"/>
      <family val="2"/>
    </font>
    <font>
      <i/>
      <sz val="8"/>
      <color rgb="FFFF0000"/>
      <name val="Calibri"/>
      <family val="2"/>
    </font>
    <font>
      <b/>
      <i/>
      <sz val="8"/>
      <color theme="1"/>
      <name val="Calibri"/>
      <family val="2"/>
      <scheme val="minor"/>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theme="0"/>
        <bgColor indexed="9"/>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9"/>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59999389629810485"/>
        <bgColor indexed="64"/>
      </patternFill>
    </fill>
  </fills>
  <borders count="4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top/>
      <bottom style="double">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style="thin">
        <color indexed="64"/>
      </left>
      <right/>
      <top style="medium">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57" fillId="0" borderId="0" applyNumberFormat="0" applyFill="0" applyBorder="0" applyAlignment="0" applyProtection="0"/>
  </cellStyleXfs>
  <cellXfs count="660">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20" borderId="0" xfId="38578" applyNumberFormat="1" applyFont="1" applyFill="1" applyBorder="1" applyAlignment="1">
      <alignment horizontal="center"/>
    </xf>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164" fontId="0" fillId="0" borderId="0" xfId="1" applyNumberFormat="1" applyFont="1"/>
    <xf numFmtId="0" fontId="45" fillId="0" borderId="0" xfId="0" applyFont="1"/>
    <xf numFmtId="0" fontId="45" fillId="20" borderId="0" xfId="0" applyFont="1" applyFill="1" applyBorder="1"/>
    <xf numFmtId="37" fontId="3" fillId="20" borderId="6" xfId="42319" applyNumberFormat="1" applyFont="1" applyFill="1" applyBorder="1" applyAlignment="1">
      <alignment horizontal="center"/>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0" xfId="1" applyNumberFormat="1" applyFont="1" applyFill="1" applyBorder="1"/>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center"/>
    </xf>
    <xf numFmtId="170" fontId="3" fillId="20" borderId="0" xfId="42319" applyNumberFormat="1" applyFont="1" applyFill="1" applyBorder="1"/>
    <xf numFmtId="171" fontId="3" fillId="20" borderId="0" xfId="42319"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174" fontId="3" fillId="20" borderId="0" xfId="42319" applyNumberFormat="1"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 fontId="3" fillId="20" borderId="0" xfId="0" applyNumberFormat="1" applyFont="1" applyFill="1" applyBorder="1"/>
    <xf numFmtId="38" fontId="4" fillId="20" borderId="0" xfId="42319" applyFont="1" applyFill="1" applyBorder="1"/>
    <xf numFmtId="172"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0" fontId="3" fillId="20" borderId="0" xfId="42319" applyNumberFormat="1" applyFont="1" applyFill="1" applyBorder="1" applyAlignment="1">
      <alignment horizontal="centerContinuous"/>
    </xf>
    <xf numFmtId="3" fontId="4" fillId="20" borderId="0"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0" fillId="0" borderId="0" xfId="0" applyBorder="1"/>
    <xf numFmtId="164" fontId="0" fillId="0" borderId="0" xfId="1" applyNumberFormat="1" applyFont="1" applyBorder="1"/>
    <xf numFmtId="0" fontId="3" fillId="0" borderId="0" xfId="0" applyFont="1" applyFill="1" applyBorder="1" applyAlignment="1">
      <alignment horizontal="right"/>
    </xf>
    <xf numFmtId="38" fontId="3" fillId="0" borderId="0" xfId="0" applyNumberFormat="1" applyFont="1" applyFill="1" applyBorder="1" applyAlignment="1">
      <alignment horizontal="left"/>
    </xf>
    <xf numFmtId="38" fontId="45" fillId="20" borderId="0" xfId="0" applyNumberFormat="1" applyFont="1" applyFill="1" applyBorder="1"/>
    <xf numFmtId="0" fontId="45" fillId="20" borderId="2" xfId="0" applyFont="1" applyFill="1" applyBorder="1"/>
    <xf numFmtId="164" fontId="45" fillId="20" borderId="0" xfId="1" applyNumberFormat="1" applyFont="1" applyFill="1" applyBorder="1"/>
    <xf numFmtId="0" fontId="3" fillId="20" borderId="0" xfId="0" applyFont="1" applyFill="1" applyBorder="1" applyAlignment="1">
      <alignment horizontal="left"/>
    </xf>
    <xf numFmtId="0" fontId="4" fillId="0" borderId="17" xfId="0" applyFont="1" applyFill="1" applyBorder="1" applyAlignment="1">
      <alignment horizontal="center"/>
    </xf>
    <xf numFmtId="0" fontId="4" fillId="0" borderId="17" xfId="0" applyFont="1" applyFill="1" applyBorder="1"/>
    <xf numFmtId="164" fontId="3" fillId="0" borderId="0" xfId="1" applyNumberFormat="1" applyFont="1" applyFill="1" applyBorder="1" applyAlignment="1">
      <alignment horizontal="left"/>
    </xf>
    <xf numFmtId="49" fontId="55" fillId="21" borderId="0" xfId="19632" applyNumberFormat="1" applyFont="1" applyFill="1" applyBorder="1" applyAlignment="1">
      <alignment horizontal="left"/>
    </xf>
    <xf numFmtId="0" fontId="4" fillId="20" borderId="0" xfId="38578" applyFont="1" applyFill="1" applyBorder="1" applyAlignment="1">
      <alignment horizontal="center"/>
    </xf>
    <xf numFmtId="0" fontId="0" fillId="20" borderId="0" xfId="0" applyFill="1" applyBorder="1"/>
    <xf numFmtId="0" fontId="59" fillId="20" borderId="0" xfId="0" applyFont="1" applyFill="1" applyBorder="1" applyAlignment="1">
      <alignment horizontal="left"/>
    </xf>
    <xf numFmtId="0" fontId="45" fillId="0" borderId="0" xfId="0" applyFont="1" applyAlignment="1">
      <alignment horizontal="center"/>
    </xf>
    <xf numFmtId="176" fontId="3" fillId="0" borderId="0" xfId="0" applyNumberFormat="1" applyFont="1" applyFill="1" applyBorder="1" applyAlignment="1">
      <alignment horizontal="center"/>
    </xf>
    <xf numFmtId="0" fontId="49" fillId="20" borderId="13" xfId="0" applyFont="1" applyFill="1" applyBorder="1" applyAlignment="1">
      <alignment horizontal="left" vertical="top"/>
    </xf>
    <xf numFmtId="0" fontId="49" fillId="20" borderId="6" xfId="0" applyFont="1" applyFill="1" applyBorder="1" applyAlignment="1">
      <alignment horizontal="left" vertical="top"/>
    </xf>
    <xf numFmtId="0" fontId="3" fillId="20" borderId="0" xfId="38578" applyFont="1" applyFill="1" applyBorder="1"/>
    <xf numFmtId="0" fontId="54" fillId="20" borderId="0" xfId="0" applyFont="1" applyFill="1" applyBorder="1"/>
    <xf numFmtId="0" fontId="57" fillId="20" borderId="0" xfId="42327" applyFill="1" applyBorder="1"/>
    <xf numFmtId="9" fontId="45" fillId="20" borderId="0" xfId="3" applyNumberFormat="1" applyFont="1" applyFill="1" applyBorder="1"/>
    <xf numFmtId="177" fontId="45" fillId="20" borderId="0" xfId="3" applyNumberFormat="1" applyFont="1" applyFill="1" applyBorder="1"/>
    <xf numFmtId="0" fontId="0" fillId="0" borderId="0" xfId="0" applyAlignment="1">
      <alignment horizontal="center"/>
    </xf>
    <xf numFmtId="164" fontId="3" fillId="20" borderId="0" xfId="1" applyNumberFormat="1" applyFont="1" applyFill="1" applyBorder="1" applyAlignment="1">
      <alignment horizontal="center" wrapText="1"/>
    </xf>
    <xf numFmtId="0" fontId="45" fillId="0" borderId="0" xfId="0" applyFont="1" applyFill="1" applyBorder="1"/>
    <xf numFmtId="0" fontId="61" fillId="0" borderId="0" xfId="0" applyFont="1" applyFill="1" applyBorder="1" applyAlignment="1">
      <alignment horizontal="left"/>
    </xf>
    <xf numFmtId="14" fontId="0" fillId="0" borderId="0" xfId="0" applyNumberFormat="1"/>
    <xf numFmtId="167" fontId="1" fillId="0" borderId="0" xfId="2" applyNumberFormat="1" applyFont="1" applyBorder="1"/>
    <xf numFmtId="167" fontId="0" fillId="0" borderId="0" xfId="2" applyNumberFormat="1" applyFont="1"/>
    <xf numFmtId="14" fontId="0" fillId="0" borderId="0" xfId="0" applyNumberFormat="1" applyFill="1"/>
    <xf numFmtId="0" fontId="0" fillId="0" borderId="0" xfId="0" applyFill="1"/>
    <xf numFmtId="0" fontId="0" fillId="0" borderId="0" xfId="0" applyFill="1" applyAlignment="1">
      <alignment horizontal="center"/>
    </xf>
    <xf numFmtId="167" fontId="1" fillId="0" borderId="0" xfId="2" applyNumberFormat="1" applyFont="1" applyFill="1" applyBorder="1"/>
    <xf numFmtId="171" fontId="1" fillId="0" borderId="0" xfId="2" applyNumberFormat="1" applyFont="1" applyFill="1" applyBorder="1"/>
    <xf numFmtId="0" fontId="0" fillId="23" borderId="0" xfId="0" applyFill="1" applyBorder="1"/>
    <xf numFmtId="0" fontId="45" fillId="23" borderId="0" xfId="0" applyFont="1" applyFill="1" applyBorder="1"/>
    <xf numFmtId="0" fontId="3" fillId="23" borderId="0" xfId="0" applyFont="1" applyFill="1" applyBorder="1"/>
    <xf numFmtId="176" fontId="45" fillId="20" borderId="0" xfId="0" applyNumberFormat="1" applyFont="1" applyFill="1" applyBorder="1" applyAlignment="1">
      <alignment horizontal="center"/>
    </xf>
    <xf numFmtId="0" fontId="45" fillId="23" borderId="2" xfId="0" applyFont="1" applyFill="1" applyBorder="1"/>
    <xf numFmtId="164" fontId="0" fillId="0" borderId="0" xfId="1" applyNumberFormat="1" applyFont="1" applyFill="1" applyBorder="1"/>
    <xf numFmtId="0" fontId="3" fillId="23" borderId="0" xfId="38578" applyFont="1" applyFill="1" applyBorder="1" applyAlignment="1">
      <alignment horizontal="left"/>
    </xf>
    <xf numFmtId="0" fontId="3" fillId="20" borderId="0" xfId="38578" applyFont="1" applyFill="1" applyBorder="1" applyAlignment="1">
      <alignment horizontal="left"/>
    </xf>
    <xf numFmtId="0" fontId="8" fillId="0" borderId="0" xfId="38447"/>
    <xf numFmtId="164" fontId="4" fillId="0" borderId="0" xfId="0" applyNumberFormat="1" applyFont="1" applyFill="1" applyBorder="1"/>
    <xf numFmtId="164" fontId="4" fillId="0" borderId="0" xfId="0" applyNumberFormat="1" applyFont="1" applyFill="1" applyBorder="1" applyAlignment="1">
      <alignment horizontal="center"/>
    </xf>
    <xf numFmtId="164" fontId="4" fillId="0" borderId="0" xfId="0" applyNumberFormat="1" applyFont="1" applyFill="1" applyBorder="1" applyAlignment="1">
      <alignment horizontal="center" wrapText="1"/>
    </xf>
    <xf numFmtId="3" fontId="3" fillId="20" borderId="0" xfId="42319" applyNumberFormat="1" applyFont="1" applyFill="1" applyBorder="1" applyAlignment="1">
      <alignment horizontal="right"/>
    </xf>
    <xf numFmtId="164" fontId="3" fillId="20" borderId="0" xfId="1" applyNumberFormat="1" applyFont="1" applyFill="1" applyBorder="1" applyAlignment="1">
      <alignment horizontal="right"/>
    </xf>
    <xf numFmtId="0" fontId="49" fillId="0" borderId="0" xfId="0" applyFont="1"/>
    <xf numFmtId="0" fontId="50" fillId="0" borderId="0" xfId="0" applyFont="1"/>
    <xf numFmtId="0" fontId="49" fillId="0" borderId="13" xfId="0" applyFont="1" applyBorder="1" applyAlignment="1">
      <alignment horizontal="left" vertical="top"/>
    </xf>
    <xf numFmtId="0" fontId="49" fillId="0" borderId="0" xfId="0" applyFont="1" applyAlignment="1">
      <alignment horizontal="left" vertical="top"/>
    </xf>
    <xf numFmtId="0" fontId="49" fillId="0" borderId="0" xfId="0" applyFont="1" applyAlignment="1">
      <alignment vertical="top"/>
    </xf>
    <xf numFmtId="0" fontId="49" fillId="20" borderId="0" xfId="0" applyFont="1" applyFill="1" applyAlignment="1">
      <alignment horizontal="left" vertical="top"/>
    </xf>
    <xf numFmtId="167" fontId="0" fillId="0" borderId="0" xfId="0" applyNumberFormat="1"/>
    <xf numFmtId="0" fontId="46" fillId="0" borderId="0" xfId="0" applyFont="1" applyAlignment="1">
      <alignment horizontal="center" vertical="center" wrapText="1"/>
    </xf>
    <xf numFmtId="0" fontId="46" fillId="0" borderId="0" xfId="0" applyFont="1" applyAlignment="1">
      <alignment horizontal="center" vertical="center"/>
    </xf>
    <xf numFmtId="176" fontId="0" fillId="23" borderId="0" xfId="0" applyNumberFormat="1" applyFill="1" applyBorder="1" applyAlignment="1">
      <alignment horizontal="center"/>
    </xf>
    <xf numFmtId="0" fontId="46" fillId="20" borderId="0" xfId="0" applyFont="1" applyFill="1" applyBorder="1"/>
    <xf numFmtId="167" fontId="0" fillId="0" borderId="0" xfId="2" applyNumberFormat="1" applyFont="1" applyBorder="1"/>
    <xf numFmtId="37" fontId="45" fillId="20" borderId="0" xfId="0" applyNumberFormat="1" applyFont="1" applyFill="1" applyBorder="1"/>
    <xf numFmtId="37" fontId="3" fillId="20" borderId="0" xfId="0" applyNumberFormat="1" applyFont="1" applyFill="1" applyBorder="1"/>
    <xf numFmtId="43" fontId="3" fillId="0" borderId="0" xfId="0" applyNumberFormat="1" applyFont="1" applyFill="1" applyBorder="1" applyAlignment="1">
      <alignment horizontal="right"/>
    </xf>
    <xf numFmtId="43" fontId="4" fillId="0" borderId="2" xfId="0" applyNumberFormat="1" applyFont="1" applyFill="1" applyBorder="1" applyAlignment="1">
      <alignment horizontal="right"/>
    </xf>
    <xf numFmtId="43" fontId="63" fillId="0" borderId="2" xfId="0" applyNumberFormat="1" applyFont="1" applyFill="1" applyBorder="1" applyAlignment="1">
      <alignment horizontal="right"/>
    </xf>
    <xf numFmtId="43" fontId="4" fillId="0" borderId="17" xfId="0" applyNumberFormat="1" applyFont="1" applyFill="1" applyBorder="1" applyAlignment="1">
      <alignment horizontal="right"/>
    </xf>
    <xf numFmtId="164" fontId="45" fillId="20" borderId="0" xfId="1" applyNumberFormat="1" applyFont="1" applyFill="1" applyBorder="1" applyAlignment="1">
      <alignment horizontal="right"/>
    </xf>
    <xf numFmtId="164" fontId="3" fillId="20" borderId="2" xfId="1" applyNumberFormat="1" applyFont="1" applyFill="1" applyBorder="1" applyAlignment="1">
      <alignment horizontal="right"/>
    </xf>
    <xf numFmtId="0" fontId="49" fillId="20" borderId="0" xfId="0" applyFont="1" applyFill="1" applyBorder="1" applyAlignment="1">
      <alignment horizontal="center"/>
    </xf>
    <xf numFmtId="38" fontId="3" fillId="20" borderId="2" xfId="42319" applyFont="1" applyFill="1" applyBorder="1"/>
    <xf numFmtId="38" fontId="3" fillId="20" borderId="2" xfId="42319" applyFont="1" applyFill="1" applyBorder="1" applyAlignment="1">
      <alignment horizontal="center"/>
    </xf>
    <xf numFmtId="38" fontId="3" fillId="20" borderId="0" xfId="42319" applyFont="1" applyFill="1"/>
    <xf numFmtId="38" fontId="3" fillId="20" borderId="0" xfId="42319" applyFont="1" applyFill="1" applyAlignment="1">
      <alignment horizontal="center"/>
    </xf>
    <xf numFmtId="38" fontId="3" fillId="20" borderId="0" xfId="42319" applyFont="1" applyFill="1" applyAlignment="1">
      <alignment horizontal="right"/>
    </xf>
    <xf numFmtId="38" fontId="4" fillId="20" borderId="9" xfId="42319" applyFont="1" applyFill="1" applyBorder="1"/>
    <xf numFmtId="38" fontId="4" fillId="20" borderId="2" xfId="42319" applyFont="1" applyFill="1" applyBorder="1"/>
    <xf numFmtId="10" fontId="3" fillId="20" borderId="0" xfId="3" applyNumberFormat="1" applyFont="1" applyFill="1" applyBorder="1"/>
    <xf numFmtId="3" fontId="3" fillId="20" borderId="0" xfId="0" applyNumberFormat="1" applyFont="1" applyFill="1" applyBorder="1" applyAlignment="1">
      <alignment horizontal="left"/>
    </xf>
    <xf numFmtId="3" fontId="4" fillId="20" borderId="2" xfId="0" applyNumberFormat="1" applyFont="1" applyFill="1" applyBorder="1" applyAlignment="1">
      <alignment vertical="center"/>
    </xf>
    <xf numFmtId="3" fontId="3" fillId="20" borderId="2" xfId="0" applyNumberFormat="1" applyFont="1" applyFill="1" applyBorder="1" applyAlignment="1">
      <alignment vertical="center"/>
    </xf>
    <xf numFmtId="0" fontId="3" fillId="20" borderId="0" xfId="38578" applyFont="1" applyFill="1" applyBorder="1" applyAlignment="1">
      <alignment horizontal="center"/>
    </xf>
    <xf numFmtId="0" fontId="45" fillId="20" borderId="0" xfId="0" applyFont="1" applyFill="1" applyBorder="1" applyAlignment="1">
      <alignment horizontal="center"/>
    </xf>
    <xf numFmtId="164" fontId="3" fillId="23" borderId="2" xfId="1" applyNumberFormat="1" applyFont="1" applyFill="1" applyBorder="1" applyAlignment="1">
      <alignment horizontal="right"/>
    </xf>
    <xf numFmtId="3" fontId="4" fillId="20" borderId="9" xfId="42319" applyNumberFormat="1" applyFont="1" applyFill="1" applyBorder="1" applyAlignment="1">
      <alignment horizontal="left"/>
    </xf>
    <xf numFmtId="176" fontId="3" fillId="0" borderId="0" xfId="0" applyNumberFormat="1" applyFont="1" applyBorder="1" applyAlignment="1">
      <alignment horizontal="center"/>
    </xf>
    <xf numFmtId="0" fontId="45" fillId="25" borderId="0" xfId="0" applyFont="1" applyFill="1" applyBorder="1"/>
    <xf numFmtId="0" fontId="45" fillId="25" borderId="0" xfId="0" applyFont="1" applyFill="1"/>
    <xf numFmtId="3" fontId="4" fillId="20" borderId="19" xfId="0" applyNumberFormat="1" applyFont="1" applyFill="1" applyBorder="1" applyAlignment="1">
      <alignment horizontal="left"/>
    </xf>
    <xf numFmtId="3" fontId="3" fillId="20" borderId="19" xfId="0" applyNumberFormat="1" applyFont="1" applyFill="1" applyBorder="1"/>
    <xf numFmtId="0" fontId="45" fillId="20" borderId="19" xfId="0" applyFont="1" applyFill="1" applyBorder="1"/>
    <xf numFmtId="0" fontId="48" fillId="0" borderId="0" xfId="0" applyFont="1"/>
    <xf numFmtId="0" fontId="56" fillId="20" borderId="0" xfId="0" applyFont="1" applyFill="1" applyBorder="1" applyAlignment="1">
      <alignment horizontal="left"/>
    </xf>
    <xf numFmtId="5" fontId="52" fillId="20" borderId="0" xfId="0" applyNumberFormat="1" applyFont="1" applyFill="1" applyBorder="1"/>
    <xf numFmtId="164" fontId="56" fillId="20" borderId="0" xfId="1" applyNumberFormat="1" applyFont="1" applyFill="1" applyBorder="1"/>
    <xf numFmtId="9" fontId="56" fillId="20" borderId="0" xfId="3" applyFont="1" applyFill="1" applyBorder="1"/>
    <xf numFmtId="38" fontId="56" fillId="20" borderId="0" xfId="0" applyNumberFormat="1" applyFont="1" applyFill="1" applyBorder="1"/>
    <xf numFmtId="38" fontId="3" fillId="20" borderId="0" xfId="0" applyNumberFormat="1" applyFont="1" applyFill="1"/>
    <xf numFmtId="0" fontId="45" fillId="20" borderId="0" xfId="0" applyFont="1" applyFill="1"/>
    <xf numFmtId="0" fontId="46" fillId="23" borderId="2" xfId="0" applyFont="1" applyFill="1" applyBorder="1" applyAlignment="1">
      <alignment wrapText="1"/>
    </xf>
    <xf numFmtId="0" fontId="2" fillId="0" borderId="0" xfId="0" applyFont="1" applyBorder="1"/>
    <xf numFmtId="0" fontId="3" fillId="20" borderId="2" xfId="38578" applyNumberFormat="1" applyFont="1" applyFill="1" applyBorder="1" applyAlignment="1">
      <alignment horizontal="left"/>
    </xf>
    <xf numFmtId="0" fontId="46" fillId="20" borderId="2" xfId="0" applyFont="1" applyFill="1" applyBorder="1"/>
    <xf numFmtId="10" fontId="56" fillId="20" borderId="0" xfId="3" applyNumberFormat="1" applyFont="1" applyFill="1" applyBorder="1"/>
    <xf numFmtId="10" fontId="48" fillId="0" borderId="0" xfId="3" applyNumberFormat="1" applyFont="1"/>
    <xf numFmtId="0" fontId="65" fillId="20" borderId="0" xfId="0" applyFont="1" applyFill="1"/>
    <xf numFmtId="9" fontId="45" fillId="0" borderId="0" xfId="3" applyFont="1"/>
    <xf numFmtId="0" fontId="66" fillId="0" borderId="0" xfId="0" applyFont="1"/>
    <xf numFmtId="164" fontId="4" fillId="0" borderId="0" xfId="0" applyNumberFormat="1" applyFont="1" applyFill="1" applyBorder="1" applyAlignment="1">
      <alignment horizontal="right"/>
    </xf>
    <xf numFmtId="164" fontId="62" fillId="0" borderId="0" xfId="0" applyNumberFormat="1" applyFont="1" applyFill="1" applyBorder="1" applyAlignment="1">
      <alignment horizontal="right"/>
    </xf>
    <xf numFmtId="164" fontId="3" fillId="0" borderId="0" xfId="0" applyNumberFormat="1" applyFont="1" applyFill="1" applyAlignment="1">
      <alignment horizontal="right"/>
    </xf>
    <xf numFmtId="164" fontId="3" fillId="0" borderId="0" xfId="0" applyNumberFormat="1" applyFont="1" applyFill="1"/>
    <xf numFmtId="164" fontId="63" fillId="0" borderId="2" xfId="0" applyNumberFormat="1" applyFont="1" applyFill="1" applyBorder="1" applyAlignment="1">
      <alignment horizontal="right"/>
    </xf>
    <xf numFmtId="164" fontId="4" fillId="0" borderId="17" xfId="0" applyNumberFormat="1" applyFont="1" applyFill="1" applyBorder="1" applyAlignment="1">
      <alignment horizontal="right"/>
    </xf>
    <xf numFmtId="164" fontId="4" fillId="0" borderId="17" xfId="0" applyNumberFormat="1" applyFont="1" applyBorder="1" applyAlignment="1">
      <alignment horizontal="right"/>
    </xf>
    <xf numFmtId="164" fontId="3" fillId="0" borderId="0" xfId="1" applyNumberFormat="1" applyFont="1" applyFill="1" applyBorder="1" applyAlignment="1">
      <alignment horizontal="right"/>
    </xf>
    <xf numFmtId="38" fontId="3" fillId="20" borderId="0" xfId="42319" applyFont="1" applyFill="1" applyBorder="1" applyAlignment="1">
      <alignment horizontal="right"/>
    </xf>
    <xf numFmtId="38" fontId="3" fillId="20" borderId="2" xfId="42319" applyFont="1" applyFill="1" applyBorder="1" applyAlignment="1">
      <alignment horizontal="right"/>
    </xf>
    <xf numFmtId="171" fontId="3" fillId="20" borderId="0" xfId="42319" applyNumberFormat="1" applyFont="1" applyFill="1" applyBorder="1"/>
    <xf numFmtId="40" fontId="3" fillId="20" borderId="0" xfId="42319" applyNumberFormat="1" applyFont="1" applyFill="1" applyBorder="1"/>
    <xf numFmtId="171" fontId="3" fillId="20" borderId="2" xfId="42319" applyNumberFormat="1" applyFont="1" applyFill="1" applyBorder="1"/>
    <xf numFmtId="171" fontId="3" fillId="20" borderId="2" xfId="42319" applyNumberFormat="1" applyFont="1" applyFill="1" applyBorder="1" applyAlignment="1">
      <alignment horizontal="center"/>
    </xf>
    <xf numFmtId="43" fontId="45" fillId="20" borderId="0" xfId="0" applyNumberFormat="1" applyFont="1" applyFill="1" applyBorder="1" applyAlignment="1">
      <alignment horizontal="center"/>
    </xf>
    <xf numFmtId="178" fontId="45" fillId="20" borderId="0" xfId="0" applyNumberFormat="1" applyFont="1" applyFill="1" applyBorder="1" applyAlignment="1">
      <alignment horizontal="center"/>
    </xf>
    <xf numFmtId="179" fontId="45" fillId="20" borderId="0" xfId="0" applyNumberFormat="1" applyFont="1" applyFill="1" applyBorder="1" applyAlignment="1">
      <alignment horizontal="right"/>
    </xf>
    <xf numFmtId="38" fontId="3" fillId="20" borderId="9" xfId="19386" applyNumberFormat="1" applyFont="1" applyFill="1" applyBorder="1"/>
    <xf numFmtId="38" fontId="3" fillId="20" borderId="9" xfId="19386" applyNumberFormat="1" applyFont="1" applyFill="1" applyBorder="1" applyAlignment="1">
      <alignment horizontal="center"/>
    </xf>
    <xf numFmtId="173" fontId="3" fillId="20" borderId="0" xfId="0" applyNumberFormat="1" applyFont="1" applyFill="1" applyBorder="1" applyAlignment="1">
      <alignment horizontal="center"/>
    </xf>
    <xf numFmtId="38" fontId="4" fillId="20" borderId="2" xfId="0" applyNumberFormat="1" applyFont="1" applyFill="1" applyBorder="1" applyAlignment="1">
      <alignment horizontal="left" vertical="center"/>
    </xf>
    <xf numFmtId="38" fontId="3" fillId="20" borderId="2" xfId="0" applyNumberFormat="1" applyFont="1" applyFill="1" applyBorder="1" applyAlignment="1">
      <alignment vertical="center"/>
    </xf>
    <xf numFmtId="38" fontId="4" fillId="20" borderId="9" xfId="0" applyNumberFormat="1" applyFont="1" applyFill="1" applyBorder="1" applyAlignment="1">
      <alignment horizontal="left" vertical="center"/>
    </xf>
    <xf numFmtId="38" fontId="3" fillId="20" borderId="9" xfId="0" applyNumberFormat="1" applyFont="1" applyFill="1" applyBorder="1" applyAlignment="1">
      <alignment vertical="center"/>
    </xf>
    <xf numFmtId="0" fontId="3" fillId="23" borderId="0" xfId="0" applyFont="1" applyFill="1" applyBorder="1" applyAlignment="1">
      <alignment horizontal="center"/>
    </xf>
    <xf numFmtId="0" fontId="45" fillId="23" borderId="0" xfId="0" applyFont="1" applyFill="1" applyBorder="1" applyAlignment="1">
      <alignment horizontal="center"/>
    </xf>
    <xf numFmtId="0" fontId="51" fillId="20" borderId="0" xfId="0" applyFont="1" applyFill="1" applyBorder="1" applyAlignment="1">
      <alignment horizontal="centerContinuous" wrapText="1"/>
    </xf>
    <xf numFmtId="176" fontId="46" fillId="20" borderId="0" xfId="0" applyNumberFormat="1" applyFont="1" applyFill="1" applyBorder="1" applyAlignment="1">
      <alignment horizontal="center"/>
    </xf>
    <xf numFmtId="164" fontId="45" fillId="20" borderId="0" xfId="0" applyNumberFormat="1" applyFont="1" applyFill="1" applyBorder="1"/>
    <xf numFmtId="176" fontId="45" fillId="20" borderId="0" xfId="0" applyNumberFormat="1" applyFont="1" applyFill="1" applyBorder="1" applyAlignment="1">
      <alignment horizontal="center" vertical="center"/>
    </xf>
    <xf numFmtId="38" fontId="3" fillId="23" borderId="0" xfId="0" applyNumberFormat="1" applyFont="1" applyFill="1" applyBorder="1" applyAlignment="1">
      <alignment horizontal="center"/>
    </xf>
    <xf numFmtId="0" fontId="3" fillId="23" borderId="0" xfId="0" applyFont="1" applyFill="1" applyBorder="1" applyAlignment="1">
      <alignment horizontal="left"/>
    </xf>
    <xf numFmtId="164" fontId="45" fillId="20" borderId="0" xfId="1" applyNumberFormat="1" applyFont="1" applyFill="1" applyBorder="1" applyAlignment="1">
      <alignment horizontal="right" vertical="center"/>
    </xf>
    <xf numFmtId="164" fontId="45" fillId="20" borderId="0" xfId="0" applyNumberFormat="1" applyFont="1" applyFill="1" applyBorder="1" applyAlignment="1">
      <alignment horizontal="right"/>
    </xf>
    <xf numFmtId="164" fontId="45" fillId="0" borderId="0" xfId="1" applyNumberFormat="1" applyFont="1" applyBorder="1" applyAlignment="1">
      <alignment horizontal="right"/>
    </xf>
    <xf numFmtId="38" fontId="45" fillId="0" borderId="0" xfId="0" applyNumberFormat="1" applyFont="1" applyBorder="1"/>
    <xf numFmtId="164" fontId="45" fillId="0" borderId="0" xfId="0" applyNumberFormat="1" applyFont="1" applyBorder="1"/>
    <xf numFmtId="0" fontId="3" fillId="20" borderId="2" xfId="0" applyFont="1" applyFill="1" applyBorder="1"/>
    <xf numFmtId="43" fontId="3" fillId="20" borderId="2" xfId="0" applyNumberFormat="1" applyFont="1" applyFill="1" applyBorder="1"/>
    <xf numFmtId="38" fontId="3" fillId="20" borderId="2" xfId="0" applyNumberFormat="1" applyFont="1" applyFill="1" applyBorder="1"/>
    <xf numFmtId="164" fontId="3" fillId="20" borderId="2" xfId="0" applyNumberFormat="1" applyFont="1" applyFill="1" applyBorder="1"/>
    <xf numFmtId="164" fontId="3" fillId="20" borderId="2" xfId="0" applyNumberFormat="1" applyFont="1" applyFill="1" applyBorder="1" applyAlignment="1">
      <alignment horizontal="right"/>
    </xf>
    <xf numFmtId="164" fontId="45" fillId="20" borderId="0" xfId="1" applyNumberFormat="1" applyFont="1" applyFill="1" applyBorder="1" applyAlignment="1">
      <alignment horizontal="center"/>
    </xf>
    <xf numFmtId="0" fontId="4" fillId="20" borderId="9" xfId="0" applyFont="1" applyFill="1" applyBorder="1" applyAlignment="1">
      <alignment horizontal="center"/>
    </xf>
    <xf numFmtId="0" fontId="4" fillId="20" borderId="9" xfId="0" applyFont="1" applyFill="1" applyBorder="1" applyAlignment="1">
      <alignment horizontal="left" wrapText="1"/>
    </xf>
    <xf numFmtId="176" fontId="45" fillId="20" borderId="9" xfId="0" applyNumberFormat="1" applyFont="1" applyFill="1" applyBorder="1" applyAlignment="1">
      <alignment horizontal="center"/>
    </xf>
    <xf numFmtId="164" fontId="4" fillId="20" borderId="9" xfId="1" applyNumberFormat="1" applyFont="1" applyFill="1" applyBorder="1" applyAlignment="1">
      <alignment horizontal="center" wrapText="1"/>
    </xf>
    <xf numFmtId="38" fontId="4" fillId="20" borderId="9" xfId="0" applyNumberFormat="1" applyFont="1" applyFill="1" applyBorder="1" applyAlignment="1">
      <alignment horizontal="center" wrapText="1"/>
    </xf>
    <xf numFmtId="38" fontId="4" fillId="20" borderId="9" xfId="0" applyNumberFormat="1" applyFont="1" applyFill="1" applyBorder="1" applyAlignment="1">
      <alignment horizontal="center"/>
    </xf>
    <xf numFmtId="0" fontId="4" fillId="20" borderId="9" xfId="0" applyFont="1" applyFill="1" applyBorder="1" applyAlignment="1">
      <alignment horizontal="left"/>
    </xf>
    <xf numFmtId="164" fontId="46" fillId="20" borderId="9" xfId="1" applyNumberFormat="1" applyFont="1" applyFill="1" applyBorder="1" applyAlignment="1">
      <alignment horizontal="right"/>
    </xf>
    <xf numFmtId="164" fontId="46" fillId="20" borderId="9" xfId="1" applyNumberFormat="1" applyFont="1" applyFill="1" applyBorder="1" applyAlignment="1">
      <alignment horizontal="center"/>
    </xf>
    <xf numFmtId="38" fontId="46" fillId="20" borderId="9" xfId="0" applyNumberFormat="1" applyFont="1" applyFill="1" applyBorder="1" applyAlignment="1">
      <alignment horizontal="center"/>
    </xf>
    <xf numFmtId="164" fontId="46" fillId="20" borderId="2" xfId="1" applyNumberFormat="1" applyFont="1" applyFill="1" applyBorder="1" applyAlignment="1">
      <alignment horizontal="left" wrapText="1"/>
    </xf>
    <xf numFmtId="38" fontId="3" fillId="20" borderId="0" xfId="0" applyNumberFormat="1" applyFont="1" applyFill="1" applyBorder="1" applyAlignment="1">
      <alignment horizontal="center"/>
    </xf>
    <xf numFmtId="10" fontId="45" fillId="20" borderId="2" xfId="3" applyNumberFormat="1" applyFont="1" applyFill="1" applyBorder="1"/>
    <xf numFmtId="164" fontId="45" fillId="20" borderId="2" xfId="1" applyNumberFormat="1" applyFont="1" applyFill="1" applyBorder="1" applyAlignment="1">
      <alignment horizontal="right"/>
    </xf>
    <xf numFmtId="38" fontId="45" fillId="20" borderId="2" xfId="0" applyNumberFormat="1" applyFont="1" applyFill="1" applyBorder="1"/>
    <xf numFmtId="164" fontId="45" fillId="20" borderId="2" xfId="0" applyNumberFormat="1" applyFont="1" applyFill="1" applyBorder="1" applyAlignment="1">
      <alignment horizontal="right"/>
    </xf>
    <xf numFmtId="0" fontId="64" fillId="0" borderId="0" xfId="0" applyFont="1" applyBorder="1" applyAlignment="1">
      <alignment vertical="center" wrapText="1"/>
    </xf>
    <xf numFmtId="9" fontId="0" fillId="0" borderId="0" xfId="0" applyNumberFormat="1" applyBorder="1"/>
    <xf numFmtId="0" fontId="0" fillId="0" borderId="0" xfId="0" applyBorder="1" applyAlignment="1">
      <alignment wrapText="1"/>
    </xf>
    <xf numFmtId="0" fontId="3" fillId="20" borderId="0" xfId="38578" applyNumberFormat="1" applyFont="1" applyFill="1" applyBorder="1" applyAlignment="1">
      <alignment horizontal="center" vertical="top"/>
    </xf>
    <xf numFmtId="0" fontId="49" fillId="20" borderId="14" xfId="0" applyFont="1" applyFill="1" applyBorder="1" applyAlignment="1">
      <alignment horizontal="left" vertical="top" wrapText="1"/>
    </xf>
    <xf numFmtId="0" fontId="49" fillId="20" borderId="0" xfId="0" applyFont="1" applyFill="1" applyAlignment="1">
      <alignment horizontal="left" vertical="top" wrapText="1"/>
    </xf>
    <xf numFmtId="49" fontId="49" fillId="20" borderId="0" xfId="0" applyNumberFormat="1" applyFont="1" applyFill="1" applyAlignment="1">
      <alignment horizontal="center" vertical="top" wrapText="1"/>
    </xf>
    <xf numFmtId="49" fontId="49" fillId="20" borderId="0" xfId="0" applyNumberFormat="1" applyFont="1" applyFill="1" applyAlignment="1">
      <alignment horizontal="center" vertical="top"/>
    </xf>
    <xf numFmtId="0" fontId="50" fillId="20" borderId="13" xfId="0" applyFont="1" applyFill="1" applyBorder="1" applyAlignment="1">
      <alignment horizontal="center" vertical="center" wrapText="1" readingOrder="1"/>
    </xf>
    <xf numFmtId="0" fontId="50" fillId="20" borderId="0" xfId="0" applyFont="1" applyFill="1" applyAlignment="1">
      <alignment horizontal="center" vertical="center" wrapText="1" readingOrder="1"/>
    </xf>
    <xf numFmtId="0" fontId="50" fillId="20" borderId="5" xfId="0" applyFont="1" applyFill="1" applyBorder="1" applyAlignment="1">
      <alignment horizontal="center" vertical="center" wrapText="1"/>
    </xf>
    <xf numFmtId="0" fontId="50" fillId="0" borderId="0" xfId="0" applyFont="1" applyAlignment="1">
      <alignment horizontal="center" vertical="center" wrapText="1" readingOrder="1"/>
    </xf>
    <xf numFmtId="0" fontId="49" fillId="0" borderId="0" xfId="0" applyFont="1" applyAlignment="1">
      <alignment horizontal="center" vertical="top" readingOrder="1"/>
    </xf>
    <xf numFmtId="0" fontId="50" fillId="0" borderId="0" xfId="0" applyFont="1" applyAlignment="1">
      <alignment horizontal="left" vertical="top" wrapText="1"/>
    </xf>
    <xf numFmtId="0" fontId="50" fillId="0" borderId="0" xfId="0" applyFont="1" applyAlignment="1">
      <alignment vertical="top" wrapText="1"/>
    </xf>
    <xf numFmtId="0" fontId="50" fillId="0" borderId="8" xfId="0" applyFont="1" applyBorder="1" applyAlignment="1">
      <alignment horizontal="center" vertical="top" wrapText="1"/>
    </xf>
    <xf numFmtId="0" fontId="49" fillId="0" borderId="0" xfId="0" applyFont="1" applyAlignment="1">
      <alignment horizontal="left" vertical="top" wrapText="1"/>
    </xf>
    <xf numFmtId="0" fontId="49" fillId="0" borderId="0" xfId="0" applyFont="1" applyAlignment="1">
      <alignment vertical="top" wrapText="1"/>
    </xf>
    <xf numFmtId="0" fontId="49" fillId="0" borderId="8" xfId="0" applyFont="1" applyBorder="1" applyAlignment="1">
      <alignment horizontal="center" vertical="top" wrapText="1"/>
    </xf>
    <xf numFmtId="0" fontId="49" fillId="0" borderId="12" xfId="0" applyFont="1" applyBorder="1" applyAlignment="1">
      <alignment vertical="top" wrapText="1"/>
    </xf>
    <xf numFmtId="0" fontId="49" fillId="0" borderId="8" xfId="0" applyFont="1" applyBorder="1" applyAlignment="1">
      <alignment horizontal="center" vertical="top"/>
    </xf>
    <xf numFmtId="0" fontId="49" fillId="0" borderId="16" xfId="0" applyFont="1" applyBorder="1" applyAlignment="1">
      <alignment horizontal="center" vertical="top"/>
    </xf>
    <xf numFmtId="0" fontId="50" fillId="0" borderId="0" xfId="0" applyFont="1" applyAlignment="1">
      <alignment wrapText="1"/>
    </xf>
    <xf numFmtId="0" fontId="49" fillId="0" borderId="0" xfId="0" applyFont="1" applyAlignment="1">
      <alignment wrapText="1"/>
    </xf>
    <xf numFmtId="0" fontId="50" fillId="20" borderId="0" xfId="0" applyFont="1" applyFill="1" applyAlignment="1">
      <alignment horizontal="left" vertical="top"/>
    </xf>
    <xf numFmtId="0" fontId="49" fillId="20" borderId="13" xfId="0" applyFont="1" applyFill="1" applyBorder="1"/>
    <xf numFmtId="0" fontId="49" fillId="20" borderId="11" xfId="0" applyFont="1" applyFill="1" applyBorder="1" applyAlignment="1">
      <alignment horizontal="left" vertical="top"/>
    </xf>
    <xf numFmtId="38" fontId="3" fillId="20" borderId="17" xfId="42319" applyFont="1" applyFill="1" applyBorder="1"/>
    <xf numFmtId="0" fontId="45" fillId="20" borderId="17" xfId="0" applyFont="1" applyFill="1" applyBorder="1"/>
    <xf numFmtId="0" fontId="0" fillId="20" borderId="0" xfId="0" applyFill="1" applyBorder="1" applyAlignment="1">
      <alignment horizontal="left"/>
    </xf>
    <xf numFmtId="0" fontId="0" fillId="20" borderId="0" xfId="0" applyFill="1" applyBorder="1" applyAlignment="1">
      <alignment horizontal="center"/>
    </xf>
    <xf numFmtId="0" fontId="2" fillId="20" borderId="9" xfId="0" applyFont="1" applyFill="1" applyBorder="1" applyAlignment="1">
      <alignment horizontal="center"/>
    </xf>
    <xf numFmtId="14" fontId="0" fillId="20" borderId="0" xfId="0" applyNumberFormat="1" applyFill="1" applyBorder="1"/>
    <xf numFmtId="167" fontId="1" fillId="20" borderId="0" xfId="2" applyNumberFormat="1" applyFont="1" applyFill="1" applyBorder="1"/>
    <xf numFmtId="167" fontId="0" fillId="20" borderId="0" xfId="2" applyNumberFormat="1" applyFont="1" applyFill="1" applyBorder="1"/>
    <xf numFmtId="44" fontId="1" fillId="20" borderId="0" xfId="2" applyFont="1" applyFill="1" applyBorder="1"/>
    <xf numFmtId="167" fontId="2" fillId="20" borderId="9" xfId="2" applyNumberFormat="1" applyFont="1" applyFill="1" applyBorder="1" applyAlignment="1">
      <alignment horizontal="center"/>
    </xf>
    <xf numFmtId="0" fontId="2" fillId="20" borderId="0" xfId="0" applyFont="1" applyFill="1" applyBorder="1" applyAlignment="1">
      <alignment vertical="top" wrapText="1"/>
    </xf>
    <xf numFmtId="0" fontId="49" fillId="20" borderId="0" xfId="0" applyFont="1" applyFill="1" applyBorder="1" applyAlignment="1">
      <alignment horizontal="centerContinuous" wrapText="1"/>
    </xf>
    <xf numFmtId="10" fontId="49" fillId="20" borderId="0" xfId="3" applyNumberFormat="1" applyFont="1" applyFill="1" applyBorder="1" applyAlignment="1">
      <alignment horizontal="centerContinuous" wrapText="1"/>
    </xf>
    <xf numFmtId="0" fontId="49" fillId="20" borderId="0" xfId="0" applyFont="1" applyFill="1" applyBorder="1" applyAlignment="1">
      <alignment horizontal="center" wrapText="1"/>
    </xf>
    <xf numFmtId="0" fontId="50" fillId="20" borderId="0" xfId="0" applyFont="1" applyFill="1" applyBorder="1" applyAlignment="1">
      <alignment horizontal="centerContinuous" wrapText="1"/>
    </xf>
    <xf numFmtId="0" fontId="50" fillId="20" borderId="0" xfId="0" applyFont="1" applyFill="1" applyBorder="1" applyAlignment="1">
      <alignment horizontal="center" wrapText="1"/>
    </xf>
    <xf numFmtId="0" fontId="52" fillId="20" borderId="0" xfId="0" applyFont="1" applyFill="1" applyBorder="1"/>
    <xf numFmtId="38" fontId="52" fillId="20" borderId="0" xfId="0" applyNumberFormat="1" applyFont="1" applyFill="1" applyBorder="1"/>
    <xf numFmtId="3" fontId="52" fillId="20" borderId="0" xfId="0" applyNumberFormat="1" applyFont="1" applyFill="1" applyBorder="1"/>
    <xf numFmtId="10" fontId="49" fillId="20" borderId="0" xfId="3" applyNumberFormat="1" applyFont="1" applyFill="1" applyBorder="1" applyAlignment="1">
      <alignment horizontal="right"/>
    </xf>
    <xf numFmtId="164" fontId="49" fillId="20" borderId="0" xfId="1" applyNumberFormat="1" applyFont="1" applyFill="1" applyBorder="1"/>
    <xf numFmtId="164" fontId="49" fillId="20" borderId="0" xfId="1" applyNumberFormat="1" applyFont="1" applyFill="1" applyBorder="1" applyAlignment="1">
      <alignment horizontal="right"/>
    </xf>
    <xf numFmtId="10" fontId="49" fillId="20" borderId="0" xfId="3" applyNumberFormat="1" applyFont="1" applyFill="1" applyBorder="1"/>
    <xf numFmtId="164" fontId="52" fillId="20" borderId="0" xfId="0" applyNumberFormat="1" applyFont="1" applyFill="1" applyBorder="1"/>
    <xf numFmtId="0" fontId="50" fillId="20" borderId="0" xfId="0" applyFont="1" applyFill="1" applyBorder="1" applyAlignment="1">
      <alignment horizontal="center"/>
    </xf>
    <xf numFmtId="0" fontId="49" fillId="20" borderId="0" xfId="0" applyFont="1" applyFill="1" applyBorder="1" applyAlignment="1">
      <alignment horizontal="left"/>
    </xf>
    <xf numFmtId="5" fontId="49" fillId="20" borderId="0" xfId="0" applyNumberFormat="1" applyFont="1" applyFill="1" applyBorder="1" applyAlignment="1">
      <alignment horizontal="center"/>
    </xf>
    <xf numFmtId="164" fontId="49" fillId="20" borderId="0" xfId="2" applyNumberFormat="1" applyFont="1" applyFill="1" applyBorder="1" applyAlignment="1">
      <alignment horizontal="right"/>
    </xf>
    <xf numFmtId="176" fontId="0" fillId="20" borderId="0" xfId="0" applyNumberFormat="1" applyFill="1" applyBorder="1" applyAlignment="1">
      <alignment horizontal="center"/>
    </xf>
    <xf numFmtId="0" fontId="46" fillId="20" borderId="0" xfId="0" applyFont="1" applyFill="1" applyBorder="1" applyAlignment="1">
      <alignment horizontal="center" vertical="center" wrapText="1"/>
    </xf>
    <xf numFmtId="167" fontId="45" fillId="20" borderId="0" xfId="2" applyNumberFormat="1" applyFont="1" applyFill="1" applyBorder="1"/>
    <xf numFmtId="42" fontId="46" fillId="20" borderId="0" xfId="0" applyNumberFormat="1" applyFont="1" applyFill="1" applyBorder="1"/>
    <xf numFmtId="42" fontId="45" fillId="22" borderId="0" xfId="0" applyNumberFormat="1" applyFont="1" applyFill="1" applyBorder="1"/>
    <xf numFmtId="0" fontId="45" fillId="20" borderId="6" xfId="0" applyFont="1" applyFill="1" applyBorder="1" applyAlignment="1">
      <alignment horizontal="center"/>
    </xf>
    <xf numFmtId="0" fontId="46" fillId="20" borderId="6" xfId="0" applyFont="1" applyFill="1" applyBorder="1" applyAlignment="1">
      <alignment horizontal="center"/>
    </xf>
    <xf numFmtId="0" fontId="46" fillId="20" borderId="6" xfId="0" applyFont="1" applyFill="1" applyBorder="1" applyAlignment="1">
      <alignment horizontal="center" vertical="center"/>
    </xf>
    <xf numFmtId="42" fontId="46" fillId="26" borderId="2" xfId="0" applyNumberFormat="1" applyFont="1" applyFill="1" applyBorder="1"/>
    <xf numFmtId="42" fontId="46" fillId="27" borderId="2" xfId="0" applyNumberFormat="1" applyFont="1" applyFill="1" applyBorder="1"/>
    <xf numFmtId="0" fontId="4" fillId="20" borderId="6" xfId="38578" applyFont="1" applyFill="1" applyBorder="1"/>
    <xf numFmtId="0" fontId="0" fillId="20" borderId="0" xfId="0" applyFill="1" applyBorder="1" applyAlignment="1">
      <alignment wrapText="1"/>
    </xf>
    <xf numFmtId="171" fontId="1" fillId="20" borderId="0" xfId="2" applyNumberFormat="1" applyFont="1" applyFill="1" applyBorder="1"/>
    <xf numFmtId="0" fontId="0" fillId="20" borderId="9" xfId="0" applyFill="1" applyBorder="1"/>
    <xf numFmtId="0" fontId="48" fillId="0" borderId="0" xfId="0" applyFont="1" applyBorder="1"/>
    <xf numFmtId="0" fontId="52" fillId="20" borderId="0" xfId="0" applyFont="1" applyFill="1" applyBorder="1" applyAlignment="1">
      <alignment horizontal="center"/>
    </xf>
    <xf numFmtId="164" fontId="48" fillId="0" borderId="0" xfId="0" applyNumberFormat="1" applyFont="1" applyBorder="1"/>
    <xf numFmtId="10" fontId="52" fillId="20" borderId="0" xfId="3" applyNumberFormat="1" applyFont="1" applyFill="1" applyBorder="1"/>
    <xf numFmtId="10" fontId="48" fillId="0" borderId="0" xfId="3" applyNumberFormat="1" applyFont="1" applyBorder="1"/>
    <xf numFmtId="0" fontId="3" fillId="20" borderId="9" xfId="38578" applyFont="1" applyFill="1" applyBorder="1" applyAlignment="1">
      <alignment horizontal="center"/>
    </xf>
    <xf numFmtId="176" fontId="3" fillId="20" borderId="9" xfId="38578" applyNumberFormat="1" applyFont="1" applyFill="1" applyBorder="1" applyAlignment="1">
      <alignment horizontal="center"/>
    </xf>
    <xf numFmtId="164" fontId="46" fillId="20" borderId="20" xfId="0" applyNumberFormat="1" applyFont="1" applyFill="1" applyBorder="1" applyAlignment="1">
      <alignment horizontal="center" wrapText="1"/>
    </xf>
    <xf numFmtId="14" fontId="45" fillId="0" borderId="0" xfId="1" applyNumberFormat="1" applyFont="1" applyBorder="1" applyAlignment="1">
      <alignment horizontal="right"/>
    </xf>
    <xf numFmtId="0" fontId="45" fillId="20" borderId="0" xfId="0" applyFont="1" applyFill="1" applyAlignment="1">
      <alignment horizontal="left"/>
    </xf>
    <xf numFmtId="171" fontId="69" fillId="20" borderId="0" xfId="42319" applyNumberFormat="1" applyFont="1" applyFill="1" applyBorder="1" applyAlignment="1">
      <alignment horizontal="center"/>
    </xf>
    <xf numFmtId="38" fontId="69" fillId="20" borderId="9" xfId="42319" applyFont="1" applyFill="1" applyBorder="1" applyAlignment="1">
      <alignment horizontal="center"/>
    </xf>
    <xf numFmtId="0" fontId="70" fillId="20" borderId="19" xfId="0" applyFont="1" applyFill="1" applyBorder="1" applyAlignment="1">
      <alignment horizontal="center"/>
    </xf>
    <xf numFmtId="0" fontId="71" fillId="20" borderId="0" xfId="0" applyFont="1" applyFill="1" applyBorder="1"/>
    <xf numFmtId="3" fontId="61" fillId="20" borderId="2" xfId="0" applyNumberFormat="1" applyFont="1" applyFill="1" applyBorder="1" applyAlignment="1">
      <alignment vertical="center"/>
    </xf>
    <xf numFmtId="38" fontId="69" fillId="20" borderId="9" xfId="0" applyNumberFormat="1" applyFont="1" applyFill="1" applyBorder="1" applyAlignment="1">
      <alignment horizontal="center"/>
    </xf>
    <xf numFmtId="0" fontId="70" fillId="20" borderId="0" xfId="0" applyFont="1" applyFill="1" applyBorder="1"/>
    <xf numFmtId="3" fontId="69" fillId="20" borderId="2" xfId="0" applyNumberFormat="1" applyFont="1" applyFill="1" applyBorder="1" applyAlignment="1">
      <alignment vertical="center"/>
    </xf>
    <xf numFmtId="38" fontId="69" fillId="20" borderId="0" xfId="42319" applyFont="1" applyFill="1" applyAlignment="1">
      <alignment horizontal="center"/>
    </xf>
    <xf numFmtId="3" fontId="69" fillId="20" borderId="9" xfId="0" applyNumberFormat="1" applyFont="1" applyFill="1" applyBorder="1" applyAlignment="1">
      <alignment horizontal="center"/>
    </xf>
    <xf numFmtId="3" fontId="69" fillId="20" borderId="9" xfId="0" applyNumberFormat="1" applyFont="1" applyFill="1" applyBorder="1" applyAlignment="1">
      <alignment horizontal="centerContinuous"/>
    </xf>
    <xf numFmtId="0" fontId="70" fillId="20" borderId="9" xfId="0" applyFont="1" applyFill="1" applyBorder="1"/>
    <xf numFmtId="0" fontId="70" fillId="20" borderId="9" xfId="0" applyFont="1" applyFill="1" applyBorder="1" applyAlignment="1">
      <alignment horizontal="center"/>
    </xf>
    <xf numFmtId="38" fontId="69" fillId="20" borderId="0" xfId="42319" applyFont="1" applyFill="1" applyBorder="1"/>
    <xf numFmtId="3" fontId="69" fillId="20" borderId="0" xfId="19386" applyNumberFormat="1" applyFont="1" applyFill="1" applyBorder="1"/>
    <xf numFmtId="38" fontId="69" fillId="20" borderId="0" xfId="0" applyNumberFormat="1" applyFont="1" applyFill="1" applyBorder="1" applyAlignment="1">
      <alignment horizontal="left" vertical="center"/>
    </xf>
    <xf numFmtId="3" fontId="69" fillId="20" borderId="0" xfId="0" applyNumberFormat="1" applyFont="1" applyFill="1" applyBorder="1"/>
    <xf numFmtId="170" fontId="69" fillId="20" borderId="0" xfId="42319" applyNumberFormat="1" applyFont="1" applyFill="1" applyBorder="1"/>
    <xf numFmtId="171" fontId="69" fillId="20" borderId="9" xfId="42319" applyNumberFormat="1" applyFont="1" applyFill="1" applyBorder="1" applyAlignment="1">
      <alignment horizontal="center"/>
    </xf>
    <xf numFmtId="38" fontId="69" fillId="20" borderId="9" xfId="42319" applyFont="1" applyFill="1" applyBorder="1"/>
    <xf numFmtId="38" fontId="69" fillId="20" borderId="0" xfId="42319" applyFont="1" applyFill="1" applyBorder="1" applyAlignment="1">
      <alignment horizontal="center"/>
    </xf>
    <xf numFmtId="38" fontId="69" fillId="20" borderId="2" xfId="42319" applyFont="1" applyFill="1" applyBorder="1" applyAlignment="1">
      <alignment horizontal="center"/>
    </xf>
    <xf numFmtId="171" fontId="69" fillId="20" borderId="4" xfId="42319" applyNumberFormat="1" applyFont="1" applyFill="1" applyBorder="1" applyAlignment="1">
      <alignment horizontal="center"/>
    </xf>
    <xf numFmtId="38" fontId="69" fillId="20" borderId="9" xfId="19386" applyNumberFormat="1" applyFont="1" applyFill="1" applyBorder="1" applyAlignment="1">
      <alignment horizontal="center"/>
    </xf>
    <xf numFmtId="0" fontId="4" fillId="20" borderId="14" xfId="0" applyFont="1" applyFill="1" applyBorder="1" applyAlignment="1">
      <alignment horizontal="left"/>
    </xf>
    <xf numFmtId="0" fontId="49" fillId="20" borderId="14" xfId="0" applyFont="1" applyFill="1" applyBorder="1" applyAlignment="1">
      <alignment horizontal="center"/>
    </xf>
    <xf numFmtId="0" fontId="49" fillId="20" borderId="0" xfId="0" applyFont="1" applyFill="1"/>
    <xf numFmtId="0" fontId="49" fillId="20" borderId="0" xfId="0" applyFont="1" applyFill="1" applyAlignment="1">
      <alignment horizontal="center"/>
    </xf>
    <xf numFmtId="49" fontId="49" fillId="20" borderId="13" xfId="0" applyNumberFormat="1" applyFont="1" applyFill="1" applyBorder="1" applyAlignment="1">
      <alignment horizontal="center" vertical="top"/>
    </xf>
    <xf numFmtId="49" fontId="49" fillId="20" borderId="0" xfId="0" applyNumberFormat="1" applyFont="1" applyFill="1" applyAlignment="1">
      <alignment horizontal="center"/>
    </xf>
    <xf numFmtId="49" fontId="49" fillId="0" borderId="0" xfId="0" applyNumberFormat="1" applyFont="1" applyAlignment="1">
      <alignment horizontal="center"/>
    </xf>
    <xf numFmtId="0" fontId="50" fillId="20" borderId="12" xfId="0" applyFont="1" applyFill="1" applyBorder="1" applyAlignment="1">
      <alignment horizontal="center" vertical="center" wrapText="1" readingOrder="1"/>
    </xf>
    <xf numFmtId="0" fontId="50" fillId="0" borderId="12" xfId="0" applyFont="1" applyBorder="1" applyAlignment="1">
      <alignment wrapText="1"/>
    </xf>
    <xf numFmtId="0" fontId="49" fillId="0" borderId="12" xfId="0" applyFont="1" applyBorder="1" applyAlignment="1">
      <alignment wrapText="1"/>
    </xf>
    <xf numFmtId="0" fontId="49" fillId="0" borderId="12" xfId="0" applyFont="1" applyBorder="1"/>
    <xf numFmtId="175" fontId="49" fillId="0" borderId="12" xfId="0" applyNumberFormat="1" applyFont="1" applyBorder="1" applyAlignment="1">
      <alignment wrapText="1"/>
    </xf>
    <xf numFmtId="0" fontId="52" fillId="0" borderId="0" xfId="0" applyFont="1" applyAlignment="1">
      <alignment vertical="top" wrapText="1"/>
    </xf>
    <xf numFmtId="0" fontId="49" fillId="0" borderId="18" xfId="0" applyFont="1" applyBorder="1" applyAlignment="1">
      <alignment wrapText="1"/>
    </xf>
    <xf numFmtId="175" fontId="49" fillId="0" borderId="18" xfId="0" applyNumberFormat="1" applyFont="1" applyBorder="1" applyAlignment="1">
      <alignment wrapText="1"/>
    </xf>
    <xf numFmtId="167" fontId="49" fillId="0" borderId="12" xfId="2" applyNumberFormat="1" applyFont="1" applyFill="1" applyBorder="1" applyAlignment="1">
      <alignment wrapText="1"/>
    </xf>
    <xf numFmtId="0" fontId="49" fillId="20" borderId="12" xfId="0" applyFont="1" applyFill="1" applyBorder="1"/>
    <xf numFmtId="0" fontId="49" fillId="20" borderId="0" xfId="0" applyFont="1" applyFill="1" applyAlignment="1">
      <alignment wrapText="1"/>
    </xf>
    <xf numFmtId="0" fontId="49" fillId="0" borderId="0" xfId="0" applyFont="1" applyAlignment="1">
      <alignment horizontal="center"/>
    </xf>
    <xf numFmtId="164" fontId="45" fillId="0" borderId="0" xfId="1" applyNumberFormat="1" applyFont="1" applyBorder="1"/>
    <xf numFmtId="0" fontId="49" fillId="20" borderId="0" xfId="0" applyFont="1" applyFill="1" applyAlignment="1">
      <alignment horizontal="left"/>
    </xf>
    <xf numFmtId="0" fontId="49" fillId="0" borderId="16" xfId="0" applyFont="1" applyBorder="1" applyAlignment="1">
      <alignment wrapText="1"/>
    </xf>
    <xf numFmtId="38" fontId="49" fillId="0" borderId="0" xfId="0" applyNumberFormat="1" applyFont="1"/>
    <xf numFmtId="0" fontId="52" fillId="23" borderId="21" xfId="0" applyFont="1" applyFill="1" applyBorder="1" applyAlignment="1">
      <alignment wrapText="1"/>
    </xf>
    <xf numFmtId="0" fontId="49" fillId="0" borderId="8" xfId="0" applyFont="1" applyBorder="1" applyAlignment="1">
      <alignment horizontal="left" vertical="top"/>
    </xf>
    <xf numFmtId="0" fontId="49" fillId="23" borderId="21" xfId="0" applyFont="1" applyFill="1" applyBorder="1" applyAlignment="1">
      <alignment vertical="top" wrapText="1"/>
    </xf>
    <xf numFmtId="0" fontId="50" fillId="0" borderId="16" xfId="0" applyFont="1" applyBorder="1" applyAlignment="1">
      <alignment wrapText="1"/>
    </xf>
    <xf numFmtId="0" fontId="50" fillId="20" borderId="16" xfId="0" applyFont="1" applyFill="1" applyBorder="1" applyAlignment="1">
      <alignment horizontal="center" vertical="center" wrapText="1" readingOrder="1"/>
    </xf>
    <xf numFmtId="49" fontId="49" fillId="0" borderId="0" xfId="0" applyNumberFormat="1" applyFont="1" applyAlignment="1">
      <alignment horizontal="center" wrapText="1"/>
    </xf>
    <xf numFmtId="49" fontId="49" fillId="20" borderId="12" xfId="0" applyNumberFormat="1" applyFont="1" applyFill="1" applyBorder="1" applyAlignment="1">
      <alignment horizontal="center"/>
    </xf>
    <xf numFmtId="0" fontId="3" fillId="20" borderId="0" xfId="38578" applyFont="1" applyFill="1" applyAlignment="1">
      <alignment horizontal="left"/>
    </xf>
    <xf numFmtId="38" fontId="45" fillId="20" borderId="0" xfId="0" applyNumberFormat="1" applyFont="1" applyFill="1"/>
    <xf numFmtId="164" fontId="45" fillId="20" borderId="0" xfId="0" applyNumberFormat="1" applyFont="1" applyFill="1"/>
    <xf numFmtId="176" fontId="45" fillId="20" borderId="0" xfId="0" applyNumberFormat="1" applyFont="1" applyFill="1" applyAlignment="1">
      <alignment horizontal="center"/>
    </xf>
    <xf numFmtId="176" fontId="45" fillId="20" borderId="0" xfId="0" applyNumberFormat="1" applyFont="1" applyFill="1" applyAlignment="1">
      <alignment horizontal="center" vertical="center"/>
    </xf>
    <xf numFmtId="176" fontId="46" fillId="20" borderId="9" xfId="0" applyNumberFormat="1" applyFont="1" applyFill="1" applyBorder="1" applyAlignment="1">
      <alignment horizontal="center"/>
    </xf>
    <xf numFmtId="0" fontId="45" fillId="20" borderId="0" xfId="0" applyFont="1" applyFill="1" applyAlignment="1">
      <alignment horizontal="center"/>
    </xf>
    <xf numFmtId="38" fontId="3" fillId="20" borderId="0" xfId="0" applyNumberFormat="1" applyFont="1" applyFill="1" applyAlignment="1">
      <alignment horizontal="center"/>
    </xf>
    <xf numFmtId="0" fontId="45" fillId="23" borderId="0" xfId="0" applyFont="1" applyFill="1" applyAlignment="1">
      <alignment horizontal="center"/>
    </xf>
    <xf numFmtId="0" fontId="4" fillId="20" borderId="0" xfId="0" applyFont="1" applyFill="1" applyAlignment="1">
      <alignment horizontal="center"/>
    </xf>
    <xf numFmtId="0" fontId="46" fillId="20" borderId="0" xfId="0" applyFont="1" applyFill="1" applyAlignment="1">
      <alignment horizontal="center"/>
    </xf>
    <xf numFmtId="38" fontId="3" fillId="23" borderId="0" xfId="0" applyNumberFormat="1" applyFont="1" applyFill="1" applyAlignment="1">
      <alignment horizontal="center"/>
    </xf>
    <xf numFmtId="0" fontId="3" fillId="23" borderId="0" xfId="0" applyFont="1" applyFill="1" applyAlignment="1">
      <alignment horizontal="left"/>
    </xf>
    <xf numFmtId="10" fontId="45" fillId="20" borderId="0" xfId="3" applyNumberFormat="1" applyFont="1" applyFill="1" applyBorder="1" applyAlignment="1">
      <alignment horizontal="center"/>
    </xf>
    <xf numFmtId="171" fontId="45" fillId="20" borderId="0" xfId="0" applyNumberFormat="1" applyFont="1" applyFill="1"/>
    <xf numFmtId="0" fontId="3" fillId="23" borderId="9" xfId="0" applyFont="1" applyFill="1" applyBorder="1" applyAlignment="1">
      <alignment horizontal="left"/>
    </xf>
    <xf numFmtId="10" fontId="45" fillId="20" borderId="9" xfId="3" applyNumberFormat="1" applyFont="1" applyFill="1" applyBorder="1" applyAlignment="1">
      <alignment horizontal="center"/>
    </xf>
    <xf numFmtId="0" fontId="3" fillId="23" borderId="2" xfId="0" applyFont="1" applyFill="1" applyBorder="1" applyAlignment="1">
      <alignment horizontal="left"/>
    </xf>
    <xf numFmtId="176" fontId="45" fillId="20" borderId="2" xfId="0" applyNumberFormat="1" applyFont="1" applyFill="1" applyBorder="1" applyAlignment="1">
      <alignment horizontal="center"/>
    </xf>
    <xf numFmtId="164" fontId="3" fillId="20" borderId="2" xfId="1" applyNumberFormat="1" applyFont="1" applyFill="1" applyBorder="1" applyAlignment="1">
      <alignment horizontal="center" wrapText="1"/>
    </xf>
    <xf numFmtId="10" fontId="45" fillId="20" borderId="2" xfId="3" applyNumberFormat="1" applyFont="1" applyFill="1" applyBorder="1" applyAlignment="1">
      <alignment horizontal="center"/>
    </xf>
    <xf numFmtId="171" fontId="45" fillId="20" borderId="2" xfId="0" applyNumberFormat="1" applyFont="1" applyFill="1" applyBorder="1"/>
    <xf numFmtId="164" fontId="3" fillId="0" borderId="0" xfId="1" applyNumberFormat="1" applyFont="1" applyFill="1" applyBorder="1" applyAlignment="1">
      <alignment horizontal="center" wrapText="1"/>
    </xf>
    <xf numFmtId="0" fontId="45" fillId="20" borderId="0" xfId="0" quotePrefix="1" applyFont="1" applyFill="1"/>
    <xf numFmtId="0" fontId="45" fillId="0" borderId="9" xfId="0" applyFont="1" applyBorder="1"/>
    <xf numFmtId="0" fontId="46" fillId="28" borderId="9" xfId="0" applyFont="1" applyFill="1" applyBorder="1" applyAlignment="1">
      <alignment wrapText="1"/>
    </xf>
    <xf numFmtId="0" fontId="46" fillId="29" borderId="9" xfId="0" applyFont="1" applyFill="1" applyBorder="1" applyAlignment="1">
      <alignment wrapText="1"/>
    </xf>
    <xf numFmtId="0" fontId="46" fillId="30" borderId="9" xfId="0" applyFont="1" applyFill="1" applyBorder="1" applyAlignment="1">
      <alignment wrapText="1"/>
    </xf>
    <xf numFmtId="37" fontId="45" fillId="20" borderId="0" xfId="0" applyNumberFormat="1" applyFont="1" applyFill="1"/>
    <xf numFmtId="49" fontId="55" fillId="21" borderId="0" xfId="19632" applyNumberFormat="1" applyFont="1" applyFill="1" applyAlignment="1">
      <alignment horizontal="left"/>
    </xf>
    <xf numFmtId="49" fontId="55" fillId="31" borderId="0" xfId="19632" applyNumberFormat="1" applyFont="1" applyFill="1" applyAlignment="1">
      <alignment horizontal="left"/>
    </xf>
    <xf numFmtId="0" fontId="45" fillId="28" borderId="0" xfId="0" applyFont="1" applyFill="1"/>
    <xf numFmtId="0" fontId="45" fillId="30" borderId="0" xfId="0" applyFont="1" applyFill="1"/>
    <xf numFmtId="0" fontId="45" fillId="29" borderId="0" xfId="0" applyFont="1" applyFill="1"/>
    <xf numFmtId="0" fontId="3" fillId="0" borderId="0" xfId="0" applyFont="1"/>
    <xf numFmtId="0" fontId="3" fillId="0" borderId="0" xfId="0" applyFont="1" applyAlignment="1">
      <alignment horizontal="center"/>
    </xf>
    <xf numFmtId="38" fontId="3" fillId="0" borderId="0" xfId="0" applyNumberFormat="1" applyFont="1" applyAlignment="1">
      <alignment horizontal="center"/>
    </xf>
    <xf numFmtId="38" fontId="45" fillId="0" borderId="0" xfId="0" applyNumberFormat="1" applyFont="1"/>
    <xf numFmtId="164" fontId="45" fillId="0" borderId="0" xfId="0" applyNumberFormat="1" applyFont="1"/>
    <xf numFmtId="164" fontId="4" fillId="20" borderId="0" xfId="1" applyNumberFormat="1" applyFont="1" applyFill="1" applyBorder="1" applyAlignment="1">
      <alignment horizontal="center" wrapText="1"/>
    </xf>
    <xf numFmtId="164" fontId="3" fillId="20" borderId="0" xfId="1" applyNumberFormat="1" applyFont="1" applyFill="1" applyAlignment="1">
      <alignment horizontal="center" wrapText="1"/>
    </xf>
    <xf numFmtId="164" fontId="46" fillId="20" borderId="0" xfId="1" applyNumberFormat="1" applyFont="1" applyFill="1" applyBorder="1" applyAlignment="1">
      <alignment horizontal="left" wrapText="1"/>
    </xf>
    <xf numFmtId="0" fontId="3" fillId="20" borderId="0" xfId="0" applyFont="1" applyFill="1"/>
    <xf numFmtId="10" fontId="45" fillId="20" borderId="0" xfId="3" applyNumberFormat="1" applyFont="1" applyFill="1" applyAlignment="1">
      <alignment horizontal="center"/>
    </xf>
    <xf numFmtId="180" fontId="45" fillId="20" borderId="0" xfId="0" applyNumberFormat="1" applyFont="1" applyFill="1" applyAlignment="1">
      <alignment horizontal="center"/>
    </xf>
    <xf numFmtId="10" fontId="45" fillId="20" borderId="0" xfId="3" applyNumberFormat="1" applyFont="1" applyFill="1"/>
    <xf numFmtId="164" fontId="3" fillId="0" borderId="9" xfId="1" applyNumberFormat="1" applyFont="1" applyFill="1" applyBorder="1" applyAlignment="1">
      <alignment horizontal="center" wrapText="1"/>
    </xf>
    <xf numFmtId="180" fontId="45" fillId="20" borderId="9" xfId="0" applyNumberFormat="1" applyFont="1" applyFill="1" applyBorder="1" applyAlignment="1">
      <alignment horizontal="center"/>
    </xf>
    <xf numFmtId="10" fontId="45" fillId="20" borderId="0" xfId="3" applyNumberFormat="1" applyFont="1" applyFill="1" applyBorder="1"/>
    <xf numFmtId="180" fontId="45" fillId="20" borderId="2" xfId="0" applyNumberFormat="1" applyFont="1" applyFill="1" applyBorder="1" applyAlignment="1">
      <alignment horizontal="center"/>
    </xf>
    <xf numFmtId="164" fontId="3" fillId="20" borderId="9" xfId="1" applyNumberFormat="1" applyFont="1" applyFill="1" applyBorder="1" applyAlignment="1">
      <alignment horizontal="center" wrapText="1"/>
    </xf>
    <xf numFmtId="164" fontId="3" fillId="20" borderId="0" xfId="0" applyNumberFormat="1" applyFont="1" applyFill="1"/>
    <xf numFmtId="164" fontId="3" fillId="20" borderId="0" xfId="0" applyNumberFormat="1" applyFont="1" applyFill="1" applyAlignment="1">
      <alignment horizontal="right"/>
    </xf>
    <xf numFmtId="164" fontId="45" fillId="28" borderId="2" xfId="1" applyNumberFormat="1" applyFont="1" applyFill="1" applyBorder="1"/>
    <xf numFmtId="164" fontId="45" fillId="29" borderId="2" xfId="1" applyNumberFormat="1" applyFont="1" applyFill="1" applyBorder="1"/>
    <xf numFmtId="164" fontId="45" fillId="30" borderId="2" xfId="1" applyNumberFormat="1" applyFont="1" applyFill="1" applyBorder="1"/>
    <xf numFmtId="164" fontId="57" fillId="0" borderId="0" xfId="42327" applyNumberFormat="1" applyFill="1" applyBorder="1" applyAlignment="1">
      <alignment horizontal="right"/>
    </xf>
    <xf numFmtId="164" fontId="4" fillId="0" borderId="0" xfId="1" applyNumberFormat="1" applyFont="1" applyFill="1" applyBorder="1" applyAlignment="1">
      <alignment horizontal="center"/>
    </xf>
    <xf numFmtId="164" fontId="4" fillId="0" borderId="0" xfId="1" applyNumberFormat="1" applyFont="1" applyFill="1" applyBorder="1" applyAlignment="1">
      <alignment horizontal="center" wrapText="1"/>
    </xf>
    <xf numFmtId="37" fontId="3" fillId="0" borderId="0" xfId="1" applyNumberFormat="1" applyFont="1" applyFill="1" applyBorder="1"/>
    <xf numFmtId="37" fontId="4" fillId="0" borderId="0" xfId="1" applyNumberFormat="1" applyFont="1" applyFill="1" applyBorder="1"/>
    <xf numFmtId="37" fontId="4" fillId="0" borderId="2" xfId="1" applyNumberFormat="1" applyFont="1" applyFill="1" applyBorder="1" applyAlignment="1">
      <alignment horizontal="right"/>
    </xf>
    <xf numFmtId="43" fontId="4" fillId="0" borderId="0" xfId="0" applyNumberFormat="1" applyFont="1" applyFill="1" applyBorder="1" applyAlignment="1">
      <alignment horizontal="right"/>
    </xf>
    <xf numFmtId="164" fontId="69" fillId="20" borderId="0" xfId="1" applyNumberFormat="1" applyFont="1" applyFill="1" applyAlignment="1">
      <alignment horizontal="center" wrapText="1"/>
    </xf>
    <xf numFmtId="0" fontId="70" fillId="23" borderId="0" xfId="0" quotePrefix="1" applyFont="1" applyFill="1" applyAlignment="1">
      <alignment horizontal="left"/>
    </xf>
    <xf numFmtId="0" fontId="70" fillId="20" borderId="0" xfId="0" applyFont="1" applyFill="1"/>
    <xf numFmtId="0" fontId="56" fillId="33" borderId="2" xfId="0" applyFont="1" applyFill="1" applyBorder="1" applyAlignment="1">
      <alignment horizontal="left"/>
    </xf>
    <xf numFmtId="5" fontId="52" fillId="33" borderId="2" xfId="0" applyNumberFormat="1" applyFont="1" applyFill="1" applyBorder="1"/>
    <xf numFmtId="164" fontId="56" fillId="33" borderId="2" xfId="1" applyNumberFormat="1" applyFont="1" applyFill="1" applyBorder="1"/>
    <xf numFmtId="9" fontId="56" fillId="33" borderId="2" xfId="3" applyFont="1" applyFill="1" applyBorder="1"/>
    <xf numFmtId="38" fontId="56" fillId="33" borderId="2" xfId="0" applyNumberFormat="1" applyFont="1" applyFill="1" applyBorder="1"/>
    <xf numFmtId="0" fontId="56" fillId="22" borderId="22" xfId="0" applyFont="1" applyFill="1" applyBorder="1" applyAlignment="1">
      <alignment horizontal="left"/>
    </xf>
    <xf numFmtId="5" fontId="56" fillId="22" borderId="22" xfId="0" applyNumberFormat="1" applyFont="1" applyFill="1" applyBorder="1"/>
    <xf numFmtId="164" fontId="56" fillId="22" borderId="22" xfId="1" applyNumberFormat="1" applyFont="1" applyFill="1" applyBorder="1"/>
    <xf numFmtId="9" fontId="56" fillId="22" borderId="22" xfId="3" applyFont="1" applyFill="1" applyBorder="1"/>
    <xf numFmtId="38" fontId="56" fillId="22" borderId="22" xfId="0" applyNumberFormat="1" applyFont="1" applyFill="1" applyBorder="1"/>
    <xf numFmtId="0" fontId="56" fillId="22" borderId="23" xfId="0" applyFont="1" applyFill="1" applyBorder="1" applyAlignment="1">
      <alignment horizontal="left"/>
    </xf>
    <xf numFmtId="5" fontId="56" fillId="22" borderId="23" xfId="0" applyNumberFormat="1" applyFont="1" applyFill="1" applyBorder="1"/>
    <xf numFmtId="164" fontId="56" fillId="22" borderId="23" xfId="1" applyNumberFormat="1" applyFont="1" applyFill="1" applyBorder="1"/>
    <xf numFmtId="9" fontId="56" fillId="22" borderId="23" xfId="3" applyFont="1" applyFill="1" applyBorder="1"/>
    <xf numFmtId="38" fontId="56" fillId="22" borderId="23" xfId="0" applyNumberFormat="1" applyFont="1" applyFill="1" applyBorder="1"/>
    <xf numFmtId="0" fontId="56" fillId="33" borderId="17" xfId="0" applyFont="1" applyFill="1" applyBorder="1" applyAlignment="1">
      <alignment horizontal="left"/>
    </xf>
    <xf numFmtId="5" fontId="52" fillId="33" borderId="17" xfId="0" applyNumberFormat="1" applyFont="1" applyFill="1" applyBorder="1"/>
    <xf numFmtId="164" fontId="56" fillId="33" borderId="17" xfId="1" applyNumberFormat="1" applyFont="1" applyFill="1" applyBorder="1"/>
    <xf numFmtId="9" fontId="56" fillId="33" borderId="17" xfId="3" applyFont="1" applyFill="1" applyBorder="1"/>
    <xf numFmtId="38" fontId="56" fillId="33" borderId="17" xfId="0" applyNumberFormat="1" applyFont="1" applyFill="1" applyBorder="1"/>
    <xf numFmtId="5" fontId="52" fillId="22" borderId="22" xfId="0" applyNumberFormat="1" applyFont="1" applyFill="1" applyBorder="1"/>
    <xf numFmtId="164" fontId="73" fillId="20" borderId="0" xfId="1" applyNumberFormat="1" applyFont="1" applyFill="1"/>
    <xf numFmtId="0" fontId="52" fillId="20" borderId="0" xfId="0" applyFont="1" applyFill="1" applyBorder="1" applyAlignment="1">
      <alignment horizontal="left"/>
    </xf>
    <xf numFmtId="164" fontId="50" fillId="22" borderId="22" xfId="1" applyNumberFormat="1" applyFont="1" applyFill="1" applyBorder="1"/>
    <xf numFmtId="10" fontId="75" fillId="34" borderId="0" xfId="3" applyNumberFormat="1" applyFont="1" applyFill="1" applyAlignment="1">
      <alignment horizontal="center"/>
    </xf>
    <xf numFmtId="0" fontId="76" fillId="20" borderId="6" xfId="0" applyFont="1" applyFill="1" applyBorder="1" applyAlignment="1">
      <alignment horizontal="center"/>
    </xf>
    <xf numFmtId="38" fontId="52" fillId="20" borderId="25" xfId="0" applyNumberFormat="1" applyFont="1" applyFill="1" applyBorder="1"/>
    <xf numFmtId="38" fontId="52" fillId="20" borderId="16" xfId="0" applyNumberFormat="1" applyFont="1" applyFill="1" applyBorder="1"/>
    <xf numFmtId="164" fontId="56" fillId="22" borderId="26" xfId="1" applyNumberFormat="1" applyFont="1" applyFill="1" applyBorder="1"/>
    <xf numFmtId="164" fontId="49" fillId="20" borderId="16" xfId="1" applyNumberFormat="1" applyFont="1" applyFill="1" applyBorder="1" applyAlignment="1">
      <alignment horizontal="right"/>
    </xf>
    <xf numFmtId="164" fontId="56" fillId="22" borderId="27" xfId="1" applyNumberFormat="1" applyFont="1" applyFill="1" applyBorder="1"/>
    <xf numFmtId="164" fontId="56" fillId="33" borderId="28" xfId="1" applyNumberFormat="1" applyFont="1" applyFill="1" applyBorder="1"/>
    <xf numFmtId="164" fontId="56" fillId="33" borderId="29" xfId="1" applyNumberFormat="1" applyFont="1" applyFill="1" applyBorder="1"/>
    <xf numFmtId="10" fontId="75" fillId="34" borderId="16" xfId="3" applyNumberFormat="1" applyFont="1" applyFill="1" applyBorder="1" applyAlignment="1">
      <alignment horizontal="center"/>
    </xf>
    <xf numFmtId="10" fontId="49" fillId="20" borderId="25" xfId="3" applyNumberFormat="1" applyFont="1" applyFill="1" applyBorder="1"/>
    <xf numFmtId="10" fontId="49" fillId="20" borderId="16" xfId="3" applyNumberFormat="1" applyFont="1" applyFill="1" applyBorder="1"/>
    <xf numFmtId="10" fontId="56" fillId="22" borderId="26" xfId="3" applyNumberFormat="1" applyFont="1" applyFill="1" applyBorder="1"/>
    <xf numFmtId="10" fontId="56" fillId="22" borderId="27" xfId="3" applyNumberFormat="1" applyFont="1" applyFill="1" applyBorder="1"/>
    <xf numFmtId="10" fontId="56" fillId="33" borderId="28" xfId="3" applyNumberFormat="1" applyFont="1" applyFill="1" applyBorder="1"/>
    <xf numFmtId="10" fontId="49" fillId="34" borderId="16" xfId="3" applyNumberFormat="1" applyFont="1" applyFill="1" applyBorder="1" applyAlignment="1">
      <alignment horizontal="center"/>
    </xf>
    <xf numFmtId="0" fontId="50" fillId="29" borderId="0" xfId="0" applyFont="1" applyFill="1" applyBorder="1" applyAlignment="1">
      <alignment horizontal="centerContinuous" wrapText="1"/>
    </xf>
    <xf numFmtId="37" fontId="3" fillId="29" borderId="6" xfId="42319" applyNumberFormat="1" applyFont="1" applyFill="1" applyBorder="1" applyAlignment="1">
      <alignment horizontal="center"/>
    </xf>
    <xf numFmtId="0" fontId="50" fillId="30" borderId="0" xfId="0" applyFont="1" applyFill="1" applyBorder="1" applyAlignment="1">
      <alignment horizontal="centerContinuous" wrapText="1"/>
    </xf>
    <xf numFmtId="37" fontId="3" fillId="30" borderId="6" xfId="42319" applyNumberFormat="1" applyFont="1" applyFill="1" applyBorder="1" applyAlignment="1">
      <alignment horizontal="center"/>
    </xf>
    <xf numFmtId="0" fontId="50" fillId="32" borderId="0" xfId="0" applyFont="1" applyFill="1" applyBorder="1" applyAlignment="1">
      <alignment horizontal="center" wrapText="1"/>
    </xf>
    <xf numFmtId="37" fontId="3" fillId="32" borderId="6" xfId="42319" applyNumberFormat="1" applyFont="1" applyFill="1" applyBorder="1" applyAlignment="1">
      <alignment horizontal="center"/>
    </xf>
    <xf numFmtId="0" fontId="76" fillId="29" borderId="0" xfId="0" applyFont="1" applyFill="1" applyAlignment="1">
      <alignment horizontal="centerContinuous" wrapText="1"/>
    </xf>
    <xf numFmtId="0" fontId="76" fillId="30" borderId="0" xfId="0" applyFont="1" applyFill="1" applyAlignment="1">
      <alignment horizontal="centerContinuous" wrapText="1"/>
    </xf>
    <xf numFmtId="0" fontId="76" fillId="32" borderId="0" xfId="0" applyFont="1" applyFill="1" applyAlignment="1">
      <alignment horizontal="center" wrapText="1"/>
    </xf>
    <xf numFmtId="164" fontId="73" fillId="20" borderId="0" xfId="1" applyNumberFormat="1" applyFont="1" applyFill="1" applyBorder="1"/>
    <xf numFmtId="43" fontId="75" fillId="20" borderId="0" xfId="1" applyFont="1" applyFill="1" applyAlignment="1">
      <alignment horizontal="center"/>
    </xf>
    <xf numFmtId="10" fontId="75" fillId="20" borderId="0" xfId="3" applyNumberFormat="1" applyFont="1" applyFill="1" applyAlignment="1">
      <alignment horizontal="right"/>
    </xf>
    <xf numFmtId="10" fontId="75" fillId="20" borderId="0" xfId="3" applyNumberFormat="1" applyFont="1" applyFill="1"/>
    <xf numFmtId="164" fontId="75" fillId="20" borderId="30" xfId="1" applyNumberFormat="1" applyFont="1" applyFill="1" applyBorder="1" applyAlignment="1">
      <alignment horizontal="right"/>
    </xf>
    <xf numFmtId="164" fontId="75" fillId="20" borderId="0" xfId="1" applyNumberFormat="1" applyFont="1" applyFill="1" applyAlignment="1">
      <alignment horizontal="right"/>
    </xf>
    <xf numFmtId="164" fontId="75" fillId="20" borderId="0" xfId="1" applyNumberFormat="1" applyFont="1" applyFill="1"/>
    <xf numFmtId="0" fontId="4" fillId="20" borderId="0" xfId="38578" applyFont="1" applyFill="1" applyAlignment="1">
      <alignment horizontal="center"/>
    </xf>
    <xf numFmtId="0" fontId="76" fillId="20" borderId="0" xfId="0" applyFont="1" applyFill="1" applyAlignment="1">
      <alignment horizontal="centerContinuous" wrapText="1"/>
    </xf>
    <xf numFmtId="0" fontId="76" fillId="20" borderId="0" xfId="0" applyFont="1" applyFill="1" applyAlignment="1">
      <alignment horizontal="center" wrapText="1"/>
    </xf>
    <xf numFmtId="5" fontId="52" fillId="22" borderId="23" xfId="0" applyNumberFormat="1" applyFont="1" applyFill="1" applyBorder="1"/>
    <xf numFmtId="164" fontId="73" fillId="22" borderId="23" xfId="1" applyNumberFormat="1" applyFont="1" applyFill="1" applyBorder="1"/>
    <xf numFmtId="164" fontId="73" fillId="33" borderId="2" xfId="1" applyNumberFormat="1" applyFont="1" applyFill="1" applyBorder="1"/>
    <xf numFmtId="0" fontId="76" fillId="30" borderId="16" xfId="0" applyFont="1" applyFill="1" applyBorder="1" applyAlignment="1">
      <alignment horizontal="centerContinuous" wrapText="1"/>
    </xf>
    <xf numFmtId="37" fontId="3" fillId="30" borderId="31" xfId="42319" applyNumberFormat="1" applyFont="1" applyFill="1" applyBorder="1" applyAlignment="1">
      <alignment horizontal="center"/>
    </xf>
    <xf numFmtId="37" fontId="3" fillId="32" borderId="31" xfId="42319" applyNumberFormat="1" applyFont="1" applyFill="1" applyBorder="1" applyAlignment="1">
      <alignment horizontal="center"/>
    </xf>
    <xf numFmtId="10" fontId="50" fillId="32" borderId="16" xfId="3" applyNumberFormat="1" applyFont="1" applyFill="1" applyBorder="1" applyAlignment="1">
      <alignment horizontal="centerContinuous" wrapText="1"/>
    </xf>
    <xf numFmtId="0" fontId="50" fillId="30" borderId="16" xfId="0" applyFont="1" applyFill="1" applyBorder="1" applyAlignment="1">
      <alignment horizontal="centerContinuous" wrapText="1"/>
    </xf>
    <xf numFmtId="164" fontId="48" fillId="0" borderId="0" xfId="0" applyNumberFormat="1" applyFont="1"/>
    <xf numFmtId="164" fontId="77" fillId="0" borderId="0" xfId="0" applyNumberFormat="1" applyFont="1"/>
    <xf numFmtId="164" fontId="66" fillId="0" borderId="0" xfId="0" applyNumberFormat="1" applyFont="1"/>
    <xf numFmtId="164" fontId="78" fillId="20" borderId="0" xfId="0" applyNumberFormat="1" applyFont="1" applyFill="1"/>
    <xf numFmtId="164" fontId="78" fillId="0" borderId="0" xfId="0" applyNumberFormat="1" applyFont="1"/>
    <xf numFmtId="0" fontId="48" fillId="24" borderId="0" xfId="0" applyFont="1" applyFill="1"/>
    <xf numFmtId="164" fontId="78" fillId="24" borderId="0" xfId="0" applyNumberFormat="1" applyFont="1" applyFill="1"/>
    <xf numFmtId="0" fontId="46" fillId="23" borderId="6" xfId="0" applyFont="1" applyFill="1" applyBorder="1" applyAlignment="1">
      <alignment horizontal="center" wrapText="1"/>
    </xf>
    <xf numFmtId="0" fontId="76" fillId="0" borderId="0" xfId="0" applyFont="1" applyFill="1" applyBorder="1" applyAlignment="1">
      <alignment horizontal="center" wrapText="1"/>
    </xf>
    <xf numFmtId="37" fontId="3" fillId="0" borderId="0" xfId="42319" applyNumberFormat="1" applyFont="1" applyFill="1" applyBorder="1" applyAlignment="1">
      <alignment horizontal="center"/>
    </xf>
    <xf numFmtId="10" fontId="73" fillId="0" borderId="0" xfId="3" applyNumberFormat="1" applyFont="1" applyFill="1" applyBorder="1"/>
    <xf numFmtId="0" fontId="48" fillId="0" borderId="0" xfId="0" applyFont="1" applyFill="1" applyBorder="1"/>
    <xf numFmtId="0" fontId="48" fillId="0" borderId="0" xfId="0" applyFont="1" applyFill="1"/>
    <xf numFmtId="164" fontId="56" fillId="33" borderId="24" xfId="1" applyNumberFormat="1" applyFont="1" applyFill="1" applyBorder="1"/>
    <xf numFmtId="0" fontId="50" fillId="29" borderId="8" xfId="0" applyFont="1" applyFill="1" applyBorder="1" applyAlignment="1">
      <alignment horizontal="centerContinuous" wrapText="1"/>
    </xf>
    <xf numFmtId="37" fontId="3" fillId="29" borderId="33" xfId="42319" applyNumberFormat="1" applyFont="1" applyFill="1" applyBorder="1" applyAlignment="1">
      <alignment horizontal="center"/>
    </xf>
    <xf numFmtId="164" fontId="49" fillId="20" borderId="8" xfId="1" applyNumberFormat="1" applyFont="1" applyFill="1" applyBorder="1"/>
    <xf numFmtId="164" fontId="56" fillId="22" borderId="34" xfId="1" applyNumberFormat="1" applyFont="1" applyFill="1" applyBorder="1"/>
    <xf numFmtId="164" fontId="49" fillId="20" borderId="8" xfId="1" applyNumberFormat="1" applyFont="1" applyFill="1" applyBorder="1" applyAlignment="1">
      <alignment horizontal="right"/>
    </xf>
    <xf numFmtId="164" fontId="56" fillId="22" borderId="35" xfId="1" applyNumberFormat="1" applyFont="1" applyFill="1" applyBorder="1"/>
    <xf numFmtId="164" fontId="56" fillId="33" borderId="32" xfId="1" applyNumberFormat="1" applyFont="1" applyFill="1" applyBorder="1"/>
    <xf numFmtId="164" fontId="56" fillId="33" borderId="36" xfId="1" applyNumberFormat="1" applyFont="1" applyFill="1" applyBorder="1"/>
    <xf numFmtId="0" fontId="76" fillId="29" borderId="8" xfId="0" applyFont="1" applyFill="1" applyBorder="1" applyAlignment="1">
      <alignment horizontal="centerContinuous" wrapText="1"/>
    </xf>
    <xf numFmtId="164" fontId="75" fillId="20" borderId="8" xfId="1" applyNumberFormat="1" applyFont="1" applyFill="1" applyBorder="1"/>
    <xf numFmtId="0" fontId="50" fillId="32" borderId="16" xfId="0" applyFont="1" applyFill="1" applyBorder="1" applyAlignment="1">
      <alignment horizontal="center" wrapText="1"/>
    </xf>
    <xf numFmtId="164" fontId="52" fillId="20" borderId="16" xfId="0" applyNumberFormat="1" applyFont="1" applyFill="1" applyBorder="1"/>
    <xf numFmtId="164" fontId="74" fillId="20" borderId="16" xfId="0" applyNumberFormat="1" applyFont="1" applyFill="1" applyBorder="1"/>
    <xf numFmtId="164" fontId="49" fillId="20" borderId="16" xfId="1" applyNumberFormat="1" applyFont="1" applyFill="1" applyBorder="1"/>
    <xf numFmtId="164" fontId="75" fillId="20" borderId="16" xfId="1" applyNumberFormat="1" applyFont="1" applyFill="1" applyBorder="1"/>
    <xf numFmtId="164" fontId="75" fillId="34" borderId="0" xfId="1" applyNumberFormat="1" applyFont="1" applyFill="1" applyAlignment="1">
      <alignment horizontal="center"/>
    </xf>
    <xf numFmtId="0" fontId="76" fillId="32" borderId="37" xfId="0" applyFont="1" applyFill="1" applyBorder="1" applyAlignment="1">
      <alignment horizontal="center" wrapText="1"/>
    </xf>
    <xf numFmtId="10" fontId="73" fillId="33" borderId="29" xfId="3" applyNumberFormat="1" applyFont="1" applyFill="1" applyBorder="1"/>
    <xf numFmtId="0" fontId="45" fillId="20" borderId="0" xfId="0" applyFont="1" applyFill="1" applyBorder="1" applyAlignment="1">
      <alignment horizontal="left"/>
    </xf>
    <xf numFmtId="0" fontId="45" fillId="23" borderId="0" xfId="0" applyFont="1" applyFill="1" applyBorder="1" applyAlignment="1"/>
    <xf numFmtId="0" fontId="45" fillId="23" borderId="0" xfId="1" applyNumberFormat="1" applyFont="1" applyFill="1" applyBorder="1" applyAlignment="1">
      <alignment horizontal="left"/>
    </xf>
    <xf numFmtId="42" fontId="45" fillId="22" borderId="19" xfId="0" applyNumberFormat="1" applyFont="1" applyFill="1" applyBorder="1"/>
    <xf numFmtId="49" fontId="45" fillId="20" borderId="19" xfId="1" applyNumberFormat="1" applyFont="1" applyFill="1" applyBorder="1" applyAlignment="1"/>
    <xf numFmtId="49" fontId="45" fillId="20" borderId="0" xfId="1" applyNumberFormat="1" applyFont="1" applyFill="1" applyBorder="1" applyAlignment="1"/>
    <xf numFmtId="0" fontId="57" fillId="20" borderId="0" xfId="42327" applyFill="1" applyBorder="1" applyAlignment="1">
      <alignment horizontal="left"/>
    </xf>
    <xf numFmtId="0" fontId="2" fillId="20" borderId="0" xfId="0" applyFont="1" applyFill="1" applyBorder="1" applyAlignment="1">
      <alignment horizontal="center"/>
    </xf>
    <xf numFmtId="0" fontId="46" fillId="20" borderId="9" xfId="0" applyFont="1" applyFill="1" applyBorder="1" applyAlignment="1">
      <alignment horizontal="center"/>
    </xf>
    <xf numFmtId="38" fontId="3" fillId="0" borderId="0" xfId="0" applyNumberFormat="1" applyFont="1" applyFill="1" applyBorder="1" applyAlignment="1">
      <alignment wrapText="1"/>
    </xf>
    <xf numFmtId="0" fontId="3" fillId="0" borderId="0" xfId="0" applyFont="1" applyFill="1" applyBorder="1" applyAlignment="1"/>
    <xf numFmtId="0" fontId="70" fillId="20" borderId="0" xfId="0" quotePrefix="1" applyFont="1" applyFill="1" applyAlignment="1">
      <alignment horizontal="left" wrapText="1"/>
    </xf>
    <xf numFmtId="0" fontId="4" fillId="32" borderId="9" xfId="0" applyFont="1" applyFill="1" applyBorder="1" applyAlignment="1">
      <alignment horizontal="left" wrapText="1"/>
    </xf>
    <xf numFmtId="0" fontId="46" fillId="32" borderId="9" xfId="0" applyFont="1" applyFill="1" applyBorder="1"/>
    <xf numFmtId="164" fontId="46" fillId="32" borderId="9" xfId="1" applyNumberFormat="1" applyFont="1" applyFill="1" applyBorder="1" applyAlignment="1">
      <alignment horizontal="center"/>
    </xf>
    <xf numFmtId="176" fontId="46" fillId="32" borderId="9" xfId="0" applyNumberFormat="1" applyFont="1" applyFill="1" applyBorder="1" applyAlignment="1">
      <alignment horizontal="center" wrapText="1"/>
    </xf>
    <xf numFmtId="0" fontId="4" fillId="23" borderId="2" xfId="0" applyFont="1" applyFill="1" applyBorder="1" applyAlignment="1">
      <alignment horizontal="left"/>
    </xf>
    <xf numFmtId="0" fontId="45" fillId="0" borderId="0" xfId="0" applyFont="1" applyFill="1"/>
    <xf numFmtId="49" fontId="55" fillId="0" borderId="0" xfId="19632" applyNumberFormat="1" applyFont="1" applyFill="1" applyBorder="1" applyAlignment="1">
      <alignment horizontal="left"/>
    </xf>
    <xf numFmtId="49" fontId="55" fillId="20" borderId="0" xfId="19632" applyNumberFormat="1" applyFont="1" applyFill="1" applyAlignment="1">
      <alignment horizontal="left"/>
    </xf>
    <xf numFmtId="49" fontId="55" fillId="20" borderId="0" xfId="19632" applyNumberFormat="1" applyFont="1" applyFill="1" applyBorder="1" applyAlignment="1">
      <alignment horizontal="left"/>
    </xf>
    <xf numFmtId="164" fontId="45" fillId="20" borderId="0" xfId="1" applyNumberFormat="1" applyFont="1" applyFill="1" applyBorder="1" applyAlignment="1">
      <alignment wrapText="1"/>
    </xf>
    <xf numFmtId="0" fontId="3" fillId="20" borderId="0" xfId="0" applyFont="1" applyFill="1" applyAlignment="1">
      <alignment horizontal="center"/>
    </xf>
    <xf numFmtId="0" fontId="3" fillId="28" borderId="0" xfId="0" applyFont="1" applyFill="1" applyAlignment="1">
      <alignment horizontal="center"/>
    </xf>
    <xf numFmtId="0" fontId="45" fillId="0" borderId="0" xfId="0" applyFont="1" applyFill="1" applyAlignment="1">
      <alignment horizontal="center"/>
    </xf>
    <xf numFmtId="0" fontId="45" fillId="28" borderId="0" xfId="0" applyFont="1" applyFill="1" applyAlignment="1">
      <alignment horizontal="center"/>
    </xf>
    <xf numFmtId="0" fontId="45" fillId="30" borderId="0" xfId="0" applyFont="1" applyFill="1" applyAlignment="1">
      <alignment horizontal="center"/>
    </xf>
    <xf numFmtId="0" fontId="45" fillId="29" borderId="0" xfId="0" applyFont="1" applyFill="1" applyAlignment="1">
      <alignment horizontal="center"/>
    </xf>
    <xf numFmtId="37" fontId="3" fillId="20" borderId="8" xfId="1" applyNumberFormat="1" applyFont="1" applyFill="1" applyBorder="1" applyAlignment="1">
      <alignment horizontal="right"/>
    </xf>
    <xf numFmtId="37" fontId="3" fillId="35" borderId="8" xfId="1" applyNumberFormat="1" applyFont="1" applyFill="1" applyBorder="1" applyAlignment="1">
      <alignment horizontal="right"/>
    </xf>
    <xf numFmtId="37" fontId="45" fillId="35" borderId="8" xfId="1" applyNumberFormat="1" applyFont="1" applyFill="1" applyBorder="1" applyAlignment="1">
      <alignment horizontal="right"/>
    </xf>
    <xf numFmtId="37" fontId="45" fillId="35" borderId="8" xfId="0" applyNumberFormat="1" applyFont="1" applyFill="1" applyBorder="1"/>
    <xf numFmtId="37" fontId="45" fillId="20" borderId="8" xfId="0" applyNumberFormat="1" applyFont="1" applyFill="1" applyBorder="1"/>
    <xf numFmtId="38" fontId="45" fillId="0" borderId="36" xfId="0" applyNumberFormat="1" applyFont="1" applyFill="1" applyBorder="1"/>
    <xf numFmtId="164" fontId="46" fillId="32" borderId="39" xfId="1" applyNumberFormat="1" applyFont="1" applyFill="1" applyBorder="1" applyAlignment="1">
      <alignment horizontal="center" wrapText="1"/>
    </xf>
    <xf numFmtId="0" fontId="46" fillId="35" borderId="39" xfId="0" applyFont="1" applyFill="1" applyBorder="1" applyAlignment="1">
      <alignment wrapText="1"/>
    </xf>
    <xf numFmtId="164" fontId="45" fillId="20" borderId="8" xfId="1" applyNumberFormat="1" applyFont="1" applyFill="1" applyBorder="1"/>
    <xf numFmtId="164" fontId="45" fillId="20" borderId="39" xfId="1" applyNumberFormat="1" applyFont="1" applyFill="1" applyBorder="1"/>
    <xf numFmtId="164" fontId="45" fillId="35" borderId="36" xfId="1" applyNumberFormat="1" applyFont="1" applyFill="1" applyBorder="1"/>
    <xf numFmtId="0" fontId="70" fillId="0" borderId="0" xfId="0" applyFont="1"/>
    <xf numFmtId="0" fontId="3" fillId="30" borderId="0" xfId="0" applyFont="1" applyFill="1"/>
    <xf numFmtId="0" fontId="49" fillId="20" borderId="0" xfId="0" applyFont="1" applyFill="1" applyBorder="1" applyAlignment="1"/>
    <xf numFmtId="0" fontId="52" fillId="20" borderId="40" xfId="0" applyFont="1" applyFill="1" applyBorder="1" applyAlignment="1">
      <alignment horizontal="left"/>
    </xf>
    <xf numFmtId="5" fontId="52" fillId="20" borderId="40" xfId="0" applyNumberFormat="1" applyFont="1" applyFill="1" applyBorder="1"/>
    <xf numFmtId="0" fontId="56" fillId="22" borderId="9" xfId="0" applyFont="1" applyFill="1" applyBorder="1" applyAlignment="1">
      <alignment horizontal="left"/>
    </xf>
    <xf numFmtId="5" fontId="52" fillId="22" borderId="9" xfId="0" applyNumberFormat="1" applyFont="1" applyFill="1" applyBorder="1"/>
    <xf numFmtId="164" fontId="56" fillId="22" borderId="40" xfId="1" applyNumberFormat="1" applyFont="1" applyFill="1" applyBorder="1"/>
    <xf numFmtId="164" fontId="73" fillId="22" borderId="40" xfId="1" applyNumberFormat="1" applyFont="1" applyFill="1" applyBorder="1"/>
    <xf numFmtId="164" fontId="56" fillId="22" borderId="41" xfId="1" applyNumberFormat="1" applyFont="1" applyFill="1" applyBorder="1"/>
    <xf numFmtId="164" fontId="56" fillId="22" borderId="42" xfId="1" applyNumberFormat="1" applyFont="1" applyFill="1" applyBorder="1"/>
    <xf numFmtId="9" fontId="56" fillId="22" borderId="40" xfId="3" applyFont="1" applyFill="1" applyBorder="1"/>
    <xf numFmtId="38" fontId="56" fillId="22" borderId="40" xfId="0" applyNumberFormat="1" applyFont="1" applyFill="1" applyBorder="1"/>
    <xf numFmtId="0" fontId="50" fillId="36" borderId="43" xfId="0" applyFont="1" applyFill="1" applyBorder="1" applyAlignment="1">
      <alignment horizontal="center" wrapText="1"/>
    </xf>
    <xf numFmtId="164" fontId="56" fillId="36" borderId="43" xfId="1" applyNumberFormat="1" applyFont="1" applyFill="1" applyBorder="1"/>
    <xf numFmtId="0" fontId="50" fillId="32" borderId="0" xfId="0" applyFont="1" applyFill="1" applyAlignment="1">
      <alignment horizontal="center" wrapText="1"/>
    </xf>
    <xf numFmtId="43" fontId="50" fillId="32" borderId="0" xfId="0" applyNumberFormat="1" applyFont="1" applyFill="1" applyAlignment="1">
      <alignment horizontal="center" wrapText="1"/>
    </xf>
    <xf numFmtId="164" fontId="73" fillId="33" borderId="17" xfId="3" applyNumberFormat="1" applyFont="1" applyFill="1" applyBorder="1"/>
    <xf numFmtId="0" fontId="80" fillId="20" borderId="0" xfId="0" applyFont="1" applyFill="1" applyBorder="1" applyAlignment="1"/>
    <xf numFmtId="0" fontId="4" fillId="20" borderId="0" xfId="38578" applyFont="1" applyFill="1" applyBorder="1" applyAlignment="1">
      <alignment horizontal="left"/>
    </xf>
    <xf numFmtId="0" fontId="56" fillId="22" borderId="19" xfId="0" applyFont="1" applyFill="1" applyBorder="1" applyAlignment="1">
      <alignment horizontal="left"/>
    </xf>
    <xf numFmtId="5" fontId="52" fillId="22" borderId="19" xfId="0" applyNumberFormat="1" applyFont="1" applyFill="1" applyBorder="1"/>
    <xf numFmtId="164" fontId="56" fillId="22" borderId="19" xfId="1" applyNumberFormat="1" applyFont="1" applyFill="1" applyBorder="1"/>
    <xf numFmtId="164" fontId="56" fillId="22" borderId="7" xfId="1" applyNumberFormat="1" applyFont="1" applyFill="1" applyBorder="1"/>
    <xf numFmtId="164" fontId="56" fillId="22" borderId="38" xfId="1" applyNumberFormat="1" applyFont="1" applyFill="1" applyBorder="1"/>
    <xf numFmtId="9" fontId="56" fillId="22" borderId="19" xfId="3" applyFont="1" applyFill="1" applyBorder="1"/>
    <xf numFmtId="38" fontId="56" fillId="22" borderId="19" xfId="0" applyNumberFormat="1" applyFont="1" applyFill="1" applyBorder="1"/>
    <xf numFmtId="10" fontId="52" fillId="20" borderId="16" xfId="3" applyNumberFormat="1" applyFont="1" applyFill="1" applyBorder="1"/>
    <xf numFmtId="164" fontId="52" fillId="20" borderId="0" xfId="3" applyNumberFormat="1" applyFont="1" applyFill="1"/>
    <xf numFmtId="164" fontId="52" fillId="20" borderId="9" xfId="3" applyNumberFormat="1" applyFont="1" applyFill="1" applyBorder="1"/>
    <xf numFmtId="0" fontId="3" fillId="20" borderId="4" xfId="38578" applyNumberFormat="1" applyFont="1" applyFill="1" applyBorder="1" applyAlignment="1">
      <alignment horizontal="left"/>
    </xf>
    <xf numFmtId="0" fontId="3" fillId="20" borderId="0" xfId="38578" applyNumberFormat="1" applyFont="1" applyFill="1" applyBorder="1" applyAlignment="1">
      <alignment horizontal="left"/>
    </xf>
    <xf numFmtId="164" fontId="3" fillId="20" borderId="4" xfId="1" applyNumberFormat="1" applyFont="1" applyFill="1" applyBorder="1" applyAlignment="1">
      <alignment horizontal="right"/>
    </xf>
    <xf numFmtId="0" fontId="45" fillId="20" borderId="0" xfId="0" applyFont="1" applyFill="1" applyBorder="1" applyAlignment="1"/>
    <xf numFmtId="0" fontId="45" fillId="0" borderId="0" xfId="0" applyFont="1" applyAlignment="1"/>
    <xf numFmtId="42" fontId="46" fillId="20" borderId="6" xfId="0" applyNumberFormat="1" applyFont="1" applyFill="1" applyBorder="1" applyAlignment="1">
      <alignment horizontal="center" wrapText="1"/>
    </xf>
    <xf numFmtId="42" fontId="46" fillId="20" borderId="0" xfId="0" applyNumberFormat="1" applyFont="1" applyFill="1" applyBorder="1" applyAlignment="1">
      <alignment horizontal="center"/>
    </xf>
    <xf numFmtId="0" fontId="2" fillId="20" borderId="0" xfId="0" applyFont="1" applyFill="1" applyBorder="1"/>
    <xf numFmtId="0" fontId="50" fillId="20" borderId="15" xfId="0" applyFont="1" applyFill="1" applyBorder="1"/>
    <xf numFmtId="0" fontId="50" fillId="20" borderId="13" xfId="0" applyFont="1" applyFill="1" applyBorder="1" applyAlignment="1">
      <alignment horizontal="left" vertical="top"/>
    </xf>
    <xf numFmtId="0" fontId="4" fillId="20" borderId="0" xfId="38578" applyFont="1" applyFill="1" applyAlignment="1">
      <alignment horizontal="left"/>
    </xf>
    <xf numFmtId="0" fontId="46" fillId="20" borderId="44" xfId="0" applyFont="1" applyFill="1" applyBorder="1" applyAlignment="1">
      <alignment horizontal="center" wrapText="1"/>
    </xf>
    <xf numFmtId="164" fontId="45" fillId="20" borderId="45" xfId="0" applyNumberFormat="1" applyFont="1" applyFill="1" applyBorder="1"/>
    <xf numFmtId="164" fontId="45" fillId="20" borderId="5" xfId="0" applyNumberFormat="1" applyFont="1" applyFill="1" applyBorder="1"/>
    <xf numFmtId="171" fontId="45" fillId="20" borderId="0" xfId="0" applyNumberFormat="1" applyFont="1" applyFill="1" applyBorder="1"/>
    <xf numFmtId="0" fontId="50" fillId="20" borderId="8" xfId="0" applyFont="1" applyFill="1" applyBorder="1" applyAlignment="1">
      <alignment horizontal="center" vertical="center" wrapText="1" readingOrder="1"/>
    </xf>
    <xf numFmtId="0" fontId="67" fillId="20" borderId="14" xfId="42327" applyFont="1" applyFill="1" applyBorder="1" applyAlignment="1">
      <alignment horizontal="right"/>
    </xf>
    <xf numFmtId="9" fontId="45" fillId="36" borderId="0" xfId="3" applyFont="1" applyFill="1" applyBorder="1" applyAlignment="1">
      <alignment horizontal="center"/>
    </xf>
    <xf numFmtId="9" fontId="45" fillId="36" borderId="9" xfId="3" applyFont="1" applyFill="1" applyBorder="1" applyAlignment="1">
      <alignment horizontal="center"/>
    </xf>
    <xf numFmtId="164" fontId="45" fillId="36" borderId="46" xfId="0" applyNumberFormat="1" applyFont="1" applyFill="1" applyBorder="1"/>
    <xf numFmtId="0" fontId="81" fillId="20" borderId="0" xfId="0" applyFont="1" applyFill="1" applyBorder="1" applyAlignment="1"/>
    <xf numFmtId="0" fontId="3" fillId="0" borderId="0" xfId="0" applyFont="1" applyFill="1" applyBorder="1" applyAlignment="1"/>
    <xf numFmtId="10" fontId="75" fillId="34" borderId="17" xfId="3" applyNumberFormat="1" applyFont="1" applyFill="1" applyBorder="1" applyAlignment="1">
      <alignment horizontal="center"/>
    </xf>
    <xf numFmtId="0" fontId="49" fillId="20" borderId="0" xfId="0" quotePrefix="1" applyFont="1" applyFill="1" applyBorder="1" applyAlignment="1"/>
    <xf numFmtId="164" fontId="3" fillId="20" borderId="0" xfId="0" applyNumberFormat="1" applyFont="1" applyFill="1" applyBorder="1" applyAlignment="1">
      <alignment horizontal="right"/>
    </xf>
    <xf numFmtId="164" fontId="45" fillId="20" borderId="0" xfId="1" applyNumberFormat="1" applyFont="1" applyFill="1" applyBorder="1" applyAlignment="1">
      <alignment horizontal="left" wrapText="1"/>
    </xf>
    <xf numFmtId="164" fontId="45" fillId="22" borderId="45" xfId="0" applyNumberFormat="1" applyFont="1" applyFill="1" applyBorder="1"/>
    <xf numFmtId="164" fontId="46" fillId="37" borderId="47" xfId="0" applyNumberFormat="1" applyFont="1" applyFill="1" applyBorder="1"/>
    <xf numFmtId="181" fontId="45" fillId="20" borderId="0" xfId="0" applyNumberFormat="1" applyFont="1" applyFill="1" applyBorder="1" applyAlignment="1">
      <alignment horizontal="center"/>
    </xf>
    <xf numFmtId="164" fontId="75" fillId="20" borderId="0" xfId="3" applyNumberFormat="1" applyFont="1" applyFill="1" applyAlignment="1">
      <alignment horizontal="center"/>
    </xf>
    <xf numFmtId="164" fontId="75" fillId="20" borderId="8" xfId="3" applyNumberFormat="1" applyFont="1" applyFill="1" applyBorder="1" applyAlignment="1">
      <alignment horizontal="center"/>
    </xf>
    <xf numFmtId="164" fontId="75" fillId="20" borderId="16" xfId="3" applyNumberFormat="1" applyFont="1" applyFill="1" applyBorder="1" applyAlignment="1">
      <alignment horizontal="center"/>
    </xf>
    <xf numFmtId="10" fontId="75" fillId="20" borderId="0" xfId="3" applyNumberFormat="1" applyFont="1" applyFill="1" applyAlignment="1"/>
    <xf numFmtId="0" fontId="54" fillId="20" borderId="0" xfId="0" applyFont="1" applyFill="1" applyBorder="1" applyAlignment="1">
      <alignment horizontal="center"/>
    </xf>
    <xf numFmtId="0" fontId="60" fillId="0" borderId="0" xfId="0" applyFont="1" applyFill="1" applyBorder="1" applyAlignment="1">
      <alignment horizontal="center"/>
    </xf>
    <xf numFmtId="0" fontId="54" fillId="0" borderId="0" xfId="0" applyFont="1" applyFill="1" applyBorder="1" applyAlignment="1">
      <alignment horizontal="center"/>
    </xf>
    <xf numFmtId="0" fontId="57" fillId="20" borderId="0" xfId="42327" applyFill="1" applyBorder="1" applyAlignment="1">
      <alignment horizontal="left"/>
    </xf>
    <xf numFmtId="0" fontId="58" fillId="20" borderId="0" xfId="0" applyFont="1" applyFill="1" applyBorder="1" applyAlignment="1">
      <alignment horizontal="center"/>
    </xf>
    <xf numFmtId="0" fontId="2" fillId="20" borderId="0" xfId="0" applyFont="1" applyFill="1" applyBorder="1" applyAlignment="1">
      <alignment horizontal="center"/>
    </xf>
    <xf numFmtId="0" fontId="2" fillId="20" borderId="6" xfId="0" applyFont="1" applyFill="1" applyBorder="1" applyAlignment="1">
      <alignment horizontal="center"/>
    </xf>
    <xf numFmtId="0" fontId="2" fillId="20" borderId="6" xfId="0" applyFont="1" applyFill="1" applyBorder="1" applyAlignment="1">
      <alignment horizontal="center" vertical="top" wrapText="1"/>
    </xf>
    <xf numFmtId="0" fontId="77" fillId="0" borderId="0" xfId="0" applyFont="1" applyAlignment="1">
      <alignment horizontal="center"/>
    </xf>
    <xf numFmtId="0" fontId="0" fillId="20" borderId="0" xfId="0" applyFill="1" applyBorder="1" applyAlignment="1">
      <alignment horizontal="center"/>
    </xf>
    <xf numFmtId="0" fontId="70" fillId="20" borderId="0" xfId="0" applyFont="1" applyFill="1" applyBorder="1" applyAlignment="1">
      <alignment horizontal="left" vertical="top" wrapText="1"/>
    </xf>
    <xf numFmtId="0" fontId="46" fillId="20" borderId="9" xfId="0" applyFont="1" applyFill="1" applyBorder="1" applyAlignment="1">
      <alignment horizontal="center"/>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49" fillId="20" borderId="6" xfId="0" applyFont="1" applyFill="1" applyBorder="1" applyAlignment="1">
      <alignment horizontal="left" vertical="top" wrapText="1"/>
    </xf>
    <xf numFmtId="0" fontId="70" fillId="23" borderId="0" xfId="0" quotePrefix="1" applyFont="1" applyFill="1" applyAlignment="1">
      <alignment horizontal="left" wrapText="1"/>
    </xf>
    <xf numFmtId="0" fontId="70" fillId="20" borderId="0" xfId="0" quotePrefix="1" applyFont="1" applyFill="1" applyAlignment="1">
      <alignment horizontal="left"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35">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bottom" textRotation="0" wrapText="1" indent="0" justifyLastLine="0" shrinkToFit="0" readingOrder="0"/>
    </dxf>
    <dxf>
      <font>
        <strike val="0"/>
        <outline val="0"/>
        <shadow val="0"/>
        <vertAlign val="baseline"/>
        <sz val="10"/>
        <color auto="1"/>
        <name val="Calibri"/>
        <family val="2"/>
      </font>
      <alignment textRotation="0" wrapText="1" indent="0" justifyLastLine="0" shrinkToFit="0"/>
      <border diagonalUp="0" diagonalDown="0">
        <left style="thin">
          <color indexed="64"/>
        </left>
        <vertical/>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dxf>
    <dxf>
      <font>
        <strike val="0"/>
        <outline val="0"/>
        <shadow val="0"/>
        <vertAlign val="baseline"/>
        <sz val="10"/>
        <color auto="1"/>
        <name val="Calibri"/>
        <family val="2"/>
      </font>
    </dxf>
    <dxf>
      <font>
        <b val="0"/>
        <i val="0"/>
        <strike val="0"/>
        <condense val="0"/>
        <extend val="0"/>
        <outline val="0"/>
        <shadow val="0"/>
        <u val="none"/>
        <vertAlign val="baseline"/>
        <sz val="10"/>
        <color auto="1"/>
        <name val="Calibri"/>
        <family val="2"/>
        <scheme val="none"/>
      </font>
      <fill>
        <patternFill patternType="solid">
          <fgColor indexed="64"/>
          <bgColor theme="0"/>
        </patternFill>
      </fill>
    </dxf>
    <dxf>
      <font>
        <strike val="0"/>
        <outline val="0"/>
        <shadow val="0"/>
        <vertAlign val="baseline"/>
        <sz val="10"/>
        <color auto="1"/>
        <name val="Calibri"/>
        <family val="2"/>
      </font>
    </dxf>
    <dxf>
      <font>
        <b val="0"/>
        <i val="0"/>
        <strike val="0"/>
        <condense val="0"/>
        <extend val="0"/>
        <outline val="0"/>
        <shadow val="0"/>
        <u val="none"/>
        <vertAlign val="baseline"/>
        <sz val="10"/>
        <color auto="1"/>
        <name val="Calibri"/>
        <family val="2"/>
        <scheme val="none"/>
      </font>
      <fill>
        <patternFill patternType="solid">
          <fgColor indexed="64"/>
          <bgColor theme="0"/>
        </patternFill>
      </fill>
      <border diagonalUp="0" diagonalDown="0" outline="0">
        <left/>
        <right style="medium">
          <color indexed="64"/>
        </right>
        <top/>
        <bottom/>
      </border>
    </dxf>
    <dxf>
      <font>
        <strike val="0"/>
        <outline val="0"/>
        <shadow val="0"/>
        <vertAlign val="baseline"/>
        <sz val="10"/>
        <color auto="1"/>
        <name val="Calibri"/>
        <family val="2"/>
      </font>
      <alignment horizontal="general" textRotation="0" wrapText="1" indent="0" justifyLastLine="0" shrinkToFit="0" readingOrder="0"/>
      <border diagonalUp="0" diagonalDown="0" outline="0">
        <left/>
        <right style="medium">
          <color rgb="FF000000"/>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sz val="10"/>
        <color auto="1"/>
        <name val="Calibri"/>
        <family val="2"/>
      </font>
      <alignment horizontal="center"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dxf>
    <dxf>
      <font>
        <strike val="0"/>
        <outline val="0"/>
        <shadow val="0"/>
        <vertAlign val="baseline"/>
        <sz val="10"/>
        <color auto="1"/>
        <name val="Calibri"/>
        <family val="2"/>
      </font>
      <fill>
        <patternFill patternType="none">
          <fgColor rgb="FF000000"/>
          <bgColor rgb="FFFFFFFF"/>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vertAlign val="baseline"/>
        <sz val="10"/>
        <color auto="1"/>
        <name val="Calibri"/>
        <family val="2"/>
      </font>
      <alignment horizontal="left"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sz val="10"/>
        <color auto="1"/>
        <name val="Calibri"/>
        <family val="2"/>
      </font>
      <fill>
        <patternFill patternType="none">
          <fgColor rgb="FF000000"/>
          <bgColor rgb="FFFFFFFF"/>
        </patternFill>
      </fill>
      <alignment horizontal="center" vertical="top" textRotation="0" wrapText="0" indent="0" justifyLastLine="0" shrinkToFit="0" readingOrder="1"/>
      <border diagonalUp="0" diagonalDown="0" outline="0">
        <left style="medium">
          <color rgb="FF000000"/>
        </left>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sz val="10"/>
        <color auto="1"/>
        <name val="Calibri"/>
        <family val="2"/>
      </font>
      <alignment horizontal="left" vertical="top" textRotation="0" wrapText="0" indent="0" justifyLastLine="0" shrinkToFit="0" readingOrder="0"/>
    </dxf>
    <dxf>
      <font>
        <strike val="0"/>
        <outline val="0"/>
        <shadow val="0"/>
        <vertAlign val="baseline"/>
        <sz val="10"/>
        <color auto="1"/>
        <name val="Calibri"/>
        <family val="2"/>
      </font>
      <fill>
        <patternFill patternType="solid">
          <fgColor indexed="64"/>
          <bgColor theme="0"/>
        </patternFill>
      </fill>
    </dxf>
    <dxf>
      <font>
        <strike val="0"/>
        <outline val="0"/>
        <shadow val="0"/>
        <vertAlign val="baseline"/>
        <sz val="10"/>
        <color auto="1"/>
        <name val="Calibri"/>
        <family val="2"/>
      </font>
    </dxf>
    <dxf>
      <font>
        <b/>
        <i val="0"/>
        <strike val="0"/>
        <condense val="0"/>
        <extend val="0"/>
        <outline val="0"/>
        <shadow val="0"/>
        <u val="none"/>
        <vertAlign val="baseline"/>
        <sz val="10"/>
        <color auto="1"/>
        <name val="Calibri"/>
        <family val="2"/>
        <scheme val="none"/>
      </font>
      <fill>
        <patternFill>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TableStyleLight1 3" pivot="0" count="7" xr9:uid="{00000000-0011-0000-FFFF-FFFF01000000}">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s>
  <colors>
    <mruColors>
      <color rgb="FFFFFFCC"/>
      <color rgb="FFE3A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1</xdr:col>
      <xdr:colOff>743933</xdr:colOff>
      <xdr:row>1</xdr:row>
      <xdr:rowOff>447963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099"/>
          <a:ext cx="4604156" cy="983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6741F-2752-449E-B877-A737C8F6F0B9}" name="Table142424343" displayName="Table142424343" ref="A5:I825" totalsRowCount="1" headerRowDxfId="20" dataDxfId="19" totalsRowDxfId="18">
  <tableColumns count="9">
    <tableColumn id="1" xr3:uid="{DB8581F6-498D-4B72-A812-C0D3D25E6BD0}" name="Line No." dataDxfId="17" totalsRowDxfId="16"/>
    <tableColumn id="14" xr3:uid="{BA2769F4-BF25-4261-A4BF-188D4C500B56}" name="FID" dataDxfId="15" totalsRowDxfId="14"/>
    <tableColumn id="2" xr3:uid="{63C0AC83-319B-4F98-BE61-B0872E6C80CC}" name="Facility" dataDxfId="13" totalsRowDxfId="12"/>
    <tableColumn id="3" xr3:uid="{CFECDC31-C1A3-46CF-9106-389BE13A8CCF}" name="Plant Included" dataDxfId="11" totalsRowDxfId="10"/>
    <tableColumn id="6" xr3:uid="{22679D4B-2DD6-4424-8F9F-723C985454D5}" name="Attach AI Criteria" dataDxfId="9" totalsRowDxfId="8"/>
    <tableColumn id="13" xr3:uid="{4B65FE85-424F-4B1C-84FE-76583991C74D}" name="Inclusion Notes" dataDxfId="7" totalsRowDxfId="6"/>
    <tableColumn id="4" xr3:uid="{237A2D9D-63A0-4777-84A4-46D287C09C49}" name="Plant Excluded" dataDxfId="5" totalsRowDxfId="4"/>
    <tableColumn id="5" xr3:uid="{5EFCC1BF-C453-43B6-875D-290006AE011A}" name="Exclusion Notes" dataDxfId="3" totalsRowDxfId="2"/>
    <tableColumn id="7" xr3:uid="{7C75C5BB-DCAB-4CEA-9D16-FFFB964D3026}" name="Changed Facilities" dataDxfId="1" totalsRowDxfId="0"/>
  </tableColumns>
  <tableStyleInfo name="TableStyleLight1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view="pageBreakPreview" topLeftCell="A13" zoomScale="110" zoomScaleNormal="100" zoomScaleSheetLayoutView="110" workbookViewId="0">
      <selection activeCell="B26" sqref="B26"/>
    </sheetView>
  </sheetViews>
  <sheetFormatPr defaultRowHeight="15"/>
  <cols>
    <col min="1" max="1" width="55.42578125" customWidth="1"/>
    <col min="2" max="3" width="18.5703125" customWidth="1"/>
    <col min="4" max="4" width="30.5703125" customWidth="1"/>
    <col min="5" max="5" width="36" customWidth="1"/>
    <col min="6" max="6" width="15.42578125" bestFit="1" customWidth="1"/>
    <col min="7" max="7" width="14.5703125" bestFit="1" customWidth="1"/>
    <col min="8" max="8" width="24.140625" bestFit="1" customWidth="1"/>
    <col min="10" max="10" width="13.42578125" bestFit="1" customWidth="1"/>
  </cols>
  <sheetData>
    <row r="1" spans="1:5" ht="46.5">
      <c r="A1" s="641"/>
      <c r="B1" s="641"/>
      <c r="C1" s="641"/>
      <c r="D1" s="641"/>
      <c r="E1" s="73"/>
    </row>
    <row r="2" spans="1:5" ht="46.5">
      <c r="A2" s="641"/>
      <c r="B2" s="641"/>
      <c r="C2" s="641"/>
      <c r="D2" s="641"/>
      <c r="E2" s="73"/>
    </row>
    <row r="3" spans="1:5" ht="46.5">
      <c r="A3" s="641" t="s">
        <v>0</v>
      </c>
      <c r="B3" s="641"/>
      <c r="C3" s="641"/>
      <c r="D3" s="641"/>
      <c r="E3" s="73"/>
    </row>
    <row r="4" spans="1:5" ht="36">
      <c r="A4" s="645" t="s">
        <v>1</v>
      </c>
      <c r="B4" s="645"/>
      <c r="C4" s="645"/>
      <c r="D4" s="645"/>
      <c r="E4" s="73"/>
    </row>
    <row r="5" spans="1:5" ht="46.5">
      <c r="A5" s="641" t="s">
        <v>2</v>
      </c>
      <c r="B5" s="641"/>
      <c r="C5" s="641"/>
      <c r="D5" s="641"/>
      <c r="E5" s="73"/>
    </row>
    <row r="6" spans="1:5" ht="46.5">
      <c r="A6" s="641" t="s">
        <v>2393</v>
      </c>
      <c r="B6" s="641"/>
      <c r="C6" s="641"/>
      <c r="D6" s="641"/>
      <c r="E6" s="73"/>
    </row>
    <row r="7" spans="1:5" ht="21.6" customHeight="1">
      <c r="A7" s="93"/>
      <c r="B7" s="93"/>
      <c r="C7" s="86"/>
      <c r="D7" s="86"/>
      <c r="E7" s="73"/>
    </row>
    <row r="8" spans="1:5" ht="46.5">
      <c r="A8" s="642" t="s">
        <v>3</v>
      </c>
      <c r="B8" s="642"/>
      <c r="C8" s="642"/>
      <c r="D8" s="642"/>
      <c r="E8" s="73"/>
    </row>
    <row r="9" spans="1:5" ht="46.5">
      <c r="A9" s="93"/>
      <c r="B9" s="93"/>
      <c r="C9" s="86"/>
      <c r="D9" s="86"/>
      <c r="E9" s="73"/>
    </row>
    <row r="10" spans="1:5" ht="46.5">
      <c r="A10" s="643" t="s">
        <v>4</v>
      </c>
      <c r="B10" s="643"/>
      <c r="C10" s="643"/>
      <c r="D10" s="643"/>
      <c r="E10" s="73"/>
    </row>
    <row r="11" spans="1:5">
      <c r="A11" s="646" t="s">
        <v>5</v>
      </c>
      <c r="B11" s="646"/>
      <c r="C11" s="646"/>
      <c r="D11" s="646"/>
      <c r="E11" s="73"/>
    </row>
    <row r="12" spans="1:5">
      <c r="A12" s="546"/>
      <c r="B12" s="546"/>
      <c r="C12" s="546"/>
      <c r="D12" s="546"/>
      <c r="E12" s="73"/>
    </row>
    <row r="13" spans="1:5">
      <c r="A13" s="546"/>
      <c r="B13" s="546"/>
      <c r="C13" s="546"/>
      <c r="D13" s="546"/>
      <c r="E13" s="73"/>
    </row>
    <row r="14" spans="1:5">
      <c r="A14" s="646" t="s">
        <v>6</v>
      </c>
      <c r="B14" s="646"/>
      <c r="C14" s="646"/>
      <c r="D14" s="646"/>
      <c r="E14" s="73"/>
    </row>
    <row r="15" spans="1:5">
      <c r="A15" s="646" t="s">
        <v>7</v>
      </c>
      <c r="B15" s="646"/>
      <c r="C15" s="646"/>
      <c r="D15" s="646"/>
      <c r="E15" s="73"/>
    </row>
    <row r="16" spans="1:5">
      <c r="A16" s="546"/>
      <c r="B16" s="546"/>
      <c r="C16" s="546"/>
      <c r="D16" s="546"/>
      <c r="E16" s="73"/>
    </row>
    <row r="17" spans="1:5">
      <c r="A17" s="87" t="s">
        <v>8</v>
      </c>
      <c r="B17" s="87" t="s">
        <v>9</v>
      </c>
      <c r="C17" s="546"/>
      <c r="D17" s="546"/>
      <c r="E17" s="73"/>
    </row>
    <row r="18" spans="1:5">
      <c r="A18" s="86" t="s">
        <v>2370</v>
      </c>
      <c r="B18" s="644" t="s">
        <v>11</v>
      </c>
      <c r="C18" s="644"/>
      <c r="D18" s="644"/>
      <c r="E18" s="73"/>
    </row>
    <row r="19" spans="1:5">
      <c r="A19" s="86" t="s">
        <v>39</v>
      </c>
      <c r="B19" s="545" t="s">
        <v>12</v>
      </c>
      <c r="C19" s="545"/>
      <c r="D19" s="545"/>
      <c r="E19" s="73"/>
    </row>
    <row r="20" spans="1:5">
      <c r="A20" s="86" t="s">
        <v>13</v>
      </c>
      <c r="B20" s="644" t="s">
        <v>2386</v>
      </c>
      <c r="C20" s="644"/>
      <c r="D20" s="644"/>
      <c r="E20" s="73"/>
    </row>
    <row r="21" spans="1:5">
      <c r="A21" s="86" t="s">
        <v>14</v>
      </c>
      <c r="B21" s="644" t="s">
        <v>2387</v>
      </c>
      <c r="C21" s="644"/>
      <c r="D21" s="644"/>
      <c r="E21" s="73"/>
    </row>
    <row r="22" spans="1:5">
      <c r="A22" s="86" t="s">
        <v>15</v>
      </c>
      <c r="B22" s="644" t="s">
        <v>2388</v>
      </c>
      <c r="C22" s="644"/>
      <c r="D22" s="644"/>
      <c r="E22" s="73"/>
    </row>
    <row r="23" spans="1:5">
      <c r="A23" s="86" t="s">
        <v>16</v>
      </c>
      <c r="B23" s="545" t="s">
        <v>2389</v>
      </c>
      <c r="C23" s="270"/>
      <c r="D23" s="270"/>
      <c r="E23" s="73"/>
    </row>
    <row r="24" spans="1:5">
      <c r="A24" s="86" t="s">
        <v>17</v>
      </c>
      <c r="B24" s="644" t="s">
        <v>18</v>
      </c>
      <c r="C24" s="644"/>
      <c r="D24" s="644"/>
      <c r="E24" s="73"/>
    </row>
    <row r="25" spans="1:5">
      <c r="A25" s="86" t="s">
        <v>19</v>
      </c>
      <c r="B25" s="644" t="s">
        <v>2391</v>
      </c>
      <c r="C25" s="644"/>
      <c r="D25" s="644"/>
      <c r="E25" s="73"/>
    </row>
    <row r="26" spans="1:5">
      <c r="A26" s="86" t="s">
        <v>20</v>
      </c>
      <c r="B26" s="94" t="s">
        <v>2392</v>
      </c>
      <c r="C26" s="94"/>
      <c r="D26" s="86"/>
      <c r="E26" s="73"/>
    </row>
    <row r="27" spans="1:5">
      <c r="A27" s="73"/>
      <c r="B27" s="73"/>
      <c r="C27" s="73"/>
      <c r="D27" s="73"/>
      <c r="E27" s="73"/>
    </row>
    <row r="28" spans="1:5">
      <c r="A28" s="73"/>
      <c r="B28" s="73"/>
      <c r="C28" s="73"/>
      <c r="D28" s="73"/>
      <c r="E28" s="73"/>
    </row>
    <row r="29" spans="1:5">
      <c r="A29" s="73"/>
      <c r="B29" s="73"/>
      <c r="C29" s="73"/>
      <c r="D29" s="73"/>
      <c r="E29" s="73"/>
    </row>
  </sheetData>
  <mergeCells count="17">
    <mergeCell ref="B24:D24"/>
    <mergeCell ref="B25:D25"/>
    <mergeCell ref="A3:D3"/>
    <mergeCell ref="A4:D4"/>
    <mergeCell ref="B22:D22"/>
    <mergeCell ref="A11:D11"/>
    <mergeCell ref="A15:D15"/>
    <mergeCell ref="B18:D18"/>
    <mergeCell ref="B20:D20"/>
    <mergeCell ref="B21:D21"/>
    <mergeCell ref="A14:D14"/>
    <mergeCell ref="A1:D1"/>
    <mergeCell ref="A5:D5"/>
    <mergeCell ref="A6:D6"/>
    <mergeCell ref="A8:D8"/>
    <mergeCell ref="A10:D10"/>
    <mergeCell ref="A2:D2"/>
  </mergeCells>
  <hyperlinks>
    <hyperlink ref="B18:D18" location="'Summary-TrueUp'!A1" display="Worksheet &quot;Summary-TrueUp&quot; -- Calculation of True-ups" xr:uid="{00000000-0004-0000-0000-000000000000}"/>
    <hyperlink ref="B20:D20" location="'WS1-ATRR RateBase'!A1" display="Worksheet 1 -- Calculation of Rate Base" xr:uid="{00000000-0004-0000-0000-000001000000}"/>
    <hyperlink ref="B21:D21" location="'WS2-RevCredits'!A1" display="Worksheet 2 -- Revenue Credit Detail" xr:uid="{00000000-0004-0000-0000-000003000000}"/>
    <hyperlink ref="B22:D22" location="'WS3-CostData'!A1" display="Worksheet 3 -- Cost Data" xr:uid="{00000000-0004-0000-0000-000004000000}"/>
    <hyperlink ref="B23" location="'WS4-TransFac'!A1" display="Worksheet 4 -- Transmission Facility Detail" xr:uid="{00000000-0004-0000-0000-000005000000}"/>
    <hyperlink ref="B24:D24" location="'WS5-FacDetail'!A1" display="Worksheet 5 -- Other Facility Detail" xr:uid="{00000000-0004-0000-0000-000008000000}"/>
    <hyperlink ref="B25:D25" location="'WS6-AI Detail'!A1" display="Worksheet 6 -- AI Facility Information" xr:uid="{00000000-0004-0000-0000-000009000000}"/>
    <hyperlink ref="B19" location="'Rev Log'!Print_Area" display="Log of Revisions" xr:uid="{B56BC9BE-D5F5-4341-9295-993D7636A994}"/>
    <hyperlink ref="B26:C26" location="'WS7-IMEU'!A1" display="Worksheet 7 -- IMEU Calculation" xr:uid="{3C979A16-158C-4E6D-974F-4702FCED8FD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8B97-FDE3-4D51-AF46-5878D092F9A9}">
  <sheetPr>
    <pageSetUpPr fitToPage="1"/>
  </sheetPr>
  <dimension ref="A1:K53"/>
  <sheetViews>
    <sheetView tabSelected="1" view="pageBreakPreview" topLeftCell="A6" zoomScaleNormal="100" zoomScaleSheetLayoutView="100" workbookViewId="0">
      <selection activeCell="D36" sqref="D36"/>
    </sheetView>
  </sheetViews>
  <sheetFormatPr defaultRowHeight="15"/>
  <cols>
    <col min="1" max="2" width="9.140625" style="88"/>
    <col min="3" max="3" width="69.28515625" bestFit="1" customWidth="1"/>
    <col min="4" max="4" width="23.5703125" customWidth="1"/>
    <col min="5" max="5" width="15.140625" customWidth="1"/>
    <col min="6" max="6" width="15.42578125" bestFit="1" customWidth="1"/>
    <col min="7" max="7" width="14.5703125" bestFit="1" customWidth="1"/>
    <col min="8" max="8" width="24.140625" bestFit="1" customWidth="1"/>
    <col min="10" max="10" width="13.42578125" bestFit="1" customWidth="1"/>
  </cols>
  <sheetData>
    <row r="1" spans="1:11">
      <c r="A1" s="597" t="str">
        <f>'Cover Sheets'!A10:D10</f>
        <v>WAPA-UGP 2025 Rate Estimate Calculation</v>
      </c>
      <c r="B1" s="116"/>
      <c r="C1" s="109"/>
      <c r="D1" s="86"/>
    </row>
    <row r="2" spans="1:11">
      <c r="A2" s="615" t="s">
        <v>10</v>
      </c>
      <c r="B2" s="86"/>
      <c r="C2" s="109"/>
      <c r="D2" s="86"/>
    </row>
    <row r="3" spans="1:11">
      <c r="A3" s="109" t="s">
        <v>21</v>
      </c>
      <c r="B3" s="109"/>
      <c r="C3" s="109"/>
      <c r="D3" s="86"/>
    </row>
    <row r="4" spans="1:11">
      <c r="A4" s="86"/>
      <c r="B4" s="132">
        <v>-1</v>
      </c>
      <c r="C4" s="132">
        <v>-2</v>
      </c>
      <c r="D4" s="296">
        <v>-3</v>
      </c>
    </row>
    <row r="5" spans="1:11" ht="18" customHeight="1">
      <c r="A5" s="156"/>
      <c r="B5" s="156"/>
      <c r="C5" s="646" t="s">
        <v>6</v>
      </c>
      <c r="D5" s="646"/>
    </row>
    <row r="6" spans="1:11" ht="13.35" customHeight="1" thickBot="1">
      <c r="A6" s="301"/>
      <c r="B6" s="301"/>
      <c r="C6" s="647" t="s">
        <v>2447</v>
      </c>
      <c r="D6" s="647"/>
    </row>
    <row r="7" spans="1:11" ht="21.75" customHeight="1">
      <c r="A7" s="156"/>
      <c r="B7" s="156"/>
      <c r="C7" s="110"/>
      <c r="D7" s="297"/>
      <c r="F7" s="131"/>
      <c r="G7" s="131"/>
    </row>
    <row r="8" spans="1:11" ht="15.75" thickBot="1">
      <c r="A8" s="302" t="s">
        <v>22</v>
      </c>
      <c r="B8" s="302"/>
      <c r="C8" s="514" t="s">
        <v>23</v>
      </c>
      <c r="D8" s="303" t="s">
        <v>2402</v>
      </c>
      <c r="F8" s="130"/>
      <c r="G8" s="130"/>
    </row>
    <row r="9" spans="1:11">
      <c r="A9" s="156">
        <v>1</v>
      </c>
      <c r="B9" s="156" t="s">
        <v>24</v>
      </c>
      <c r="C9" s="540" t="s">
        <v>25</v>
      </c>
      <c r="D9" s="298">
        <f>'WS1-ATRR RateBase'!T9</f>
        <v>146016749.76714009</v>
      </c>
      <c r="E9" s="73"/>
      <c r="F9" s="114"/>
      <c r="G9" s="114"/>
      <c r="H9" s="74"/>
      <c r="I9" s="74"/>
      <c r="J9" s="33"/>
      <c r="K9" s="33"/>
    </row>
    <row r="10" spans="1:11">
      <c r="A10" s="156">
        <f>A9+1</f>
        <v>2</v>
      </c>
      <c r="B10" s="156" t="s">
        <v>24</v>
      </c>
      <c r="C10" s="541" t="s">
        <v>2397</v>
      </c>
      <c r="D10" s="300">
        <f>'WS1-ATRR RateBase'!T12</f>
        <v>2402613.7304608696</v>
      </c>
      <c r="F10" s="74"/>
      <c r="G10" s="74"/>
      <c r="H10" s="74"/>
      <c r="I10" s="74"/>
      <c r="J10" s="33"/>
      <c r="K10" s="33"/>
    </row>
    <row r="11" spans="1:11">
      <c r="A11" s="156">
        <f>A10+1</f>
        <v>3</v>
      </c>
      <c r="B11" s="156" t="s">
        <v>24</v>
      </c>
      <c r="C11" s="543" t="s">
        <v>26</v>
      </c>
      <c r="D11" s="542">
        <f>D9+D10</f>
        <v>148419363.49760097</v>
      </c>
      <c r="F11" s="74"/>
      <c r="G11" s="74"/>
      <c r="H11" s="74"/>
      <c r="I11" s="74"/>
      <c r="J11" s="33"/>
      <c r="K11" s="33"/>
    </row>
    <row r="12" spans="1:11">
      <c r="A12" s="156">
        <f t="shared" ref="A12:A20" si="0">A11+1</f>
        <v>4</v>
      </c>
      <c r="B12" s="156" t="s">
        <v>27</v>
      </c>
      <c r="C12" s="544" t="s">
        <v>28</v>
      </c>
      <c r="D12" s="300">
        <f>'WS1-ATRR RateBase'!T17</f>
        <v>16218478.094704719</v>
      </c>
      <c r="F12" s="74"/>
      <c r="G12" s="74"/>
      <c r="H12" s="74"/>
      <c r="I12" s="74"/>
      <c r="J12" s="33"/>
      <c r="K12" s="33"/>
    </row>
    <row r="13" spans="1:11" ht="15.75" thickBot="1">
      <c r="A13" s="156">
        <f t="shared" si="0"/>
        <v>5</v>
      </c>
      <c r="B13" s="156"/>
      <c r="C13" s="113" t="s">
        <v>2425</v>
      </c>
      <c r="D13" s="304">
        <f>D11+D12</f>
        <v>164637841.59230569</v>
      </c>
      <c r="E13" s="129"/>
      <c r="F13" s="74"/>
      <c r="G13" s="74"/>
      <c r="H13" s="74"/>
      <c r="I13" s="74"/>
      <c r="J13" s="33"/>
      <c r="K13" s="33"/>
    </row>
    <row r="14" spans="1:11" ht="15.75" thickTop="1">
      <c r="A14" s="156">
        <f t="shared" si="0"/>
        <v>6</v>
      </c>
      <c r="B14" s="156"/>
      <c r="C14" s="110"/>
      <c r="D14" s="299"/>
      <c r="E14" s="129"/>
      <c r="F14" s="74"/>
      <c r="G14" s="74"/>
      <c r="H14" s="74"/>
      <c r="I14" s="74"/>
      <c r="J14" s="33"/>
      <c r="K14" s="33"/>
    </row>
    <row r="15" spans="1:11" ht="15.75" thickBot="1">
      <c r="A15" s="156">
        <f t="shared" si="0"/>
        <v>7</v>
      </c>
      <c r="B15" s="156" t="s">
        <v>2381</v>
      </c>
      <c r="C15" s="173" t="s">
        <v>2426</v>
      </c>
      <c r="D15" s="305">
        <f>'WS1-ATRR RateBase'!T45</f>
        <v>12862678.968599053</v>
      </c>
    </row>
    <row r="16" spans="1:11" ht="15.75" thickTop="1">
      <c r="A16" s="156">
        <f t="shared" si="0"/>
        <v>8</v>
      </c>
      <c r="B16" s="156"/>
      <c r="C16" s="110"/>
      <c r="D16" s="299"/>
      <c r="E16" s="129"/>
      <c r="F16" s="74"/>
      <c r="G16" s="74"/>
      <c r="H16" s="74"/>
      <c r="I16" s="74"/>
      <c r="J16" s="33"/>
      <c r="K16" s="33"/>
    </row>
    <row r="17" spans="1:11">
      <c r="A17" s="156">
        <f t="shared" si="0"/>
        <v>9</v>
      </c>
      <c r="B17" s="156"/>
      <c r="C17" s="110"/>
      <c r="D17" s="614" t="s">
        <v>2403</v>
      </c>
      <c r="E17" s="129"/>
      <c r="F17" s="74"/>
      <c r="G17" s="74"/>
      <c r="H17" s="74"/>
      <c r="I17" s="74"/>
      <c r="J17" s="33"/>
      <c r="K17" s="33"/>
    </row>
    <row r="18" spans="1:11" ht="15.75" thickBot="1">
      <c r="A18" s="156">
        <f>A17+1</f>
        <v>10</v>
      </c>
      <c r="B18" s="156"/>
      <c r="C18" s="306" t="s">
        <v>2427</v>
      </c>
      <c r="D18" s="613" t="s">
        <v>2401</v>
      </c>
    </row>
    <row r="19" spans="1:11">
      <c r="A19" s="156">
        <f t="shared" si="0"/>
        <v>11</v>
      </c>
      <c r="B19" s="156" t="s">
        <v>29</v>
      </c>
      <c r="C19" s="80" t="s">
        <v>2398</v>
      </c>
      <c r="D19" s="300">
        <f>'WS1-ATRR RateBase'!T19</f>
        <v>5859.4382172888591</v>
      </c>
    </row>
    <row r="20" spans="1:11">
      <c r="A20" s="156">
        <f t="shared" si="0"/>
        <v>12</v>
      </c>
      <c r="B20" s="156" t="s">
        <v>29</v>
      </c>
      <c r="C20" s="80" t="s">
        <v>31</v>
      </c>
      <c r="D20" s="300">
        <f>'WS1-ATRR RateBase'!T20+'WS1-ATRR RateBase'!T31</f>
        <v>366777.90686367132</v>
      </c>
    </row>
    <row r="21" spans="1:11">
      <c r="A21" s="156">
        <f t="shared" ref="A21:A37" si="1">A20+1</f>
        <v>13</v>
      </c>
      <c r="B21" s="156" t="s">
        <v>29</v>
      </c>
      <c r="C21" s="80" t="s">
        <v>32</v>
      </c>
      <c r="D21" s="300">
        <f>'WS1-ATRR RateBase'!T21</f>
        <v>573695.69800884917</v>
      </c>
    </row>
    <row r="22" spans="1:11">
      <c r="A22" s="156">
        <f t="shared" si="1"/>
        <v>14</v>
      </c>
      <c r="B22" s="156" t="s">
        <v>29</v>
      </c>
      <c r="C22" s="80" t="s">
        <v>2399</v>
      </c>
      <c r="D22" s="300">
        <f>'WS1-ATRR RateBase'!T22</f>
        <v>45.574266565239895</v>
      </c>
    </row>
    <row r="23" spans="1:11">
      <c r="A23" s="156">
        <f t="shared" si="1"/>
        <v>15</v>
      </c>
      <c r="B23" s="156" t="s">
        <v>29</v>
      </c>
      <c r="C23" s="80" t="s">
        <v>34</v>
      </c>
      <c r="D23" s="300">
        <f>'WS1-ATRR RateBase'!T23+'WS1-ATRR RateBase'!T32</f>
        <v>261428.17330275505</v>
      </c>
    </row>
    <row r="24" spans="1:11">
      <c r="A24" s="156">
        <f t="shared" si="1"/>
        <v>16</v>
      </c>
      <c r="B24" s="156" t="s">
        <v>29</v>
      </c>
      <c r="C24" s="80" t="s">
        <v>35</v>
      </c>
      <c r="D24" s="300">
        <f>'WS1-ATRR RateBase'!T24+'WS1-ATRR RateBase'!T33</f>
        <v>169104.51225299487</v>
      </c>
    </row>
    <row r="25" spans="1:11">
      <c r="A25" s="156">
        <f t="shared" si="1"/>
        <v>17</v>
      </c>
      <c r="B25" s="156" t="s">
        <v>29</v>
      </c>
      <c r="C25" s="80" t="s">
        <v>36</v>
      </c>
      <c r="D25" s="300">
        <f>'WS1-ATRR RateBase'!T25+'WS1-ATRR RateBase'!T34</f>
        <v>100393.34546383173</v>
      </c>
    </row>
    <row r="26" spans="1:11">
      <c r="A26" s="156">
        <f t="shared" si="1"/>
        <v>18</v>
      </c>
      <c r="B26" s="156" t="s">
        <v>29</v>
      </c>
      <c r="C26" s="80" t="s">
        <v>37</v>
      </c>
      <c r="D26" s="300">
        <f>'WS1-ATRR RateBase'!T26+'WS1-ATRR RateBase'!T35</f>
        <v>488251.40095331671</v>
      </c>
    </row>
    <row r="27" spans="1:11" ht="15.75" thickBot="1">
      <c r="A27" s="156">
        <f t="shared" si="1"/>
        <v>19</v>
      </c>
      <c r="B27" s="156"/>
      <c r="C27" s="176" t="s">
        <v>2434</v>
      </c>
      <c r="D27" s="304">
        <f>SUM(D19:D26)</f>
        <v>1965556.0493292729</v>
      </c>
    </row>
    <row r="28" spans="1:11" ht="15.75" thickTop="1">
      <c r="A28" s="156">
        <f t="shared" si="1"/>
        <v>20</v>
      </c>
      <c r="B28" s="156"/>
      <c r="C28" s="133"/>
      <c r="D28" s="133"/>
    </row>
    <row r="29" spans="1:11" ht="15.75" thickBot="1">
      <c r="A29" s="156">
        <f t="shared" si="1"/>
        <v>21</v>
      </c>
      <c r="B29" s="156" t="s">
        <v>29</v>
      </c>
      <c r="C29" s="176" t="s">
        <v>2428</v>
      </c>
      <c r="D29" s="304">
        <f>'WS1-ATRR RateBase'!T36</f>
        <v>459037.08136234758</v>
      </c>
    </row>
    <row r="30" spans="1:11" ht="15.75" thickTop="1">
      <c r="A30" s="156">
        <f t="shared" si="1"/>
        <v>22</v>
      </c>
      <c r="B30" s="156"/>
      <c r="C30" s="133"/>
      <c r="D30" s="133"/>
    </row>
    <row r="31" spans="1:11" ht="15.75" thickBot="1">
      <c r="A31" s="156">
        <f t="shared" si="1"/>
        <v>23</v>
      </c>
      <c r="B31" s="156" t="s">
        <v>27</v>
      </c>
      <c r="C31" s="176" t="s">
        <v>2429</v>
      </c>
      <c r="D31" s="304">
        <f>'WS1-ATRR RateBase'!T38</f>
        <v>1.0424174696000709E-6</v>
      </c>
    </row>
    <row r="32" spans="1:11" ht="15.75" thickTop="1">
      <c r="A32" s="156">
        <f t="shared" si="1"/>
        <v>24</v>
      </c>
      <c r="B32" s="156"/>
      <c r="C32" s="133"/>
      <c r="D32" s="133"/>
    </row>
    <row r="33" spans="1:9" ht="15.75" thickBot="1">
      <c r="A33" s="156">
        <f t="shared" si="1"/>
        <v>25</v>
      </c>
      <c r="B33" s="156" t="s">
        <v>29</v>
      </c>
      <c r="C33" s="176" t="s">
        <v>2430</v>
      </c>
      <c r="D33" s="304">
        <f>'WS1-ATRR RateBase'!T27</f>
        <v>1506518.9679669256</v>
      </c>
    </row>
    <row r="34" spans="1:9" ht="15.75" thickTop="1">
      <c r="A34" s="156">
        <f t="shared" si="1"/>
        <v>26</v>
      </c>
      <c r="B34" s="156"/>
      <c r="C34" s="133"/>
      <c r="D34" s="133"/>
    </row>
    <row r="35" spans="1:9" ht="15.75" thickBot="1">
      <c r="A35" s="156">
        <f t="shared" si="1"/>
        <v>27</v>
      </c>
      <c r="B35" s="156" t="s">
        <v>27</v>
      </c>
      <c r="C35" s="176" t="s">
        <v>2431</v>
      </c>
      <c r="D35" s="304">
        <f>'WS1-ATRR RateBase'!T29</f>
        <v>1.0424174696000709E-6</v>
      </c>
    </row>
    <row r="36" spans="1:9" ht="15.75" thickTop="1">
      <c r="A36" s="156">
        <f t="shared" si="1"/>
        <v>28</v>
      </c>
      <c r="B36" s="156"/>
      <c r="C36" s="133"/>
      <c r="D36" s="133"/>
    </row>
    <row r="37" spans="1:9" ht="15.75" thickBot="1">
      <c r="A37" s="156">
        <f t="shared" si="1"/>
        <v>29</v>
      </c>
      <c r="B37" s="156" t="s">
        <v>29</v>
      </c>
      <c r="C37" s="176" t="s">
        <v>2432</v>
      </c>
      <c r="D37" s="304">
        <f>'WS7-IMEU'!L18</f>
        <v>116404.26361567552</v>
      </c>
    </row>
    <row r="38" spans="1:9" ht="15.75" thickTop="1">
      <c r="A38" s="156"/>
      <c r="B38" s="156"/>
      <c r="C38" s="133"/>
      <c r="D38" s="133"/>
    </row>
    <row r="39" spans="1:9">
      <c r="A39" s="612" t="s">
        <v>2404</v>
      </c>
      <c r="B39" s="156"/>
      <c r="C39" s="133"/>
      <c r="D39" s="133"/>
    </row>
    <row r="40" spans="1:9">
      <c r="A40" s="611" t="s">
        <v>2400</v>
      </c>
      <c r="B40" s="156"/>
      <c r="C40" s="133"/>
      <c r="D40" s="133"/>
    </row>
    <row r="41" spans="1:9">
      <c r="A41" s="539" t="s">
        <v>38</v>
      </c>
      <c r="B41" s="156"/>
      <c r="C41" s="133"/>
      <c r="D41" s="299"/>
    </row>
    <row r="42" spans="1:9">
      <c r="C42" s="34"/>
      <c r="D42" s="73"/>
      <c r="E42" s="241"/>
      <c r="F42" s="241"/>
      <c r="G42" s="241"/>
      <c r="H42" s="241"/>
      <c r="I42" s="241"/>
    </row>
    <row r="43" spans="1:9">
      <c r="D43" s="242"/>
      <c r="E43" s="241"/>
      <c r="F43" s="241"/>
      <c r="G43" s="241"/>
      <c r="H43" s="241"/>
      <c r="I43" s="241"/>
    </row>
    <row r="44" spans="1:9">
      <c r="D44" s="73"/>
      <c r="E44" s="241"/>
      <c r="F44" s="241"/>
      <c r="G44" s="241"/>
      <c r="H44" s="241"/>
      <c r="I44" s="241"/>
    </row>
    <row r="45" spans="1:9">
      <c r="D45" s="73"/>
      <c r="E45" s="241"/>
      <c r="F45" s="241"/>
      <c r="G45" s="241"/>
      <c r="H45" s="241"/>
      <c r="I45" s="241"/>
    </row>
    <row r="46" spans="1:9">
      <c r="D46" s="73"/>
      <c r="E46" s="241"/>
      <c r="F46" s="241"/>
      <c r="G46" s="241"/>
      <c r="H46" s="241"/>
      <c r="I46" s="241"/>
    </row>
    <row r="47" spans="1:9">
      <c r="D47" s="243"/>
      <c r="E47" s="241"/>
      <c r="F47" s="241"/>
      <c r="G47" s="241"/>
      <c r="H47" s="241"/>
      <c r="I47" s="241"/>
    </row>
    <row r="48" spans="1:9">
      <c r="D48" s="73"/>
      <c r="E48" s="241"/>
      <c r="F48" s="241"/>
      <c r="G48" s="241"/>
      <c r="H48" s="241"/>
      <c r="I48" s="241"/>
    </row>
    <row r="49" spans="4:9">
      <c r="D49" s="73"/>
      <c r="E49" s="241"/>
      <c r="F49" s="241"/>
      <c r="G49" s="241"/>
      <c r="H49" s="241"/>
      <c r="I49" s="241"/>
    </row>
    <row r="50" spans="4:9">
      <c r="D50" s="73"/>
      <c r="E50" s="241"/>
      <c r="F50" s="241"/>
      <c r="G50" s="241"/>
      <c r="H50" s="241"/>
      <c r="I50" s="241"/>
    </row>
    <row r="51" spans="4:9">
      <c r="D51" s="73"/>
      <c r="E51" s="241"/>
      <c r="F51" s="241"/>
      <c r="G51" s="241"/>
      <c r="H51" s="241"/>
      <c r="I51" s="241"/>
    </row>
    <row r="52" spans="4:9">
      <c r="D52" s="73"/>
      <c r="E52" s="241"/>
      <c r="F52" s="241"/>
      <c r="G52" s="241"/>
      <c r="H52" s="241"/>
      <c r="I52" s="241"/>
    </row>
    <row r="53" spans="4:9">
      <c r="D53" s="73"/>
      <c r="E53" s="241"/>
      <c r="F53" s="241"/>
      <c r="G53" s="241"/>
      <c r="H53" s="241"/>
      <c r="I53" s="241"/>
    </row>
  </sheetData>
  <mergeCells count="2">
    <mergeCell ref="C5:D5"/>
    <mergeCell ref="C6:D6"/>
  </mergeCells>
  <printOptions horizontalCentered="1" verticalCentered="1"/>
  <pageMargins left="0.7" right="0.7" top="0.75" bottom="0.75" header="0.3" footer="0.3"/>
  <pageSetup paperSiz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G64"/>
  <sheetViews>
    <sheetView workbookViewId="0">
      <selection sqref="A1:A2"/>
    </sheetView>
  </sheetViews>
  <sheetFormatPr defaultRowHeight="15"/>
  <cols>
    <col min="1" max="1" width="3.85546875" customWidth="1"/>
    <col min="2" max="2" width="10.5703125" bestFit="1" customWidth="1"/>
    <col min="3" max="3" width="13.5703125" customWidth="1"/>
    <col min="4" max="4" width="16.5703125" customWidth="1"/>
    <col min="5" max="5" width="18" bestFit="1" customWidth="1"/>
    <col min="6" max="6" width="22.5703125" bestFit="1" customWidth="1"/>
    <col min="7" max="7" width="58.85546875" bestFit="1" customWidth="1"/>
  </cols>
  <sheetData>
    <row r="1" spans="1:7">
      <c r="A1" s="597" t="str">
        <f>'Cover Sheets'!A10:D10</f>
        <v>WAPA-UGP 2025 Rate Estimate Calculation</v>
      </c>
      <c r="B1" s="86"/>
      <c r="C1" s="86"/>
      <c r="D1" s="86"/>
      <c r="E1" s="86"/>
      <c r="F1" s="86"/>
      <c r="G1" s="86"/>
    </row>
    <row r="2" spans="1:7" ht="15" customHeight="1">
      <c r="A2" s="597" t="s">
        <v>39</v>
      </c>
      <c r="B2" s="278"/>
      <c r="C2" s="278"/>
      <c r="D2" s="278"/>
      <c r="E2" s="278"/>
      <c r="F2" s="278"/>
      <c r="G2" s="278"/>
    </row>
    <row r="3" spans="1:7">
      <c r="A3" s="92" t="str">
        <f>'Summary-Est'!A3</f>
        <v>12 Months Ending 09/30/2025 Estimate</v>
      </c>
      <c r="B3" s="278"/>
      <c r="C3" s="278"/>
      <c r="D3" s="278"/>
      <c r="E3" s="278"/>
      <c r="F3" s="278"/>
      <c r="G3" s="278"/>
    </row>
    <row r="4" spans="1:7" ht="15.75" thickBot="1">
      <c r="A4" s="648" t="s">
        <v>40</v>
      </c>
      <c r="B4" s="648"/>
      <c r="C4" s="648"/>
      <c r="D4" s="648"/>
      <c r="E4" s="648"/>
      <c r="F4" s="648"/>
      <c r="G4" s="648"/>
    </row>
    <row r="5" spans="1:7">
      <c r="A5" s="86"/>
      <c r="B5" s="86"/>
      <c r="C5" s="86"/>
      <c r="D5" s="86"/>
      <c r="E5" s="86"/>
      <c r="F5" s="86"/>
      <c r="G5" s="86"/>
    </row>
    <row r="6" spans="1:7">
      <c r="A6" s="86" t="s">
        <v>41</v>
      </c>
      <c r="B6" s="271" t="s">
        <v>42</v>
      </c>
      <c r="C6" s="271" t="s">
        <v>43</v>
      </c>
      <c r="D6" s="271" t="s">
        <v>44</v>
      </c>
      <c r="E6" s="271" t="s">
        <v>45</v>
      </c>
      <c r="F6" s="271" t="s">
        <v>46</v>
      </c>
      <c r="G6" s="296">
        <v>-6</v>
      </c>
    </row>
    <row r="7" spans="1:7">
      <c r="A7" s="309" t="s">
        <v>47</v>
      </c>
      <c r="B7" s="272" t="s">
        <v>48</v>
      </c>
      <c r="C7" s="272" t="s">
        <v>49</v>
      </c>
      <c r="D7" s="272" t="s">
        <v>50</v>
      </c>
      <c r="E7" s="277" t="s">
        <v>51</v>
      </c>
      <c r="F7" s="277" t="s">
        <v>52</v>
      </c>
      <c r="G7" s="272" t="s">
        <v>23</v>
      </c>
    </row>
    <row r="8" spans="1:7">
      <c r="A8" s="271">
        <v>1</v>
      </c>
      <c r="B8" s="273"/>
      <c r="C8" s="86"/>
      <c r="D8" s="271"/>
      <c r="E8" s="274"/>
      <c r="F8" s="274"/>
      <c r="G8" s="307"/>
    </row>
    <row r="9" spans="1:7" ht="16.5" customHeight="1">
      <c r="A9" s="271">
        <v>2</v>
      </c>
      <c r="B9" s="273"/>
      <c r="C9" s="86"/>
      <c r="D9" s="271"/>
      <c r="E9" s="274"/>
      <c r="F9" s="275"/>
      <c r="G9" s="307"/>
    </row>
    <row r="10" spans="1:7">
      <c r="A10" s="271">
        <v>3</v>
      </c>
      <c r="B10" s="273"/>
      <c r="C10" s="86"/>
      <c r="D10" s="271"/>
      <c r="E10" s="274"/>
      <c r="F10" s="275"/>
      <c r="G10" s="307"/>
    </row>
    <row r="11" spans="1:7">
      <c r="A11" s="271">
        <v>4</v>
      </c>
      <c r="B11" s="273"/>
      <c r="C11" s="86"/>
      <c r="D11" s="271"/>
      <c r="E11" s="274"/>
      <c r="F11" s="275"/>
      <c r="G11" s="307"/>
    </row>
    <row r="12" spans="1:7">
      <c r="A12" s="271">
        <v>5</v>
      </c>
      <c r="B12" s="273"/>
      <c r="C12" s="86"/>
      <c r="D12" s="271"/>
      <c r="E12" s="274"/>
      <c r="F12" s="275"/>
      <c r="G12" s="307"/>
    </row>
    <row r="13" spans="1:7">
      <c r="A13" s="271">
        <v>6</v>
      </c>
      <c r="B13" s="273"/>
      <c r="C13" s="86"/>
      <c r="D13" s="271"/>
      <c r="E13" s="274"/>
      <c r="F13" s="275"/>
      <c r="G13" s="307"/>
    </row>
    <row r="14" spans="1:7">
      <c r="A14" s="271">
        <v>7</v>
      </c>
      <c r="B14" s="273"/>
      <c r="C14" s="86"/>
      <c r="D14" s="271"/>
      <c r="E14" s="274"/>
      <c r="F14" s="275"/>
      <c r="G14" s="307"/>
    </row>
    <row r="15" spans="1:7">
      <c r="A15" s="271">
        <v>8</v>
      </c>
      <c r="B15" s="273"/>
      <c r="C15" s="86"/>
      <c r="D15" s="271"/>
      <c r="E15" s="274"/>
      <c r="F15" s="274"/>
      <c r="G15" s="307"/>
    </row>
    <row r="16" spans="1:7">
      <c r="A16" s="271">
        <v>9</v>
      </c>
      <c r="B16" s="273"/>
      <c r="C16" s="86"/>
      <c r="D16" s="271"/>
      <c r="E16" s="274"/>
      <c r="F16" s="274"/>
      <c r="G16" s="307"/>
    </row>
    <row r="17" spans="1:7">
      <c r="A17" s="271">
        <v>10</v>
      </c>
      <c r="B17" s="273"/>
      <c r="C17" s="86"/>
      <c r="D17" s="271"/>
      <c r="E17" s="274"/>
      <c r="F17" s="274"/>
      <c r="G17" s="307"/>
    </row>
    <row r="18" spans="1:7">
      <c r="A18" s="271">
        <v>11</v>
      </c>
      <c r="B18" s="273"/>
      <c r="C18" s="86"/>
      <c r="D18" s="271"/>
      <c r="E18" s="275"/>
      <c r="F18" s="275"/>
      <c r="G18" s="307"/>
    </row>
    <row r="19" spans="1:7">
      <c r="A19" s="271">
        <v>12</v>
      </c>
      <c r="B19" s="273"/>
      <c r="C19" s="86"/>
      <c r="D19" s="271"/>
      <c r="E19" s="275"/>
      <c r="F19" s="274"/>
      <c r="G19" s="307"/>
    </row>
    <row r="20" spans="1:7">
      <c r="A20" s="271">
        <v>13</v>
      </c>
      <c r="B20" s="273"/>
      <c r="C20" s="86"/>
      <c r="D20" s="271"/>
      <c r="E20" s="274"/>
      <c r="F20" s="274"/>
      <c r="G20" s="307"/>
    </row>
    <row r="21" spans="1:7">
      <c r="A21" s="271">
        <v>14</v>
      </c>
      <c r="B21" s="273"/>
      <c r="C21" s="86"/>
      <c r="D21" s="271"/>
      <c r="E21" s="276"/>
      <c r="F21" s="276"/>
      <c r="G21" s="86"/>
    </row>
    <row r="22" spans="1:7">
      <c r="A22" s="271">
        <v>15</v>
      </c>
      <c r="B22" s="273"/>
      <c r="C22" s="86"/>
      <c r="D22" s="271"/>
      <c r="E22" s="276"/>
      <c r="F22" s="276"/>
      <c r="G22" s="86"/>
    </row>
    <row r="23" spans="1:7">
      <c r="A23" s="271">
        <v>16</v>
      </c>
      <c r="B23" s="273"/>
      <c r="C23" s="86"/>
      <c r="D23" s="271"/>
      <c r="E23" s="276"/>
      <c r="F23" s="276"/>
      <c r="G23" s="86"/>
    </row>
    <row r="24" spans="1:7">
      <c r="A24" s="271">
        <v>17</v>
      </c>
      <c r="B24" s="273"/>
      <c r="C24" s="86"/>
      <c r="D24" s="271"/>
      <c r="E24" s="275"/>
      <c r="F24" s="275"/>
      <c r="G24" s="86"/>
    </row>
    <row r="25" spans="1:7">
      <c r="A25" s="271">
        <v>18</v>
      </c>
      <c r="B25" s="273"/>
      <c r="C25" s="86"/>
      <c r="D25" s="271"/>
      <c r="E25" s="275"/>
      <c r="F25" s="275"/>
      <c r="G25" s="86"/>
    </row>
    <row r="26" spans="1:7">
      <c r="A26" s="271">
        <v>19</v>
      </c>
      <c r="B26" s="273"/>
      <c r="C26" s="86"/>
      <c r="D26" s="271"/>
      <c r="E26" s="275"/>
      <c r="F26" s="275"/>
      <c r="G26" s="86"/>
    </row>
    <row r="27" spans="1:7">
      <c r="A27" s="271">
        <v>20</v>
      </c>
      <c r="B27" s="273"/>
      <c r="C27" s="86"/>
      <c r="D27" s="271"/>
      <c r="E27" s="275"/>
      <c r="F27" s="275"/>
      <c r="G27" s="86"/>
    </row>
    <row r="28" spans="1:7">
      <c r="A28" s="271">
        <v>21</v>
      </c>
      <c r="B28" s="273"/>
      <c r="C28" s="86"/>
      <c r="D28" s="271"/>
      <c r="E28" s="308"/>
      <c r="F28" s="308"/>
      <c r="G28" s="86"/>
    </row>
    <row r="29" spans="1:7">
      <c r="B29" s="104"/>
      <c r="C29" s="105"/>
      <c r="D29" s="106"/>
      <c r="E29" s="108"/>
      <c r="F29" s="108"/>
      <c r="G29" s="105"/>
    </row>
    <row r="30" spans="1:7">
      <c r="B30" s="104"/>
      <c r="C30" s="105"/>
      <c r="D30" s="106"/>
      <c r="E30" s="108"/>
      <c r="F30" s="108"/>
      <c r="G30" s="105"/>
    </row>
    <row r="31" spans="1:7">
      <c r="B31" s="104"/>
      <c r="C31" s="105"/>
      <c r="D31" s="106"/>
      <c r="E31" s="107"/>
      <c r="F31" s="107"/>
      <c r="G31" s="105"/>
    </row>
    <row r="32" spans="1:7">
      <c r="B32" s="104"/>
      <c r="C32" s="105"/>
      <c r="D32" s="106"/>
      <c r="E32" s="107"/>
      <c r="F32" s="107"/>
      <c r="G32" s="105"/>
    </row>
    <row r="33" spans="2:7">
      <c r="B33" s="104"/>
      <c r="C33" s="105"/>
      <c r="D33" s="106"/>
      <c r="E33" s="107"/>
      <c r="F33" s="107"/>
      <c r="G33" s="105"/>
    </row>
    <row r="34" spans="2:7">
      <c r="B34" s="104"/>
      <c r="C34" s="105"/>
      <c r="D34" s="106"/>
      <c r="E34" s="107"/>
      <c r="F34" s="107"/>
      <c r="G34" s="105"/>
    </row>
    <row r="35" spans="2:7">
      <c r="B35" s="101"/>
      <c r="D35" s="97"/>
      <c r="E35" s="102"/>
      <c r="F35" s="102"/>
    </row>
    <row r="36" spans="2:7">
      <c r="D36" s="97"/>
      <c r="E36" s="102"/>
      <c r="F36" s="102"/>
    </row>
    <row r="37" spans="2:7">
      <c r="D37" s="97"/>
      <c r="E37" s="102"/>
      <c r="F37" s="102"/>
    </row>
    <row r="38" spans="2:7">
      <c r="B38" s="101"/>
      <c r="D38" s="97"/>
      <c r="E38" s="102"/>
      <c r="F38" s="102"/>
    </row>
    <row r="39" spans="2:7">
      <c r="B39" s="101"/>
      <c r="D39" s="97"/>
      <c r="E39" s="102"/>
      <c r="F39" s="102"/>
    </row>
    <row r="40" spans="2:7">
      <c r="B40" s="101"/>
      <c r="D40" s="97"/>
    </row>
    <row r="41" spans="2:7">
      <c r="B41" s="101"/>
      <c r="D41" s="97"/>
      <c r="E41" s="103"/>
      <c r="F41" s="103"/>
    </row>
    <row r="42" spans="2:7">
      <c r="B42" s="101"/>
      <c r="D42" s="97"/>
      <c r="E42" s="103"/>
      <c r="F42" s="103"/>
    </row>
    <row r="43" spans="2:7">
      <c r="B43" s="101"/>
      <c r="D43" s="97"/>
      <c r="E43" s="103"/>
      <c r="F43" s="103"/>
    </row>
    <row r="44" spans="2:7">
      <c r="B44" s="101"/>
      <c r="D44" s="97"/>
      <c r="E44" s="103"/>
    </row>
    <row r="45" spans="2:7">
      <c r="B45" s="101"/>
      <c r="D45" s="97"/>
    </row>
    <row r="46" spans="2:7">
      <c r="B46" s="101"/>
      <c r="D46" s="97"/>
    </row>
    <row r="47" spans="2:7">
      <c r="B47" s="101"/>
      <c r="D47" s="97"/>
    </row>
    <row r="48" spans="2:7">
      <c r="B48" s="101"/>
      <c r="D48" s="97"/>
    </row>
    <row r="49" spans="2:6">
      <c r="B49" s="101"/>
      <c r="D49" s="97"/>
    </row>
    <row r="50" spans="2:6">
      <c r="B50" s="101"/>
      <c r="D50" s="97"/>
    </row>
    <row r="51" spans="2:6">
      <c r="B51" s="101"/>
      <c r="D51" s="97"/>
    </row>
    <row r="52" spans="2:6">
      <c r="B52" s="101"/>
      <c r="D52" s="97"/>
    </row>
    <row r="53" spans="2:6">
      <c r="B53" s="101"/>
      <c r="D53" s="97"/>
      <c r="E53" s="33"/>
      <c r="F53" s="33"/>
    </row>
    <row r="54" spans="2:6">
      <c r="B54" s="101"/>
      <c r="D54" s="97"/>
      <c r="E54" s="103"/>
      <c r="F54" s="103"/>
    </row>
    <row r="55" spans="2:6">
      <c r="B55" s="101"/>
      <c r="D55" s="97"/>
      <c r="E55" s="103"/>
      <c r="F55" s="103"/>
    </row>
    <row r="56" spans="2:6">
      <c r="B56" s="101"/>
      <c r="D56" s="97"/>
      <c r="E56" s="103"/>
      <c r="F56" s="103"/>
    </row>
    <row r="57" spans="2:6">
      <c r="B57" s="101"/>
      <c r="D57" s="97"/>
      <c r="E57" s="103"/>
      <c r="F57" s="103"/>
    </row>
    <row r="58" spans="2:6">
      <c r="B58" s="101"/>
      <c r="D58" s="97"/>
      <c r="E58" s="103"/>
      <c r="F58" s="103"/>
    </row>
    <row r="59" spans="2:6">
      <c r="B59" s="101"/>
      <c r="D59" s="97"/>
      <c r="E59" s="103"/>
      <c r="F59" s="103"/>
    </row>
    <row r="60" spans="2:6">
      <c r="B60" s="101"/>
      <c r="D60" s="97"/>
      <c r="E60" s="103"/>
      <c r="F60" s="103"/>
    </row>
    <row r="61" spans="2:6">
      <c r="B61" s="101"/>
      <c r="D61" s="97"/>
      <c r="E61" s="103"/>
      <c r="F61" s="103"/>
    </row>
    <row r="62" spans="2:6">
      <c r="B62" s="101"/>
      <c r="D62" s="97"/>
      <c r="E62" s="103"/>
      <c r="F62" s="103"/>
    </row>
    <row r="63" spans="2:6">
      <c r="B63" s="101"/>
      <c r="D63" s="97"/>
      <c r="E63" s="103"/>
      <c r="F63" s="103"/>
    </row>
    <row r="64" spans="2:6">
      <c r="B64" s="101"/>
      <c r="D64" s="97"/>
      <c r="E64" s="103"/>
      <c r="F64" s="103"/>
    </row>
  </sheetData>
  <mergeCells count="1">
    <mergeCell ref="A4:G4"/>
  </mergeCells>
  <phoneticPr fontId="61" type="noConversion"/>
  <pageMargins left="0.7" right="0.7"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0E44-19C6-40D3-9039-ECA6CFDB3858}">
  <sheetPr>
    <pageSetUpPr fitToPage="1"/>
  </sheetPr>
  <dimension ref="A1:Y54"/>
  <sheetViews>
    <sheetView view="pageBreakPreview" topLeftCell="F4" zoomScale="90" zoomScaleNormal="100" zoomScaleSheetLayoutView="90" workbookViewId="0"/>
  </sheetViews>
  <sheetFormatPr defaultColWidth="13.140625" defaultRowHeight="15"/>
  <cols>
    <col min="1" max="2" width="9.5703125" style="165" customWidth="1"/>
    <col min="3" max="3" width="12.5703125" style="165" customWidth="1"/>
    <col min="4" max="4" width="52.5703125" style="165" bestFit="1" customWidth="1"/>
    <col min="5" max="5" width="10" style="165" customWidth="1"/>
    <col min="6" max="6" width="13.140625" style="165"/>
    <col min="7" max="7" width="14.5703125" style="165" bestFit="1" customWidth="1"/>
    <col min="8" max="8" width="13.85546875" style="165" bestFit="1" customWidth="1"/>
    <col min="9" max="10" width="13.140625" style="165"/>
    <col min="11" max="11" width="15.140625" style="165" customWidth="1"/>
    <col min="12" max="12" width="13.140625" style="165" bestFit="1"/>
    <col min="13" max="13" width="17" style="165" customWidth="1"/>
    <col min="14" max="14" width="13.140625" style="165"/>
    <col min="15" max="15" width="13.5703125" style="165" bestFit="1" customWidth="1"/>
    <col min="16" max="16" width="14.85546875" style="178" bestFit="1" customWidth="1"/>
    <col min="17" max="17" width="16.140625" style="165" bestFit="1" customWidth="1"/>
    <col min="18" max="18" width="16.140625" style="165" customWidth="1"/>
    <col min="19" max="19" width="14.28515625" style="165" bestFit="1" customWidth="1"/>
    <col min="20" max="20" width="17.28515625" style="165" customWidth="1"/>
    <col min="21" max="16384" width="13.140625" style="165"/>
  </cols>
  <sheetData>
    <row r="1" spans="1:22" ht="14.85" customHeight="1">
      <c r="A1" s="597" t="str">
        <f>'Cover Sheets'!A10:D10</f>
        <v>WAPA-UGP 2025 Rate Estimate Calculation</v>
      </c>
      <c r="B1" s="116"/>
      <c r="C1" s="116"/>
      <c r="D1" s="208"/>
      <c r="E1" s="545" t="s">
        <v>53</v>
      </c>
      <c r="F1" s="279"/>
      <c r="G1" s="279"/>
      <c r="H1" s="279"/>
      <c r="I1" s="279"/>
      <c r="J1" s="279"/>
      <c r="L1" s="279"/>
      <c r="M1" s="279"/>
      <c r="N1" s="279"/>
      <c r="O1" s="279"/>
      <c r="P1" s="280"/>
      <c r="Q1" s="279"/>
      <c r="R1" s="279"/>
      <c r="S1" s="279"/>
      <c r="T1" s="279"/>
    </row>
    <row r="2" spans="1:22" ht="15.75" thickBot="1">
      <c r="A2" s="597" t="s">
        <v>54</v>
      </c>
      <c r="B2" s="116"/>
      <c r="C2" s="116"/>
      <c r="D2" s="208"/>
      <c r="E2" s="279"/>
      <c r="F2" s="279"/>
      <c r="G2" s="279"/>
      <c r="H2" s="279"/>
      <c r="I2" s="279"/>
      <c r="J2" s="279"/>
      <c r="K2" s="279"/>
      <c r="L2" s="279"/>
      <c r="M2" s="279"/>
      <c r="N2" s="279"/>
      <c r="O2" s="279"/>
      <c r="P2" s="280"/>
      <c r="Q2" s="281"/>
      <c r="R2" s="281"/>
      <c r="S2" s="281"/>
      <c r="T2" s="279"/>
    </row>
    <row r="3" spans="1:22" ht="16.5" thickTop="1" thickBot="1">
      <c r="A3" s="92" t="str">
        <f>'Summary-Est'!A3</f>
        <v>12 Months Ending 09/30/2025 Estimate</v>
      </c>
      <c r="B3" s="92"/>
      <c r="C3" s="92"/>
      <c r="D3" s="279"/>
      <c r="E3" s="279"/>
      <c r="F3" s="279"/>
      <c r="G3" s="279"/>
      <c r="H3" s="279"/>
      <c r="I3" s="279"/>
      <c r="J3" s="279"/>
      <c r="K3" s="279"/>
      <c r="L3" s="279"/>
      <c r="M3" s="279"/>
      <c r="N3" s="279"/>
      <c r="O3" s="279"/>
      <c r="P3" s="280"/>
      <c r="Q3" s="279"/>
      <c r="R3" s="279"/>
      <c r="S3" s="591" t="s">
        <v>2382</v>
      </c>
      <c r="T3" s="279"/>
    </row>
    <row r="4" spans="1:22" ht="45" customHeight="1" thickTop="1">
      <c r="A4" s="92"/>
      <c r="B4" s="85" t="s">
        <v>55</v>
      </c>
      <c r="C4" s="282" t="s">
        <v>56</v>
      </c>
      <c r="D4" s="282" t="s">
        <v>57</v>
      </c>
      <c r="E4" s="283" t="s">
        <v>58</v>
      </c>
      <c r="F4" s="480" t="s">
        <v>59</v>
      </c>
      <c r="G4" s="480" t="s">
        <v>60</v>
      </c>
      <c r="H4" s="480" t="s">
        <v>2407</v>
      </c>
      <c r="I4" s="480" t="s">
        <v>61</v>
      </c>
      <c r="J4" s="521" t="s">
        <v>62</v>
      </c>
      <c r="K4" s="506" t="s">
        <v>63</v>
      </c>
      <c r="L4" s="482" t="s">
        <v>64</v>
      </c>
      <c r="M4" s="482" t="s">
        <v>65</v>
      </c>
      <c r="N4" s="482" t="s">
        <v>66</v>
      </c>
      <c r="O4" s="482" t="s">
        <v>2408</v>
      </c>
      <c r="P4" s="505" t="s">
        <v>67</v>
      </c>
      <c r="Q4" s="484" t="s">
        <v>2418</v>
      </c>
      <c r="R4" s="484" t="s">
        <v>2437</v>
      </c>
      <c r="S4" s="484" t="s">
        <v>2383</v>
      </c>
      <c r="T4" s="531" t="s">
        <v>2435</v>
      </c>
    </row>
    <row r="5" spans="1:22" ht="15.75" thickBot="1">
      <c r="A5" s="465" t="s">
        <v>68</v>
      </c>
      <c r="B5" s="36">
        <v>-1</v>
      </c>
      <c r="C5" s="36">
        <v>-2</v>
      </c>
      <c r="D5" s="36">
        <v>-3</v>
      </c>
      <c r="E5" s="36">
        <v>-4</v>
      </c>
      <c r="F5" s="481">
        <v>-5</v>
      </c>
      <c r="G5" s="481">
        <v>-6</v>
      </c>
      <c r="H5" s="481">
        <v>-7</v>
      </c>
      <c r="I5" s="481">
        <v>-8</v>
      </c>
      <c r="J5" s="522">
        <v>-9</v>
      </c>
      <c r="K5" s="503">
        <v>-10</v>
      </c>
      <c r="L5" s="483">
        <v>-11</v>
      </c>
      <c r="M5" s="483">
        <v>-12</v>
      </c>
      <c r="N5" s="483">
        <f>-13</f>
        <v>-13</v>
      </c>
      <c r="O5" s="483">
        <v>-14</v>
      </c>
      <c r="P5" s="504">
        <v>-15</v>
      </c>
      <c r="Q5" s="485">
        <v>-16</v>
      </c>
      <c r="R5" s="485">
        <v>-17</v>
      </c>
      <c r="S5" s="485">
        <v>-18</v>
      </c>
      <c r="T5" s="504">
        <v>-19</v>
      </c>
      <c r="U5" s="649" t="s">
        <v>69</v>
      </c>
      <c r="V5" s="649"/>
    </row>
    <row r="6" spans="1:22">
      <c r="A6" s="311">
        <v>1</v>
      </c>
      <c r="B6" s="284" t="s">
        <v>29</v>
      </c>
      <c r="C6" s="143" t="s">
        <v>70</v>
      </c>
      <c r="D6" s="284" t="s">
        <v>71</v>
      </c>
      <c r="E6" s="143" t="s">
        <v>72</v>
      </c>
      <c r="F6" s="286">
        <f>'WS3-CostData'!C167</f>
        <v>67046711.673884384</v>
      </c>
      <c r="G6" s="285">
        <f>'WS3-CostData'!C79</f>
        <v>27351065.284883659</v>
      </c>
      <c r="H6" s="289">
        <f>N6*O6</f>
        <v>27336565.913651887</v>
      </c>
      <c r="I6" s="285">
        <f>'WS3-CostData'!C142</f>
        <v>21006869.771625962</v>
      </c>
      <c r="J6" s="523">
        <f>H6+F6+I6+G6</f>
        <v>142741212.64404589</v>
      </c>
      <c r="K6" s="466">
        <f>'WS3-CostData'!C15</f>
        <v>1369328669.240447</v>
      </c>
      <c r="L6" s="284"/>
      <c r="M6" s="285">
        <f>'WS3-CostData'!C52</f>
        <v>728542019.41072321</v>
      </c>
      <c r="N6" s="287">
        <f>IF('WS3-CostData'!$K$87&gt;0, 'WS3-CostData'!$K$100/'WS3-CostData'!$K$87,0)-0.0001</f>
        <v>4.2660947947208372E-2</v>
      </c>
      <c r="O6" s="288">
        <f>K6-M6</f>
        <v>640786649.82972383</v>
      </c>
      <c r="P6" s="474">
        <f>ROUND(('WS3-CostData'!C8/'WS3-CostData'!K8)*('WS3-CostData'!C15/'WS3-CostData'!$C$8),4)-0.0001</f>
        <v>0.82720000000000005</v>
      </c>
      <c r="Q6" s="291">
        <f>$Q$18*P6</f>
        <v>-7175331.3280000007</v>
      </c>
      <c r="R6" s="291">
        <f>$R$18*P6</f>
        <v>-10899960.46755871</v>
      </c>
      <c r="S6" s="291">
        <f>$S$18*P6</f>
        <v>14005653.945050169</v>
      </c>
      <c r="T6" s="532">
        <f>J6+Q6+R6+S6</f>
        <v>138671574.79353735</v>
      </c>
      <c r="U6" s="507">
        <f>T6</f>
        <v>138671574.79353735</v>
      </c>
    </row>
    <row r="7" spans="1:22">
      <c r="A7" s="311">
        <f>A6+1</f>
        <v>2</v>
      </c>
      <c r="B7" s="284" t="s">
        <v>29</v>
      </c>
      <c r="C7" s="143" t="s">
        <v>70</v>
      </c>
      <c r="D7" s="284" t="s">
        <v>73</v>
      </c>
      <c r="E7" s="143" t="s">
        <v>74</v>
      </c>
      <c r="F7" s="286">
        <f>'WS3-CostData'!E167</f>
        <v>342270.36848796613</v>
      </c>
      <c r="G7" s="285">
        <f>'WS3-CostData'!E79</f>
        <v>135261.3723461038</v>
      </c>
      <c r="H7" s="289">
        <f>N7*O7</f>
        <v>105227.30388171611</v>
      </c>
      <c r="I7" s="285">
        <f>'WS3-CostData'!E142</f>
        <v>107004.70901169465</v>
      </c>
      <c r="J7" s="523">
        <f>H7+F7+I7+G7</f>
        <v>689763.75372748065</v>
      </c>
      <c r="K7" s="467">
        <f>'WS3-CostData'!E15</f>
        <v>5408407.9699999988</v>
      </c>
      <c r="L7" s="284"/>
      <c r="M7" s="285">
        <f>'WS3-CostData'!E52</f>
        <v>2941812.4313370581</v>
      </c>
      <c r="N7" s="287">
        <f>IF('WS3-CostData'!$K$87&gt;0, 'WS3-CostData'!$K$100/'WS3-CostData'!$K$87,0)-0.0001</f>
        <v>4.2660947947208372E-2</v>
      </c>
      <c r="O7" s="288">
        <f>K7-M7</f>
        <v>2466595.5386629407</v>
      </c>
      <c r="P7" s="475">
        <f>ROUND(('WS3-CostData'!E8/'WS3-CostData'!K8)*('WS3-CostData'!E15/'WS3-CostData'!$E$8),4)</f>
        <v>3.3E-3</v>
      </c>
      <c r="Q7" s="291">
        <f>$Q$18*P7</f>
        <v>-28624.991999999998</v>
      </c>
      <c r="R7" s="291">
        <f>$R$18*P7</f>
        <v>-43483.884843984211</v>
      </c>
      <c r="S7" s="291">
        <f>$S$18*P7</f>
        <v>55873.619461636306</v>
      </c>
      <c r="T7" s="533">
        <f t="shared" ref="T7:T16" si="0">J7+Q7+R7+S7</f>
        <v>673528.49634513282</v>
      </c>
      <c r="U7" s="508">
        <f>T7</f>
        <v>673528.49634513282</v>
      </c>
    </row>
    <row r="8" spans="1:22">
      <c r="A8" s="311">
        <f t="shared" ref="A8:A39" si="1">A7+1</f>
        <v>3</v>
      </c>
      <c r="B8" s="284" t="s">
        <v>29</v>
      </c>
      <c r="C8" s="143" t="s">
        <v>70</v>
      </c>
      <c r="D8" s="284" t="s">
        <v>75</v>
      </c>
      <c r="E8" s="143" t="s">
        <v>76</v>
      </c>
      <c r="F8" s="286">
        <f>'WS3-CostData'!G167</f>
        <v>3717465.3084360356</v>
      </c>
      <c r="G8" s="285">
        <f>'WS3-CostData'!G79</f>
        <v>1321086.449763749</v>
      </c>
      <c r="H8" s="289">
        <f>N8*O8</f>
        <v>1920409.5769757354</v>
      </c>
      <c r="I8" s="285">
        <f>'WS3-CostData'!G139</f>
        <v>0</v>
      </c>
      <c r="J8" s="523">
        <f>H8+F8+I8+G8</f>
        <v>6958961.3351755198</v>
      </c>
      <c r="K8" s="467">
        <f>'WS3-CostData'!G15</f>
        <v>96597756.770000011</v>
      </c>
      <c r="L8" s="284"/>
      <c r="M8" s="285">
        <f>'WS3-CostData'!G52</f>
        <v>51582123.752370305</v>
      </c>
      <c r="N8" s="287">
        <f>IF('WS3-CostData'!$K$87&gt;0, 'WS3-CostData'!$K$100/'WS3-CostData'!$K$87,0)-0.0001</f>
        <v>4.2660947947208372E-2</v>
      </c>
      <c r="O8" s="288">
        <f>K8-M8</f>
        <v>45015633.017629705</v>
      </c>
      <c r="P8" s="475">
        <f>ROUND(('WS3-CostData'!G8/'WS3-CostData'!K8)*('WS3-CostData'!G15/'WS3-CostData'!G8),4)</f>
        <v>5.8400000000000001E-2</v>
      </c>
      <c r="Q8" s="291">
        <f>$Q$18*P8</f>
        <v>-506575.61599999998</v>
      </c>
      <c r="R8" s="291">
        <f>$R$18*P8</f>
        <v>-769532.99239050853</v>
      </c>
      <c r="S8" s="291">
        <f>$S$18*P8</f>
        <v>988793.75047259405</v>
      </c>
      <c r="T8" s="533">
        <f t="shared" si="0"/>
        <v>6671646.4772576047</v>
      </c>
      <c r="U8" s="508">
        <f>T8</f>
        <v>6671646.4772576047</v>
      </c>
    </row>
    <row r="9" spans="1:22" s="181" customFormat="1">
      <c r="A9" s="311">
        <f t="shared" si="1"/>
        <v>4</v>
      </c>
      <c r="B9" s="292"/>
      <c r="C9" s="292"/>
      <c r="D9" s="445" t="s">
        <v>2372</v>
      </c>
      <c r="E9" s="446"/>
      <c r="F9" s="447">
        <f t="shared" ref="F9:K9" si="2">SUM(F6:F8)</f>
        <v>71106447.350808382</v>
      </c>
      <c r="G9" s="447">
        <f t="shared" si="2"/>
        <v>28807413.106993511</v>
      </c>
      <c r="H9" s="447">
        <f t="shared" si="2"/>
        <v>29362202.79450934</v>
      </c>
      <c r="I9" s="447">
        <f t="shared" si="2"/>
        <v>21113874.480637658</v>
      </c>
      <c r="J9" s="524">
        <f t="shared" si="2"/>
        <v>150389937.73294887</v>
      </c>
      <c r="K9" s="468">
        <f t="shared" si="2"/>
        <v>1471334833.9804471</v>
      </c>
      <c r="L9" s="448">
        <v>1</v>
      </c>
      <c r="M9" s="447">
        <f>SUM(M6:M8)</f>
        <v>783065955.59443057</v>
      </c>
      <c r="N9" s="449"/>
      <c r="O9" s="447">
        <f>SUM(O6:O8)</f>
        <v>688268878.38601649</v>
      </c>
      <c r="P9" s="476">
        <f>SUM(P6:P8)</f>
        <v>0.88890000000000002</v>
      </c>
      <c r="Q9" s="447">
        <f>SUM(Q6:Q8)</f>
        <v>-7710531.9360000007</v>
      </c>
      <c r="R9" s="447">
        <f>SUM(R6:R8)</f>
        <v>-11712977.344793202</v>
      </c>
      <c r="S9" s="447">
        <f>SUM(S6:S8)</f>
        <v>15050321.3149844</v>
      </c>
      <c r="T9" s="468">
        <f>J9+Q9+R9+S9</f>
        <v>146016749.76714009</v>
      </c>
      <c r="U9" s="509">
        <f>SUM(U6:U8)</f>
        <v>146016749.76714009</v>
      </c>
      <c r="V9" s="509">
        <f>T9-U9</f>
        <v>0</v>
      </c>
    </row>
    <row r="10" spans="1:22">
      <c r="A10" s="311">
        <f t="shared" si="1"/>
        <v>5</v>
      </c>
      <c r="B10" s="284" t="s">
        <v>29</v>
      </c>
      <c r="C10" s="143" t="s">
        <v>2417</v>
      </c>
      <c r="D10" s="293" t="str">
        <f>'WS4-TransFac'!E510</f>
        <v>MILES CITY CONVERTER STATION - BEPS</v>
      </c>
      <c r="E10" s="294" t="s">
        <v>77</v>
      </c>
      <c r="F10" s="289">
        <f>$F$12*L10</f>
        <v>973914.83057149115</v>
      </c>
      <c r="G10" s="289">
        <f>$G$12*L10</f>
        <v>397299.2477609156</v>
      </c>
      <c r="H10" s="289">
        <f>N10*O10</f>
        <v>397088.63112776476</v>
      </c>
      <c r="I10" s="289">
        <f>$I$12*L10</f>
        <v>305144.00339248107</v>
      </c>
      <c r="J10" s="525">
        <f>H10+F10+I10+G10</f>
        <v>2073446.7128526527</v>
      </c>
      <c r="K10" s="469">
        <f>'WS4-TransFac'!L510</f>
        <v>19890751.77</v>
      </c>
      <c r="L10" s="287">
        <f>K10/K12</f>
        <v>0.83844512346331235</v>
      </c>
      <c r="M10" s="295">
        <f>$M$12*L10</f>
        <v>10582739.401893461</v>
      </c>
      <c r="N10" s="287">
        <f>IF('WS3-CostData'!$K$87&gt;0, 'WS3-CostData'!$K$100/'WS3-CostData'!$K$87,0)-0.0001</f>
        <v>4.2660947947208372E-2</v>
      </c>
      <c r="O10" s="289">
        <f>K10-M10</f>
        <v>9308012.3681065384</v>
      </c>
      <c r="P10" s="475">
        <f>ROUND(('WS3-CostData'!C8/'WS3-CostData'!K8)*(('WS3-CostData'!C22-K11)/'WS3-CostData'!$C$8),4)</f>
        <v>1.2E-2</v>
      </c>
      <c r="Q10" s="291">
        <f>$Q$18*P10</f>
        <v>-104090.88</v>
      </c>
      <c r="R10" s="291">
        <f>$R$18*P10</f>
        <v>-158123.21761448807</v>
      </c>
      <c r="S10" s="291">
        <f>$S$18*P10</f>
        <v>203176.79804231384</v>
      </c>
      <c r="T10" s="533">
        <f t="shared" si="0"/>
        <v>2014409.4132804787</v>
      </c>
      <c r="U10" s="508">
        <f>T10</f>
        <v>2014409.4132804787</v>
      </c>
    </row>
    <row r="11" spans="1:22">
      <c r="A11" s="311">
        <f t="shared" si="1"/>
        <v>6</v>
      </c>
      <c r="B11" s="284" t="s">
        <v>29</v>
      </c>
      <c r="C11" s="143" t="s">
        <v>2417</v>
      </c>
      <c r="D11" s="293" t="str">
        <f>'WS4-TransFac'!E511</f>
        <v>MILES CITY CONVERTER STATION - BEFP</v>
      </c>
      <c r="E11" s="294" t="s">
        <v>77</v>
      </c>
      <c r="F11" s="289">
        <f>$F$12*L11</f>
        <v>187657.70806836957</v>
      </c>
      <c r="G11" s="289">
        <f>$G$12*L11</f>
        <v>76553.168625999126</v>
      </c>
      <c r="H11" s="289">
        <f>N11*O11</f>
        <v>76512.58619166557</v>
      </c>
      <c r="I11" s="289">
        <f>$I$12*L11</f>
        <v>58796.33671235729</v>
      </c>
      <c r="J11" s="523">
        <f>H11+F11+I11+G11</f>
        <v>399519.79959839158</v>
      </c>
      <c r="K11" s="469">
        <f>'WS4-TransFac'!L511</f>
        <v>3832627.63</v>
      </c>
      <c r="L11" s="290">
        <f>K11/K12</f>
        <v>0.16155487653668768</v>
      </c>
      <c r="M11" s="295">
        <f>$M$12*L11</f>
        <v>2039123.5033137489</v>
      </c>
      <c r="N11" s="287">
        <f>IF('WS3-CostData'!$K$87&gt;0, 'WS3-CostData'!$K$100/'WS3-CostData'!$K$87,0)-0.0001</f>
        <v>4.2660947947208372E-2</v>
      </c>
      <c r="O11" s="288">
        <f>K11-M11</f>
        <v>1793504.126686251</v>
      </c>
      <c r="P11" s="475">
        <f>ROUND(('WS3-CostData'!C8/'WS3-CostData'!K8)*(('WS3-CostData'!C22-K10)/'WS3-CostData'!$C$8),4)</f>
        <v>2.3E-3</v>
      </c>
      <c r="Q11" s="291">
        <f>$Q$18*P11</f>
        <v>-19950.752</v>
      </c>
      <c r="R11" s="291">
        <f>$R$18*P11</f>
        <v>-30306.950042776876</v>
      </c>
      <c r="S11" s="291">
        <f>$S$18*P11</f>
        <v>38942.219624776822</v>
      </c>
      <c r="T11" s="533">
        <f t="shared" si="0"/>
        <v>388204.31718039152</v>
      </c>
      <c r="U11" s="508">
        <f>T11</f>
        <v>388204.31718039152</v>
      </c>
    </row>
    <row r="12" spans="1:22" s="179" customFormat="1">
      <c r="A12" s="311">
        <f t="shared" si="1"/>
        <v>7</v>
      </c>
      <c r="B12" s="143"/>
      <c r="C12" s="143"/>
      <c r="D12" s="450" t="s">
        <v>2373</v>
      </c>
      <c r="E12" s="451"/>
      <c r="F12" s="452">
        <f>'WS3-CostData'!C170</f>
        <v>1161572.5386398607</v>
      </c>
      <c r="G12" s="452">
        <f>'WS3-CostData'!C82</f>
        <v>473852.41638691473</v>
      </c>
      <c r="H12" s="452">
        <f>SUM(H10:H11)</f>
        <v>473601.21731943032</v>
      </c>
      <c r="I12" s="452">
        <f>'WS3-CostData'!C145</f>
        <v>363940.34010483837</v>
      </c>
      <c r="J12" s="526">
        <f>SUM(J10:J11)</f>
        <v>2472966.5124510443</v>
      </c>
      <c r="K12" s="470">
        <f>SUM(K10:K11)</f>
        <v>23723379.399999999</v>
      </c>
      <c r="L12" s="453">
        <v>1</v>
      </c>
      <c r="M12" s="452">
        <f>'WS3-CostData'!C55</f>
        <v>12621862.905207209</v>
      </c>
      <c r="N12" s="454"/>
      <c r="O12" s="452">
        <f>SUM(O10:O11)</f>
        <v>11101516.494792789</v>
      </c>
      <c r="P12" s="477">
        <f>SUM(P10:P11)</f>
        <v>1.43E-2</v>
      </c>
      <c r="Q12" s="452">
        <f>SUM(Q10:Q11)</f>
        <v>-124041.63200000001</v>
      </c>
      <c r="R12" s="452">
        <f>SUM(R10:R11)</f>
        <v>-188430.16765726494</v>
      </c>
      <c r="S12" s="452">
        <f>SUM(S10:S11)</f>
        <v>242119.01766709067</v>
      </c>
      <c r="T12" s="470">
        <f t="shared" si="0"/>
        <v>2402613.7304608696</v>
      </c>
      <c r="U12" s="510">
        <f>SUM(U10:U11)</f>
        <v>2402613.7304608701</v>
      </c>
      <c r="V12" s="511">
        <f>T12-U12</f>
        <v>0</v>
      </c>
    </row>
    <row r="13" spans="1:22">
      <c r="A13" s="311">
        <f>A12+1</f>
        <v>8</v>
      </c>
      <c r="B13" s="143"/>
      <c r="C13" s="143"/>
      <c r="D13" s="445" t="s">
        <v>2374</v>
      </c>
      <c r="E13" s="460"/>
      <c r="F13" s="447">
        <f t="shared" ref="F13:K13" si="3">F9+F12</f>
        <v>72268019.88944824</v>
      </c>
      <c r="G13" s="447">
        <f t="shared" si="3"/>
        <v>29281265.523380425</v>
      </c>
      <c r="H13" s="447">
        <f t="shared" si="3"/>
        <v>29835804.011828769</v>
      </c>
      <c r="I13" s="447">
        <f t="shared" si="3"/>
        <v>21477814.820742495</v>
      </c>
      <c r="J13" s="524">
        <f t="shared" si="3"/>
        <v>152862904.24539992</v>
      </c>
      <c r="K13" s="468">
        <f t="shared" si="3"/>
        <v>1495058213.3804471</v>
      </c>
      <c r="L13" s="448">
        <v>1</v>
      </c>
      <c r="M13" s="447">
        <f>M9+M12</f>
        <v>795687818.49963772</v>
      </c>
      <c r="N13" s="449"/>
      <c r="O13" s="447">
        <f>O9+O12</f>
        <v>699370394.88080931</v>
      </c>
      <c r="P13" s="476"/>
      <c r="Q13" s="447">
        <f>Q9+Q12</f>
        <v>-7834573.5680000009</v>
      </c>
      <c r="R13" s="447">
        <f>R9+R12</f>
        <v>-11901407.512450468</v>
      </c>
      <c r="S13" s="447">
        <f>S9+S12</f>
        <v>15292440.33265149</v>
      </c>
      <c r="T13" s="468">
        <f t="shared" si="0"/>
        <v>148419363.49760094</v>
      </c>
      <c r="U13" s="511">
        <f>U12+U9</f>
        <v>148419363.49760097</v>
      </c>
      <c r="V13" s="511">
        <f>T13-U13</f>
        <v>0</v>
      </c>
    </row>
    <row r="14" spans="1:22">
      <c r="A14" s="311">
        <f t="shared" si="1"/>
        <v>9</v>
      </c>
      <c r="B14" s="284" t="s">
        <v>27</v>
      </c>
      <c r="C14" s="143" t="s">
        <v>70</v>
      </c>
      <c r="D14" s="284" t="s">
        <v>71</v>
      </c>
      <c r="E14" s="143" t="s">
        <v>72</v>
      </c>
      <c r="F14" s="286">
        <f>'WS3-CostData'!C168</f>
        <v>7533332.4374872735</v>
      </c>
      <c r="G14" s="285">
        <f>'WS3-CostData'!C80</f>
        <v>3073150.9743930274</v>
      </c>
      <c r="H14" s="289">
        <f>N14*O14</f>
        <v>3071521.8328453437</v>
      </c>
      <c r="I14" s="285">
        <f>'WS3-CostData'!C143</f>
        <v>2360320.5811255611</v>
      </c>
      <c r="J14" s="523">
        <f>H14+F14+I14+G14</f>
        <v>16038325.825851206</v>
      </c>
      <c r="K14" s="467">
        <f>'WS3-CostData'!C16</f>
        <v>153857032.26946494</v>
      </c>
      <c r="L14" s="284"/>
      <c r="M14" s="285">
        <f>'WS3-CostData'!C53</f>
        <v>81858589.181743145</v>
      </c>
      <c r="N14" s="287">
        <f>IF('WS3-CostData'!$K$87&gt;0, 'WS3-CostData'!$K$100/'WS3-CostData'!$K$87,0)-0.0001</f>
        <v>4.2660947947208372E-2</v>
      </c>
      <c r="O14" s="288">
        <f>K14-M14</f>
        <v>71998443.087721795</v>
      </c>
      <c r="P14" s="475">
        <f>ROUND(('WS3-CostData'!C8/'WS3-CostData'!K8)*('WS3-CostData'!C16/'WS3-CostData'!$C$8),4)</f>
        <v>9.2999999999999999E-2</v>
      </c>
      <c r="Q14" s="291">
        <f t="shared" ref="Q14:Q16" si="4">$Q$18*P14</f>
        <v>-806704.32</v>
      </c>
      <c r="R14" s="291">
        <f>$R$18*P14</f>
        <v>-1225454.9365122824</v>
      </c>
      <c r="S14" s="291">
        <f>$S$18*P14</f>
        <v>1574620.1848279324</v>
      </c>
      <c r="T14" s="533">
        <f t="shared" si="0"/>
        <v>15580786.754166856</v>
      </c>
      <c r="U14" s="508">
        <f>T14</f>
        <v>15580786.754166856</v>
      </c>
    </row>
    <row r="15" spans="1:22">
      <c r="A15" s="311">
        <f t="shared" si="1"/>
        <v>10</v>
      </c>
      <c r="B15" s="284" t="s">
        <v>27</v>
      </c>
      <c r="C15" s="143" t="s">
        <v>70</v>
      </c>
      <c r="D15" s="284" t="s">
        <v>73</v>
      </c>
      <c r="E15" s="143" t="s">
        <v>74</v>
      </c>
      <c r="F15" s="286">
        <f>'WS3-CostData'!E168</f>
        <v>232608.45563439911</v>
      </c>
      <c r="G15" s="285">
        <f>'WS3-CostData'!E80</f>
        <v>91924.226649853343</v>
      </c>
      <c r="H15" s="289">
        <f>N15*O15</f>
        <v>71512.940937971274</v>
      </c>
      <c r="I15" s="285">
        <f>'WS3-CostData'!E143</f>
        <v>72720.873322382482</v>
      </c>
      <c r="J15" s="523">
        <f>H15+F15+I15+G15</f>
        <v>468766.49654460623</v>
      </c>
      <c r="K15" s="467">
        <f>'WS3-CostData'!E16</f>
        <v>3675577.9675000012</v>
      </c>
      <c r="L15" s="284"/>
      <c r="M15" s="285">
        <f>'WS3-CostData'!E53</f>
        <v>1999268.7343702926</v>
      </c>
      <c r="N15" s="287">
        <f>IF('WS3-CostData'!$K$87&gt;0, 'WS3-CostData'!$K$100/'WS3-CostData'!$K$87,0)-0.0001</f>
        <v>4.2660947947208372E-2</v>
      </c>
      <c r="O15" s="288">
        <f>K15-M15</f>
        <v>1676309.2331297086</v>
      </c>
      <c r="P15" s="475">
        <f>ROUND(('WS3-CostData'!E8/'WS3-CostData'!K8)*('WS3-CostData'!E16/'WS3-CostData'!$E$8),4)</f>
        <v>2.2000000000000001E-3</v>
      </c>
      <c r="Q15" s="291">
        <f t="shared" si="4"/>
        <v>-19083.328000000001</v>
      </c>
      <c r="R15" s="291">
        <f>$R$18*P15</f>
        <v>-28989.256562656145</v>
      </c>
      <c r="S15" s="291">
        <f t="shared" ref="S15:S16" si="5">$S$18*P15</f>
        <v>37249.079641090873</v>
      </c>
      <c r="T15" s="533">
        <f t="shared" si="0"/>
        <v>457942.99162304099</v>
      </c>
      <c r="U15" s="508">
        <f>T15</f>
        <v>457942.99162304099</v>
      </c>
    </row>
    <row r="16" spans="1:22">
      <c r="A16" s="311">
        <f t="shared" si="1"/>
        <v>11</v>
      </c>
      <c r="B16" s="284" t="s">
        <v>27</v>
      </c>
      <c r="C16" s="143" t="s">
        <v>70</v>
      </c>
      <c r="D16" s="284" t="s">
        <v>75</v>
      </c>
      <c r="E16" s="143" t="s">
        <v>76</v>
      </c>
      <c r="F16" s="286">
        <f>'WS3-CostData'!G168</f>
        <v>100226.27891642894</v>
      </c>
      <c r="G16" s="285">
        <f>'WS3-CostData'!G80</f>
        <v>35617.704000159509</v>
      </c>
      <c r="H16" s="289">
        <f>N16*O16</f>
        <v>51776.005941189855</v>
      </c>
      <c r="I16" s="285">
        <f>'WS3-CostData'!G143</f>
        <v>0</v>
      </c>
      <c r="J16" s="523">
        <f>H16+F16+I16+G16</f>
        <v>187619.98885777831</v>
      </c>
      <c r="K16" s="467">
        <f>'WS3-CostData'!G16</f>
        <v>2604364.2400000002</v>
      </c>
      <c r="L16" s="284"/>
      <c r="M16" s="285">
        <f>'WS3-CostData'!G53</f>
        <v>1390701.4305082588</v>
      </c>
      <c r="N16" s="287">
        <f>IF('WS3-CostData'!$K$87&gt;0, 'WS3-CostData'!$K$100/'WS3-CostData'!$K$87,0)-0.0001</f>
        <v>4.2660947947208372E-2</v>
      </c>
      <c r="O16" s="288">
        <f>K16-M16</f>
        <v>1213662.8094917415</v>
      </c>
      <c r="P16" s="475">
        <f>ROUND(('WS3-CostData'!G8/'WS3-CostData'!K8)*('WS3-CostData'!G16/'WS3-CostData'!$G$8),4)</f>
        <v>1.6000000000000001E-3</v>
      </c>
      <c r="Q16" s="291">
        <f t="shared" si="4"/>
        <v>-13878.784000000001</v>
      </c>
      <c r="R16" s="291">
        <f>$R$18*P16</f>
        <v>-21083.09568193174</v>
      </c>
      <c r="S16" s="291">
        <f t="shared" si="5"/>
        <v>27090.239738975182</v>
      </c>
      <c r="T16" s="533">
        <f t="shared" si="0"/>
        <v>179748.34891482175</v>
      </c>
      <c r="U16" s="508">
        <f>T16</f>
        <v>179748.34891482175</v>
      </c>
    </row>
    <row r="17" spans="1:22" ht="15.75" thickBot="1">
      <c r="A17" s="311">
        <f t="shared" si="1"/>
        <v>12</v>
      </c>
      <c r="B17" s="143"/>
      <c r="C17" s="143"/>
      <c r="D17" s="445" t="s">
        <v>2375</v>
      </c>
      <c r="E17" s="460"/>
      <c r="F17" s="447">
        <f t="shared" ref="F17:K17" si="6">SUM(F14:F16)</f>
        <v>7866167.1720381016</v>
      </c>
      <c r="G17" s="447">
        <f t="shared" si="6"/>
        <v>3200692.9050430404</v>
      </c>
      <c r="H17" s="447">
        <f t="shared" si="6"/>
        <v>3194810.7797245048</v>
      </c>
      <c r="I17" s="447">
        <f t="shared" si="6"/>
        <v>2433041.4544479437</v>
      </c>
      <c r="J17" s="524">
        <f t="shared" si="6"/>
        <v>16694712.311253591</v>
      </c>
      <c r="K17" s="468">
        <f t="shared" si="6"/>
        <v>160136974.47696495</v>
      </c>
      <c r="L17" s="448">
        <v>1</v>
      </c>
      <c r="M17" s="447">
        <f>SUM(M14:M16)</f>
        <v>85248559.346621692</v>
      </c>
      <c r="N17" s="449"/>
      <c r="O17" s="447">
        <f>SUM(O14:O16)</f>
        <v>74888415.130343243</v>
      </c>
      <c r="P17" s="476">
        <f>SUM(P14:P16)</f>
        <v>9.6799999999999997E-2</v>
      </c>
      <c r="Q17" s="447">
        <f>SUM(Q14:Q16)</f>
        <v>-839666.43199999991</v>
      </c>
      <c r="R17" s="447">
        <f>SUM(R14:R16)</f>
        <v>-1275527.2887568704</v>
      </c>
      <c r="S17" s="452">
        <f>SUM(S14:S16)</f>
        <v>1638959.5042079985</v>
      </c>
      <c r="T17" s="468">
        <f>J17+Q17+R17+S17</f>
        <v>16218478.094704719</v>
      </c>
      <c r="U17" s="511">
        <f>SUM(U14:U16)</f>
        <v>16218478.094704719</v>
      </c>
      <c r="V17" s="511">
        <f>T17-U17</f>
        <v>0</v>
      </c>
    </row>
    <row r="18" spans="1:22" ht="16.5" thickTop="1" thickBot="1">
      <c r="A18" s="311">
        <f t="shared" si="1"/>
        <v>13</v>
      </c>
      <c r="B18" s="143"/>
      <c r="C18" s="143"/>
      <c r="D18" s="455" t="s">
        <v>78</v>
      </c>
      <c r="E18" s="456"/>
      <c r="F18" s="457">
        <f t="shared" ref="F18:K18" si="7">F9+F12+F17</f>
        <v>80134187.061486349</v>
      </c>
      <c r="G18" s="457">
        <f t="shared" si="7"/>
        <v>32481958.428423464</v>
      </c>
      <c r="H18" s="457">
        <f t="shared" si="7"/>
        <v>33030614.791553274</v>
      </c>
      <c r="I18" s="457">
        <f t="shared" si="7"/>
        <v>23910856.275190439</v>
      </c>
      <c r="J18" s="527">
        <f t="shared" si="7"/>
        <v>169557616.5566535</v>
      </c>
      <c r="K18" s="471">
        <f t="shared" si="7"/>
        <v>1655195187.8574121</v>
      </c>
      <c r="L18" s="458">
        <v>1</v>
      </c>
      <c r="M18" s="457">
        <f>M9+M12+M17</f>
        <v>880936377.84625936</v>
      </c>
      <c r="N18" s="459"/>
      <c r="O18" s="457">
        <f>O9+O12+O17</f>
        <v>774258810.01115251</v>
      </c>
      <c r="P18" s="478">
        <f>SUM(P9,P12,P17)</f>
        <v>1</v>
      </c>
      <c r="Q18" s="457">
        <f>'WS2-RevCredits'!C7+'WS2-RevCredits'!C8+'WS2-RevCredits'!C9+'WS2-RevCredits'!C10+'WS2-RevCredits'!C11+'WS2-RevCredits'!C6</f>
        <v>-8674240</v>
      </c>
      <c r="R18" s="457">
        <f>-(J45)</f>
        <v>-13176934.801207338</v>
      </c>
      <c r="S18" s="592">
        <v>16931399.836859487</v>
      </c>
      <c r="T18" s="457">
        <f>T9+T12+T17</f>
        <v>164637841.59230569</v>
      </c>
      <c r="U18" s="511">
        <f>U17+U13</f>
        <v>164637841.59230569</v>
      </c>
      <c r="V18" s="511">
        <f>T18-U18</f>
        <v>0</v>
      </c>
    </row>
    <row r="19" spans="1:22" ht="15.75" thickTop="1">
      <c r="A19" s="311">
        <f t="shared" si="1"/>
        <v>14</v>
      </c>
      <c r="B19" s="284" t="s">
        <v>29</v>
      </c>
      <c r="C19" s="143" t="s">
        <v>79</v>
      </c>
      <c r="D19" s="293" t="str">
        <f>'WS5-FacDetail'!E6</f>
        <v>LEWIS-RICHLAND 115 kV Ckt 1, 72052</v>
      </c>
      <c r="E19" s="294" t="s">
        <v>80</v>
      </c>
      <c r="F19" s="289">
        <f t="shared" ref="F19:F26" si="8">$F$27*L19</f>
        <v>2536.945391179559</v>
      </c>
      <c r="G19" s="289">
        <f t="shared" ref="G19:G26" si="9">$G$27*L19</f>
        <v>1034.9226276128391</v>
      </c>
      <c r="H19" s="289">
        <f t="shared" ref="H19:H26" si="10">N19*O19</f>
        <v>1034.3739935023343</v>
      </c>
      <c r="I19" s="289">
        <f t="shared" ref="I19:I26" si="11">$I$27*L19</f>
        <v>794.86793788567172</v>
      </c>
      <c r="J19" s="523">
        <f t="shared" ref="J19:J26" si="12">(H19+F19+I19+G19)</f>
        <v>5401.1099501804038</v>
      </c>
      <c r="K19" s="469">
        <f>'WS5-FacDetail'!K6</f>
        <v>51813.31</v>
      </c>
      <c r="L19" s="287">
        <f>K19/$K$27</f>
        <v>3.6671123335960576E-3</v>
      </c>
      <c r="M19" s="295">
        <f>$M$27*L19</f>
        <v>27566.919723292111</v>
      </c>
      <c r="N19" s="287">
        <f>IF('WS3-CostData'!$K$87&gt;0, 'WS3-CostData'!$K$100/'WS3-CostData'!$K$87,0)-0.0001</f>
        <v>4.2660947947208372E-2</v>
      </c>
      <c r="O19" s="289">
        <f t="shared" ref="O19:O26" si="13">K19-M19</f>
        <v>24246.390276707887</v>
      </c>
      <c r="P19" s="479" t="s">
        <v>81</v>
      </c>
      <c r="Q19" s="288">
        <f t="shared" ref="Q19:Q26" si="14">$Q$27*L19</f>
        <v>-238.36230168374374</v>
      </c>
      <c r="R19" s="464" t="s">
        <v>81</v>
      </c>
      <c r="S19" s="288">
        <f>(K19/(SUM($K$19:$K$22)))*$S$27</f>
        <v>696.69056879219863</v>
      </c>
      <c r="T19" s="534">
        <f>J19+Q19+S19</f>
        <v>5859.4382172888591</v>
      </c>
      <c r="U19" s="508">
        <f t="shared" ref="U19:U26" si="15">T19</f>
        <v>5859.4382172888591</v>
      </c>
    </row>
    <row r="20" spans="1:22">
      <c r="A20" s="311">
        <f t="shared" si="1"/>
        <v>15</v>
      </c>
      <c r="B20" s="284" t="s">
        <v>29</v>
      </c>
      <c r="C20" s="143" t="s">
        <v>79</v>
      </c>
      <c r="D20" s="293" t="str">
        <f>'WS5-FacDetail'!E7</f>
        <v>ROBERTS COUNTY 115 kV SUBSTATION, 71926</v>
      </c>
      <c r="E20" s="294" t="s">
        <v>82</v>
      </c>
      <c r="F20" s="289">
        <f t="shared" si="8"/>
        <v>108343.79220820902</v>
      </c>
      <c r="G20" s="289">
        <f t="shared" si="9"/>
        <v>44197.8146267962</v>
      </c>
      <c r="H20" s="289">
        <f t="shared" si="10"/>
        <v>44174.384441710827</v>
      </c>
      <c r="I20" s="289">
        <f t="shared" si="11"/>
        <v>33945.94420308416</v>
      </c>
      <c r="J20" s="523">
        <f t="shared" si="12"/>
        <v>230661.93547980022</v>
      </c>
      <c r="K20" s="469">
        <f>'WS5-FacDetail'!K7</f>
        <v>2212759.6880000001</v>
      </c>
      <c r="L20" s="287">
        <f t="shared" ref="L20:L25" si="16">K20/$K$27</f>
        <v>0.15660914817348986</v>
      </c>
      <c r="M20" s="295">
        <f t="shared" ref="M20:M26" si="17">$M$27*L20</f>
        <v>1177283.7652339311</v>
      </c>
      <c r="N20" s="287">
        <f>IF('WS3-CostData'!$K$87&gt;0, 'WS3-CostData'!$K$100/'WS3-CostData'!$K$87,0)-0.0001</f>
        <v>4.2660947947208372E-2</v>
      </c>
      <c r="O20" s="288">
        <f t="shared" si="13"/>
        <v>1035475.922766069</v>
      </c>
      <c r="P20" s="473" t="s">
        <v>81</v>
      </c>
      <c r="Q20" s="288">
        <f t="shared" si="14"/>
        <v>-10179.594631276841</v>
      </c>
      <c r="R20" s="464" t="s">
        <v>81</v>
      </c>
      <c r="S20" s="288">
        <f>(K20/(SUM($K$19:$K$22)))*$S$27</f>
        <v>29753.142689265904</v>
      </c>
      <c r="T20" s="534">
        <f t="shared" ref="T20:T26" si="18">J20+Q20+S20</f>
        <v>250235.48353778926</v>
      </c>
      <c r="U20" s="508">
        <f t="shared" si="15"/>
        <v>250235.48353778926</v>
      </c>
    </row>
    <row r="21" spans="1:22">
      <c r="A21" s="311">
        <f t="shared" si="1"/>
        <v>16</v>
      </c>
      <c r="B21" s="284" t="s">
        <v>29</v>
      </c>
      <c r="C21" s="143" t="s">
        <v>79</v>
      </c>
      <c r="D21" s="293" t="str">
        <f>'WS5-FacDetail'!E8</f>
        <v>ROBERTS COUNTY 115/69 kV TRANSFORMER, 71927</v>
      </c>
      <c r="E21" s="294" t="s">
        <v>82</v>
      </c>
      <c r="F21" s="289">
        <f t="shared" si="8"/>
        <v>248391.50154509427</v>
      </c>
      <c r="G21" s="289">
        <f t="shared" si="9"/>
        <v>101328.93926275018</v>
      </c>
      <c r="H21" s="289">
        <f>N21*O21</f>
        <v>101275.22267469081</v>
      </c>
      <c r="I21" s="289">
        <f t="shared" si="11"/>
        <v>77825.262344206494</v>
      </c>
      <c r="J21" s="523">
        <f t="shared" si="12"/>
        <v>528820.92582674173</v>
      </c>
      <c r="K21" s="469">
        <f>'WS5-FacDetail'!K8</f>
        <v>5073024.4000000004</v>
      </c>
      <c r="L21" s="287">
        <f t="shared" si="16"/>
        <v>0.35904578082106203</v>
      </c>
      <c r="M21" s="295">
        <f t="shared" si="17"/>
        <v>2699068.1813051924</v>
      </c>
      <c r="N21" s="287">
        <f>IF('WS3-CostData'!$K$87&gt;0, 'WS3-CostData'!$K$100/'WS3-CostData'!$K$87,0)-0.0001</f>
        <v>4.2660947947208372E-2</v>
      </c>
      <c r="O21" s="288">
        <f t="shared" si="13"/>
        <v>2373956.218694808</v>
      </c>
      <c r="P21" s="473" t="s">
        <v>81</v>
      </c>
      <c r="Q21" s="288">
        <f t="shared" si="14"/>
        <v>-23337.975753369032</v>
      </c>
      <c r="R21" s="464" t="s">
        <v>81</v>
      </c>
      <c r="S21" s="288">
        <f>(K21/(SUM($K$19:$K$22)))*$S$27</f>
        <v>68212.747935476465</v>
      </c>
      <c r="T21" s="534">
        <f t="shared" si="18"/>
        <v>573695.69800884917</v>
      </c>
      <c r="U21" s="508">
        <f t="shared" si="15"/>
        <v>573695.69800884917</v>
      </c>
    </row>
    <row r="22" spans="1:22">
      <c r="A22" s="311">
        <f t="shared" si="1"/>
        <v>17</v>
      </c>
      <c r="B22" s="284" t="s">
        <v>29</v>
      </c>
      <c r="C22" s="143" t="s">
        <v>79</v>
      </c>
      <c r="D22" s="293" t="str">
        <f>'WS5-FacDetail'!E9</f>
        <v>WILLISTON SUBSTATION 115 kV TERMINAL UPGRADES, 61856</v>
      </c>
      <c r="E22" s="294" t="s">
        <v>82</v>
      </c>
      <c r="F22" s="289">
        <f t="shared" si="8"/>
        <v>19.732169063226461</v>
      </c>
      <c r="G22" s="289">
        <f t="shared" si="9"/>
        <v>8.0495497957566151</v>
      </c>
      <c r="H22" s="288">
        <f t="shared" si="10"/>
        <v>8.04528256120755</v>
      </c>
      <c r="I22" s="289">
        <f t="shared" si="11"/>
        <v>6.1824226046922259</v>
      </c>
      <c r="J22" s="523">
        <f t="shared" si="12"/>
        <v>42.009424024882847</v>
      </c>
      <c r="K22" s="469">
        <f>'WS5-FacDetail'!K9</f>
        <v>403</v>
      </c>
      <c r="L22" s="287">
        <f t="shared" si="16"/>
        <v>2.8522521924177616E-5</v>
      </c>
      <c r="M22" s="295">
        <f t="shared" si="17"/>
        <v>214.41341324240281</v>
      </c>
      <c r="N22" s="287">
        <f>IF('WS3-CostData'!$K$87&gt;0, 'WS3-CostData'!$K$100/'WS3-CostData'!$K$87,0)-0.0001</f>
        <v>4.2660947947208372E-2</v>
      </c>
      <c r="O22" s="288">
        <f t="shared" si="13"/>
        <v>188.58658675759719</v>
      </c>
      <c r="P22" s="473" t="s">
        <v>81</v>
      </c>
      <c r="Q22" s="288">
        <f t="shared" si="14"/>
        <v>-1.8539639250715449</v>
      </c>
      <c r="R22" s="464" t="s">
        <v>81</v>
      </c>
      <c r="S22" s="288">
        <f>(K22/(SUM($K$19:$K$22)))*$S$27</f>
        <v>5.4188064654285943</v>
      </c>
      <c r="T22" s="534">
        <f t="shared" si="18"/>
        <v>45.574266565239895</v>
      </c>
      <c r="U22" s="508">
        <f t="shared" si="15"/>
        <v>45.574266565239895</v>
      </c>
    </row>
    <row r="23" spans="1:22">
      <c r="A23" s="311">
        <f t="shared" si="1"/>
        <v>18</v>
      </c>
      <c r="B23" s="284" t="s">
        <v>29</v>
      </c>
      <c r="C23" s="143" t="s">
        <v>79</v>
      </c>
      <c r="D23" s="293" t="str">
        <f>'WS5-FacDetail'!E10</f>
        <v>BISMARCK 12.47 kV REACTOR, 143157</v>
      </c>
      <c r="E23" s="294" t="s">
        <v>82</v>
      </c>
      <c r="F23" s="289">
        <f t="shared" si="8"/>
        <v>85293.892079753088</v>
      </c>
      <c r="G23" s="289">
        <f t="shared" si="9"/>
        <v>34794.82814939956</v>
      </c>
      <c r="H23" s="289">
        <f t="shared" si="10"/>
        <v>34776.382683929412</v>
      </c>
      <c r="I23" s="289">
        <f t="shared" si="11"/>
        <v>26724.020291250265</v>
      </c>
      <c r="J23" s="523">
        <f t="shared" si="12"/>
        <v>181589.12320433231</v>
      </c>
      <c r="K23" s="469">
        <f>'WS5-FacDetail'!K10</f>
        <v>1742000</v>
      </c>
      <c r="L23" s="287">
        <f t="shared" si="16"/>
        <v>0.12329090122063872</v>
      </c>
      <c r="M23" s="295">
        <f t="shared" si="17"/>
        <v>926819.27014457982</v>
      </c>
      <c r="N23" s="287">
        <f>IF('WS3-CostData'!$K$87&gt;0, 'WS3-CostData'!$K$100/'WS3-CostData'!$K$87,0)-0.0001</f>
        <v>4.2660947947208372E-2</v>
      </c>
      <c r="O23" s="289">
        <f t="shared" si="13"/>
        <v>815180.72985542018</v>
      </c>
      <c r="P23" s="473" t="s">
        <v>81</v>
      </c>
      <c r="Q23" s="288">
        <f t="shared" si="14"/>
        <v>-8013.908579341517</v>
      </c>
      <c r="R23" s="464" t="s">
        <v>81</v>
      </c>
      <c r="S23" s="489">
        <v>0</v>
      </c>
      <c r="T23" s="534">
        <f>J23+Q23+S23</f>
        <v>173575.2146249908</v>
      </c>
      <c r="U23" s="508">
        <f t="shared" si="15"/>
        <v>173575.2146249908</v>
      </c>
    </row>
    <row r="24" spans="1:22">
      <c r="A24" s="311">
        <f t="shared" si="1"/>
        <v>19</v>
      </c>
      <c r="B24" s="284" t="s">
        <v>29</v>
      </c>
      <c r="C24" s="143" t="s">
        <v>79</v>
      </c>
      <c r="D24" s="293" t="str">
        <f>'WS5-FacDetail'!E11</f>
        <v>OAHE 230 kV TERMINAL UPGRADES, 122734</v>
      </c>
      <c r="E24" s="294" t="s">
        <v>82</v>
      </c>
      <c r="F24" s="289">
        <f t="shared" si="8"/>
        <v>55172.25567575897</v>
      </c>
      <c r="G24" s="289">
        <f t="shared" si="9"/>
        <v>22506.994440560473</v>
      </c>
      <c r="H24" s="289">
        <f t="shared" si="10"/>
        <v>22495.063012504339</v>
      </c>
      <c r="I24" s="289">
        <f t="shared" si="11"/>
        <v>17286.401689987208</v>
      </c>
      <c r="J24" s="523">
        <f t="shared" si="12"/>
        <v>117460.71481881099</v>
      </c>
      <c r="K24" s="469">
        <f>'WS5-FacDetail'!K11</f>
        <v>1126810.6900000002</v>
      </c>
      <c r="L24" s="287">
        <f t="shared" si="16"/>
        <v>7.9750577195837988E-2</v>
      </c>
      <c r="M24" s="295">
        <f t="shared" si="17"/>
        <v>599511.97548617132</v>
      </c>
      <c r="N24" s="287">
        <f>IF('WS3-CostData'!$K$87&gt;0, 'WS3-CostData'!$K$100/'WS3-CostData'!$K$87,0)-0.0001</f>
        <v>4.2660947947208372E-2</v>
      </c>
      <c r="O24" s="288">
        <f t="shared" si="13"/>
        <v>527298.71451382886</v>
      </c>
      <c r="P24" s="473" t="s">
        <v>81</v>
      </c>
      <c r="Q24" s="288">
        <f t="shared" si="14"/>
        <v>-5183.7875177294691</v>
      </c>
      <c r="R24" s="464" t="s">
        <v>81</v>
      </c>
      <c r="S24" s="461">
        <v>0</v>
      </c>
      <c r="T24" s="534">
        <f t="shared" si="18"/>
        <v>112276.92730108152</v>
      </c>
      <c r="U24" s="508">
        <f t="shared" si="15"/>
        <v>112276.92730108152</v>
      </c>
    </row>
    <row r="25" spans="1:22">
      <c r="A25" s="311">
        <f t="shared" si="1"/>
        <v>20</v>
      </c>
      <c r="B25" s="284" t="s">
        <v>29</v>
      </c>
      <c r="C25" s="143" t="s">
        <v>79</v>
      </c>
      <c r="D25" s="293" t="str">
        <f>'WS5-FacDetail'!E12</f>
        <v>SULLY BUTTES-WHITLOCK 230 kV LINE CLEARANCE INCREASE, 143613</v>
      </c>
      <c r="E25" s="294" t="s">
        <v>80</v>
      </c>
      <c r="F25" s="289">
        <f t="shared" si="8"/>
        <v>32754.462020437462</v>
      </c>
      <c r="G25" s="289">
        <f t="shared" si="9"/>
        <v>13361.869758053786</v>
      </c>
      <c r="H25" s="289">
        <f t="shared" si="10"/>
        <v>13354.786351687168</v>
      </c>
      <c r="I25" s="289">
        <f t="shared" si="11"/>
        <v>10262.5274368379</v>
      </c>
      <c r="J25" s="523">
        <f t="shared" si="12"/>
        <v>69733.645567016312</v>
      </c>
      <c r="K25" s="469">
        <f>'WS5-FacDetail'!K12</f>
        <v>668960.83000000007</v>
      </c>
      <c r="L25" s="287">
        <f t="shared" si="16"/>
        <v>4.7346029628017511E-2</v>
      </c>
      <c r="M25" s="295">
        <f t="shared" si="17"/>
        <v>355916.06671407144</v>
      </c>
      <c r="N25" s="287">
        <f>IF('WS3-CostData'!$K$87&gt;0, 'WS3-CostData'!$K$100/'WS3-CostData'!$K$87,0)-0.0001</f>
        <v>4.2660947947208372E-2</v>
      </c>
      <c r="O25" s="288">
        <f t="shared" si="13"/>
        <v>313044.76328592864</v>
      </c>
      <c r="P25" s="473" t="s">
        <v>81</v>
      </c>
      <c r="Q25" s="288">
        <f t="shared" si="14"/>
        <v>-3077.491925821138</v>
      </c>
      <c r="R25" s="464" t="s">
        <v>81</v>
      </c>
      <c r="S25" s="461">
        <v>0</v>
      </c>
      <c r="T25" s="534">
        <f t="shared" si="18"/>
        <v>66656.153641195167</v>
      </c>
      <c r="U25" s="508">
        <f t="shared" si="15"/>
        <v>66656.153641195167</v>
      </c>
    </row>
    <row r="26" spans="1:22" ht="15.75" thickBot="1">
      <c r="A26" s="311">
        <f t="shared" si="1"/>
        <v>21</v>
      </c>
      <c r="B26" s="284" t="s">
        <v>29</v>
      </c>
      <c r="C26" s="143" t="s">
        <v>79</v>
      </c>
      <c r="D26" s="293" t="str">
        <f>'WS5-FacDetail'!E13</f>
        <v>WHITLOCK-GLENHAM 230 kV CLEARANCE INCREASE, 143614</v>
      </c>
      <c r="E26" s="294" t="s">
        <v>80</v>
      </c>
      <c r="F26" s="289">
        <f t="shared" si="8"/>
        <v>159297.5300809386</v>
      </c>
      <c r="G26" s="289">
        <f t="shared" si="9"/>
        <v>64983.905044541738</v>
      </c>
      <c r="H26" s="288">
        <f t="shared" si="10"/>
        <v>64949.455718582496</v>
      </c>
      <c r="I26" s="289">
        <f t="shared" si="11"/>
        <v>49910.612851955768</v>
      </c>
      <c r="J26" s="523">
        <f t="shared" si="12"/>
        <v>339141.5036960186</v>
      </c>
      <c r="K26" s="469">
        <f>'WS5-FacDetail'!K13</f>
        <v>3253413.47</v>
      </c>
      <c r="L26" s="287">
        <f>K26/$K$27</f>
        <v>0.23026192810543369</v>
      </c>
      <c r="M26" s="295">
        <f t="shared" si="17"/>
        <v>1730956.5429069719</v>
      </c>
      <c r="N26" s="287">
        <f>IF('WS3-CostData'!$K$87&gt;0, 'WS3-CostData'!$K$100/'WS3-CostData'!$K$87,0)-0.0001</f>
        <v>4.2660947947208372E-2</v>
      </c>
      <c r="O26" s="288">
        <f t="shared" si="13"/>
        <v>1522456.9270930283</v>
      </c>
      <c r="P26" s="473" t="s">
        <v>81</v>
      </c>
      <c r="Q26" s="288">
        <f t="shared" si="14"/>
        <v>-14967.025326853191</v>
      </c>
      <c r="R26" s="464" t="s">
        <v>81</v>
      </c>
      <c r="S26" s="461">
        <v>0</v>
      </c>
      <c r="T26" s="534">
        <f t="shared" si="18"/>
        <v>324174.47836916539</v>
      </c>
      <c r="U26" s="508">
        <f t="shared" si="15"/>
        <v>324174.47836916539</v>
      </c>
    </row>
    <row r="27" spans="1:22" ht="16.5" thickTop="1" thickBot="1">
      <c r="A27" s="311">
        <f t="shared" si="1"/>
        <v>22</v>
      </c>
      <c r="B27" s="143"/>
      <c r="C27" s="143"/>
      <c r="D27" s="598" t="s">
        <v>2378</v>
      </c>
      <c r="E27" s="599"/>
      <c r="F27" s="600">
        <f>'WS3-CostData'!C160</f>
        <v>691810.11117043416</v>
      </c>
      <c r="G27" s="600">
        <f>'WS3-CostData'!C72</f>
        <v>282217.32345951052</v>
      </c>
      <c r="H27" s="600">
        <f>SUM(H19:H26)</f>
        <v>282067.71415916859</v>
      </c>
      <c r="I27" s="600">
        <f>'WS3-CostData'!C135</f>
        <v>216755.81917781214</v>
      </c>
      <c r="J27" s="601">
        <f>SUM(J19:J26)</f>
        <v>1472850.9679669254</v>
      </c>
      <c r="K27" s="602">
        <f>SUM(K19:K26)</f>
        <v>14129185.388</v>
      </c>
      <c r="L27" s="603">
        <v>1</v>
      </c>
      <c r="M27" s="600">
        <f>'WS3-CostData'!C45</f>
        <v>7517337.1349274525</v>
      </c>
      <c r="N27" s="604"/>
      <c r="O27" s="600">
        <f>SUM(O19:O26)</f>
        <v>6611848.2530725477</v>
      </c>
      <c r="P27" s="473" t="s">
        <v>81</v>
      </c>
      <c r="Q27" s="600">
        <f>'WS2-RevCredits'!C20+'WS2-RevCredits'!C19+'WS2-RevCredits'!C18</f>
        <v>-65000</v>
      </c>
      <c r="R27" s="464" t="s">
        <v>81</v>
      </c>
      <c r="S27" s="592">
        <v>98668</v>
      </c>
      <c r="T27" s="600">
        <f>SUM(T19:T26)</f>
        <v>1506518.9679669256</v>
      </c>
      <c r="U27" s="511">
        <f>SUM(U19:U26)</f>
        <v>1506518.9679669256</v>
      </c>
      <c r="V27" s="511">
        <f>T27-U27</f>
        <v>0</v>
      </c>
    </row>
    <row r="28" spans="1:22" ht="16.5" thickTop="1" thickBot="1">
      <c r="A28" s="311">
        <f t="shared" si="1"/>
        <v>23</v>
      </c>
      <c r="B28" s="580" t="s">
        <v>27</v>
      </c>
      <c r="C28" s="143" t="s">
        <v>79</v>
      </c>
      <c r="D28" s="581" t="s">
        <v>2396</v>
      </c>
      <c r="E28" s="582"/>
      <c r="F28" s="637">
        <f>$F$29*L28</f>
        <v>4.8963198668055733E-7</v>
      </c>
      <c r="G28" s="637">
        <f>$G$29*L28</f>
        <v>1.9974068972100778E-7</v>
      </c>
      <c r="H28" s="637">
        <f>N28*O28</f>
        <v>1.9963480300763156E-7</v>
      </c>
      <c r="I28" s="637">
        <f>$I$29*L28</f>
        <v>1.5340999019087407E-7</v>
      </c>
      <c r="J28" s="638">
        <f>(H28+F28+I28+G28)</f>
        <v>1.0424174696000709E-6</v>
      </c>
      <c r="K28" s="639">
        <f>'WS5-FacDetail'!K15</f>
        <v>1.0000000000000001E-5</v>
      </c>
      <c r="L28" s="640">
        <f>K28/$K$29</f>
        <v>1</v>
      </c>
      <c r="M28" s="637">
        <f>$M$29*L28</f>
        <v>5.3204320903822034E-6</v>
      </c>
      <c r="N28" s="287">
        <f>IF('WS3-CostData'!$K$87&gt;0, 'WS3-CostData'!$K$100/'WS3-CostData'!$K$87,0)-0.0001</f>
        <v>4.2660947947208372E-2</v>
      </c>
      <c r="O28" s="637">
        <f>K28-M28</f>
        <v>4.6795679096177975E-6</v>
      </c>
      <c r="P28" s="473" t="s">
        <v>81</v>
      </c>
      <c r="Q28" s="637">
        <f>$Q$29*L28</f>
        <v>0</v>
      </c>
      <c r="R28" s="464" t="s">
        <v>81</v>
      </c>
      <c r="S28" s="637">
        <f>S29</f>
        <v>0</v>
      </c>
      <c r="T28" s="639">
        <f>J28+Q28+S28</f>
        <v>1.0424174696000709E-6</v>
      </c>
      <c r="U28" s="507">
        <f>T29</f>
        <v>1.0424174696000709E-6</v>
      </c>
      <c r="V28" s="511"/>
    </row>
    <row r="29" spans="1:22" ht="16.5" thickTop="1" thickBot="1">
      <c r="A29" s="311">
        <f t="shared" si="1"/>
        <v>24</v>
      </c>
      <c r="B29" s="143"/>
      <c r="C29" s="143"/>
      <c r="D29" s="583" t="s">
        <v>2379</v>
      </c>
      <c r="E29" s="584"/>
      <c r="F29" s="585">
        <f>'WS3-CostData'!C161</f>
        <v>4.8963198668055733E-7</v>
      </c>
      <c r="G29" s="586">
        <f>'WS3-CostData'!C73</f>
        <v>1.9974068972100778E-7</v>
      </c>
      <c r="H29" s="585">
        <f>SUM(H28)</f>
        <v>1.9963480300763156E-7</v>
      </c>
      <c r="I29" s="586">
        <f>'WS3-CostData'!C136</f>
        <v>1.5340999019087407E-7</v>
      </c>
      <c r="J29" s="587">
        <f>SUM(J28)</f>
        <v>1.0424174696000709E-6</v>
      </c>
      <c r="K29" s="588">
        <f t="shared" ref="K29" si="19">SUM(K28)</f>
        <v>1.0000000000000001E-5</v>
      </c>
      <c r="L29" s="589">
        <v>1</v>
      </c>
      <c r="M29" s="585">
        <f>'WS3-CostData'!C46</f>
        <v>5.3204320903822034E-6</v>
      </c>
      <c r="N29" s="590"/>
      <c r="O29" s="585">
        <f>SUM(O28)</f>
        <v>4.6795679096177975E-6</v>
      </c>
      <c r="P29" s="473" t="s">
        <v>81</v>
      </c>
      <c r="Q29" s="585">
        <f>'WS2-RevCredits'!D20+'WS2-RevCredits'!D19+'WS2-RevCredits'!D18</f>
        <v>0</v>
      </c>
      <c r="R29" s="464" t="s">
        <v>81</v>
      </c>
      <c r="S29" s="592">
        <v>0</v>
      </c>
      <c r="T29" s="585">
        <f>SUM(T28)</f>
        <v>1.0424174696000709E-6</v>
      </c>
      <c r="U29" s="511">
        <f>SUM(U28)</f>
        <v>1.0424174696000709E-6</v>
      </c>
      <c r="V29" s="511"/>
    </row>
    <row r="30" spans="1:22" ht="16.5" thickTop="1" thickBot="1">
      <c r="A30" s="311">
        <f t="shared" si="1"/>
        <v>25</v>
      </c>
      <c r="B30" s="143"/>
      <c r="C30" s="143"/>
      <c r="D30" s="440" t="s">
        <v>2376</v>
      </c>
      <c r="E30" s="441"/>
      <c r="F30" s="442">
        <f t="shared" ref="F30:K30" si="20">F29+F27</f>
        <v>691810.1111709238</v>
      </c>
      <c r="G30" s="501">
        <f t="shared" si="20"/>
        <v>282217.32345971029</v>
      </c>
      <c r="H30" s="442">
        <f t="shared" si="20"/>
        <v>282067.71415936825</v>
      </c>
      <c r="I30" s="442">
        <f t="shared" si="20"/>
        <v>216755.81917796555</v>
      </c>
      <c r="J30" s="528">
        <f t="shared" si="20"/>
        <v>1472850.9679679677</v>
      </c>
      <c r="K30" s="442">
        <f t="shared" si="20"/>
        <v>14129185.388010001</v>
      </c>
      <c r="L30" s="443"/>
      <c r="M30" s="442">
        <f>M29+M27</f>
        <v>7517337.1349327732</v>
      </c>
      <c r="N30" s="444"/>
      <c r="O30" s="442">
        <f>O29+O27</f>
        <v>6611848.2530772276</v>
      </c>
      <c r="P30" s="473" t="s">
        <v>81</v>
      </c>
      <c r="Q30" s="442">
        <f>Q29+Q27</f>
        <v>-65000</v>
      </c>
      <c r="R30" s="464" t="s">
        <v>81</v>
      </c>
      <c r="S30" s="457">
        <f>S29+S27</f>
        <v>98668</v>
      </c>
      <c r="T30" s="472">
        <f>T29+T27</f>
        <v>1506518.967967968</v>
      </c>
      <c r="U30" s="511">
        <f t="shared" ref="U30:U35" si="21">T30</f>
        <v>1506518.967967968</v>
      </c>
      <c r="V30" s="511"/>
    </row>
    <row r="31" spans="1:22" ht="15.75" thickTop="1">
      <c r="A31" s="311">
        <f t="shared" si="1"/>
        <v>26</v>
      </c>
      <c r="B31" s="284" t="s">
        <v>29</v>
      </c>
      <c r="C31" s="143" t="s">
        <v>83</v>
      </c>
      <c r="D31" s="293" t="str">
        <f>'WS5-FacDetail'!E17</f>
        <v>ROBERTS COUNTY 115 kV SUBSTATION, 71926</v>
      </c>
      <c r="E31" s="294" t="s">
        <v>82</v>
      </c>
      <c r="F31" s="288">
        <f>$F$36*L31</f>
        <v>53363.360341356689</v>
      </c>
      <c r="G31" s="288">
        <f>$G$36*L31</f>
        <v>21769.072875884693</v>
      </c>
      <c r="H31" s="288">
        <f>N31*O31</f>
        <v>21757.532635469506</v>
      </c>
      <c r="I31" s="288">
        <f>$I$36*L31</f>
        <v>16719.644159728021</v>
      </c>
      <c r="J31" s="523">
        <f>(H31+F31+I31+G31)</f>
        <v>113609.61001243892</v>
      </c>
      <c r="K31" s="469">
        <f>'WS5-FacDetail'!K17</f>
        <v>1089866.7120000001</v>
      </c>
      <c r="L31" s="290">
        <f>K31/$K$36</f>
        <v>0.24575447397034753</v>
      </c>
      <c r="M31" s="288">
        <f>$M$36*L31</f>
        <v>579856.18287641392</v>
      </c>
      <c r="N31" s="287">
        <f>IF('WS3-CostData'!$K$87&gt;0, 'WS3-CostData'!$K$100/'WS3-CostData'!$K$87,0)-0.0001</f>
        <v>4.2660947947208372E-2</v>
      </c>
      <c r="O31" s="288">
        <f>K31-M31</f>
        <v>510010.52912358614</v>
      </c>
      <c r="P31" s="473" t="s">
        <v>81</v>
      </c>
      <c r="Q31" s="288">
        <f>$Q$36*L31</f>
        <v>-2015.1866865568497</v>
      </c>
      <c r="R31" s="464" t="s">
        <v>81</v>
      </c>
      <c r="S31" s="288">
        <f>S36</f>
        <v>4948</v>
      </c>
      <c r="T31" s="534">
        <f>J31+Q31+S31</f>
        <v>116542.42332588208</v>
      </c>
      <c r="U31" s="508">
        <f t="shared" si="21"/>
        <v>116542.42332588208</v>
      </c>
    </row>
    <row r="32" spans="1:22">
      <c r="A32" s="311">
        <f t="shared" si="1"/>
        <v>27</v>
      </c>
      <c r="B32" s="284" t="s">
        <v>29</v>
      </c>
      <c r="C32" s="143" t="s">
        <v>83</v>
      </c>
      <c r="D32" s="293" t="str">
        <f>'WS5-FacDetail'!E18</f>
        <v>BISMARCK 12.47 kV REACTOR, 143157</v>
      </c>
      <c r="E32" s="294" t="s">
        <v>82</v>
      </c>
      <c r="F32" s="288">
        <f>$F$36*L32</f>
        <v>42010.424457191817</v>
      </c>
      <c r="G32" s="288">
        <f>$G$36*L32</f>
        <v>17137.751178062466</v>
      </c>
      <c r="H32" s="288">
        <f>N32*O32</f>
        <v>17128.666098054786</v>
      </c>
      <c r="I32" s="288">
        <f>$I$36*L32</f>
        <v>13162.577158376995</v>
      </c>
      <c r="J32" s="523">
        <f>(H32+F32+I32+G32)</f>
        <v>89439.418891686058</v>
      </c>
      <c r="K32" s="469">
        <f>'WS5-FacDetail'!K18</f>
        <v>858000</v>
      </c>
      <c r="L32" s="290">
        <f>K32/$K$36</f>
        <v>0.19347075779534237</v>
      </c>
      <c r="M32" s="288">
        <f>$M$36*L32</f>
        <v>456493.07335479301</v>
      </c>
      <c r="N32" s="287">
        <f>IF('WS3-CostData'!$K$87&gt;0, 'WS3-CostData'!$K$100/'WS3-CostData'!$K$87,0)-0.0001</f>
        <v>4.2660947947208372E-2</v>
      </c>
      <c r="O32" s="288">
        <f>K32-M32</f>
        <v>401506.92664520699</v>
      </c>
      <c r="P32" s="473" t="s">
        <v>81</v>
      </c>
      <c r="Q32" s="288">
        <f>$Q$36*L32</f>
        <v>-1586.4602139218075</v>
      </c>
      <c r="R32" s="464" t="s">
        <v>81</v>
      </c>
      <c r="S32" s="490">
        <v>0</v>
      </c>
      <c r="T32" s="534">
        <f>J32+Q32+S32</f>
        <v>87852.958677764254</v>
      </c>
      <c r="U32" s="508">
        <f t="shared" si="21"/>
        <v>87852.958677764254</v>
      </c>
    </row>
    <row r="33" spans="1:25">
      <c r="A33" s="311">
        <f t="shared" si="1"/>
        <v>28</v>
      </c>
      <c r="B33" s="284" t="s">
        <v>29</v>
      </c>
      <c r="C33" s="143" t="s">
        <v>83</v>
      </c>
      <c r="D33" s="293" t="str">
        <f>'WS5-FacDetail'!E19</f>
        <v>OAHE 230 kV TERMINAL UPGRADES, 122734</v>
      </c>
      <c r="E33" s="294" t="s">
        <v>82</v>
      </c>
      <c r="F33" s="288">
        <f>$F$36*L33</f>
        <v>27174.394586567851</v>
      </c>
      <c r="G33" s="288">
        <f>$G$36*L33</f>
        <v>11085.534575201425</v>
      </c>
      <c r="H33" s="288">
        <f>N33*O33</f>
        <v>11079.657901681239</v>
      </c>
      <c r="I33" s="288">
        <f>$I$36*L33</f>
        <v>8514.1978473071322</v>
      </c>
      <c r="J33" s="523">
        <f>(H33+F33+I33+G33)</f>
        <v>57853.784910757648</v>
      </c>
      <c r="K33" s="469">
        <f>'WS5-FacDetail'!K19</f>
        <v>554996.31000000006</v>
      </c>
      <c r="L33" s="290">
        <f>K33/$K$36</f>
        <v>0.12514633644442746</v>
      </c>
      <c r="M33" s="288">
        <f>$M$36*L33</f>
        <v>295282.01777677098</v>
      </c>
      <c r="N33" s="287">
        <f>IF('WS3-CostData'!$K$87&gt;0, 'WS3-CostData'!$K$100/'WS3-CostData'!$K$87,0)-0.0001</f>
        <v>4.2660947947208372E-2</v>
      </c>
      <c r="O33" s="288">
        <f>K33-M33</f>
        <v>259714.29222322907</v>
      </c>
      <c r="P33" s="473" t="s">
        <v>81</v>
      </c>
      <c r="Q33" s="288">
        <f>$Q$36*L33</f>
        <v>-1026.1999588443052</v>
      </c>
      <c r="R33" s="464" t="s">
        <v>81</v>
      </c>
      <c r="S33" s="490">
        <v>0</v>
      </c>
      <c r="T33" s="534">
        <f>J33+Q33+S33</f>
        <v>56827.584951913341</v>
      </c>
      <c r="U33" s="508">
        <f t="shared" si="21"/>
        <v>56827.584951913341</v>
      </c>
    </row>
    <row r="34" spans="1:25">
      <c r="A34" s="311">
        <f t="shared" si="1"/>
        <v>29</v>
      </c>
      <c r="B34" s="284" t="s">
        <v>29</v>
      </c>
      <c r="C34" s="143" t="s">
        <v>83</v>
      </c>
      <c r="D34" s="293" t="str">
        <f>'WS5-FacDetail'!E20</f>
        <v>SULLY BUTTES-WHITLOCK 230 kV LINE CLEARANCE INCREASE, 143613</v>
      </c>
      <c r="E34" s="294" t="s">
        <v>80</v>
      </c>
      <c r="F34" s="288">
        <f>$F$36*L34</f>
        <v>16132.794726484124</v>
      </c>
      <c r="G34" s="288">
        <f>$G$36*L34</f>
        <v>6581.2194330712664</v>
      </c>
      <c r="H34" s="288">
        <f>N34*O34</f>
        <v>6577.7305911295007</v>
      </c>
      <c r="I34" s="288">
        <f>$I$36*L34</f>
        <v>5054.6776927709061</v>
      </c>
      <c r="J34" s="523">
        <f>(H34+F34+I34+G34)</f>
        <v>34346.422443455798</v>
      </c>
      <c r="K34" s="469">
        <f>'WS5-FacDetail'!K20</f>
        <v>329488.17000000004</v>
      </c>
      <c r="L34" s="290">
        <f>K34/$K$36</f>
        <v>7.4296417173077625E-2</v>
      </c>
      <c r="M34" s="288">
        <f>$M$36*L34</f>
        <v>175301.94330693071</v>
      </c>
      <c r="N34" s="287">
        <f>IF('WS3-CostData'!$K$87&gt;0, 'WS3-CostData'!$K$100/'WS3-CostData'!$K$87,0)-0.0001</f>
        <v>4.2660947947208372E-2</v>
      </c>
      <c r="O34" s="288">
        <f>K34-M34</f>
        <v>154186.22669306933</v>
      </c>
      <c r="P34" s="473" t="s">
        <v>81</v>
      </c>
      <c r="Q34" s="288">
        <f>$Q$36*L34</f>
        <v>-609.23062081923649</v>
      </c>
      <c r="R34" s="464" t="s">
        <v>81</v>
      </c>
      <c r="S34" s="490">
        <v>0</v>
      </c>
      <c r="T34" s="534">
        <f>J34+Q34+S34</f>
        <v>33737.19182263656</v>
      </c>
      <c r="U34" s="508">
        <f t="shared" si="21"/>
        <v>33737.19182263656</v>
      </c>
    </row>
    <row r="35" spans="1:25" ht="15.75" thickBot="1">
      <c r="A35" s="311">
        <f t="shared" si="1"/>
        <v>30</v>
      </c>
      <c r="B35" s="284" t="s">
        <v>29</v>
      </c>
      <c r="C35" s="143" t="s">
        <v>83</v>
      </c>
      <c r="D35" s="293" t="str">
        <f>'WS5-FacDetail'!E21</f>
        <v>WHITLOCK-GLENHAM 230 kV CLEARANCE INCREASE, 143614</v>
      </c>
      <c r="E35" s="294" t="s">
        <v>80</v>
      </c>
      <c r="F35" s="288">
        <f>$F$36*L35</f>
        <v>78459.977502551847</v>
      </c>
      <c r="G35" s="288">
        <f>$G$36*L35</f>
        <v>32006.998007013084</v>
      </c>
      <c r="H35" s="288">
        <f>N35*O35</f>
        <v>31990.030428555558</v>
      </c>
      <c r="I35" s="288">
        <f>$I$36*L35</f>
        <v>24582.839165888658</v>
      </c>
      <c r="J35" s="523">
        <f>(H35+F35+I35+G35)</f>
        <v>167039.84510400915</v>
      </c>
      <c r="K35" s="469">
        <f>'WS5-FacDetail'!K21</f>
        <v>1602427.53</v>
      </c>
      <c r="L35" s="290">
        <f>K35/$K$36</f>
        <v>0.36133201461680503</v>
      </c>
      <c r="M35" s="288">
        <f>$M$36*L35</f>
        <v>852560.68531238905</v>
      </c>
      <c r="N35" s="287">
        <f>IF('WS3-CostData'!$K$87&gt;0, 'WS3-CostData'!$K$100/'WS3-CostData'!$K$87,0)-0.0001</f>
        <v>4.2660947947208372E-2</v>
      </c>
      <c r="O35" s="288">
        <f>K35-M35</f>
        <v>749866.84468761098</v>
      </c>
      <c r="P35" s="473" t="s">
        <v>81</v>
      </c>
      <c r="Q35" s="288">
        <f>$Q$36*L35</f>
        <v>-2962.922519857801</v>
      </c>
      <c r="R35" s="464" t="s">
        <v>81</v>
      </c>
      <c r="S35" s="490">
        <v>0</v>
      </c>
      <c r="T35" s="534">
        <f>J35+Q35+S35</f>
        <v>164076.92258415135</v>
      </c>
      <c r="U35" s="508">
        <f t="shared" si="21"/>
        <v>164076.92258415135</v>
      </c>
    </row>
    <row r="36" spans="1:25" ht="16.5" thickTop="1" thickBot="1">
      <c r="A36" s="311">
        <f t="shared" si="1"/>
        <v>31</v>
      </c>
      <c r="B36" s="143"/>
      <c r="C36" s="143"/>
      <c r="D36" s="445" t="s">
        <v>2377</v>
      </c>
      <c r="E36" s="460"/>
      <c r="F36" s="447">
        <f>'WS3-CostData'!C162</f>
        <v>217140.95161415232</v>
      </c>
      <c r="G36" s="463">
        <f>'WS3-CostData'!C74</f>
        <v>88580.576069232935</v>
      </c>
      <c r="H36" s="447">
        <f>SUM(H31:H35)</f>
        <v>88533.617654890593</v>
      </c>
      <c r="I36" s="463">
        <f>'WS3-CostData'!C137</f>
        <v>68033.936024071707</v>
      </c>
      <c r="J36" s="524">
        <f>SUM(J31:J35)</f>
        <v>462289.08136234758</v>
      </c>
      <c r="K36" s="468">
        <f>SUM(K31:K35)</f>
        <v>4434778.7220000001</v>
      </c>
      <c r="L36" s="448">
        <v>1</v>
      </c>
      <c r="M36" s="447">
        <f>'WS3-CostData'!C47</f>
        <v>2359493.9026272977</v>
      </c>
      <c r="N36" s="449"/>
      <c r="O36" s="447">
        <f>SUM(O31:O35)</f>
        <v>2075284.8193727024</v>
      </c>
      <c r="P36" s="473" t="s">
        <v>81</v>
      </c>
      <c r="Q36" s="447">
        <f>'WS2-RevCredits'!C22+'WS2-RevCredits'!C21</f>
        <v>-8200</v>
      </c>
      <c r="R36" s="464" t="s">
        <v>81</v>
      </c>
      <c r="S36" s="592">
        <v>4948</v>
      </c>
      <c r="T36" s="447">
        <f>SUM(T31:T35)</f>
        <v>459037.08136234758</v>
      </c>
      <c r="U36" s="511">
        <f>SUM(U31:U35)</f>
        <v>459037.08136234758</v>
      </c>
      <c r="V36" s="511">
        <f>T36-U36</f>
        <v>0</v>
      </c>
    </row>
    <row r="37" spans="1:25" ht="16.5" thickTop="1" thickBot="1">
      <c r="A37" s="311">
        <f t="shared" si="1"/>
        <v>32</v>
      </c>
      <c r="B37" s="580" t="s">
        <v>27</v>
      </c>
      <c r="C37" s="143" t="s">
        <v>83</v>
      </c>
      <c r="D37" s="462" t="s">
        <v>2396</v>
      </c>
      <c r="E37" s="167"/>
      <c r="F37" s="637">
        <f>$F$38*L37</f>
        <v>4.8963198668055733E-7</v>
      </c>
      <c r="G37" s="637">
        <f>$G$38*L37</f>
        <v>1.9974068972100778E-7</v>
      </c>
      <c r="H37" s="637">
        <f>N37*O37</f>
        <v>1.9963480300763156E-7</v>
      </c>
      <c r="I37" s="637">
        <f>$I$38*L37</f>
        <v>1.5340999019087407E-7</v>
      </c>
      <c r="J37" s="638">
        <f t="shared" ref="J37" si="22">(H37+F37+I37+G37)</f>
        <v>1.0424174696000709E-6</v>
      </c>
      <c r="K37" s="639">
        <f>'WS5-FacDetail'!K23</f>
        <v>1.0000000000000001E-5</v>
      </c>
      <c r="L37" s="640">
        <f>K37/$K$38</f>
        <v>1</v>
      </c>
      <c r="M37" s="637">
        <f>$M$38*L37</f>
        <v>5.3204320903822034E-6</v>
      </c>
      <c r="N37" s="287">
        <f>IF('WS3-CostData'!$K$87&gt;0, 'WS3-CostData'!$K$100/'WS3-CostData'!$K$87,0)-0.0001</f>
        <v>4.2660947947208372E-2</v>
      </c>
      <c r="O37" s="288">
        <f>K37-M37</f>
        <v>4.6795679096177975E-6</v>
      </c>
      <c r="P37" s="473" t="s">
        <v>81</v>
      </c>
      <c r="Q37" s="637">
        <f>$Q$38*L37</f>
        <v>0</v>
      </c>
      <c r="R37" s="464" t="s">
        <v>81</v>
      </c>
      <c r="S37" s="637">
        <f>S38</f>
        <v>0</v>
      </c>
      <c r="T37" s="639">
        <f>J37+Q37+S37</f>
        <v>1.0424174696000709E-6</v>
      </c>
      <c r="U37" s="507">
        <f>T37</f>
        <v>1.0424174696000709E-6</v>
      </c>
    </row>
    <row r="38" spans="1:25" ht="16.5" thickTop="1" thickBot="1">
      <c r="A38" s="311">
        <f t="shared" si="1"/>
        <v>33</v>
      </c>
      <c r="B38" s="143"/>
      <c r="C38" s="143"/>
      <c r="D38" s="450" t="s">
        <v>2380</v>
      </c>
      <c r="E38" s="499"/>
      <c r="F38" s="452">
        <f>'WS3-CostData'!C163</f>
        <v>4.8963198668055733E-7</v>
      </c>
      <c r="G38" s="500">
        <f>'WS3-CostData'!C75</f>
        <v>1.9974068972100778E-7</v>
      </c>
      <c r="H38" s="452">
        <f>SUM(H37)</f>
        <v>1.9963480300763156E-7</v>
      </c>
      <c r="I38" s="500">
        <f>'WS3-CostData'!C138</f>
        <v>1.5340999019087407E-7</v>
      </c>
      <c r="J38" s="526">
        <f>SUM(J37)</f>
        <v>1.0424174696000709E-6</v>
      </c>
      <c r="K38" s="470">
        <f t="shared" ref="K38" si="23">SUM(K37)</f>
        <v>1.0000000000000001E-5</v>
      </c>
      <c r="L38" s="453">
        <v>1</v>
      </c>
      <c r="M38" s="452">
        <f>'WS3-CostData'!C48</f>
        <v>5.3204320903822034E-6</v>
      </c>
      <c r="N38" s="454"/>
      <c r="O38" s="452">
        <f>SUM(O37)</f>
        <v>4.6795679096177975E-6</v>
      </c>
      <c r="P38" s="473" t="s">
        <v>81</v>
      </c>
      <c r="Q38" s="452">
        <f>'WS2-RevCredits'!D22+'WS2-RevCredits'!D21</f>
        <v>0</v>
      </c>
      <c r="R38" s="464" t="s">
        <v>81</v>
      </c>
      <c r="S38" s="592">
        <v>0</v>
      </c>
      <c r="T38" s="452">
        <f>SUM(T37)</f>
        <v>1.0424174696000709E-6</v>
      </c>
      <c r="U38" s="511">
        <f>SUM(U37)</f>
        <v>1.0424174696000709E-6</v>
      </c>
      <c r="V38" s="511">
        <f>T38-U38</f>
        <v>0</v>
      </c>
    </row>
    <row r="39" spans="1:25" ht="16.5" thickTop="1" thickBot="1">
      <c r="A39" s="311">
        <f t="shared" si="1"/>
        <v>34</v>
      </c>
      <c r="B39" s="143"/>
      <c r="C39" s="143"/>
      <c r="D39" s="440" t="s">
        <v>84</v>
      </c>
      <c r="E39" s="441"/>
      <c r="F39" s="442">
        <f t="shared" ref="F39:K39" si="24">F36+F38</f>
        <v>217140.95161464196</v>
      </c>
      <c r="G39" s="501">
        <f t="shared" si="24"/>
        <v>88580.576069432675</v>
      </c>
      <c r="H39" s="442">
        <f t="shared" si="24"/>
        <v>88533.617655090231</v>
      </c>
      <c r="I39" s="501">
        <f t="shared" si="24"/>
        <v>68033.936024225113</v>
      </c>
      <c r="J39" s="528">
        <f t="shared" si="24"/>
        <v>462289.08136339003</v>
      </c>
      <c r="K39" s="472">
        <f t="shared" si="24"/>
        <v>4434778.7220099997</v>
      </c>
      <c r="L39" s="443"/>
      <c r="M39" s="442">
        <f>M36+M38</f>
        <v>2359493.9026326183</v>
      </c>
      <c r="N39" s="444"/>
      <c r="O39" s="442">
        <f>O36+O38</f>
        <v>2075284.8193773821</v>
      </c>
      <c r="P39" s="473" t="s">
        <v>81</v>
      </c>
      <c r="Q39" s="520">
        <f>Q36+Q38</f>
        <v>-8200</v>
      </c>
      <c r="R39" s="630" t="s">
        <v>81</v>
      </c>
      <c r="S39" s="442">
        <f>S36+S38</f>
        <v>4948</v>
      </c>
      <c r="T39" s="472">
        <f>T36+T38</f>
        <v>459037.08136339003</v>
      </c>
      <c r="U39" s="511">
        <f>T39</f>
        <v>459037.08136339003</v>
      </c>
      <c r="V39" s="511">
        <f>T39-U39</f>
        <v>0</v>
      </c>
    </row>
    <row r="40" spans="1:25" ht="39.75" thickTop="1">
      <c r="A40" s="311"/>
      <c r="B40" s="496" t="s">
        <v>55</v>
      </c>
      <c r="C40" s="497" t="s">
        <v>56</v>
      </c>
      <c r="D40" s="497" t="s">
        <v>57</v>
      </c>
      <c r="E40" s="498" t="s">
        <v>58</v>
      </c>
      <c r="F40" s="486" t="s">
        <v>59</v>
      </c>
      <c r="G40" s="486" t="s">
        <v>60</v>
      </c>
      <c r="H40" s="486" t="s">
        <v>2407</v>
      </c>
      <c r="I40" s="486" t="s">
        <v>61</v>
      </c>
      <c r="J40" s="529" t="s">
        <v>85</v>
      </c>
      <c r="K40" s="502" t="s">
        <v>63</v>
      </c>
      <c r="L40" s="487" t="s">
        <v>64</v>
      </c>
      <c r="M40" s="487" t="s">
        <v>65</v>
      </c>
      <c r="N40" s="487" t="s">
        <v>66</v>
      </c>
      <c r="O40" s="487" t="s">
        <v>2408</v>
      </c>
      <c r="P40" s="537" t="s">
        <v>86</v>
      </c>
      <c r="Q40" s="594" t="s">
        <v>2385</v>
      </c>
      <c r="R40" s="488"/>
      <c r="S40" s="593" t="s">
        <v>2383</v>
      </c>
      <c r="T40" s="531" t="s">
        <v>2433</v>
      </c>
      <c r="W40" s="515"/>
    </row>
    <row r="41" spans="1:25" ht="15.75" thickBot="1">
      <c r="A41" s="311"/>
      <c r="B41" s="36">
        <v>-1</v>
      </c>
      <c r="C41" s="36">
        <v>-2</v>
      </c>
      <c r="D41" s="36">
        <v>-3</v>
      </c>
      <c r="E41" s="36">
        <v>-4</v>
      </c>
      <c r="F41" s="481">
        <v>-5</v>
      </c>
      <c r="G41" s="481">
        <v>-6</v>
      </c>
      <c r="H41" s="481">
        <v>-7</v>
      </c>
      <c r="I41" s="481">
        <v>-8</v>
      </c>
      <c r="J41" s="522">
        <v>-9</v>
      </c>
      <c r="K41" s="503">
        <v>-10</v>
      </c>
      <c r="L41" s="483">
        <v>-11</v>
      </c>
      <c r="M41" s="483">
        <v>-12</v>
      </c>
      <c r="N41" s="483">
        <f>-13</f>
        <v>-13</v>
      </c>
      <c r="O41" s="483">
        <v>-14</v>
      </c>
      <c r="P41" s="504">
        <v>-15</v>
      </c>
      <c r="Q41" s="485">
        <v>-16</v>
      </c>
      <c r="R41" s="485">
        <v>-17</v>
      </c>
      <c r="S41" s="485">
        <v>-18</v>
      </c>
      <c r="T41" s="504">
        <v>-19</v>
      </c>
      <c r="U41" s="512"/>
      <c r="W41" s="516"/>
      <c r="X41" s="310"/>
      <c r="Y41" s="310"/>
    </row>
    <row r="42" spans="1:25">
      <c r="A42" s="311">
        <f>A39+1</f>
        <v>35</v>
      </c>
      <c r="B42" s="293" t="s">
        <v>2381</v>
      </c>
      <c r="C42" s="143" t="s">
        <v>87</v>
      </c>
      <c r="D42" s="293" t="str">
        <f>'WS5-FacDetail'!E26</f>
        <v>WATERTOWN ALTERNATE OPERATIONS CENTER</v>
      </c>
      <c r="E42" s="294" t="s">
        <v>88</v>
      </c>
      <c r="F42" s="495">
        <f>$F$45*L42</f>
        <v>4697121.1183239548</v>
      </c>
      <c r="G42" s="495">
        <f>$G$45*L42</f>
        <v>142498.1509667197</v>
      </c>
      <c r="H42" s="494">
        <f>N42*O42</f>
        <v>142629.54581501114</v>
      </c>
      <c r="I42" s="495">
        <f>$I$45*L42</f>
        <v>109445.10090836522</v>
      </c>
      <c r="J42" s="530">
        <f>H42+F42+I42+G42</f>
        <v>5091693.9160140511</v>
      </c>
      <c r="K42" s="493">
        <f>'WS5-FacDetail'!I73</f>
        <v>7134157.3499999996</v>
      </c>
      <c r="L42" s="492">
        <f>K42/$K$45</f>
        <v>0.38640958560009908</v>
      </c>
      <c r="M42" s="495">
        <f>$M$45*L42</f>
        <v>3795679.970277606</v>
      </c>
      <c r="N42" s="491">
        <f>'WS3-CostData'!$K$114</f>
        <v>4.2722933119550235E-2</v>
      </c>
      <c r="O42" s="495">
        <f>K42-M42</f>
        <v>3338477.3797223936</v>
      </c>
      <c r="P42" s="605">
        <f>'WS4-TransFac'!$I$538/('WS4-TransFac'!$I$538+'WS4-TransFac'!$L$538)</f>
        <v>5.616729867559727E-2</v>
      </c>
      <c r="Q42" s="606">
        <f>J42*-P42</f>
        <v>-285986.69294548267</v>
      </c>
      <c r="R42" s="536" t="s">
        <v>81</v>
      </c>
      <c r="S42" s="495">
        <f>$S$45*L42</f>
        <v>164555.2268949014</v>
      </c>
      <c r="T42" s="535">
        <f>J42+Q42+S42</f>
        <v>4970262.44996347</v>
      </c>
      <c r="U42" s="508">
        <f>T42</f>
        <v>4970262.44996347</v>
      </c>
      <c r="W42" s="517"/>
    </row>
    <row r="43" spans="1:25">
      <c r="A43" s="311">
        <f>A42+1</f>
        <v>36</v>
      </c>
      <c r="B43" s="293" t="s">
        <v>2381</v>
      </c>
      <c r="C43" s="143" t="s">
        <v>87</v>
      </c>
      <c r="D43" s="293" t="str">
        <f>'WS5-FacDetail'!E27</f>
        <v>WATERTOWN OPERATIONS CENTER</v>
      </c>
      <c r="E43" s="294" t="s">
        <v>88</v>
      </c>
      <c r="F43" s="288">
        <f>$F$45*L43</f>
        <v>848786.54063693422</v>
      </c>
      <c r="G43" s="288">
        <f>$G$45*L43</f>
        <v>25749.92416830836</v>
      </c>
      <c r="H43" s="289">
        <f>N43*O43</f>
        <v>25773.667686077952</v>
      </c>
      <c r="I43" s="288">
        <f>$I$45*L43</f>
        <v>19777.12012306356</v>
      </c>
      <c r="J43" s="523">
        <f>H43+F43+I43+G43</f>
        <v>920087.25261438417</v>
      </c>
      <c r="K43" s="469">
        <f>'WS5-FacDetail'!I79+'WS5-FacDetail'!I90</f>
        <v>1289167.6805700001</v>
      </c>
      <c r="L43" s="290">
        <f>K43/$K$45</f>
        <v>6.9825590434740639E-2</v>
      </c>
      <c r="M43" s="288">
        <f t="shared" ref="M43:M44" si="25">$M$45*L43</f>
        <v>685892.90975882218</v>
      </c>
      <c r="N43" s="287">
        <f>'WS3-CostData'!$K$114</f>
        <v>4.2722933119550235E-2</v>
      </c>
      <c r="O43" s="288">
        <f>K43-M43</f>
        <v>603274.77081117791</v>
      </c>
      <c r="P43" s="605">
        <f>'WS4-TransFac'!$I$538/('WS4-TransFac'!$I$538+'WS4-TransFac'!$L$538)</f>
        <v>5.616729867559727E-2</v>
      </c>
      <c r="Q43" s="606">
        <f t="shared" ref="Q43:Q44" si="26">J43*-P43</f>
        <v>-51678.815525201833</v>
      </c>
      <c r="R43" s="536" t="s">
        <v>81</v>
      </c>
      <c r="S43" s="288">
        <f>$S$45*L43</f>
        <v>29735.716465767346</v>
      </c>
      <c r="T43" s="534">
        <f t="shared" ref="T43:T44" si="27">J43+Q43+S43</f>
        <v>898144.15355494968</v>
      </c>
      <c r="U43" s="508">
        <f>T43</f>
        <v>898144.15355494968</v>
      </c>
      <c r="W43" s="517"/>
    </row>
    <row r="44" spans="1:25" ht="15.75" thickBot="1">
      <c r="A44" s="311">
        <f>A43+1</f>
        <v>37</v>
      </c>
      <c r="B44" s="293" t="s">
        <v>2381</v>
      </c>
      <c r="C44" s="143" t="s">
        <v>87</v>
      </c>
      <c r="D44" s="293" t="str">
        <f>'WS5-FacDetail'!E28</f>
        <v xml:space="preserve">WATERTOWN OPERATIONS CENTER (BFPS) </v>
      </c>
      <c r="E44" s="294" t="s">
        <v>88</v>
      </c>
      <c r="F44" s="288">
        <f>$F$45*L44</f>
        <v>6609901.3410391109</v>
      </c>
      <c r="G44" s="288">
        <f>$G$45*L44</f>
        <v>200526.8110920261</v>
      </c>
      <c r="H44" s="289">
        <f>N44*O44</f>
        <v>200711.71306965221</v>
      </c>
      <c r="I44" s="288">
        <f>$I$45*L44</f>
        <v>154013.76737811224</v>
      </c>
      <c r="J44" s="523">
        <f>H44+F44+I44+G44</f>
        <v>7165153.6325789019</v>
      </c>
      <c r="K44" s="469">
        <f>'WS5-FacDetail'!I145+'WS5-FacDetail'!I164</f>
        <v>10039357.09705</v>
      </c>
      <c r="L44" s="290">
        <f>K44/$K$45</f>
        <v>0.54376482396516024</v>
      </c>
      <c r="M44" s="288">
        <f t="shared" si="25"/>
        <v>5341371.766595114</v>
      </c>
      <c r="N44" s="287">
        <f>'WS3-CostData'!$K$114</f>
        <v>4.2722933119550235E-2</v>
      </c>
      <c r="O44" s="288">
        <f>K44-M44</f>
        <v>4697985.330454886</v>
      </c>
      <c r="P44" s="605">
        <f>'WS4-TransFac'!$I$538/('WS4-TransFac'!$I$538+'WS4-TransFac'!$L$538)</f>
        <v>5.616729867559727E-2</v>
      </c>
      <c r="Q44" s="607">
        <f t="shared" si="26"/>
        <v>-402447.32413759991</v>
      </c>
      <c r="R44" s="536" t="s">
        <v>81</v>
      </c>
      <c r="S44" s="288">
        <f>$S$45*L44</f>
        <v>231566.05663933125</v>
      </c>
      <c r="T44" s="534">
        <f t="shared" si="27"/>
        <v>6994272.3650806332</v>
      </c>
      <c r="U44" s="508">
        <f>T44</f>
        <v>6994272.3650806332</v>
      </c>
      <c r="W44" s="517"/>
    </row>
    <row r="45" spans="1:25" ht="16.5" thickTop="1" thickBot="1">
      <c r="A45" s="311">
        <f>A44+1</f>
        <v>38</v>
      </c>
      <c r="B45" s="143"/>
      <c r="C45" s="143"/>
      <c r="D45" s="440" t="s">
        <v>2371</v>
      </c>
      <c r="E45" s="441"/>
      <c r="F45" s="442">
        <f>'WS3-CostData'!C169</f>
        <v>12155809</v>
      </c>
      <c r="G45" s="442">
        <f>'WS3-CostData'!C81</f>
        <v>368774.88622705417</v>
      </c>
      <c r="H45" s="442">
        <f>SUM(H42:H44)</f>
        <v>369114.92657074129</v>
      </c>
      <c r="I45" s="442">
        <f>'WS3-CostData'!C144</f>
        <v>283235.98840954102</v>
      </c>
      <c r="J45" s="528">
        <f>SUM(J42:J44)</f>
        <v>13176934.801207338</v>
      </c>
      <c r="K45" s="472">
        <f>SUM(K42:K44)</f>
        <v>18462682.12762</v>
      </c>
      <c r="L45" s="443">
        <v>1</v>
      </c>
      <c r="M45" s="442">
        <f>'WS3-CostData'!C54</f>
        <v>9822944.6466315426</v>
      </c>
      <c r="N45" s="444"/>
      <c r="O45" s="442">
        <f>SUM(O42:O44)</f>
        <v>8639737.4809884578</v>
      </c>
      <c r="P45" s="538"/>
      <c r="Q45" s="595">
        <f>SUM(Q42:Q44)</f>
        <v>-740112.83260828443</v>
      </c>
      <c r="R45" s="501"/>
      <c r="S45" s="592">
        <v>425857</v>
      </c>
      <c r="T45" s="442">
        <f>SUM(T42:T44)</f>
        <v>12862678.968599053</v>
      </c>
      <c r="U45" s="513">
        <f>SUM(U42+U43+U44)</f>
        <v>12862678.968599053</v>
      </c>
      <c r="V45" s="511">
        <f>T45-U45</f>
        <v>0</v>
      </c>
      <c r="W45" s="517"/>
    </row>
    <row r="46" spans="1:25" ht="15.75" thickTop="1">
      <c r="A46" s="311"/>
      <c r="B46" s="143"/>
      <c r="C46" s="143"/>
      <c r="D46" s="166"/>
      <c r="E46" s="167"/>
      <c r="F46" s="168"/>
      <c r="G46" s="168"/>
      <c r="H46" s="168"/>
      <c r="I46" s="168"/>
      <c r="J46" s="168"/>
      <c r="K46" s="168"/>
      <c r="L46" s="169"/>
      <c r="M46" s="168"/>
      <c r="N46" s="170"/>
      <c r="O46" s="168"/>
      <c r="P46" s="177"/>
      <c r="Q46" s="168"/>
      <c r="R46" s="168"/>
      <c r="S46" s="168"/>
      <c r="T46" s="168"/>
      <c r="U46" s="512"/>
      <c r="W46" s="518"/>
    </row>
    <row r="47" spans="1:25">
      <c r="A47" s="596" t="s">
        <v>2478</v>
      </c>
      <c r="B47" s="143"/>
      <c r="C47" s="143"/>
      <c r="D47" s="166"/>
      <c r="E47" s="167"/>
      <c r="F47" s="168"/>
      <c r="G47" s="168"/>
      <c r="H47" s="168"/>
      <c r="I47" s="168"/>
      <c r="J47" s="168"/>
      <c r="K47" s="168"/>
      <c r="L47" s="169"/>
      <c r="M47" s="168"/>
      <c r="N47" s="170"/>
      <c r="O47" s="168"/>
      <c r="P47" s="177"/>
      <c r="Q47" s="168"/>
      <c r="R47" s="168"/>
      <c r="S47" s="168"/>
      <c r="T47" s="168"/>
      <c r="W47" s="519"/>
    </row>
    <row r="48" spans="1:25">
      <c r="A48" s="580" t="s">
        <v>2419</v>
      </c>
      <c r="B48" s="143"/>
      <c r="C48" s="143"/>
      <c r="D48" s="166"/>
      <c r="E48" s="167"/>
      <c r="F48" s="168"/>
      <c r="G48" s="168"/>
      <c r="H48" s="168"/>
      <c r="I48" s="168"/>
      <c r="J48" s="168"/>
      <c r="K48" s="168"/>
      <c r="L48" s="169"/>
      <c r="M48" s="168"/>
      <c r="N48" s="170"/>
      <c r="O48" s="168"/>
      <c r="P48" s="177"/>
      <c r="Q48" s="168"/>
      <c r="R48" s="168"/>
      <c r="S48" s="168"/>
      <c r="T48" s="168"/>
      <c r="W48" s="519"/>
    </row>
    <row r="49" spans="1:23">
      <c r="A49" s="631" t="s">
        <v>2436</v>
      </c>
      <c r="B49" s="143"/>
      <c r="C49" s="143"/>
      <c r="D49" s="166"/>
      <c r="E49" s="167"/>
      <c r="F49" s="168"/>
      <c r="G49" s="168"/>
      <c r="H49" s="168"/>
      <c r="I49" s="168"/>
      <c r="J49" s="168"/>
      <c r="K49" s="168"/>
      <c r="L49" s="169"/>
      <c r="M49" s="168"/>
      <c r="N49" s="170"/>
      <c r="O49" s="168"/>
      <c r="P49" s="177"/>
      <c r="Q49" s="168"/>
      <c r="R49" s="168"/>
      <c r="S49" s="168"/>
      <c r="T49" s="168"/>
      <c r="W49" s="519"/>
    </row>
    <row r="50" spans="1:23">
      <c r="A50" s="539" t="s">
        <v>2384</v>
      </c>
      <c r="B50" s="284"/>
      <c r="C50" s="284"/>
      <c r="D50" s="284"/>
      <c r="E50" s="284"/>
      <c r="F50" s="284"/>
      <c r="G50" s="284"/>
      <c r="H50" s="284"/>
      <c r="I50" s="284"/>
      <c r="J50" s="284"/>
      <c r="K50" s="284"/>
      <c r="L50" s="284"/>
      <c r="M50" s="284"/>
      <c r="N50" s="284"/>
      <c r="O50" s="284"/>
      <c r="P50" s="313"/>
      <c r="Q50" s="284"/>
      <c r="R50" s="284"/>
      <c r="S50" s="284"/>
      <c r="T50" s="284"/>
    </row>
    <row r="51" spans="1:23">
      <c r="A51" s="310"/>
      <c r="B51" s="310"/>
      <c r="C51" s="310"/>
      <c r="D51" s="310"/>
      <c r="E51" s="310"/>
      <c r="F51" s="310"/>
      <c r="G51" s="310"/>
      <c r="H51" s="310"/>
      <c r="I51" s="310"/>
      <c r="J51" s="310"/>
      <c r="K51" s="310"/>
      <c r="L51" s="310"/>
      <c r="M51" s="310"/>
      <c r="N51" s="310"/>
      <c r="O51" s="310"/>
      <c r="P51" s="314"/>
      <c r="Q51" s="310"/>
      <c r="R51" s="310"/>
      <c r="S51" s="310"/>
      <c r="T51" s="310"/>
    </row>
    <row r="52" spans="1:23">
      <c r="A52" s="310"/>
      <c r="B52" s="310"/>
      <c r="C52" s="310"/>
      <c r="D52" s="310"/>
      <c r="E52" s="310"/>
      <c r="F52" s="310"/>
      <c r="G52" s="310"/>
      <c r="H52" s="310"/>
      <c r="I52" s="310"/>
      <c r="J52" s="310"/>
      <c r="K52" s="310"/>
      <c r="L52" s="310"/>
      <c r="M52" s="310"/>
      <c r="N52" s="310"/>
      <c r="O52" s="310"/>
      <c r="P52" s="314"/>
      <c r="Q52" s="310"/>
      <c r="R52" s="310"/>
      <c r="S52" s="310"/>
      <c r="T52" s="312"/>
    </row>
    <row r="53" spans="1:23">
      <c r="A53" s="310"/>
      <c r="B53" s="310"/>
      <c r="C53" s="310"/>
      <c r="D53" s="310"/>
      <c r="E53" s="310"/>
      <c r="F53" s="310"/>
      <c r="G53" s="310"/>
      <c r="H53" s="310"/>
      <c r="I53" s="310"/>
      <c r="J53" s="310"/>
      <c r="K53" s="310"/>
      <c r="L53" s="310"/>
      <c r="M53" s="310"/>
      <c r="N53" s="310"/>
      <c r="O53" s="310"/>
      <c r="P53" s="314"/>
      <c r="Q53" s="310"/>
      <c r="R53" s="310"/>
      <c r="S53" s="310"/>
      <c r="T53" s="310"/>
    </row>
    <row r="54" spans="1:23">
      <c r="A54" s="310"/>
      <c r="B54" s="310"/>
      <c r="C54" s="310"/>
      <c r="D54" s="310"/>
      <c r="E54" s="310"/>
      <c r="F54" s="310"/>
      <c r="G54" s="310"/>
      <c r="H54" s="310"/>
      <c r="I54" s="310"/>
      <c r="J54" s="310"/>
      <c r="K54" s="310"/>
      <c r="L54" s="310"/>
      <c r="M54" s="310"/>
      <c r="N54" s="310"/>
      <c r="O54" s="310"/>
      <c r="P54" s="314"/>
      <c r="Q54" s="310"/>
      <c r="R54" s="310"/>
      <c r="S54" s="310"/>
      <c r="T54" s="310"/>
    </row>
  </sheetData>
  <mergeCells count="1">
    <mergeCell ref="U5:V5"/>
  </mergeCells>
  <hyperlinks>
    <hyperlink ref="E1" location="'Cover Sheets'!A18" display="(Back to Worksheet Links)" xr:uid="{D76F432E-769B-4978-99A0-E2434AC865CB}"/>
  </hyperlinks>
  <pageMargins left="0.7" right="0.7" top="0.75" bottom="0.75" header="0.3" footer="0.3"/>
  <pageSetup paperSize="17" scale="63"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5"/>
  <sheetViews>
    <sheetView view="pageBreakPreview" zoomScaleNormal="100" zoomScaleSheetLayoutView="100" workbookViewId="0"/>
  </sheetViews>
  <sheetFormatPr defaultRowHeight="15"/>
  <cols>
    <col min="2" max="2" width="44.140625" customWidth="1"/>
    <col min="3" max="4" width="23.5703125" customWidth="1"/>
    <col min="5" max="5" width="18.5703125" customWidth="1"/>
    <col min="6" max="6" width="15.85546875" customWidth="1"/>
    <col min="7" max="7" width="12.5703125" bestFit="1" customWidth="1"/>
    <col min="8" max="8" width="12.42578125" customWidth="1"/>
    <col min="9" max="9" width="11.42578125" bestFit="1" customWidth="1"/>
    <col min="10" max="10" width="11" customWidth="1"/>
  </cols>
  <sheetData>
    <row r="1" spans="1:12">
      <c r="A1" s="133" t="str">
        <f>'Cover Sheets'!A10:D10</f>
        <v>WAPA-UGP 2025 Rate Estimate Calculation</v>
      </c>
      <c r="B1" s="86"/>
      <c r="C1" s="94" t="s">
        <v>53</v>
      </c>
      <c r="D1" s="73"/>
      <c r="E1" s="73"/>
      <c r="F1" s="73"/>
      <c r="G1" s="73"/>
    </row>
    <row r="2" spans="1:12">
      <c r="A2" s="133" t="s">
        <v>90</v>
      </c>
      <c r="B2" s="86"/>
      <c r="C2" s="109"/>
      <c r="D2" s="650"/>
      <c r="E2" s="650"/>
      <c r="F2" s="650"/>
      <c r="G2" s="650"/>
      <c r="H2" s="73"/>
    </row>
    <row r="3" spans="1:12">
      <c r="A3" s="92" t="str">
        <f>'Summary-Est'!A3</f>
        <v>12 Months Ending 09/30/2025 Estimate</v>
      </c>
      <c r="B3" s="92"/>
      <c r="C3" s="115"/>
      <c r="D3" s="73"/>
      <c r="E3" s="73"/>
      <c r="F3" s="73"/>
      <c r="G3" s="73"/>
      <c r="H3" s="73"/>
    </row>
    <row r="4" spans="1:12">
      <c r="A4" s="155" t="s">
        <v>41</v>
      </c>
      <c r="B4" s="85" t="s">
        <v>91</v>
      </c>
      <c r="C4" s="85" t="s">
        <v>92</v>
      </c>
      <c r="D4" s="85"/>
      <c r="E4" s="85"/>
      <c r="F4" s="85"/>
      <c r="G4" s="73"/>
      <c r="H4" s="73"/>
    </row>
    <row r="5" spans="1:12">
      <c r="A5" s="315" t="s">
        <v>47</v>
      </c>
      <c r="B5" s="316">
        <v>-2</v>
      </c>
      <c r="C5" s="316">
        <v>-3</v>
      </c>
      <c r="D5" s="85"/>
      <c r="E5" s="85"/>
      <c r="F5" s="85"/>
      <c r="G5" s="174"/>
      <c r="H5" s="73"/>
      <c r="L5" s="97"/>
    </row>
    <row r="6" spans="1:12" ht="15.75" thickBot="1">
      <c r="A6" s="29">
        <v>1</v>
      </c>
      <c r="B6" s="175" t="s">
        <v>93</v>
      </c>
      <c r="C6" s="157">
        <v>5000</v>
      </c>
      <c r="D6" s="73"/>
      <c r="E6" s="73"/>
      <c r="F6" s="73"/>
      <c r="G6" s="73"/>
    </row>
    <row r="7" spans="1:12" ht="16.5" thickTop="1" thickBot="1">
      <c r="A7" s="29">
        <f>A6+1</f>
        <v>2</v>
      </c>
      <c r="B7" s="175" t="s">
        <v>94</v>
      </c>
      <c r="C7" s="157">
        <v>-6250000</v>
      </c>
      <c r="D7" s="73"/>
      <c r="E7" s="134"/>
      <c r="F7" s="73"/>
      <c r="G7" s="73"/>
      <c r="H7" s="73"/>
    </row>
    <row r="8" spans="1:12" ht="16.5" thickTop="1" thickBot="1">
      <c r="A8" s="29">
        <f>A7+1</f>
        <v>3</v>
      </c>
      <c r="B8" s="175" t="s">
        <v>95</v>
      </c>
      <c r="C8" s="157">
        <v>-2100000</v>
      </c>
      <c r="D8" s="73"/>
      <c r="E8" s="73"/>
      <c r="F8" s="73"/>
      <c r="G8" s="73"/>
    </row>
    <row r="9" spans="1:12" ht="16.5" thickTop="1" thickBot="1">
      <c r="A9" s="29">
        <f t="shared" ref="A9:A22" si="0">A8+1</f>
        <v>4</v>
      </c>
      <c r="B9" s="175" t="s">
        <v>96</v>
      </c>
      <c r="C9" s="157">
        <v>-325000</v>
      </c>
      <c r="D9" s="73"/>
      <c r="E9" s="73"/>
      <c r="F9" s="73"/>
      <c r="G9" s="73"/>
    </row>
    <row r="10" spans="1:12" ht="16.5" thickTop="1" thickBot="1">
      <c r="A10" s="29">
        <f t="shared" si="0"/>
        <v>5</v>
      </c>
      <c r="B10" s="175" t="s">
        <v>97</v>
      </c>
      <c r="C10" s="157">
        <v>-4240</v>
      </c>
      <c r="D10" s="73"/>
      <c r="E10" s="73"/>
      <c r="F10" s="73"/>
      <c r="G10" s="73"/>
    </row>
    <row r="11" spans="1:12" ht="16.5" thickTop="1" thickBot="1">
      <c r="A11" s="29">
        <f t="shared" si="0"/>
        <v>6</v>
      </c>
      <c r="B11" s="175"/>
      <c r="C11" s="142">
        <v>0</v>
      </c>
      <c r="D11" s="73"/>
      <c r="E11" s="73"/>
      <c r="F11" s="73"/>
      <c r="G11" s="73"/>
    </row>
    <row r="12" spans="1:12" ht="16.5" thickTop="1" thickBot="1">
      <c r="A12" s="29">
        <f t="shared" si="0"/>
        <v>7</v>
      </c>
      <c r="B12" s="175"/>
      <c r="C12" s="142">
        <v>0</v>
      </c>
      <c r="D12" s="73"/>
      <c r="E12" s="73"/>
      <c r="F12" s="73"/>
      <c r="G12" s="73"/>
    </row>
    <row r="13" spans="1:12" ht="16.5" thickTop="1" thickBot="1">
      <c r="A13" s="29">
        <f t="shared" si="0"/>
        <v>8</v>
      </c>
      <c r="B13" s="175"/>
      <c r="C13" s="157">
        <v>0</v>
      </c>
      <c r="D13" s="73"/>
      <c r="E13" s="73"/>
      <c r="F13" s="73"/>
      <c r="G13" s="73"/>
      <c r="H13" s="73"/>
      <c r="I13" s="117"/>
    </row>
    <row r="14" spans="1:12" ht="15.75" thickTop="1">
      <c r="A14" s="29"/>
      <c r="B14" s="608"/>
      <c r="C14" s="610"/>
      <c r="D14" s="86"/>
      <c r="E14" s="73"/>
      <c r="F14" s="73"/>
      <c r="G14" s="73"/>
      <c r="H14" s="73"/>
      <c r="I14" s="117"/>
    </row>
    <row r="15" spans="1:12">
      <c r="A15" s="29"/>
      <c r="B15" s="609"/>
      <c r="C15" s="122"/>
      <c r="D15" s="86"/>
      <c r="E15" s="73"/>
      <c r="F15" s="73"/>
      <c r="G15" s="73"/>
      <c r="H15" s="73"/>
      <c r="I15" s="117"/>
    </row>
    <row r="16" spans="1:12">
      <c r="A16" s="155" t="s">
        <v>41</v>
      </c>
      <c r="B16" s="85" t="s">
        <v>91</v>
      </c>
      <c r="C16" s="85" t="s">
        <v>2394</v>
      </c>
      <c r="D16" s="85" t="s">
        <v>2395</v>
      </c>
      <c r="E16" s="73"/>
      <c r="F16" s="73"/>
      <c r="G16" s="73"/>
      <c r="H16" s="73"/>
      <c r="I16" s="117"/>
    </row>
    <row r="17" spans="1:9">
      <c r="A17" s="315" t="s">
        <v>47</v>
      </c>
      <c r="B17" s="316">
        <v>-2</v>
      </c>
      <c r="C17" s="316">
        <v>-3</v>
      </c>
      <c r="D17" s="316">
        <v>-4</v>
      </c>
      <c r="E17" s="73"/>
      <c r="F17" s="73"/>
      <c r="G17" s="73"/>
      <c r="H17" s="73"/>
      <c r="I17" s="117"/>
    </row>
    <row r="18" spans="1:9" ht="15.75" thickBot="1">
      <c r="A18" s="29">
        <f>A13+1</f>
        <v>9</v>
      </c>
      <c r="B18" s="175" t="s">
        <v>98</v>
      </c>
      <c r="C18" s="157">
        <v>0</v>
      </c>
      <c r="D18" s="157">
        <v>0</v>
      </c>
      <c r="E18" s="73"/>
      <c r="F18" s="73"/>
      <c r="G18" s="73"/>
    </row>
    <row r="19" spans="1:9" ht="16.5" thickTop="1" thickBot="1">
      <c r="A19" s="29">
        <f t="shared" si="0"/>
        <v>10</v>
      </c>
      <c r="B19" s="175" t="s">
        <v>99</v>
      </c>
      <c r="C19" s="157">
        <v>0</v>
      </c>
      <c r="D19" s="157">
        <v>0</v>
      </c>
      <c r="E19" s="73"/>
      <c r="F19" s="73"/>
      <c r="G19" s="73"/>
      <c r="H19" s="73"/>
    </row>
    <row r="20" spans="1:9" ht="16.5" thickTop="1" thickBot="1">
      <c r="A20" s="29">
        <f t="shared" si="0"/>
        <v>11</v>
      </c>
      <c r="B20" s="175" t="s">
        <v>100</v>
      </c>
      <c r="C20" s="142">
        <v>-65000</v>
      </c>
      <c r="D20" s="157">
        <v>0</v>
      </c>
      <c r="E20" s="73"/>
      <c r="F20" s="73"/>
      <c r="G20" s="73"/>
      <c r="H20" s="73"/>
      <c r="I20" s="117"/>
    </row>
    <row r="21" spans="1:9" ht="16.5" thickTop="1" thickBot="1">
      <c r="A21" s="29">
        <f t="shared" si="0"/>
        <v>12</v>
      </c>
      <c r="B21" s="175" t="s">
        <v>101</v>
      </c>
      <c r="C21" s="142">
        <v>0</v>
      </c>
      <c r="D21" s="157">
        <v>0</v>
      </c>
      <c r="E21" s="73"/>
      <c r="F21" s="73"/>
      <c r="G21" s="73"/>
      <c r="H21" s="73"/>
    </row>
    <row r="22" spans="1:9" ht="16.5" thickTop="1" thickBot="1">
      <c r="A22" s="29">
        <f t="shared" si="0"/>
        <v>13</v>
      </c>
      <c r="B22" s="175" t="s">
        <v>102</v>
      </c>
      <c r="C22" s="157">
        <v>-8200</v>
      </c>
      <c r="D22" s="157">
        <v>0</v>
      </c>
      <c r="E22" s="73"/>
      <c r="F22" s="73"/>
      <c r="G22" s="73"/>
    </row>
    <row r="23" spans="1:9" ht="74.099999999999994" customHeight="1" thickTop="1">
      <c r="A23" s="244">
        <f t="shared" ref="A23" si="1">A22+1</f>
        <v>14</v>
      </c>
      <c r="B23" s="651" t="s">
        <v>103</v>
      </c>
      <c r="C23" s="651"/>
      <c r="D23" s="73"/>
      <c r="E23" s="73"/>
      <c r="F23" s="73"/>
      <c r="G23" s="73"/>
    </row>
    <row r="24" spans="1:9">
      <c r="A24" s="73"/>
      <c r="B24" s="73"/>
      <c r="C24" s="73"/>
      <c r="D24" s="73"/>
      <c r="E24" s="73"/>
      <c r="F24" s="73"/>
      <c r="G24" s="73"/>
    </row>
    <row r="25" spans="1:9">
      <c r="A25" s="73"/>
      <c r="B25" s="73"/>
      <c r="C25" s="73"/>
      <c r="D25" s="73"/>
      <c r="E25" s="73"/>
      <c r="F25" s="73"/>
      <c r="G25" s="73"/>
    </row>
  </sheetData>
  <mergeCells count="2">
    <mergeCell ref="D2:G2"/>
    <mergeCell ref="B23:C23"/>
  </mergeCells>
  <phoneticPr fontId="61" type="noConversion"/>
  <hyperlinks>
    <hyperlink ref="C1" location="'Cover Sheets'!A18" display="(Back to Worksheet Links)" xr:uid="{00000000-0004-0000-0400-000000000000}"/>
  </hyperlinks>
  <pageMargins left="0.7" right="0.7" top="0.75" bottom="0.6" header="0.3" footer="0.3"/>
  <pageSetup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24D3-9CAD-44ED-AB08-7EEBC99ADCFB}">
  <sheetPr>
    <pageSetUpPr fitToPage="1"/>
  </sheetPr>
  <dimension ref="A1:P195"/>
  <sheetViews>
    <sheetView view="pageBreakPreview" zoomScale="90" zoomScaleNormal="100" zoomScaleSheetLayoutView="90" workbookViewId="0"/>
  </sheetViews>
  <sheetFormatPr defaultColWidth="12.5703125" defaultRowHeight="12.75"/>
  <cols>
    <col min="1" max="1" width="12.5703125" style="31"/>
    <col min="2" max="2" width="38.5703125" style="30" customWidth="1"/>
    <col min="3" max="3" width="23.5703125" style="30" bestFit="1" customWidth="1"/>
    <col min="4" max="4" width="8.5703125" style="30" customWidth="1"/>
    <col min="5" max="5" width="22.140625" style="30" bestFit="1" customWidth="1"/>
    <col min="6" max="6" width="8.5703125" style="30" customWidth="1"/>
    <col min="7" max="7" width="17.42578125" style="30" customWidth="1"/>
    <col min="8" max="8" width="8.42578125" style="30" customWidth="1"/>
    <col min="9" max="9" width="12.5703125" style="30"/>
    <col min="10" max="10" width="7.5703125" style="30" customWidth="1"/>
    <col min="11" max="12" width="16.42578125" style="30" customWidth="1"/>
    <col min="13" max="13" width="16" style="30" bestFit="1" customWidth="1"/>
    <col min="14" max="16384" width="12.5703125" style="30"/>
  </cols>
  <sheetData>
    <row r="1" spans="1:14" ht="15">
      <c r="A1" s="597" t="str">
        <f>'Cover Sheets'!A10:D10</f>
        <v>WAPA-UGP 2025 Rate Estimate Calculation</v>
      </c>
      <c r="B1" s="116"/>
      <c r="C1" s="94" t="s">
        <v>53</v>
      </c>
      <c r="D1" s="35"/>
      <c r="E1" s="35"/>
      <c r="F1" s="35"/>
      <c r="G1" s="35"/>
      <c r="H1" s="35"/>
      <c r="I1" s="35"/>
      <c r="J1" s="35"/>
      <c r="K1" s="35"/>
      <c r="L1" s="35"/>
    </row>
    <row r="2" spans="1:14">
      <c r="A2" s="597" t="s">
        <v>1153</v>
      </c>
      <c r="B2" s="116"/>
      <c r="C2" s="35"/>
      <c r="D2" s="35"/>
      <c r="E2" s="35"/>
      <c r="F2" s="35"/>
      <c r="G2" s="35"/>
      <c r="H2" s="35"/>
      <c r="I2" s="35"/>
      <c r="J2" s="35"/>
      <c r="K2" s="35"/>
      <c r="L2" s="35"/>
    </row>
    <row r="3" spans="1:14">
      <c r="A3" s="116" t="str">
        <f>'Summary-Est'!A3</f>
        <v>12 Months Ending 09/30/2025 Estimate</v>
      </c>
      <c r="B3" s="116"/>
      <c r="C3" s="35"/>
      <c r="D3" s="35"/>
      <c r="E3" s="35"/>
      <c r="F3" s="35"/>
      <c r="G3" s="35"/>
      <c r="H3" s="35"/>
      <c r="I3" s="35"/>
      <c r="J3" s="35"/>
      <c r="K3" s="35"/>
      <c r="L3" s="35"/>
    </row>
    <row r="4" spans="1:14">
      <c r="A4" s="156"/>
      <c r="B4" s="41"/>
      <c r="C4" s="41" t="s">
        <v>1154</v>
      </c>
      <c r="D4" s="42"/>
      <c r="E4" s="41" t="s">
        <v>1155</v>
      </c>
      <c r="F4" s="42"/>
      <c r="G4" s="41" t="s">
        <v>76</v>
      </c>
      <c r="H4" s="43"/>
      <c r="I4" s="41" t="s">
        <v>1156</v>
      </c>
      <c r="J4" s="43"/>
      <c r="K4" s="41" t="s">
        <v>92</v>
      </c>
      <c r="L4" s="35"/>
    </row>
    <row r="5" spans="1:14" s="31" customFormat="1" ht="13.5" thickBot="1">
      <c r="A5" s="301" t="s">
        <v>22</v>
      </c>
      <c r="B5" s="36">
        <v>-1</v>
      </c>
      <c r="C5" s="44">
        <v>-2</v>
      </c>
      <c r="D5" s="45"/>
      <c r="E5" s="44">
        <v>-3</v>
      </c>
      <c r="F5" s="45"/>
      <c r="G5" s="36">
        <v>-4</v>
      </c>
      <c r="H5" s="46"/>
      <c r="I5" s="36">
        <v>-5</v>
      </c>
      <c r="J5" s="46"/>
      <c r="K5" s="36">
        <v>-6</v>
      </c>
      <c r="L5" s="156"/>
    </row>
    <row r="6" spans="1:14">
      <c r="A6" s="156">
        <v>1</v>
      </c>
      <c r="B6" s="47"/>
      <c r="C6" s="48"/>
      <c r="D6" s="48"/>
      <c r="E6" s="48"/>
      <c r="F6" s="48"/>
      <c r="G6" s="48"/>
      <c r="H6" s="48"/>
      <c r="I6" s="48"/>
      <c r="J6" s="48"/>
      <c r="K6" s="48"/>
      <c r="L6" s="35"/>
    </row>
    <row r="7" spans="1:14">
      <c r="A7" s="156">
        <f t="shared" ref="A7:A121" si="0">A6+1</f>
        <v>2</v>
      </c>
      <c r="B7" s="149" t="s">
        <v>1157</v>
      </c>
      <c r="C7" s="55">
        <f>'WS4-TransFac'!H513</f>
        <v>1639116498.7830009</v>
      </c>
      <c r="D7" s="321" t="s">
        <v>1158</v>
      </c>
      <c r="E7" s="55">
        <f>882670381.94</f>
        <v>882670381.94000006</v>
      </c>
      <c r="F7" s="321" t="s">
        <v>1159</v>
      </c>
      <c r="G7" s="55">
        <f>173713622+213093289+231253750+364522617+89477671+300769507</f>
        <v>1372830456</v>
      </c>
      <c r="H7" s="321" t="s">
        <v>1160</v>
      </c>
      <c r="I7" s="55">
        <f>580908032.22</f>
        <v>580908032.22000003</v>
      </c>
      <c r="J7" s="321" t="s">
        <v>1161</v>
      </c>
      <c r="K7" s="53">
        <f>C7+E7+G7+I7</f>
        <v>4475525368.9430008</v>
      </c>
      <c r="L7" s="35"/>
    </row>
    <row r="8" spans="1:14">
      <c r="A8" s="156">
        <f t="shared" si="0"/>
        <v>3</v>
      </c>
      <c r="B8" s="49" t="s">
        <v>1162</v>
      </c>
      <c r="C8" s="190">
        <f>'WS4-TransFac'!L513</f>
        <v>1546909080.9099121</v>
      </c>
      <c r="D8" s="340" t="s">
        <v>1158</v>
      </c>
      <c r="E8" s="49">
        <f>'WS4-TransFac'!L525</f>
        <v>9083985.9375</v>
      </c>
      <c r="F8" s="340" t="s">
        <v>1158</v>
      </c>
      <c r="G8" s="49">
        <f>'WS4-TransFac'!L536</f>
        <v>99202121.010000005</v>
      </c>
      <c r="H8" s="340" t="s">
        <v>1158</v>
      </c>
      <c r="I8" s="49"/>
      <c r="J8" s="340"/>
      <c r="K8" s="49">
        <f t="shared" ref="K8:K11" si="1">C8+E8+G8+I8</f>
        <v>1655195187.8574121</v>
      </c>
      <c r="L8" s="35"/>
      <c r="M8" s="363"/>
      <c r="N8" s="218"/>
    </row>
    <row r="9" spans="1:14">
      <c r="A9" s="156">
        <f t="shared" si="0"/>
        <v>4</v>
      </c>
      <c r="B9" s="49" t="s">
        <v>1163</v>
      </c>
      <c r="C9" s="190">
        <f>-('WS4-TransFac'!$J$513)</f>
        <v>16879035.6630885</v>
      </c>
      <c r="D9" s="340" t="s">
        <v>1158</v>
      </c>
      <c r="E9" s="49"/>
      <c r="F9" s="50"/>
      <c r="G9" s="190">
        <f>G7-G8</f>
        <v>1273628334.99</v>
      </c>
      <c r="H9" s="340" t="str">
        <f>"L"&amp;A7&amp;" - L"&amp;A8&amp;""</f>
        <v>L2 - L3</v>
      </c>
      <c r="I9" s="190">
        <f>I7-I8</f>
        <v>580908032.22000003</v>
      </c>
      <c r="J9" s="340" t="str">
        <f>"L"&amp;A7&amp;" - L"&amp;A8&amp;""</f>
        <v>L2 - L3</v>
      </c>
      <c r="K9" s="49">
        <f t="shared" si="1"/>
        <v>1871415402.8730886</v>
      </c>
      <c r="L9" s="35"/>
    </row>
    <row r="10" spans="1:14">
      <c r="A10" s="156">
        <f t="shared" si="0"/>
        <v>5</v>
      </c>
      <c r="B10" s="49" t="s">
        <v>1164</v>
      </c>
      <c r="C10" s="190">
        <f>'WS5-FacDetail'!K14</f>
        <v>14129185.388</v>
      </c>
      <c r="D10" s="340" t="s">
        <v>1165</v>
      </c>
      <c r="E10" s="49"/>
      <c r="F10" s="50"/>
      <c r="G10" s="190"/>
      <c r="H10" s="50"/>
      <c r="I10" s="190"/>
      <c r="J10" s="50"/>
      <c r="K10" s="49">
        <f t="shared" si="1"/>
        <v>14129185.388</v>
      </c>
      <c r="L10" s="35"/>
    </row>
    <row r="11" spans="1:14">
      <c r="A11" s="156">
        <f t="shared" si="0"/>
        <v>6</v>
      </c>
      <c r="B11" s="49" t="s">
        <v>1166</v>
      </c>
      <c r="C11" s="190">
        <f>'WS5-FacDetail'!K22</f>
        <v>4434778.7220000001</v>
      </c>
      <c r="D11" s="340" t="s">
        <v>1165</v>
      </c>
      <c r="E11" s="49"/>
      <c r="F11" s="50"/>
      <c r="G11" s="190"/>
      <c r="H11" s="50"/>
      <c r="I11" s="190"/>
      <c r="J11" s="50"/>
      <c r="K11" s="49">
        <f t="shared" si="1"/>
        <v>4434778.7220000001</v>
      </c>
      <c r="L11" s="35"/>
    </row>
    <row r="12" spans="1:14" ht="13.5" thickBot="1">
      <c r="A12" s="156">
        <f t="shared" si="0"/>
        <v>7</v>
      </c>
      <c r="B12" s="150" t="s">
        <v>1167</v>
      </c>
      <c r="C12" s="191">
        <f>SUM(C8:C11)</f>
        <v>1582352080.6830006</v>
      </c>
      <c r="D12" s="191"/>
      <c r="E12" s="191">
        <f>SUM(E8:E11)</f>
        <v>9083985.9375</v>
      </c>
      <c r="F12" s="191"/>
      <c r="G12" s="191">
        <f>SUM(G8:G11)</f>
        <v>1372830456</v>
      </c>
      <c r="H12" s="191"/>
      <c r="I12" s="191">
        <f>SUM(I8:I11)</f>
        <v>580908032.22000003</v>
      </c>
      <c r="J12" s="145"/>
      <c r="K12" s="191">
        <f>SUM(K8:K11)</f>
        <v>3545174554.8405008</v>
      </c>
      <c r="L12" s="35"/>
    </row>
    <row r="13" spans="1:14" ht="13.5" thickTop="1">
      <c r="A13" s="156">
        <f t="shared" si="0"/>
        <v>8</v>
      </c>
      <c r="B13" s="49"/>
      <c r="C13" s="190"/>
      <c r="D13" s="50"/>
      <c r="E13" s="49"/>
      <c r="F13" s="50"/>
      <c r="G13" s="190"/>
      <c r="H13" s="50"/>
      <c r="I13" s="190"/>
      <c r="J13" s="50"/>
      <c r="K13" s="49"/>
      <c r="L13" s="35"/>
    </row>
    <row r="14" spans="1:14">
      <c r="A14" s="156">
        <f t="shared" si="0"/>
        <v>9</v>
      </c>
      <c r="B14" s="149" t="s">
        <v>1168</v>
      </c>
      <c r="C14" s="55"/>
      <c r="D14" s="55"/>
      <c r="E14" s="55"/>
      <c r="F14" s="55"/>
      <c r="G14" s="55"/>
      <c r="H14" s="55"/>
      <c r="I14" s="55"/>
      <c r="J14" s="55"/>
      <c r="K14" s="55"/>
      <c r="L14" s="35"/>
    </row>
    <row r="15" spans="1:14">
      <c r="A15" s="156">
        <f t="shared" si="0"/>
        <v>10</v>
      </c>
      <c r="B15" s="146" t="s">
        <v>1169</v>
      </c>
      <c r="C15" s="190">
        <f>'WS4-TransFac'!L438</f>
        <v>1369328669.240447</v>
      </c>
      <c r="D15" s="340" t="s">
        <v>1158</v>
      </c>
      <c r="E15" s="190">
        <f>'WS4-TransFac'!L520</f>
        <v>5408407.9699999988</v>
      </c>
      <c r="F15" s="340" t="s">
        <v>1158</v>
      </c>
      <c r="G15" s="190">
        <f>'WS4-TransFac'!L533</f>
        <v>96597756.770000011</v>
      </c>
      <c r="H15" s="340" t="s">
        <v>1158</v>
      </c>
      <c r="I15" s="190"/>
      <c r="J15" s="190"/>
      <c r="K15" s="49">
        <f>C15+E15+G15+I15</f>
        <v>1471334833.9804471</v>
      </c>
      <c r="L15" s="35"/>
    </row>
    <row r="16" spans="1:14">
      <c r="A16" s="156">
        <f t="shared" si="0"/>
        <v>11</v>
      </c>
      <c r="B16" s="146" t="s">
        <v>1170</v>
      </c>
      <c r="C16" s="190">
        <f>'WS4-TransFac'!L509</f>
        <v>153857032.26946494</v>
      </c>
      <c r="D16" s="340" t="s">
        <v>1158</v>
      </c>
      <c r="E16" s="190">
        <f>'WS4-TransFac'!L524</f>
        <v>3675577.9675000012</v>
      </c>
      <c r="F16" s="340" t="s">
        <v>1158</v>
      </c>
      <c r="G16" s="190">
        <f>'WS4-TransFac'!L535</f>
        <v>2604364.2400000002</v>
      </c>
      <c r="H16" s="340" t="s">
        <v>1158</v>
      </c>
      <c r="I16" s="190"/>
      <c r="J16" s="190"/>
      <c r="K16" s="49">
        <f t="shared" ref="K16:K22" si="2">C16+E16+G16+I16</f>
        <v>160136974.47696495</v>
      </c>
      <c r="L16" s="35"/>
    </row>
    <row r="17" spans="1:16">
      <c r="A17" s="156">
        <f t="shared" si="0"/>
        <v>12</v>
      </c>
      <c r="B17" s="146" t="s">
        <v>2438</v>
      </c>
      <c r="C17" s="190">
        <f>'WS5-FacDetail'!K14</f>
        <v>14129185.388</v>
      </c>
      <c r="D17" s="340" t="s">
        <v>1165</v>
      </c>
      <c r="E17" s="190"/>
      <c r="F17" s="340"/>
      <c r="G17" s="190"/>
      <c r="H17" s="340"/>
      <c r="I17" s="190"/>
      <c r="J17" s="190"/>
      <c r="K17" s="49">
        <f t="shared" si="2"/>
        <v>14129185.388</v>
      </c>
      <c r="L17" s="35"/>
    </row>
    <row r="18" spans="1:16">
      <c r="A18" s="156">
        <f t="shared" si="0"/>
        <v>13</v>
      </c>
      <c r="B18" s="146" t="s">
        <v>2439</v>
      </c>
      <c r="C18" s="190">
        <f>'WS5-FacDetail'!K16</f>
        <v>1.0000000000000001E-5</v>
      </c>
      <c r="D18" s="340" t="s">
        <v>1165</v>
      </c>
      <c r="E18" s="190"/>
      <c r="F18" s="340"/>
      <c r="G18" s="190"/>
      <c r="H18" s="340"/>
      <c r="I18" s="190"/>
      <c r="J18" s="190"/>
      <c r="K18" s="49">
        <f t="shared" si="2"/>
        <v>1.0000000000000001E-5</v>
      </c>
      <c r="L18" s="35"/>
    </row>
    <row r="19" spans="1:16">
      <c r="A19" s="156">
        <f t="shared" si="0"/>
        <v>14</v>
      </c>
      <c r="B19" s="146" t="s">
        <v>2440</v>
      </c>
      <c r="C19" s="190">
        <f>'WS5-FacDetail'!K22</f>
        <v>4434778.7220000001</v>
      </c>
      <c r="D19" s="340" t="s">
        <v>1165</v>
      </c>
      <c r="E19" s="190"/>
      <c r="F19" s="340"/>
      <c r="G19" s="190"/>
      <c r="H19" s="340"/>
      <c r="I19" s="190"/>
      <c r="J19" s="190"/>
      <c r="K19" s="49">
        <f t="shared" si="2"/>
        <v>4434778.7220000001</v>
      </c>
      <c r="L19" s="35"/>
    </row>
    <row r="20" spans="1:16">
      <c r="A20" s="156">
        <f t="shared" si="0"/>
        <v>15</v>
      </c>
      <c r="B20" s="146" t="s">
        <v>2441</v>
      </c>
      <c r="C20" s="190">
        <f>'WS5-FacDetail'!K24</f>
        <v>1.0000000000000001E-5</v>
      </c>
      <c r="D20" s="340" t="s">
        <v>1165</v>
      </c>
      <c r="E20" s="190"/>
      <c r="F20" s="340"/>
      <c r="G20" s="190"/>
      <c r="H20" s="340"/>
      <c r="I20" s="190"/>
      <c r="J20" s="190"/>
      <c r="K20" s="49">
        <f t="shared" si="2"/>
        <v>1.0000000000000001E-5</v>
      </c>
      <c r="L20" s="35"/>
    </row>
    <row r="21" spans="1:16">
      <c r="A21" s="156">
        <f t="shared" si="0"/>
        <v>16</v>
      </c>
      <c r="B21" s="146" t="s">
        <v>1171</v>
      </c>
      <c r="C21" s="190">
        <f>'WS5-FacDetail'!I73+'WS5-FacDetail'!I79+'WS5-FacDetail'!I90+'WS5-FacDetail'!I145+'WS5-FacDetail'!I164</f>
        <v>18462682.12762</v>
      </c>
      <c r="D21" s="340" t="s">
        <v>1165</v>
      </c>
      <c r="E21" s="49"/>
      <c r="F21" s="50"/>
      <c r="G21" s="190"/>
      <c r="H21" s="50"/>
      <c r="I21" s="190"/>
      <c r="J21" s="50"/>
      <c r="K21" s="49">
        <f t="shared" si="2"/>
        <v>18462682.12762</v>
      </c>
      <c r="L21" s="35"/>
      <c r="N21" s="180"/>
      <c r="O21" s="180"/>
      <c r="P21" s="180"/>
    </row>
    <row r="22" spans="1:16">
      <c r="A22" s="156">
        <f t="shared" si="0"/>
        <v>17</v>
      </c>
      <c r="B22" s="53" t="s">
        <v>1172</v>
      </c>
      <c r="C22" s="55">
        <f>'WS4-TransFac'!L512</f>
        <v>23723379.399999999</v>
      </c>
      <c r="D22" s="321" t="s">
        <v>1165</v>
      </c>
      <c r="E22" s="53"/>
      <c r="F22" s="54"/>
      <c r="G22" s="55"/>
      <c r="H22" s="54"/>
      <c r="I22" s="55"/>
      <c r="J22" s="54"/>
      <c r="K22" s="53">
        <f t="shared" si="2"/>
        <v>23723379.399999999</v>
      </c>
      <c r="L22" s="35"/>
      <c r="N22" s="180"/>
      <c r="O22" s="180"/>
      <c r="P22" s="180"/>
    </row>
    <row r="23" spans="1:16">
      <c r="A23" s="156">
        <f>A22+1</f>
        <v>18</v>
      </c>
      <c r="B23" s="49"/>
      <c r="C23" s="190"/>
      <c r="D23" s="50"/>
      <c r="E23" s="49"/>
      <c r="F23" s="50"/>
      <c r="G23" s="190"/>
      <c r="H23" s="50"/>
      <c r="I23" s="190"/>
      <c r="J23" s="50"/>
      <c r="K23" s="49"/>
      <c r="L23" s="35"/>
      <c r="N23" s="180"/>
      <c r="O23" s="180"/>
      <c r="P23" s="180"/>
    </row>
    <row r="24" spans="1:16" s="34" customFormat="1">
      <c r="A24" s="156">
        <f>A23+1</f>
        <v>19</v>
      </c>
      <c r="B24" s="652" t="s">
        <v>1173</v>
      </c>
      <c r="C24" s="652"/>
      <c r="D24" s="652"/>
      <c r="E24" s="652"/>
      <c r="F24" s="652"/>
      <c r="G24" s="652"/>
      <c r="H24" s="652"/>
      <c r="I24" s="652"/>
      <c r="J24" s="652"/>
      <c r="K24" s="652"/>
      <c r="L24" s="35"/>
      <c r="M24" s="30"/>
      <c r="N24" s="180"/>
      <c r="O24" s="180"/>
      <c r="P24" s="180"/>
    </row>
    <row r="25" spans="1:16">
      <c r="A25" s="156">
        <f t="shared" si="0"/>
        <v>20</v>
      </c>
      <c r="B25" s="146" t="s">
        <v>1174</v>
      </c>
      <c r="C25" s="192">
        <f>C8/C7</f>
        <v>0.94374565935883736</v>
      </c>
      <c r="D25" s="320" t="str">
        <f>"L"&amp;A8&amp;" / L"&amp;A7&amp;""</f>
        <v>L3 / L2</v>
      </c>
      <c r="E25" s="192">
        <f>E8/E7</f>
        <v>1.0291481535309392E-2</v>
      </c>
      <c r="F25" s="320" t="str">
        <f>"L"&amp;A8&amp;" / L"&amp;A7&amp;""</f>
        <v>L3 / L2</v>
      </c>
      <c r="G25" s="192">
        <f>G8/G7</f>
        <v>7.2261014152500705E-2</v>
      </c>
      <c r="H25" s="320" t="str">
        <f>"L"&amp;A8&amp;" / L"&amp;A7&amp;""</f>
        <v>L3 / L2</v>
      </c>
      <c r="I25" s="192">
        <f>I8/I7</f>
        <v>0</v>
      </c>
      <c r="J25" s="320" t="str">
        <f>"L"&amp;A8&amp;" / L"&amp;A7&amp;""</f>
        <v>L3 / L2</v>
      </c>
      <c r="K25" s="193"/>
      <c r="L25" s="35"/>
    </row>
    <row r="26" spans="1:16">
      <c r="A26" s="156">
        <f>A25+1</f>
        <v>21</v>
      </c>
      <c r="B26" s="146" t="s">
        <v>1175</v>
      </c>
      <c r="C26" s="192">
        <f>C9/C7</f>
        <v>1.0297642465084527E-2</v>
      </c>
      <c r="D26" s="320" t="str">
        <f>"L"&amp;A9&amp;" / L"&amp;A7&amp;""</f>
        <v>L4 / L2</v>
      </c>
      <c r="E26" s="192">
        <f>E9/E7</f>
        <v>0</v>
      </c>
      <c r="F26" s="320" t="str">
        <f>"L"&amp;A9&amp;" / L"&amp;A7&amp;""</f>
        <v>L4 / L2</v>
      </c>
      <c r="G26" s="192">
        <f>G9/G7</f>
        <v>0.92773898584749925</v>
      </c>
      <c r="H26" s="320" t="str">
        <f>"L"&amp;A9&amp;" / L"&amp;A7&amp;""</f>
        <v>L4 / L2</v>
      </c>
      <c r="I26" s="192">
        <f>I9/I7</f>
        <v>1</v>
      </c>
      <c r="J26" s="320" t="str">
        <f>"L"&amp;A9&amp;" / L"&amp;A7&amp;""</f>
        <v>L4 / L2</v>
      </c>
      <c r="K26" s="49"/>
      <c r="L26" s="35"/>
    </row>
    <row r="27" spans="1:16">
      <c r="A27" s="156">
        <f t="shared" si="0"/>
        <v>22</v>
      </c>
      <c r="B27" s="146" t="s">
        <v>1176</v>
      </c>
      <c r="C27" s="192">
        <f>(-'WS4-TransFac'!I513)/'WS4-TransFac'!F513</f>
        <v>3.5724929085999661E-2</v>
      </c>
      <c r="D27" s="320" t="s">
        <v>1158</v>
      </c>
      <c r="E27" s="192"/>
      <c r="F27" s="52"/>
      <c r="G27" s="192"/>
      <c r="H27" s="52"/>
      <c r="I27" s="192"/>
      <c r="J27" s="52"/>
      <c r="K27" s="49"/>
      <c r="L27" s="35"/>
    </row>
    <row r="28" spans="1:16">
      <c r="A28" s="156">
        <f>A27+1</f>
        <v>23</v>
      </c>
      <c r="B28" s="146" t="s">
        <v>1177</v>
      </c>
      <c r="C28" s="192">
        <f>C10/C7</f>
        <v>8.6200007128782695E-3</v>
      </c>
      <c r="D28" s="320" t="str">
        <f>"L"&amp;A10&amp;" / L"&amp;A7&amp;""</f>
        <v>L5 / L2</v>
      </c>
      <c r="E28" s="192"/>
      <c r="F28" s="52"/>
      <c r="G28" s="192"/>
      <c r="H28" s="52"/>
      <c r="I28" s="192"/>
      <c r="J28" s="52"/>
      <c r="K28" s="49"/>
      <c r="L28" s="35"/>
    </row>
    <row r="29" spans="1:16">
      <c r="A29" s="156">
        <f t="shared" si="0"/>
        <v>24</v>
      </c>
      <c r="B29" s="146" t="s">
        <v>1178</v>
      </c>
      <c r="C29" s="192">
        <f>C11/C7</f>
        <v>2.7055909237035328E-3</v>
      </c>
      <c r="D29" s="320" t="str">
        <f>"L"&amp;A11&amp;" / L"&amp;A7&amp;""</f>
        <v>L6 / L2</v>
      </c>
      <c r="E29" s="192"/>
      <c r="F29" s="52"/>
      <c r="G29" s="192"/>
      <c r="H29" s="52"/>
      <c r="I29" s="192"/>
      <c r="J29" s="52"/>
      <c r="K29" s="49"/>
      <c r="L29" s="35"/>
    </row>
    <row r="30" spans="1:16" s="34" customFormat="1" ht="13.5" thickBot="1">
      <c r="A30" s="156">
        <f>A29+1</f>
        <v>25</v>
      </c>
      <c r="B30" s="150" t="s">
        <v>1179</v>
      </c>
      <c r="C30" s="194">
        <f>SUM(C25:C29)</f>
        <v>1.0010938225465034</v>
      </c>
      <c r="D30" s="195"/>
      <c r="E30" s="194">
        <f>SUM(E25:E28)</f>
        <v>1.0291481535309392E-2</v>
      </c>
      <c r="F30" s="195"/>
      <c r="G30" s="194">
        <f>SUM(G25:G28)</f>
        <v>1</v>
      </c>
      <c r="H30" s="195"/>
      <c r="I30" s="194">
        <f>SUM(I25:I28)</f>
        <v>1</v>
      </c>
      <c r="J30" s="195"/>
      <c r="K30" s="144"/>
      <c r="L30" s="35"/>
      <c r="M30" s="30"/>
    </row>
    <row r="31" spans="1:16" s="34" customFormat="1" ht="13.5" thickTop="1">
      <c r="A31" s="156">
        <f t="shared" si="0"/>
        <v>26</v>
      </c>
      <c r="B31" s="60"/>
      <c r="C31" s="192"/>
      <c r="D31" s="52"/>
      <c r="E31" s="192"/>
      <c r="F31" s="52"/>
      <c r="G31" s="192"/>
      <c r="H31" s="52"/>
      <c r="I31" s="192"/>
      <c r="J31" s="52"/>
      <c r="K31" s="49"/>
      <c r="L31" s="35"/>
      <c r="M31" s="30"/>
    </row>
    <row r="32" spans="1:16" s="34" customFormat="1">
      <c r="A32" s="156">
        <f t="shared" si="0"/>
        <v>27</v>
      </c>
      <c r="B32" s="652" t="s">
        <v>1180</v>
      </c>
      <c r="C32" s="652"/>
      <c r="D32" s="652"/>
      <c r="E32" s="652"/>
      <c r="F32" s="652"/>
      <c r="G32" s="652"/>
      <c r="H32" s="652"/>
      <c r="I32" s="652"/>
      <c r="J32" s="652"/>
      <c r="K32" s="652"/>
      <c r="L32" s="35"/>
      <c r="M32" s="30"/>
    </row>
    <row r="33" spans="1:13" s="34" customFormat="1">
      <c r="A33" s="156">
        <f t="shared" si="0"/>
        <v>28</v>
      </c>
      <c r="B33" s="319" t="s">
        <v>1181</v>
      </c>
      <c r="C33" s="636">
        <f>C15/C7</f>
        <v>0.8354065560667201</v>
      </c>
      <c r="D33" s="320" t="str">
        <f>"L"&amp;A15&amp;" / L"&amp;A7&amp;""</f>
        <v>L10 / L2</v>
      </c>
      <c r="E33" s="197">
        <f>'WS4-TransFac'!L520/'WS3-CostData'!E7</f>
        <v>6.1273246283771168E-3</v>
      </c>
      <c r="F33" s="320" t="str">
        <f>"L"&amp;A15&amp;" / L"&amp;A7&amp;""</f>
        <v>L10 / L2</v>
      </c>
      <c r="G33" s="198">
        <f>G15/G7</f>
        <v>7.0363937766543844E-2</v>
      </c>
      <c r="H33" s="320" t="str">
        <f>"L"&amp;A15&amp;" / L"&amp;A7&amp;""</f>
        <v>L10 / L2</v>
      </c>
      <c r="I33" s="41"/>
      <c r="J33" s="41"/>
      <c r="K33" s="196"/>
      <c r="L33" s="35"/>
      <c r="M33" s="30"/>
    </row>
    <row r="34" spans="1:13" s="34" customFormat="1">
      <c r="A34" s="156">
        <f t="shared" si="0"/>
        <v>29</v>
      </c>
      <c r="B34" s="319" t="s">
        <v>1182</v>
      </c>
      <c r="C34" s="636">
        <f>C16/C7</f>
        <v>9.3865831003287173E-2</v>
      </c>
      <c r="D34" s="320" t="str">
        <f>"L"&amp;A16&amp;" / L"&amp;A7&amp;""</f>
        <v>L11 / L2</v>
      </c>
      <c r="E34" s="197">
        <f>'WS4-TransFac'!L524/'WS3-CostData'!E7</f>
        <v>4.1641569069322763E-3</v>
      </c>
      <c r="F34" s="320" t="str">
        <f>"L"&amp;A16&amp;" / L"&amp;A7&amp;""</f>
        <v>L11 / L2</v>
      </c>
      <c r="G34" s="198">
        <f>G16/G7</f>
        <v>1.8970763859568688E-3</v>
      </c>
      <c r="H34" s="320" t="str">
        <f>"L"&amp;A16&amp;" / L"&amp;A7&amp;""</f>
        <v>L11 / L2</v>
      </c>
      <c r="I34" s="41"/>
      <c r="J34" s="41"/>
      <c r="K34" s="196"/>
      <c r="L34" s="35"/>
      <c r="M34" s="30"/>
    </row>
    <row r="35" spans="1:13" s="34" customFormat="1">
      <c r="A35" s="156">
        <f t="shared" si="0"/>
        <v>30</v>
      </c>
      <c r="B35" s="319" t="s">
        <v>2438</v>
      </c>
      <c r="C35" s="636">
        <f>C17/C7</f>
        <v>8.6200007128782695E-3</v>
      </c>
      <c r="D35" s="320" t="str">
        <f>"L"&amp;A17&amp;" / L"&amp;A7&amp;""</f>
        <v>L12 / L2</v>
      </c>
      <c r="E35" s="197"/>
      <c r="F35" s="320"/>
      <c r="G35" s="198"/>
      <c r="H35" s="320"/>
      <c r="I35" s="41"/>
      <c r="J35" s="41"/>
      <c r="K35" s="196"/>
      <c r="L35" s="35"/>
      <c r="M35" s="30"/>
    </row>
    <row r="36" spans="1:13" s="34" customFormat="1">
      <c r="A36" s="156">
        <f t="shared" si="0"/>
        <v>31</v>
      </c>
      <c r="B36" s="319" t="s">
        <v>2439</v>
      </c>
      <c r="C36" s="636">
        <f>C18/C7</f>
        <v>6.1008476257939729E-15</v>
      </c>
      <c r="D36" s="320" t="str">
        <f>"L"&amp;A18&amp;" / L"&amp;A7&amp;""</f>
        <v>L13 / L2</v>
      </c>
      <c r="E36" s="197"/>
      <c r="F36" s="320"/>
      <c r="G36" s="198"/>
      <c r="H36" s="320"/>
      <c r="I36" s="41"/>
      <c r="J36" s="41"/>
      <c r="K36" s="196"/>
      <c r="L36" s="35"/>
      <c r="M36" s="30"/>
    </row>
    <row r="37" spans="1:13" s="34" customFormat="1">
      <c r="A37" s="156">
        <f t="shared" si="0"/>
        <v>32</v>
      </c>
      <c r="B37" s="319" t="s">
        <v>2440</v>
      </c>
      <c r="C37" s="636">
        <f>C19/C7</f>
        <v>2.7055909237035328E-3</v>
      </c>
      <c r="D37" s="320" t="str">
        <f>"L"&amp;A19&amp;" / L"&amp;A7&amp;""</f>
        <v>L14 / L2</v>
      </c>
      <c r="E37" s="197"/>
      <c r="F37" s="320"/>
      <c r="G37" s="198"/>
      <c r="H37" s="320"/>
      <c r="I37" s="41"/>
      <c r="J37" s="41"/>
      <c r="K37" s="196"/>
      <c r="L37" s="35"/>
      <c r="M37" s="30"/>
    </row>
    <row r="38" spans="1:13" s="34" customFormat="1">
      <c r="A38" s="156">
        <f t="shared" si="0"/>
        <v>33</v>
      </c>
      <c r="B38" s="319" t="s">
        <v>2441</v>
      </c>
      <c r="C38" s="636">
        <f>C20/C7</f>
        <v>6.1008476257939729E-15</v>
      </c>
      <c r="D38" s="320" t="str">
        <f>"L"&amp;A20&amp;" / L"&amp;A7&amp;""</f>
        <v>L15 / L2</v>
      </c>
      <c r="E38" s="197"/>
      <c r="F38" s="320"/>
      <c r="G38" s="198"/>
      <c r="H38" s="320"/>
      <c r="I38" s="41"/>
      <c r="J38" s="41"/>
      <c r="K38" s="196"/>
      <c r="L38" s="35"/>
      <c r="M38" s="30"/>
    </row>
    <row r="39" spans="1:13" s="34" customFormat="1">
      <c r="A39" s="156">
        <f t="shared" si="0"/>
        <v>34</v>
      </c>
      <c r="B39" s="146" t="s">
        <v>1183</v>
      </c>
      <c r="C39" s="192">
        <f>C21/C7</f>
        <v>1.1263801042407928E-2</v>
      </c>
      <c r="D39" s="320" t="str">
        <f>"L"&amp;A21&amp;" / L"&amp;A7&amp;""</f>
        <v>L16 / L2</v>
      </c>
      <c r="E39" s="192"/>
      <c r="F39" s="52"/>
      <c r="G39" s="192"/>
      <c r="H39" s="52"/>
      <c r="I39" s="192"/>
      <c r="J39" s="52"/>
      <c r="K39" s="193"/>
      <c r="L39" s="35"/>
      <c r="M39" s="30"/>
    </row>
    <row r="40" spans="1:13" s="34" customFormat="1">
      <c r="A40" s="156">
        <f t="shared" ref="A40:A41" si="3">A39+1</f>
        <v>35</v>
      </c>
      <c r="B40" s="146" t="s">
        <v>1184</v>
      </c>
      <c r="C40" s="192">
        <f>C22/C7</f>
        <v>1.4473272288829962E-2</v>
      </c>
      <c r="D40" s="320" t="str">
        <f>"L"&amp;A22&amp;" / L"&amp;A7&amp;""</f>
        <v>L17 / L2</v>
      </c>
      <c r="E40" s="192"/>
      <c r="F40" s="52"/>
      <c r="G40" s="192"/>
      <c r="H40" s="52"/>
      <c r="I40" s="192"/>
      <c r="J40" s="52"/>
      <c r="K40" s="49"/>
      <c r="L40" s="35"/>
      <c r="M40" s="30"/>
    </row>
    <row r="41" spans="1:13" s="34" customFormat="1" ht="13.5" thickBot="1">
      <c r="A41" s="156">
        <f t="shared" si="3"/>
        <v>36</v>
      </c>
      <c r="B41" s="150" t="s">
        <v>1185</v>
      </c>
      <c r="C41" s="194">
        <f>SUM(C33:C40)</f>
        <v>0.9663350520378392</v>
      </c>
      <c r="D41" s="195"/>
      <c r="E41" s="194">
        <f>SUM(E33:E40)</f>
        <v>1.0291481535309392E-2</v>
      </c>
      <c r="F41" s="195"/>
      <c r="G41" s="194">
        <f>SUM(G33:G40)</f>
        <v>7.2261014152500719E-2</v>
      </c>
      <c r="H41" s="195"/>
      <c r="I41" s="194">
        <f>SUM(I34:I40)</f>
        <v>0</v>
      </c>
      <c r="J41" s="195"/>
      <c r="K41" s="144"/>
      <c r="L41" s="35"/>
      <c r="M41" s="30"/>
    </row>
    <row r="42" spans="1:13" s="34" customFormat="1" ht="13.5" thickTop="1">
      <c r="A42" s="156">
        <f>A41+1</f>
        <v>37</v>
      </c>
      <c r="B42" s="60"/>
      <c r="C42" s="192"/>
      <c r="D42" s="52"/>
      <c r="E42" s="192"/>
      <c r="F42" s="52"/>
      <c r="G42" s="192"/>
      <c r="H42" s="52"/>
      <c r="I42" s="192"/>
      <c r="J42" s="52"/>
      <c r="K42" s="49"/>
      <c r="L42" s="35"/>
      <c r="M42" s="30"/>
    </row>
    <row r="43" spans="1:13">
      <c r="A43" s="156">
        <f t="shared" si="0"/>
        <v>38</v>
      </c>
      <c r="B43" s="149" t="s">
        <v>1186</v>
      </c>
      <c r="C43" s="55">
        <v>872080802</v>
      </c>
      <c r="D43" s="321" t="s">
        <v>1187</v>
      </c>
      <c r="E43" s="199">
        <f>480113689.05</f>
        <v>480113689.05000001</v>
      </c>
      <c r="F43" s="343" t="s">
        <v>1188</v>
      </c>
      <c r="G43" s="53">
        <v>733076138</v>
      </c>
      <c r="H43" s="321" t="s">
        <v>1189</v>
      </c>
      <c r="I43" s="55">
        <f>389460124.47</f>
        <v>389460124.47000003</v>
      </c>
      <c r="J43" s="321" t="s">
        <v>1161</v>
      </c>
      <c r="K43" s="53">
        <f>C43+E43+G43+I43</f>
        <v>2474730753.52</v>
      </c>
      <c r="L43" s="35"/>
    </row>
    <row r="44" spans="1:13">
      <c r="A44" s="156">
        <f t="shared" si="0"/>
        <v>39</v>
      </c>
      <c r="B44" s="146" t="s">
        <v>1190</v>
      </c>
      <c r="C44" s="49">
        <f>$C$43*C25</f>
        <v>823022471.49767375</v>
      </c>
      <c r="D44" s="320" t="str">
        <f>"L"&amp;A25&amp;" * L"&amp;A43&amp;""</f>
        <v>L20 * L38</v>
      </c>
      <c r="E44" s="49">
        <f>$E$43*E25</f>
        <v>4941081.1657073498</v>
      </c>
      <c r="F44" s="320" t="str">
        <f>"L"&amp;A25&amp;" * L"&amp;A43&amp;""</f>
        <v>L20 * L38</v>
      </c>
      <c r="G44" s="49">
        <f>$G$43*G25</f>
        <v>52972825.182878561</v>
      </c>
      <c r="H44" s="320" t="str">
        <f>"L"&amp;A25&amp;" * L"&amp;A43&amp;""</f>
        <v>L20 * L38</v>
      </c>
      <c r="I44" s="49">
        <f>$I$43*I25</f>
        <v>0</v>
      </c>
      <c r="J44" s="52"/>
      <c r="K44" s="49">
        <f>C44+E44+G44+I44</f>
        <v>880936377.84625971</v>
      </c>
      <c r="L44" s="35"/>
    </row>
    <row r="45" spans="1:13">
      <c r="A45" s="156">
        <f t="shared" si="0"/>
        <v>40</v>
      </c>
      <c r="B45" s="172" t="s">
        <v>2449</v>
      </c>
      <c r="C45" s="49">
        <f>$C$43*C35</f>
        <v>7517337.1349274525</v>
      </c>
      <c r="D45" s="320" t="str">
        <f>"L"&amp;A35&amp;" * L"&amp;A43&amp;""</f>
        <v>L30 * L38</v>
      </c>
      <c r="E45" s="49"/>
      <c r="F45" s="50"/>
      <c r="G45" s="190"/>
      <c r="H45" s="50"/>
      <c r="I45" s="49"/>
      <c r="J45" s="50"/>
      <c r="K45" s="49">
        <f t="shared" ref="K45:K48" si="4">C45+E45+G45+I45</f>
        <v>7517337.1349274525</v>
      </c>
      <c r="L45" s="35"/>
    </row>
    <row r="46" spans="1:13">
      <c r="A46" s="156">
        <f t="shared" si="0"/>
        <v>41</v>
      </c>
      <c r="B46" s="172" t="s">
        <v>2450</v>
      </c>
      <c r="C46" s="49">
        <f t="shared" ref="C46:C48" si="5">$C$43*C36</f>
        <v>5.3204320903822034E-6</v>
      </c>
      <c r="D46" s="320" t="str">
        <f>"L"&amp;A36&amp;" * L"&amp;A43&amp;""</f>
        <v>L31 * L38</v>
      </c>
      <c r="E46" s="49"/>
      <c r="F46" s="50"/>
      <c r="G46" s="190"/>
      <c r="H46" s="50"/>
      <c r="I46" s="49"/>
      <c r="J46" s="50"/>
      <c r="K46" s="49">
        <f t="shared" si="4"/>
        <v>5.3204320903822034E-6</v>
      </c>
      <c r="L46" s="35"/>
    </row>
    <row r="47" spans="1:13">
      <c r="A47" s="156">
        <f t="shared" si="0"/>
        <v>42</v>
      </c>
      <c r="B47" s="146" t="s">
        <v>2451</v>
      </c>
      <c r="C47" s="49">
        <f t="shared" si="5"/>
        <v>2359493.9026272977</v>
      </c>
      <c r="D47" s="320" t="str">
        <f>"L"&amp;A37&amp;" * L"&amp;A43&amp;""</f>
        <v>L32 * L38</v>
      </c>
      <c r="E47" s="49"/>
      <c r="F47" s="50"/>
      <c r="G47" s="190"/>
      <c r="H47" s="50"/>
      <c r="I47" s="49"/>
      <c r="J47" s="50"/>
      <c r="K47" s="49">
        <f t="shared" si="4"/>
        <v>2359493.9026272977</v>
      </c>
      <c r="L47" s="35"/>
    </row>
    <row r="48" spans="1:13">
      <c r="A48" s="156">
        <f t="shared" si="0"/>
        <v>43</v>
      </c>
      <c r="B48" s="146" t="s">
        <v>2452</v>
      </c>
      <c r="C48" s="49">
        <f t="shared" si="5"/>
        <v>5.3204320903822034E-6</v>
      </c>
      <c r="D48" s="320" t="str">
        <f>"L"&amp;A38&amp;" * L"&amp;A43&amp;""</f>
        <v>L33 * L38</v>
      </c>
      <c r="E48" s="49"/>
      <c r="F48" s="50"/>
      <c r="G48" s="190"/>
      <c r="H48" s="50"/>
      <c r="I48" s="49"/>
      <c r="J48" s="50"/>
      <c r="K48" s="49">
        <f t="shared" si="4"/>
        <v>5.3204320903822034E-6</v>
      </c>
      <c r="L48" s="35"/>
    </row>
    <row r="49" spans="1:13" ht="13.5" thickBot="1">
      <c r="A49" s="156">
        <f t="shared" si="0"/>
        <v>44</v>
      </c>
      <c r="B49" s="150" t="s">
        <v>1191</v>
      </c>
      <c r="C49" s="191">
        <f>SUM(C44:C47)</f>
        <v>832899302.53523397</v>
      </c>
      <c r="D49" s="341"/>
      <c r="E49" s="191">
        <f>SUM(E44:E47)</f>
        <v>4941081.1657073498</v>
      </c>
      <c r="F49" s="145"/>
      <c r="G49" s="191">
        <f>SUM(G44:G47)</f>
        <v>52972825.182878561</v>
      </c>
      <c r="H49" s="145"/>
      <c r="I49" s="191">
        <f>SUM(I44:I47)</f>
        <v>0</v>
      </c>
      <c r="J49" s="145"/>
      <c r="K49" s="191">
        <f>SUM(K44:K47)</f>
        <v>890813208.88381994</v>
      </c>
      <c r="L49" s="35"/>
    </row>
    <row r="50" spans="1:13" ht="13.5" thickTop="1">
      <c r="A50" s="156">
        <f>A49+1</f>
        <v>45</v>
      </c>
      <c r="B50" s="49"/>
      <c r="C50" s="190"/>
      <c r="D50" s="50"/>
      <c r="E50" s="49"/>
      <c r="F50" s="50"/>
      <c r="G50" s="190"/>
      <c r="H50" s="50"/>
      <c r="I50" s="190"/>
      <c r="J50" s="50"/>
      <c r="K50" s="49"/>
      <c r="L50" s="35"/>
    </row>
    <row r="51" spans="1:13">
      <c r="A51" s="156">
        <f t="shared" si="0"/>
        <v>46</v>
      </c>
      <c r="B51" s="149" t="s">
        <v>1192</v>
      </c>
      <c r="C51" s="55">
        <f>C43</f>
        <v>872080802</v>
      </c>
      <c r="D51" s="321" t="s">
        <v>1187</v>
      </c>
      <c r="E51" s="199">
        <f>E43</f>
        <v>480113689.05000001</v>
      </c>
      <c r="F51" s="343" t="s">
        <v>1188</v>
      </c>
      <c r="G51" s="53">
        <f>G43</f>
        <v>733076138</v>
      </c>
      <c r="H51" s="321" t="s">
        <v>1189</v>
      </c>
      <c r="I51" s="55">
        <f>I43</f>
        <v>389460124.47000003</v>
      </c>
      <c r="J51" s="321" t="s">
        <v>1161</v>
      </c>
      <c r="K51" s="53">
        <f t="shared" ref="K51" si="6">C51+E51+G51+I51</f>
        <v>2474730753.52</v>
      </c>
      <c r="L51" s="35"/>
    </row>
    <row r="52" spans="1:13">
      <c r="A52" s="156">
        <f t="shared" si="0"/>
        <v>47</v>
      </c>
      <c r="B52" s="146" t="s">
        <v>1193</v>
      </c>
      <c r="C52" s="49">
        <f>$C$43*C33</f>
        <v>728542019.41072321</v>
      </c>
      <c r="D52" s="320" t="str">
        <f>"L"&amp;A33&amp;" * L"&amp;A43&amp;""</f>
        <v>L28 * L38</v>
      </c>
      <c r="E52" s="49">
        <f>$E$51*E33</f>
        <v>2941812.4313370581</v>
      </c>
      <c r="F52" s="320" t="str">
        <f>"L"&amp;A33&amp;" * L"&amp;A43&amp;""</f>
        <v>L28 * L38</v>
      </c>
      <c r="G52" s="49">
        <f>$G$51*G33</f>
        <v>51582123.752370305</v>
      </c>
      <c r="H52" s="320" t="str">
        <f>"L"&amp;A33&amp;" * L"&amp;A43&amp;""</f>
        <v>L28 * L38</v>
      </c>
      <c r="I52" s="49">
        <f>$G$51*I33</f>
        <v>0</v>
      </c>
      <c r="J52" s="52"/>
      <c r="K52" s="49">
        <f>C52+E52+G52+I52</f>
        <v>783065955.59443057</v>
      </c>
      <c r="L52" s="35"/>
    </row>
    <row r="53" spans="1:13">
      <c r="A53" s="156">
        <f t="shared" si="0"/>
        <v>48</v>
      </c>
      <c r="B53" s="146" t="s">
        <v>1194</v>
      </c>
      <c r="C53" s="49">
        <f>$C$43*C34</f>
        <v>81858589.181743145</v>
      </c>
      <c r="D53" s="320" t="str">
        <f>"L"&amp;A34&amp;" * L"&amp;A43&amp;""</f>
        <v>L29 * L38</v>
      </c>
      <c r="E53" s="49">
        <f>$E$51*E34</f>
        <v>1999268.7343702926</v>
      </c>
      <c r="F53" s="320" t="str">
        <f>"L"&amp;A34&amp;" * L"&amp;A43&amp;""</f>
        <v>L29 * L38</v>
      </c>
      <c r="G53" s="49">
        <f>$G$51*G34</f>
        <v>1390701.4305082588</v>
      </c>
      <c r="H53" s="320" t="str">
        <f>"L"&amp;A34&amp;" * L"&amp;A43&amp;""</f>
        <v>L29 * L38</v>
      </c>
      <c r="I53" s="49">
        <f>$G$51*I34</f>
        <v>0</v>
      </c>
      <c r="J53" s="52"/>
      <c r="K53" s="49">
        <f>C53+E53+G53+I53</f>
        <v>85248559.346621692</v>
      </c>
      <c r="L53" s="35"/>
    </row>
    <row r="54" spans="1:13">
      <c r="A54" s="156">
        <f t="shared" si="0"/>
        <v>49</v>
      </c>
      <c r="B54" s="146" t="s">
        <v>1195</v>
      </c>
      <c r="C54" s="49">
        <f>$C$43*C39</f>
        <v>9822944.6466315426</v>
      </c>
      <c r="D54" s="320" t="str">
        <f>"L"&amp;A39&amp;" * L"&amp;A43&amp;""</f>
        <v>L34 * L38</v>
      </c>
      <c r="E54" s="49"/>
      <c r="F54" s="50"/>
      <c r="G54" s="190"/>
      <c r="H54" s="50"/>
      <c r="I54" s="49"/>
      <c r="J54" s="50"/>
      <c r="K54" s="49">
        <f>C54+E54+G54+I54</f>
        <v>9822944.6466315426</v>
      </c>
      <c r="L54" s="35"/>
    </row>
    <row r="55" spans="1:13">
      <c r="A55" s="156">
        <f t="shared" si="0"/>
        <v>50</v>
      </c>
      <c r="B55" s="146" t="s">
        <v>1196</v>
      </c>
      <c r="C55" s="49">
        <f>$C$43*C40</f>
        <v>12621862.905207209</v>
      </c>
      <c r="D55" s="320" t="str">
        <f>"L"&amp;A40&amp;" * L"&amp;A43&amp;""</f>
        <v>L35 * L38</v>
      </c>
      <c r="E55" s="49"/>
      <c r="F55" s="50"/>
      <c r="G55" s="190"/>
      <c r="H55" s="50"/>
      <c r="I55" s="49"/>
      <c r="J55" s="50"/>
      <c r="K55" s="49">
        <f>C55+E55+G55+I55</f>
        <v>12621862.905207209</v>
      </c>
      <c r="L55" s="35"/>
    </row>
    <row r="56" spans="1:13">
      <c r="A56" s="156">
        <f t="shared" si="0"/>
        <v>51</v>
      </c>
      <c r="B56" s="49"/>
      <c r="C56" s="190"/>
      <c r="D56" s="50"/>
      <c r="E56" s="49"/>
      <c r="F56" s="50"/>
      <c r="G56" s="190"/>
      <c r="H56" s="50"/>
      <c r="I56" s="190"/>
      <c r="J56" s="50"/>
      <c r="K56" s="49"/>
      <c r="L56" s="35"/>
    </row>
    <row r="57" spans="1:13">
      <c r="A57" s="156">
        <f t="shared" si="0"/>
        <v>52</v>
      </c>
      <c r="B57" s="149" t="s">
        <v>1197</v>
      </c>
      <c r="C57" s="53">
        <f>C7-C43</f>
        <v>767035696.78300095</v>
      </c>
      <c r="D57" s="320" t="str">
        <f>"L"&amp;A7&amp;" - L"&amp;A43&amp;""</f>
        <v>L2 - L38</v>
      </c>
      <c r="E57" s="53">
        <f>E8-E44</f>
        <v>4142904.7717926502</v>
      </c>
      <c r="F57" s="338" t="str">
        <f>"L"&amp;A8&amp;" - L"&amp;A44&amp;""</f>
        <v>L3 - L39</v>
      </c>
      <c r="G57" s="53">
        <f>G8-G44</f>
        <v>46229295.827121444</v>
      </c>
      <c r="H57" s="338" t="str">
        <f>"L"&amp;A8&amp;" - L"&amp;A44&amp;""</f>
        <v>L3 - L39</v>
      </c>
      <c r="I57" s="53">
        <f>I8-I44</f>
        <v>0</v>
      </c>
      <c r="J57" s="338" t="str">
        <f>"L"&amp;A8&amp;" - L"&amp;A44&amp;""</f>
        <v>L3 - L39</v>
      </c>
      <c r="K57" s="53">
        <f>C57+E57+G57+I57</f>
        <v>817407897.38191509</v>
      </c>
      <c r="L57" s="35"/>
    </row>
    <row r="58" spans="1:13">
      <c r="A58" s="156">
        <f>A57+1</f>
        <v>53</v>
      </c>
      <c r="B58" s="172" t="s">
        <v>2453</v>
      </c>
      <c r="C58" s="49">
        <f>C17-C45</f>
        <v>6611848.2530725477</v>
      </c>
      <c r="D58" s="342" t="str">
        <f>"L"&amp;A17&amp;" - L"&amp;A45&amp;""</f>
        <v>L12 - L40</v>
      </c>
      <c r="E58" s="49"/>
      <c r="F58" s="50"/>
      <c r="G58" s="190"/>
      <c r="H58" s="50"/>
      <c r="I58" s="49"/>
      <c r="J58" s="50"/>
      <c r="K58" s="49">
        <f t="shared" ref="K58:K61" si="7">C58+E58+G58+I58</f>
        <v>6611848.2530725477</v>
      </c>
      <c r="L58" s="35"/>
    </row>
    <row r="59" spans="1:13">
      <c r="A59" s="156">
        <f t="shared" ref="A59:A61" si="8">A58+1</f>
        <v>54</v>
      </c>
      <c r="B59" s="172" t="s">
        <v>2454</v>
      </c>
      <c r="C59" s="49">
        <f>C18-C46</f>
        <v>4.6795679096177975E-6</v>
      </c>
      <c r="D59" s="320" t="str">
        <f>"L"&amp;A18&amp;" - L"&amp;A46&amp;""</f>
        <v>L13 - L41</v>
      </c>
      <c r="E59" s="49"/>
      <c r="F59" s="50"/>
      <c r="G59" s="190"/>
      <c r="H59" s="50"/>
      <c r="I59" s="49"/>
      <c r="J59" s="50"/>
      <c r="K59" s="49">
        <f t="shared" si="7"/>
        <v>4.6795679096177975E-6</v>
      </c>
      <c r="L59" s="35"/>
    </row>
    <row r="60" spans="1:13">
      <c r="A60" s="156">
        <f t="shared" si="8"/>
        <v>55</v>
      </c>
      <c r="B60" s="172" t="s">
        <v>2455</v>
      </c>
      <c r="C60" s="49">
        <f>C19-C47</f>
        <v>2075284.8193727024</v>
      </c>
      <c r="D60" s="320" t="str">
        <f>"L"&amp;A19&amp;" - L"&amp;A47&amp;""</f>
        <v>L14 - L42</v>
      </c>
      <c r="E60" s="49"/>
      <c r="F60" s="50"/>
      <c r="G60" s="190"/>
      <c r="H60" s="50"/>
      <c r="I60" s="49"/>
      <c r="J60" s="50"/>
      <c r="K60" s="49">
        <f t="shared" si="7"/>
        <v>2075284.8193727024</v>
      </c>
      <c r="L60" s="35"/>
    </row>
    <row r="61" spans="1:13">
      <c r="A61" s="156">
        <f t="shared" si="8"/>
        <v>56</v>
      </c>
      <c r="B61" s="146" t="s">
        <v>2456</v>
      </c>
      <c r="C61" s="49">
        <f>C20-C48</f>
        <v>4.6795679096177975E-6</v>
      </c>
      <c r="D61" s="338" t="str">
        <f>"L"&amp;A20&amp;" - L"&amp;A48&amp;""</f>
        <v>L15 - L43</v>
      </c>
      <c r="E61" s="49"/>
      <c r="F61" s="50"/>
      <c r="G61" s="190"/>
      <c r="H61" s="50"/>
      <c r="I61" s="49"/>
      <c r="J61" s="50"/>
      <c r="K61" s="49">
        <f t="shared" si="7"/>
        <v>4.6795679096177975E-6</v>
      </c>
      <c r="L61" s="35"/>
    </row>
    <row r="62" spans="1:13" s="34" customFormat="1" ht="13.5" thickBot="1">
      <c r="A62" s="156">
        <f t="shared" si="0"/>
        <v>57</v>
      </c>
      <c r="B62" s="150" t="s">
        <v>1198</v>
      </c>
      <c r="C62" s="144">
        <f>SUM(C57:C61)</f>
        <v>775722829.8554554</v>
      </c>
      <c r="D62" s="268"/>
      <c r="E62" s="144">
        <f>SUM(E57:E61)</f>
        <v>4142904.7717926502</v>
      </c>
      <c r="F62" s="144"/>
      <c r="G62" s="144">
        <f>SUM(G57:G61)</f>
        <v>46229295.827121444</v>
      </c>
      <c r="H62" s="144"/>
      <c r="I62" s="144">
        <f>SUM(I58:I61)</f>
        <v>0</v>
      </c>
      <c r="J62" s="144"/>
      <c r="K62" s="144">
        <f>SUM(K57:K61)</f>
        <v>826095030.45436954</v>
      </c>
      <c r="L62" s="35"/>
      <c r="M62" s="30"/>
    </row>
    <row r="63" spans="1:13" s="34" customFormat="1" ht="13.5" thickTop="1">
      <c r="A63" s="156">
        <f t="shared" si="0"/>
        <v>58</v>
      </c>
      <c r="B63" s="60"/>
      <c r="C63" s="49"/>
      <c r="D63" s="49"/>
      <c r="E63" s="49"/>
      <c r="F63" s="49"/>
      <c r="G63" s="49"/>
      <c r="H63" s="49"/>
      <c r="I63" s="49"/>
      <c r="J63" s="49"/>
      <c r="K63" s="49"/>
      <c r="L63" s="35"/>
      <c r="M63" s="30"/>
    </row>
    <row r="64" spans="1:13" s="34" customFormat="1">
      <c r="A64" s="156">
        <f t="shared" si="0"/>
        <v>59</v>
      </c>
      <c r="B64" s="149" t="s">
        <v>1199</v>
      </c>
      <c r="C64" s="55"/>
      <c r="D64" s="54"/>
      <c r="E64" s="199"/>
      <c r="F64" s="200"/>
      <c r="G64" s="53"/>
      <c r="H64" s="54"/>
      <c r="I64" s="55"/>
      <c r="J64" s="54"/>
      <c r="K64" s="53"/>
      <c r="L64" s="35"/>
      <c r="M64" s="30"/>
    </row>
    <row r="65" spans="1:13" s="34" customFormat="1">
      <c r="A65" s="156">
        <f t="shared" si="0"/>
        <v>60</v>
      </c>
      <c r="B65" s="146" t="s">
        <v>1200</v>
      </c>
      <c r="C65" s="146">
        <f>C15-C52</f>
        <v>640786649.82972383</v>
      </c>
      <c r="D65" s="342" t="str">
        <f>"L"&amp;A15&amp;" - L"&amp;A52&amp;""</f>
        <v>L10 - L47</v>
      </c>
      <c r="E65" s="146">
        <f>E15-E52</f>
        <v>2466595.5386629407</v>
      </c>
      <c r="F65" s="342" t="str">
        <f>"L"&amp;A15&amp;" - L"&amp;A52&amp;""</f>
        <v>L10 - L47</v>
      </c>
      <c r="G65" s="146">
        <f>G15-G52</f>
        <v>45015633.017629705</v>
      </c>
      <c r="H65" s="342" t="str">
        <f>"L"&amp;A15&amp;" - L"&amp;A52&amp;""</f>
        <v>L10 - L47</v>
      </c>
      <c r="I65" s="146"/>
      <c r="J65" s="147"/>
      <c r="K65" s="146">
        <f>C65+E65+G65+I65</f>
        <v>688268878.38601649</v>
      </c>
      <c r="L65" s="35"/>
      <c r="M65" s="30"/>
    </row>
    <row r="66" spans="1:13" s="34" customFormat="1">
      <c r="A66" s="156">
        <f t="shared" si="0"/>
        <v>61</v>
      </c>
      <c r="B66" s="146" t="s">
        <v>1201</v>
      </c>
      <c r="C66" s="146">
        <f>C16-C53</f>
        <v>71998443.087721795</v>
      </c>
      <c r="D66" s="320" t="str">
        <f>"L"&amp;A16&amp;" - L"&amp;A53&amp;""</f>
        <v>L11 - L48</v>
      </c>
      <c r="E66" s="146">
        <f>E16-E53</f>
        <v>1676309.2331297086</v>
      </c>
      <c r="F66" s="320" t="str">
        <f>"L"&amp;A16&amp;" - L"&amp;A53&amp;""</f>
        <v>L11 - L48</v>
      </c>
      <c r="G66" s="146">
        <f>G16-G53</f>
        <v>1213662.8094917415</v>
      </c>
      <c r="H66" s="320" t="str">
        <f>"L"&amp;A16&amp;" - L"&amp;A53&amp;""</f>
        <v>L11 - L48</v>
      </c>
      <c r="I66" s="146"/>
      <c r="J66" s="147"/>
      <c r="K66" s="146">
        <f>C66+E66+G66+I66</f>
        <v>74888415.130343243</v>
      </c>
      <c r="L66" s="35"/>
      <c r="M66" s="30"/>
    </row>
    <row r="67" spans="1:13" s="34" customFormat="1">
      <c r="A67" s="156">
        <f t="shared" si="0"/>
        <v>62</v>
      </c>
      <c r="B67" s="146" t="s">
        <v>1202</v>
      </c>
      <c r="C67" s="146">
        <f>C21-C54</f>
        <v>8639737.4809884578</v>
      </c>
      <c r="D67" s="320" t="str">
        <f>"L"&amp;A21&amp;" - L"&amp;A54&amp;""</f>
        <v>L16 - L49</v>
      </c>
      <c r="E67" s="146"/>
      <c r="F67" s="147"/>
      <c r="G67" s="148"/>
      <c r="H67" s="147"/>
      <c r="I67" s="146"/>
      <c r="J67" s="147"/>
      <c r="K67" s="146">
        <f>C67+E67+G67+I67</f>
        <v>8639737.4809884578</v>
      </c>
      <c r="L67" s="35"/>
      <c r="M67" s="30"/>
    </row>
    <row r="68" spans="1:13" s="34" customFormat="1">
      <c r="A68" s="156">
        <f t="shared" si="0"/>
        <v>63</v>
      </c>
      <c r="B68" s="146" t="s">
        <v>1203</v>
      </c>
      <c r="C68" s="146">
        <f>C22-C55</f>
        <v>11101516.494792789</v>
      </c>
      <c r="D68" s="320" t="str">
        <f>"L"&amp;A22&amp;" - L"&amp;A55&amp;""</f>
        <v>L17 - L50</v>
      </c>
      <c r="E68" s="146"/>
      <c r="F68" s="147"/>
      <c r="G68" s="148"/>
      <c r="H68" s="147"/>
      <c r="I68" s="146"/>
      <c r="J68" s="147"/>
      <c r="K68" s="146">
        <f>C68+E68+G68+I68</f>
        <v>11101516.494792789</v>
      </c>
      <c r="L68" s="35"/>
      <c r="M68" s="30"/>
    </row>
    <row r="69" spans="1:13" s="34" customFormat="1">
      <c r="A69" s="156">
        <f>A68+1</f>
        <v>64</v>
      </c>
      <c r="B69" s="146"/>
      <c r="C69" s="148"/>
      <c r="D69" s="147"/>
      <c r="E69" s="146"/>
      <c r="F69" s="147"/>
      <c r="G69" s="148"/>
      <c r="H69" s="147"/>
      <c r="I69" s="148"/>
      <c r="J69" s="147"/>
      <c r="K69" s="146"/>
      <c r="L69" s="35"/>
      <c r="M69" s="30"/>
    </row>
    <row r="70" spans="1:13">
      <c r="A70" s="156">
        <f t="shared" si="0"/>
        <v>65</v>
      </c>
      <c r="B70" s="149" t="s">
        <v>1204</v>
      </c>
      <c r="C70" s="53">
        <v>32739826</v>
      </c>
      <c r="D70" s="321" t="s">
        <v>1187</v>
      </c>
      <c r="E70" s="57">
        <f>22075111.17</f>
        <v>22075111.170000002</v>
      </c>
      <c r="F70" s="325" t="s">
        <v>1188</v>
      </c>
      <c r="G70" s="55">
        <v>18775050</v>
      </c>
      <c r="H70" s="325" t="s">
        <v>1205</v>
      </c>
      <c r="I70" s="57">
        <f>5793142.64</f>
        <v>5793142.6399999997</v>
      </c>
      <c r="J70" s="325" t="s">
        <v>1161</v>
      </c>
      <c r="K70" s="53">
        <f>C70+E70+G70+I70</f>
        <v>79383129.810000002</v>
      </c>
      <c r="L70" s="49"/>
    </row>
    <row r="71" spans="1:13">
      <c r="A71" s="156">
        <f t="shared" si="0"/>
        <v>66</v>
      </c>
      <c r="B71" s="146" t="s">
        <v>1206</v>
      </c>
      <c r="C71" s="49">
        <f>$C$70*C25</f>
        <v>30898068.675663605</v>
      </c>
      <c r="D71" s="320" t="str">
        <f>"L"&amp;A25&amp;" * L"&amp;A70&amp;""</f>
        <v>L20 * L65</v>
      </c>
      <c r="E71" s="49">
        <f>E70*E25</f>
        <v>227185.59899595715</v>
      </c>
      <c r="F71" s="320" t="str">
        <f>"L"&amp;A25&amp;" * L"&amp;A70&amp;""</f>
        <v>L20 * L65</v>
      </c>
      <c r="G71" s="39">
        <f>G70*G25</f>
        <v>1356704.1537639084</v>
      </c>
      <c r="H71" s="320" t="str">
        <f>"L"&amp;A25&amp;" * L"&amp;A70&amp;""</f>
        <v>L20 * L65</v>
      </c>
      <c r="I71" s="49">
        <f>I70*I25</f>
        <v>0</v>
      </c>
      <c r="J71" s="50"/>
      <c r="K71" s="49">
        <f>C71+E71+G71+I71</f>
        <v>32481958.428423472</v>
      </c>
      <c r="L71" s="49"/>
    </row>
    <row r="72" spans="1:13">
      <c r="A72" s="156">
        <f t="shared" si="0"/>
        <v>67</v>
      </c>
      <c r="B72" s="172" t="s">
        <v>2457</v>
      </c>
      <c r="C72" s="49">
        <f>$C$70*C35</f>
        <v>282217.32345951052</v>
      </c>
      <c r="D72" s="320" t="str">
        <f>"L"&amp;A35&amp;" * L"&amp;A70&amp;""</f>
        <v>L30 * L65</v>
      </c>
      <c r="E72" s="49"/>
      <c r="F72" s="50"/>
      <c r="G72" s="190"/>
      <c r="H72" s="50"/>
      <c r="I72" s="49"/>
      <c r="J72" s="50"/>
      <c r="K72" s="49">
        <f>C72+E72+G72+I72</f>
        <v>282217.32345951052</v>
      </c>
      <c r="L72" s="49"/>
    </row>
    <row r="73" spans="1:13">
      <c r="A73" s="156">
        <f t="shared" si="0"/>
        <v>68</v>
      </c>
      <c r="B73" s="172" t="s">
        <v>2458</v>
      </c>
      <c r="C73" s="49">
        <f t="shared" ref="C73:C75" si="9">$C$70*C36</f>
        <v>1.9974068972100778E-7</v>
      </c>
      <c r="D73" s="320" t="str">
        <f>"L"&amp;A36&amp;" * L"&amp;A70&amp;""</f>
        <v>L31 * L65</v>
      </c>
      <c r="E73" s="49"/>
      <c r="F73" s="50"/>
      <c r="G73" s="190"/>
      <c r="H73" s="50"/>
      <c r="I73" s="49"/>
      <c r="J73" s="50"/>
      <c r="K73" s="49">
        <f t="shared" ref="K73:K75" si="10">C73+E73+G73+I73</f>
        <v>1.9974068972100778E-7</v>
      </c>
      <c r="L73" s="49"/>
    </row>
    <row r="74" spans="1:13">
      <c r="A74" s="156">
        <f t="shared" si="0"/>
        <v>69</v>
      </c>
      <c r="B74" s="146" t="s">
        <v>2459</v>
      </c>
      <c r="C74" s="49">
        <f t="shared" si="9"/>
        <v>88580.576069232935</v>
      </c>
      <c r="D74" s="320" t="str">
        <f>"L"&amp;A37&amp;" * L"&amp;A70&amp;""</f>
        <v>L32 * L65</v>
      </c>
      <c r="E74" s="49"/>
      <c r="F74" s="50"/>
      <c r="G74" s="190"/>
      <c r="H74" s="50"/>
      <c r="I74" s="49"/>
      <c r="J74" s="50"/>
      <c r="K74" s="49">
        <f t="shared" si="10"/>
        <v>88580.576069232935</v>
      </c>
      <c r="L74" s="49"/>
    </row>
    <row r="75" spans="1:13">
      <c r="A75" s="156">
        <f t="shared" si="0"/>
        <v>70</v>
      </c>
      <c r="B75" s="146" t="s">
        <v>2460</v>
      </c>
      <c r="C75" s="49">
        <f t="shared" si="9"/>
        <v>1.9974068972100778E-7</v>
      </c>
      <c r="D75" s="320" t="str">
        <f>"L"&amp;A38&amp;" * L"&amp;A70&amp;""</f>
        <v>L33 * L65</v>
      </c>
      <c r="E75" s="49"/>
      <c r="F75" s="50"/>
      <c r="G75" s="190"/>
      <c r="H75" s="50"/>
      <c r="I75" s="49"/>
      <c r="J75" s="50"/>
      <c r="K75" s="49">
        <f t="shared" si="10"/>
        <v>1.9974068972100778E-7</v>
      </c>
      <c r="L75" s="49"/>
    </row>
    <row r="76" spans="1:13" s="34" customFormat="1" ht="13.5" thickBot="1">
      <c r="A76" s="156">
        <f t="shared" si="0"/>
        <v>71</v>
      </c>
      <c r="B76" s="150" t="s">
        <v>1207</v>
      </c>
      <c r="C76" s="144">
        <f>SUM(C71:C75)</f>
        <v>31268866.57519275</v>
      </c>
      <c r="D76" s="145"/>
      <c r="E76" s="144">
        <f>SUM(E71:E75)</f>
        <v>227185.59899595715</v>
      </c>
      <c r="F76" s="145"/>
      <c r="G76" s="144">
        <f>SUM(G71:G75)</f>
        <v>1356704.1537639084</v>
      </c>
      <c r="H76" s="145"/>
      <c r="I76" s="144">
        <f>SUM(I71:I75)</f>
        <v>0</v>
      </c>
      <c r="J76" s="145"/>
      <c r="K76" s="144">
        <f>SUM(K71:K75)</f>
        <v>32852756.327952616</v>
      </c>
      <c r="L76" s="49"/>
      <c r="M76" s="30"/>
    </row>
    <row r="77" spans="1:13" s="34" customFormat="1" ht="13.5" thickTop="1">
      <c r="A77" s="156">
        <f t="shared" ref="A77:A119" si="11">A76+1</f>
        <v>72</v>
      </c>
      <c r="B77" s="60"/>
      <c r="C77" s="49"/>
      <c r="D77" s="50"/>
      <c r="E77" s="49"/>
      <c r="F77" s="50"/>
      <c r="G77" s="49"/>
      <c r="H77" s="50"/>
      <c r="I77" s="49"/>
      <c r="J77" s="50"/>
      <c r="K77" s="49"/>
      <c r="L77" s="49"/>
      <c r="M77" s="30"/>
    </row>
    <row r="78" spans="1:13" s="34" customFormat="1">
      <c r="A78" s="156">
        <f t="shared" si="11"/>
        <v>73</v>
      </c>
      <c r="B78" s="149" t="s">
        <v>1208</v>
      </c>
      <c r="C78" s="53">
        <f>C70</f>
        <v>32739826</v>
      </c>
      <c r="D78" s="321" t="s">
        <v>1187</v>
      </c>
      <c r="E78" s="57">
        <f>E70</f>
        <v>22075111.170000002</v>
      </c>
      <c r="F78" s="325" t="s">
        <v>1188</v>
      </c>
      <c r="G78" s="55">
        <f>G70</f>
        <v>18775050</v>
      </c>
      <c r="H78" s="325" t="s">
        <v>1189</v>
      </c>
      <c r="I78" s="57">
        <f>I70</f>
        <v>5793142.6399999997</v>
      </c>
      <c r="J78" s="325" t="s">
        <v>1161</v>
      </c>
      <c r="K78" s="53">
        <f>C78+E78+G78+I78</f>
        <v>79383129.810000002</v>
      </c>
      <c r="L78" s="35"/>
      <c r="M78" s="30"/>
    </row>
    <row r="79" spans="1:13" s="34" customFormat="1">
      <c r="A79" s="156">
        <f t="shared" si="11"/>
        <v>74</v>
      </c>
      <c r="B79" s="146" t="s">
        <v>1209</v>
      </c>
      <c r="C79" s="146">
        <f>$C$78*C33</f>
        <v>27351065.284883659</v>
      </c>
      <c r="D79" s="320" t="str">
        <f>"L"&amp;A33&amp;" * L"&amp;A78&amp;""</f>
        <v>L28 * L73</v>
      </c>
      <c r="E79" s="146">
        <f>$E$78*E33</f>
        <v>135261.3723461038</v>
      </c>
      <c r="F79" s="320" t="str">
        <f>"L"&amp;A33&amp;" * L"&amp;A78&amp;""</f>
        <v>L28 * L73</v>
      </c>
      <c r="G79" s="146">
        <f>$G$78*G33</f>
        <v>1321086.449763749</v>
      </c>
      <c r="H79" s="320" t="str">
        <f>"L"&amp;A33&amp;" * L"&amp;A78&amp;""</f>
        <v>L28 * L73</v>
      </c>
      <c r="I79" s="146"/>
      <c r="J79" s="147"/>
      <c r="K79" s="146">
        <f>C79+E79+G79+I79</f>
        <v>28807413.106993511</v>
      </c>
      <c r="L79" s="35"/>
      <c r="M79" s="30"/>
    </row>
    <row r="80" spans="1:13" s="34" customFormat="1">
      <c r="A80" s="156">
        <f t="shared" si="11"/>
        <v>75</v>
      </c>
      <c r="B80" s="146" t="s">
        <v>1210</v>
      </c>
      <c r="C80" s="146">
        <f>$C$78*C34</f>
        <v>3073150.9743930274</v>
      </c>
      <c r="D80" s="320" t="str">
        <f>"L"&amp;A34&amp;" * L"&amp;A78&amp;""</f>
        <v>L29 * L73</v>
      </c>
      <c r="E80" s="146">
        <f>$E$78*E34</f>
        <v>91924.226649853343</v>
      </c>
      <c r="F80" s="320" t="str">
        <f>"L"&amp;A34&amp;" * L"&amp;A78&amp;""</f>
        <v>L29 * L73</v>
      </c>
      <c r="G80" s="146">
        <f>$G$78*G34</f>
        <v>35617.704000159509</v>
      </c>
      <c r="H80" s="320" t="str">
        <f>"L"&amp;A34&amp;" * L"&amp;A78&amp;""</f>
        <v>L29 * L73</v>
      </c>
      <c r="I80" s="146"/>
      <c r="J80" s="147"/>
      <c r="K80" s="146">
        <f>C80+E80+G80+I80</f>
        <v>3200692.9050430404</v>
      </c>
      <c r="L80" s="35"/>
      <c r="M80" s="30"/>
    </row>
    <row r="81" spans="1:13" s="34" customFormat="1">
      <c r="A81" s="156">
        <f t="shared" si="11"/>
        <v>76</v>
      </c>
      <c r="B81" s="146" t="s">
        <v>1211</v>
      </c>
      <c r="C81" s="146">
        <f>$C$78*C39</f>
        <v>368774.88622705417</v>
      </c>
      <c r="D81" s="320" t="str">
        <f>"L"&amp;A39&amp;" * L"&amp;A78&amp;""</f>
        <v>L34 * L73</v>
      </c>
      <c r="E81" s="146"/>
      <c r="F81" s="147"/>
      <c r="G81" s="148"/>
      <c r="H81" s="147"/>
      <c r="I81" s="146"/>
      <c r="J81" s="147"/>
      <c r="K81" s="146">
        <f>C81+E81+G81+I81</f>
        <v>368774.88622705417</v>
      </c>
      <c r="L81" s="35"/>
      <c r="M81" s="30"/>
    </row>
    <row r="82" spans="1:13" s="34" customFormat="1">
      <c r="A82" s="156">
        <f t="shared" si="11"/>
        <v>77</v>
      </c>
      <c r="B82" s="146" t="s">
        <v>1212</v>
      </c>
      <c r="C82" s="146">
        <f>$C$78*C40</f>
        <v>473852.41638691473</v>
      </c>
      <c r="D82" s="320" t="str">
        <f>"L"&amp;A40&amp;" * L"&amp;A78&amp;""</f>
        <v>L35 * L73</v>
      </c>
      <c r="E82" s="146"/>
      <c r="F82" s="147"/>
      <c r="G82" s="148"/>
      <c r="H82" s="147"/>
      <c r="I82" s="146"/>
      <c r="J82" s="147"/>
      <c r="K82" s="146">
        <f>C82+E82+G82+I82</f>
        <v>473852.41638691473</v>
      </c>
      <c r="L82" s="35"/>
      <c r="M82" s="30"/>
    </row>
    <row r="83" spans="1:13" s="34" customFormat="1">
      <c r="A83" s="156">
        <f t="shared" si="11"/>
        <v>78</v>
      </c>
      <c r="B83" s="146"/>
      <c r="C83" s="148"/>
      <c r="D83" s="147"/>
      <c r="E83" s="146"/>
      <c r="F83" s="147"/>
      <c r="G83" s="148"/>
      <c r="H83" s="147"/>
      <c r="I83" s="148"/>
      <c r="J83" s="147"/>
      <c r="K83" s="146"/>
      <c r="L83" s="35"/>
      <c r="M83" s="30"/>
    </row>
    <row r="84" spans="1:13">
      <c r="A84" s="156">
        <f t="shared" si="11"/>
        <v>79</v>
      </c>
      <c r="B84" s="47" t="s">
        <v>66</v>
      </c>
      <c r="C84" s="48"/>
      <c r="D84" s="48"/>
      <c r="E84" s="48"/>
      <c r="F84" s="48"/>
      <c r="G84" s="48"/>
      <c r="H84" s="48"/>
      <c r="I84" s="48"/>
      <c r="J84" s="48"/>
      <c r="K84" s="48"/>
      <c r="L84" s="49"/>
    </row>
    <row r="85" spans="1:13">
      <c r="A85" s="156">
        <f t="shared" si="11"/>
        <v>80</v>
      </c>
      <c r="B85" s="60" t="s">
        <v>1213</v>
      </c>
      <c r="C85" s="49"/>
      <c r="D85" s="49"/>
      <c r="E85" s="49"/>
      <c r="F85" s="49"/>
      <c r="G85" s="49"/>
      <c r="H85" s="49"/>
      <c r="I85" s="49"/>
      <c r="J85" s="49"/>
      <c r="K85" s="49"/>
      <c r="L85" s="49"/>
    </row>
    <row r="86" spans="1:13" ht="13.5" thickBot="1">
      <c r="A86" s="156">
        <f t="shared" si="11"/>
        <v>81</v>
      </c>
      <c r="B86" s="144" t="s">
        <v>1214</v>
      </c>
      <c r="C86" s="144">
        <f>312049366+60467644+402189541+137905205</f>
        <v>912611756</v>
      </c>
      <c r="D86" s="341" t="s">
        <v>1215</v>
      </c>
      <c r="E86" s="144">
        <f>185095547+7307496+178225154+6090586</f>
        <v>376718783</v>
      </c>
      <c r="F86" s="341" t="s">
        <v>1215</v>
      </c>
      <c r="G86" s="144">
        <f>535999618+175504079</f>
        <v>711503697</v>
      </c>
      <c r="H86" s="341" t="s">
        <v>1215</v>
      </c>
      <c r="I86" s="144">
        <f>162814312+66531008</f>
        <v>229345320</v>
      </c>
      <c r="J86" s="341" t="s">
        <v>1215</v>
      </c>
      <c r="K86" s="144">
        <f>SUM(C86:I86)</f>
        <v>2230179556</v>
      </c>
      <c r="L86" s="49"/>
    </row>
    <row r="87" spans="1:13" ht="13.5" thickTop="1">
      <c r="A87" s="156">
        <f t="shared" si="11"/>
        <v>82</v>
      </c>
      <c r="B87" s="146" t="s">
        <v>1216</v>
      </c>
      <c r="C87" s="146">
        <f>$C$86*C25</f>
        <v>861273383.40484643</v>
      </c>
      <c r="D87" s="320" t="str">
        <f>"L"&amp;A25&amp;" * L"&amp;A86&amp;""</f>
        <v>L20 * L81</v>
      </c>
      <c r="E87" s="146">
        <f>$E$86*E25</f>
        <v>3876994.3992487257</v>
      </c>
      <c r="F87" s="320" t="str">
        <f>"L"&amp;A25&amp;" * L"&amp;A86&amp;""</f>
        <v>L20 * L81</v>
      </c>
      <c r="G87" s="171">
        <f>$G$86*G25</f>
        <v>51413978.718473576</v>
      </c>
      <c r="H87" s="320" t="str">
        <f>"L"&amp;A25&amp;" * L"&amp;A86&amp;""</f>
        <v>L20 * L81</v>
      </c>
      <c r="I87" s="146">
        <f>$I$86*I25</f>
        <v>0</v>
      </c>
      <c r="J87" s="147"/>
      <c r="K87" s="146">
        <f>C87+E87+G87+I87</f>
        <v>916564356.5225687</v>
      </c>
      <c r="L87" s="49"/>
    </row>
    <row r="88" spans="1:13">
      <c r="A88" s="156">
        <f t="shared" si="11"/>
        <v>83</v>
      </c>
      <c r="B88" s="172" t="s">
        <v>2461</v>
      </c>
      <c r="C88" s="146">
        <f>$C$86*C35</f>
        <v>7866713.9873010898</v>
      </c>
      <c r="D88" s="320" t="str">
        <f>"L"&amp;A35&amp;" * L"&amp;A86&amp;""</f>
        <v>L30 * L81</v>
      </c>
      <c r="E88" s="146"/>
      <c r="F88" s="147"/>
      <c r="G88" s="148"/>
      <c r="H88" s="147"/>
      <c r="I88" s="146"/>
      <c r="J88" s="147"/>
      <c r="K88" s="146">
        <f>C88+E88+G88+I88</f>
        <v>7866713.9873010898</v>
      </c>
      <c r="L88" s="49"/>
    </row>
    <row r="89" spans="1:13">
      <c r="A89" s="156">
        <f t="shared" si="11"/>
        <v>84</v>
      </c>
      <c r="B89" s="172" t="s">
        <v>2462</v>
      </c>
      <c r="C89" s="146">
        <f t="shared" ref="C89:C91" si="12">$C$86*C36</f>
        <v>5.5677052648642689E-6</v>
      </c>
      <c r="D89" s="320" t="str">
        <f>"L"&amp;A36&amp;" * L"&amp;A86&amp;""</f>
        <v>L31 * L81</v>
      </c>
      <c r="E89" s="146"/>
      <c r="F89" s="147"/>
      <c r="G89" s="148"/>
      <c r="H89" s="147"/>
      <c r="I89" s="146"/>
      <c r="J89" s="147"/>
      <c r="K89" s="146">
        <f t="shared" ref="K89:K91" si="13">C89+E89+G89+I89</f>
        <v>5.5677052648642689E-6</v>
      </c>
      <c r="L89" s="49"/>
    </row>
    <row r="90" spans="1:13">
      <c r="A90" s="156">
        <f t="shared" si="11"/>
        <v>85</v>
      </c>
      <c r="B90" s="172" t="s">
        <v>2463</v>
      </c>
      <c r="C90" s="146">
        <f t="shared" si="12"/>
        <v>2469154.0838987431</v>
      </c>
      <c r="D90" s="320" t="str">
        <f>"L"&amp;A37&amp;" * L"&amp;A86&amp;""</f>
        <v>L32 * L81</v>
      </c>
      <c r="E90" s="146"/>
      <c r="F90" s="147"/>
      <c r="G90" s="148"/>
      <c r="H90" s="147"/>
      <c r="I90" s="146"/>
      <c r="J90" s="147"/>
      <c r="K90" s="146">
        <f t="shared" si="13"/>
        <v>2469154.0838987431</v>
      </c>
      <c r="L90" s="49"/>
    </row>
    <row r="91" spans="1:13">
      <c r="A91" s="156">
        <f t="shared" si="11"/>
        <v>86</v>
      </c>
      <c r="B91" s="146" t="s">
        <v>2464</v>
      </c>
      <c r="C91" s="146">
        <f t="shared" si="12"/>
        <v>5.5677052648642689E-6</v>
      </c>
      <c r="D91" s="320" t="str">
        <f>"L"&amp;A38&amp;" * L"&amp;A86&amp;""</f>
        <v>L33 * L81</v>
      </c>
      <c r="E91" s="146"/>
      <c r="F91" s="147"/>
      <c r="G91" s="148"/>
      <c r="H91" s="147"/>
      <c r="I91" s="146"/>
      <c r="J91" s="147"/>
      <c r="K91" s="146">
        <f t="shared" si="13"/>
        <v>5.5677052648642689E-6</v>
      </c>
      <c r="L91" s="49"/>
    </row>
    <row r="92" spans="1:13" s="34" customFormat="1" ht="13.5" thickBot="1">
      <c r="A92" s="156">
        <f t="shared" si="11"/>
        <v>87</v>
      </c>
      <c r="B92" s="150" t="s">
        <v>1217</v>
      </c>
      <c r="C92" s="144">
        <f>SUM(C87:C91)</f>
        <v>871609251.47605753</v>
      </c>
      <c r="D92" s="145"/>
      <c r="E92" s="144">
        <f>SUM(E87:E91)</f>
        <v>3876994.3992487257</v>
      </c>
      <c r="F92" s="145"/>
      <c r="G92" s="144">
        <f>SUM(G87:G91)</f>
        <v>51413978.718473576</v>
      </c>
      <c r="H92" s="145"/>
      <c r="I92" s="144">
        <f>SUM(I87:I91)</f>
        <v>0</v>
      </c>
      <c r="J92" s="145"/>
      <c r="K92" s="144">
        <f>SUM(K87:K91)</f>
        <v>926900224.5937798</v>
      </c>
      <c r="L92" s="49"/>
      <c r="M92" s="30"/>
    </row>
    <row r="93" spans="1:13" s="34" customFormat="1" ht="13.5" thickTop="1">
      <c r="A93" s="156">
        <f t="shared" si="11"/>
        <v>88</v>
      </c>
      <c r="B93" s="149" t="s">
        <v>1218</v>
      </c>
      <c r="C93" s="53"/>
      <c r="D93" s="54"/>
      <c r="E93" s="57"/>
      <c r="F93" s="58"/>
      <c r="G93" s="55"/>
      <c r="H93" s="58"/>
      <c r="I93" s="57"/>
      <c r="J93" s="58"/>
      <c r="K93" s="53"/>
      <c r="L93" s="35"/>
      <c r="M93" s="30"/>
    </row>
    <row r="94" spans="1:13" s="34" customFormat="1">
      <c r="A94" s="156">
        <f t="shared" si="11"/>
        <v>89</v>
      </c>
      <c r="B94" s="146" t="s">
        <v>1219</v>
      </c>
      <c r="C94" s="146">
        <f>$C$86*C33</f>
        <v>762401844.10596192</v>
      </c>
      <c r="D94" s="320" t="str">
        <f>"L"&amp;A33&amp;" * L"&amp;A86&amp;""</f>
        <v>L28 * L81</v>
      </c>
      <c r="E94" s="146">
        <f>$E$86*E33</f>
        <v>2308278.2770481547</v>
      </c>
      <c r="F94" s="320" t="str">
        <f>"L"&amp;A33&amp;" * L"&amp;A86&amp;""</f>
        <v>L28 * L81</v>
      </c>
      <c r="G94" s="146">
        <f>$G$86*G33</f>
        <v>50064201.856373869</v>
      </c>
      <c r="H94" s="320" t="str">
        <f>"L"&amp;A33&amp;" * L"&amp;A86&amp;""</f>
        <v>L28 * L81</v>
      </c>
      <c r="I94" s="146"/>
      <c r="J94" s="147"/>
      <c r="K94" s="146">
        <f>C94+E94+G94+I94</f>
        <v>814774324.23938394</v>
      </c>
      <c r="L94" s="35"/>
      <c r="M94" s="30"/>
    </row>
    <row r="95" spans="1:13" s="34" customFormat="1">
      <c r="A95" s="156">
        <f t="shared" si="11"/>
        <v>90</v>
      </c>
      <c r="B95" s="146" t="s">
        <v>1220</v>
      </c>
      <c r="C95" s="146">
        <f>$C$86*C34</f>
        <v>85663060.860309154</v>
      </c>
      <c r="D95" s="320" t="str">
        <f>"L"&amp;A34&amp;" * L"&amp;A86&amp;""</f>
        <v>L29 * L81</v>
      </c>
      <c r="E95" s="146">
        <f>$E$86*E34</f>
        <v>1568716.1222005715</v>
      </c>
      <c r="F95" s="320" t="str">
        <f>"L"&amp;A34&amp;" * L"&amp;A86&amp;""</f>
        <v>L29 * L81</v>
      </c>
      <c r="G95" s="146">
        <f>$G$86*G34</f>
        <v>1349776.8620997111</v>
      </c>
      <c r="H95" s="320" t="str">
        <f>"L"&amp;A34&amp;" * L"&amp;A86&amp;""</f>
        <v>L29 * L81</v>
      </c>
      <c r="I95" s="146"/>
      <c r="J95" s="147"/>
      <c r="K95" s="146">
        <f>C95+E95+G95+I95</f>
        <v>88581553.844609439</v>
      </c>
      <c r="L95" s="35"/>
      <c r="M95" s="30"/>
    </row>
    <row r="96" spans="1:13" s="34" customFormat="1">
      <c r="A96" s="156">
        <f t="shared" si="11"/>
        <v>91</v>
      </c>
      <c r="B96" s="146" t="s">
        <v>1221</v>
      </c>
      <c r="C96" s="146">
        <f>$C$86*C39</f>
        <v>10279477.24854653</v>
      </c>
      <c r="D96" s="320" t="str">
        <f>"L"&amp;A39&amp;" * L"&amp;A86&amp;""</f>
        <v>L34 * L81</v>
      </c>
      <c r="E96" s="146"/>
      <c r="F96" s="147"/>
      <c r="G96" s="148"/>
      <c r="H96" s="147"/>
      <c r="I96" s="146"/>
      <c r="J96" s="147"/>
      <c r="K96" s="146">
        <f>C96+E96+G96+I96</f>
        <v>10279477.24854653</v>
      </c>
      <c r="L96" s="35"/>
      <c r="M96" s="30"/>
    </row>
    <row r="97" spans="1:13" s="34" customFormat="1">
      <c r="A97" s="156">
        <f t="shared" si="11"/>
        <v>92</v>
      </c>
      <c r="B97" s="146" t="s">
        <v>1222</v>
      </c>
      <c r="C97" s="146">
        <f>$C$86*C40</f>
        <v>13208478.438575251</v>
      </c>
      <c r="D97" s="320" t="str">
        <f>"L"&amp;A40&amp;" * L"&amp;A86&amp;""</f>
        <v>L35 * L81</v>
      </c>
      <c r="E97" s="146"/>
      <c r="F97" s="147"/>
      <c r="G97" s="148"/>
      <c r="H97" s="147"/>
      <c r="I97" s="146"/>
      <c r="J97" s="147"/>
      <c r="K97" s="146">
        <f>C97+E97+G97+I97</f>
        <v>13208478.438575251</v>
      </c>
      <c r="L97" s="35"/>
      <c r="M97" s="30"/>
    </row>
    <row r="98" spans="1:13" s="34" customFormat="1">
      <c r="A98" s="156">
        <f t="shared" si="11"/>
        <v>93</v>
      </c>
      <c r="B98" s="146"/>
      <c r="C98" s="148"/>
      <c r="D98" s="328"/>
      <c r="E98" s="146"/>
      <c r="F98" s="147"/>
      <c r="G98" s="148"/>
      <c r="H98" s="147"/>
      <c r="I98" s="148"/>
      <c r="J98" s="147"/>
      <c r="K98" s="146"/>
      <c r="L98" s="35"/>
      <c r="M98" s="30"/>
    </row>
    <row r="99" spans="1:13" ht="13.5" thickBot="1">
      <c r="A99" s="156">
        <f t="shared" si="11"/>
        <v>94</v>
      </c>
      <c r="B99" s="150" t="s">
        <v>1223</v>
      </c>
      <c r="C99" s="144">
        <f>14280522+3079873+16529484+5814891</f>
        <v>39704770</v>
      </c>
      <c r="D99" s="341" t="s">
        <v>1224</v>
      </c>
      <c r="E99" s="144">
        <f>7402610+10637227</f>
        <v>18039837</v>
      </c>
      <c r="F99" s="341" t="s">
        <v>1225</v>
      </c>
      <c r="G99" s="144">
        <f>21260423.27</f>
        <v>21260423.27</v>
      </c>
      <c r="H99" s="341" t="s">
        <v>1161</v>
      </c>
      <c r="I99" s="144">
        <f>9142887.13</f>
        <v>9142887.1300000008</v>
      </c>
      <c r="J99" s="341" t="s">
        <v>1161</v>
      </c>
      <c r="K99" s="144">
        <f>SUM(C99:I99)</f>
        <v>88147917.399999991</v>
      </c>
      <c r="L99" s="49"/>
    </row>
    <row r="100" spans="1:13" s="34" customFormat="1" ht="13.5" thickTop="1">
      <c r="A100" s="156">
        <f t="shared" si="11"/>
        <v>95</v>
      </c>
      <c r="B100" s="146" t="s">
        <v>1226</v>
      </c>
      <c r="C100" s="146">
        <f>$C$99*C25</f>
        <v>37471204.343340985</v>
      </c>
      <c r="D100" s="320" t="str">
        <f>"L"&amp;A25&amp;" * L"&amp;A99&amp;""</f>
        <v>L20 * L94</v>
      </c>
      <c r="E100" s="146">
        <f>$E$99*E25</f>
        <v>185656.64938549118</v>
      </c>
      <c r="F100" s="320" t="str">
        <f>"L"&amp;A25&amp;" * L"&amp;A99&amp;""</f>
        <v>L20 * L94</v>
      </c>
      <c r="G100" s="171">
        <f>G99*G25</f>
        <v>1536299.7468016252</v>
      </c>
      <c r="H100" s="320" t="str">
        <f>"L"&amp;A25&amp;" * L"&amp;A99&amp;""</f>
        <v>L20 * L94</v>
      </c>
      <c r="I100" s="146">
        <f>I99*I25</f>
        <v>0</v>
      </c>
      <c r="J100" s="147"/>
      <c r="K100" s="146">
        <f>C100+E100+G100+I100</f>
        <v>39193160.739528097</v>
      </c>
      <c r="L100" s="49"/>
      <c r="M100" s="30"/>
    </row>
    <row r="101" spans="1:13" s="34" customFormat="1">
      <c r="A101" s="156">
        <f t="shared" si="11"/>
        <v>96</v>
      </c>
      <c r="B101" s="172" t="s">
        <v>2465</v>
      </c>
      <c r="C101" s="146">
        <f>$C$99*C35</f>
        <v>342255.14570466772</v>
      </c>
      <c r="D101" s="320" t="str">
        <f>"L"&amp;A35&amp;" * L"&amp;A99&amp;""</f>
        <v>L30 * L94</v>
      </c>
      <c r="E101" s="146"/>
      <c r="F101" s="147"/>
      <c r="G101" s="148"/>
      <c r="H101" s="147"/>
      <c r="I101" s="146"/>
      <c r="J101" s="147"/>
      <c r="K101" s="146">
        <f>C101+E101+G101+I101</f>
        <v>342255.14570466772</v>
      </c>
      <c r="L101" s="49"/>
      <c r="M101" s="30"/>
    </row>
    <row r="102" spans="1:13" s="34" customFormat="1">
      <c r="A102" s="156">
        <f t="shared" si="11"/>
        <v>97</v>
      </c>
      <c r="B102" s="172" t="s">
        <v>2466</v>
      </c>
      <c r="C102" s="146">
        <f t="shared" ref="C102:C104" si="14">$C$99*C36</f>
        <v>2.4223275178719578E-7</v>
      </c>
      <c r="D102" s="320" t="str">
        <f>"L"&amp;A36&amp;" * L"&amp;A99&amp;""</f>
        <v>L31 * L94</v>
      </c>
      <c r="E102" s="146"/>
      <c r="F102" s="147"/>
      <c r="G102" s="148"/>
      <c r="H102" s="147"/>
      <c r="I102" s="146"/>
      <c r="J102" s="147"/>
      <c r="K102" s="146">
        <f t="shared" ref="K102:K104" si="15">C102+E102+G102+I102</f>
        <v>2.4223275178719578E-7</v>
      </c>
      <c r="L102" s="49"/>
      <c r="M102" s="30"/>
    </row>
    <row r="103" spans="1:13" s="34" customFormat="1">
      <c r="A103" s="156">
        <f t="shared" si="11"/>
        <v>98</v>
      </c>
      <c r="B103" s="172" t="s">
        <v>2467</v>
      </c>
      <c r="C103" s="146">
        <f t="shared" si="14"/>
        <v>107424.86533973632</v>
      </c>
      <c r="D103" s="320" t="str">
        <f>"L"&amp;A37&amp;" * L"&amp;A99&amp;""</f>
        <v>L32 * L94</v>
      </c>
      <c r="E103" s="146"/>
      <c r="F103" s="147"/>
      <c r="G103" s="148"/>
      <c r="H103" s="147"/>
      <c r="I103" s="146"/>
      <c r="J103" s="147"/>
      <c r="K103" s="146">
        <f t="shared" si="15"/>
        <v>107424.86533973632</v>
      </c>
      <c r="L103" s="49"/>
      <c r="M103" s="30"/>
    </row>
    <row r="104" spans="1:13" s="34" customFormat="1">
      <c r="A104" s="156">
        <f t="shared" si="11"/>
        <v>99</v>
      </c>
      <c r="B104" s="146" t="s">
        <v>2468</v>
      </c>
      <c r="C104" s="146">
        <f t="shared" si="14"/>
        <v>2.4223275178719578E-7</v>
      </c>
      <c r="D104" s="320" t="str">
        <f>"L"&amp;A38&amp;" * L"&amp;A99&amp;""</f>
        <v>L33 * L94</v>
      </c>
      <c r="E104" s="146"/>
      <c r="F104" s="147"/>
      <c r="G104" s="148"/>
      <c r="H104" s="147"/>
      <c r="I104" s="146"/>
      <c r="J104" s="147"/>
      <c r="K104" s="146">
        <f t="shared" si="15"/>
        <v>2.4223275178719578E-7</v>
      </c>
      <c r="L104" s="49"/>
      <c r="M104" s="30"/>
    </row>
    <row r="105" spans="1:13" s="34" customFormat="1" ht="13.5" thickBot="1">
      <c r="A105" s="156">
        <f t="shared" si="11"/>
        <v>100</v>
      </c>
      <c r="B105" s="150" t="s">
        <v>1217</v>
      </c>
      <c r="C105" s="144">
        <f>SUM(C100:C104)</f>
        <v>37920884.354385875</v>
      </c>
      <c r="D105" s="145"/>
      <c r="E105" s="144">
        <f>SUM(E100:E104)</f>
        <v>185656.64938549118</v>
      </c>
      <c r="F105" s="145"/>
      <c r="G105" s="144">
        <f>SUM(G100:G104)</f>
        <v>1536299.7468016252</v>
      </c>
      <c r="H105" s="145"/>
      <c r="I105" s="144">
        <f>SUM(I100:I104)</f>
        <v>0</v>
      </c>
      <c r="J105" s="145"/>
      <c r="K105" s="144">
        <f>SUM(K100:K104)</f>
        <v>39642840.750572987</v>
      </c>
      <c r="L105" s="49"/>
      <c r="M105" s="30"/>
    </row>
    <row r="106" spans="1:13" s="34" customFormat="1" ht="13.5" thickTop="1">
      <c r="A106" s="156">
        <f t="shared" si="11"/>
        <v>101</v>
      </c>
      <c r="B106" s="149"/>
      <c r="C106" s="53"/>
      <c r="D106" s="54"/>
      <c r="E106" s="57"/>
      <c r="F106" s="58"/>
      <c r="G106" s="55"/>
      <c r="H106" s="58"/>
      <c r="I106" s="57"/>
      <c r="J106" s="58"/>
      <c r="K106" s="53"/>
      <c r="L106" s="35"/>
      <c r="M106" s="30"/>
    </row>
    <row r="107" spans="1:13" s="34" customFormat="1">
      <c r="A107" s="156">
        <f t="shared" si="11"/>
        <v>102</v>
      </c>
      <c r="B107" s="146" t="s">
        <v>1227</v>
      </c>
      <c r="C107" s="146">
        <f>$C$99*C33</f>
        <v>33169625.165121228</v>
      </c>
      <c r="D107" s="320" t="str">
        <f>"L"&amp;A33&amp;" * L"&amp;A99&amp;""</f>
        <v>L28 * L94</v>
      </c>
      <c r="E107" s="146">
        <f>$E$99*E33</f>
        <v>110535.93754200876</v>
      </c>
      <c r="F107" s="320" t="str">
        <f>"L"&amp;A33&amp;" * L"&amp;A99&amp;""</f>
        <v>L28 * L94</v>
      </c>
      <c r="G107" s="146">
        <f>$G$99*G33</f>
        <v>1495967.0998606605</v>
      </c>
      <c r="H107" s="320" t="str">
        <f>"L"&amp;A33&amp;" * L"&amp;A99&amp;""</f>
        <v>L28 * L94</v>
      </c>
      <c r="I107" s="146"/>
      <c r="J107" s="147"/>
      <c r="K107" s="146">
        <f>C107+E107+G107+I107</f>
        <v>34776128.202523895</v>
      </c>
      <c r="L107" s="35"/>
      <c r="M107" s="30"/>
    </row>
    <row r="108" spans="1:13" s="34" customFormat="1">
      <c r="A108" s="156">
        <f t="shared" si="11"/>
        <v>103</v>
      </c>
      <c r="B108" s="146" t="s">
        <v>1228</v>
      </c>
      <c r="C108" s="146">
        <f>$C$99*C34</f>
        <v>3726921.2308443864</v>
      </c>
      <c r="D108" s="320" t="str">
        <f>"L"&amp;A34&amp;" * L"&amp;A99&amp;""</f>
        <v>L29 * L94</v>
      </c>
      <c r="E108" s="146">
        <f>$E$99*E34</f>
        <v>75120.711843482437</v>
      </c>
      <c r="F108" s="320" t="str">
        <f>"L"&amp;A34&amp;" * L"&amp;A99&amp;""</f>
        <v>L29 * L94</v>
      </c>
      <c r="G108" s="146">
        <f>$G$99*G34</f>
        <v>40332.646940964914</v>
      </c>
      <c r="H108" s="320" t="str">
        <f>"L"&amp;A34&amp;" * L"&amp;A99&amp;""</f>
        <v>L29 * L94</v>
      </c>
      <c r="I108" s="146"/>
      <c r="J108" s="147"/>
      <c r="K108" s="146">
        <f>C108+E108+G108+I108</f>
        <v>3842374.5896288333</v>
      </c>
      <c r="L108" s="35"/>
      <c r="M108" s="30"/>
    </row>
    <row r="109" spans="1:13" s="34" customFormat="1">
      <c r="A109" s="156">
        <f t="shared" si="11"/>
        <v>104</v>
      </c>
      <c r="B109" s="146" t="s">
        <v>1229</v>
      </c>
      <c r="C109" s="146">
        <f>$C$99*C39</f>
        <v>447226.62971456704</v>
      </c>
      <c r="D109" s="320" t="str">
        <f>"L"&amp;A39&amp;" * L"&amp;A99&amp;""</f>
        <v>L34 * L94</v>
      </c>
      <c r="E109" s="146"/>
      <c r="F109" s="328"/>
      <c r="G109" s="148"/>
      <c r="H109" s="328"/>
      <c r="I109" s="146"/>
      <c r="J109" s="147"/>
      <c r="K109" s="146">
        <f>C109+E109+G109+I109</f>
        <v>447226.62971456704</v>
      </c>
      <c r="L109" s="35"/>
      <c r="M109" s="30"/>
    </row>
    <row r="110" spans="1:13" s="34" customFormat="1">
      <c r="A110" s="156">
        <f t="shared" si="11"/>
        <v>105</v>
      </c>
      <c r="B110" s="146" t="s">
        <v>1230</v>
      </c>
      <c r="C110" s="146">
        <f>$C$99*C40</f>
        <v>574657.94737536716</v>
      </c>
      <c r="D110" s="320" t="str">
        <f>"L"&amp;A40&amp;" * L"&amp;A99&amp;""</f>
        <v>L35 * L94</v>
      </c>
      <c r="E110" s="146"/>
      <c r="F110" s="328"/>
      <c r="G110" s="148"/>
      <c r="H110" s="328"/>
      <c r="I110" s="146"/>
      <c r="J110" s="147"/>
      <c r="K110" s="146">
        <f>C110+E110+G110+I110</f>
        <v>574657.94737536716</v>
      </c>
      <c r="L110" s="35"/>
      <c r="M110" s="30"/>
    </row>
    <row r="111" spans="1:13">
      <c r="A111" s="156">
        <f t="shared" si="11"/>
        <v>106</v>
      </c>
      <c r="B111" s="49"/>
      <c r="C111" s="49"/>
      <c r="D111" s="340"/>
      <c r="E111" s="49"/>
      <c r="F111" s="340"/>
      <c r="G111" s="49"/>
      <c r="H111" s="340"/>
      <c r="I111" s="49"/>
      <c r="J111" s="50"/>
      <c r="K111" s="49"/>
      <c r="L111" s="49"/>
    </row>
    <row r="112" spans="1:13">
      <c r="A112" s="156">
        <f t="shared" si="11"/>
        <v>107</v>
      </c>
      <c r="B112" s="49" t="s">
        <v>1231</v>
      </c>
      <c r="C112" s="61">
        <f>C100/C87</f>
        <v>4.3506748339542538E-2</v>
      </c>
      <c r="D112" s="320" t="str">
        <f>"L"&amp;A100&amp;" / L"&amp;A87&amp;""</f>
        <v>L95 / L82</v>
      </c>
      <c r="E112" s="61">
        <f>E100/E87</f>
        <v>4.7886746862844908E-2</v>
      </c>
      <c r="F112" s="320" t="str">
        <f>"L"&amp;A100&amp;" / L"&amp;A87&amp;""</f>
        <v>L95 / L82</v>
      </c>
      <c r="G112" s="61">
        <f>G100/G87</f>
        <v>2.9880973717554694E-2</v>
      </c>
      <c r="H112" s="320" t="str">
        <f>"L"&amp;A100&amp;" / L"&amp;A87&amp;""</f>
        <v>L95 / L82</v>
      </c>
      <c r="I112" s="61">
        <v>0</v>
      </c>
      <c r="J112" s="320" t="str">
        <f>"L"&amp;A100&amp;" / L"&amp;A87&amp;""</f>
        <v>L95 / L82</v>
      </c>
      <c r="K112" s="63"/>
      <c r="L112" s="49"/>
    </row>
    <row r="113" spans="1:12">
      <c r="A113" s="156">
        <f t="shared" si="11"/>
        <v>108</v>
      </c>
      <c r="B113" s="49" t="s">
        <v>1232</v>
      </c>
      <c r="C113" s="151">
        <f>(C8+C10+C11)/(K8+K10+K11)</f>
        <v>0.9353036505758815</v>
      </c>
      <c r="D113" s="320"/>
      <c r="E113" s="151">
        <f>E8/(K8+K10+K11)</f>
        <v>5.4272957532882039E-3</v>
      </c>
      <c r="F113" s="320"/>
      <c r="G113" s="151">
        <f>G8/(K8+K10+K11)</f>
        <v>5.9269053670830331E-2</v>
      </c>
      <c r="H113" s="320"/>
      <c r="I113" s="151">
        <v>0</v>
      </c>
      <c r="J113" s="52"/>
      <c r="K113" s="63"/>
      <c r="L113" s="49"/>
    </row>
    <row r="114" spans="1:12">
      <c r="A114" s="156">
        <f t="shared" si="11"/>
        <v>109</v>
      </c>
      <c r="B114" s="49" t="s">
        <v>1233</v>
      </c>
      <c r="C114" s="151"/>
      <c r="D114" s="62"/>
      <c r="E114" s="151"/>
      <c r="F114" s="62"/>
      <c r="G114" s="151"/>
      <c r="H114" s="62"/>
      <c r="I114" s="151"/>
      <c r="J114" s="62"/>
      <c r="K114" s="151">
        <f>C112*C113+E112*E113+G112*G113+I112*I113</f>
        <v>4.2722933119550235E-2</v>
      </c>
      <c r="L114" s="50"/>
    </row>
    <row r="115" spans="1:12">
      <c r="A115" s="156">
        <f t="shared" si="11"/>
        <v>110</v>
      </c>
      <c r="B115" s="49" t="s">
        <v>1234</v>
      </c>
      <c r="C115" s="151">
        <f>C9/(C9+E9+G9+I9)</f>
        <v>9.0193954998847286E-3</v>
      </c>
      <c r="D115" s="52"/>
      <c r="E115" s="151">
        <v>0</v>
      </c>
      <c r="F115" s="62"/>
      <c r="G115" s="151">
        <f>G9/(C9+G9+I9)</f>
        <v>0.68056954807289893</v>
      </c>
      <c r="H115" s="52"/>
      <c r="I115" s="151">
        <f>I9/(C9+G9+I9)</f>
        <v>0.31041105642721628</v>
      </c>
      <c r="J115" s="52"/>
      <c r="K115" s="151"/>
      <c r="L115" s="49"/>
    </row>
    <row r="116" spans="1:12">
      <c r="A116" s="156">
        <f t="shared" si="11"/>
        <v>111</v>
      </c>
      <c r="B116" s="49" t="s">
        <v>1235</v>
      </c>
      <c r="C116" s="151"/>
      <c r="D116" s="62"/>
      <c r="E116" s="63"/>
      <c r="F116" s="63"/>
      <c r="G116" s="64"/>
      <c r="H116" s="64"/>
      <c r="I116" s="64"/>
      <c r="J116" s="62"/>
      <c r="K116" s="151">
        <f>C112*C115+E112*E115+G112*G115+I112*I115</f>
        <v>2.0728485349122656E-2</v>
      </c>
      <c r="L116" s="50"/>
    </row>
    <row r="117" spans="1:12">
      <c r="A117" s="156">
        <f t="shared" si="11"/>
        <v>112</v>
      </c>
      <c r="B117" s="49"/>
      <c r="C117" s="63"/>
      <c r="D117" s="62"/>
      <c r="E117" s="63"/>
      <c r="F117" s="63"/>
      <c r="G117" s="64"/>
      <c r="H117" s="64"/>
      <c r="I117" s="64"/>
      <c r="J117" s="62"/>
      <c r="K117" s="61"/>
      <c r="L117" s="50"/>
    </row>
    <row r="118" spans="1:12" s="160" customFormat="1">
      <c r="A118" s="156">
        <f t="shared" si="11"/>
        <v>113</v>
      </c>
      <c r="B118" s="158" t="s">
        <v>1236</v>
      </c>
      <c r="C118" s="329" t="s">
        <v>1237</v>
      </c>
      <c r="D118" s="330"/>
      <c r="E118" s="329" t="s">
        <v>1238</v>
      </c>
      <c r="F118" s="330"/>
      <c r="G118" s="329" t="s">
        <v>1239</v>
      </c>
      <c r="H118" s="339"/>
      <c r="I118" s="321" t="s">
        <v>1239</v>
      </c>
      <c r="J118" s="53"/>
      <c r="K118" s="53"/>
      <c r="L118" s="49"/>
    </row>
    <row r="119" spans="1:12" s="160" customFormat="1">
      <c r="A119" s="156">
        <f t="shared" si="11"/>
        <v>114</v>
      </c>
      <c r="B119" s="201">
        <v>1411</v>
      </c>
      <c r="C119" s="39">
        <f>14283619.32+2764842.58</f>
        <v>17048461.899999999</v>
      </c>
      <c r="D119" s="35"/>
      <c r="E119" s="39">
        <f>12204530.78</f>
        <v>12204530.779999999</v>
      </c>
      <c r="F119" s="35"/>
      <c r="G119" s="39">
        <v>0</v>
      </c>
      <c r="H119" s="35"/>
      <c r="I119" s="39">
        <v>0</v>
      </c>
      <c r="J119" s="35"/>
      <c r="K119" s="39">
        <f>SUM(C119:I119)</f>
        <v>29252992.68</v>
      </c>
      <c r="L119" s="35"/>
    </row>
    <row r="120" spans="1:12" s="160" customFormat="1">
      <c r="A120" s="156">
        <f t="shared" si="0"/>
        <v>115</v>
      </c>
      <c r="B120" s="201">
        <v>1412</v>
      </c>
      <c r="C120" s="39">
        <f>4220870.15+839562.01</f>
        <v>5060432.16</v>
      </c>
      <c r="D120" s="35"/>
      <c r="E120" s="39">
        <f>3271283.63</f>
        <v>3271283.63</v>
      </c>
      <c r="F120" s="35"/>
      <c r="G120" s="39">
        <v>0</v>
      </c>
      <c r="H120" s="35"/>
      <c r="I120" s="39">
        <v>0</v>
      </c>
      <c r="J120" s="35"/>
      <c r="K120" s="39">
        <f t="shared" ref="K120:K131" si="16">SUM(C120:I120)</f>
        <v>8331715.79</v>
      </c>
      <c r="L120" s="35"/>
    </row>
    <row r="121" spans="1:12" s="160" customFormat="1">
      <c r="A121" s="156">
        <f t="shared" si="0"/>
        <v>116</v>
      </c>
      <c r="B121" s="201">
        <v>1415</v>
      </c>
      <c r="C121" s="39">
        <f>75347.33-69669.05</f>
        <v>5678.2799999999988</v>
      </c>
      <c r="D121" s="35"/>
      <c r="E121" s="39">
        <f>112789.05</f>
        <v>112789.05</v>
      </c>
      <c r="F121" s="35"/>
      <c r="G121" s="39">
        <v>0</v>
      </c>
      <c r="H121" s="35"/>
      <c r="I121" s="39">
        <v>0</v>
      </c>
      <c r="J121" s="35"/>
      <c r="K121" s="39">
        <f t="shared" si="16"/>
        <v>118467.33</v>
      </c>
      <c r="L121" s="35"/>
    </row>
    <row r="122" spans="1:12" s="160" customFormat="1">
      <c r="A122" s="156">
        <f t="shared" ref="A122:A153" si="17">A121+1</f>
        <v>117</v>
      </c>
      <c r="B122" s="201">
        <v>1416</v>
      </c>
      <c r="C122" s="39">
        <f>-204428.55-80758.08</f>
        <v>-285186.63</v>
      </c>
      <c r="D122" s="35"/>
      <c r="E122" s="39">
        <f>-32849.4</f>
        <v>-32849.4</v>
      </c>
      <c r="F122" s="35"/>
      <c r="G122" s="39">
        <v>0</v>
      </c>
      <c r="H122" s="35"/>
      <c r="I122" s="39">
        <v>0</v>
      </c>
      <c r="J122" s="35"/>
      <c r="K122" s="39">
        <f t="shared" si="16"/>
        <v>-318036.03000000003</v>
      </c>
      <c r="L122" s="35"/>
    </row>
    <row r="123" spans="1:12" s="160" customFormat="1">
      <c r="A123" s="156">
        <f t="shared" si="17"/>
        <v>118</v>
      </c>
      <c r="B123" s="201">
        <v>1421</v>
      </c>
      <c r="C123" s="39">
        <f>1863768.01+545363.77</f>
        <v>2409131.7800000003</v>
      </c>
      <c r="D123" s="35"/>
      <c r="E123" s="39">
        <f>1759632.72</f>
        <v>1759632.72</v>
      </c>
      <c r="F123" s="35"/>
      <c r="G123" s="39">
        <v>0</v>
      </c>
      <c r="H123" s="35"/>
      <c r="I123" s="39">
        <v>0</v>
      </c>
      <c r="J123" s="35"/>
      <c r="K123" s="39">
        <f t="shared" si="16"/>
        <v>4168764.5</v>
      </c>
      <c r="L123" s="35"/>
    </row>
    <row r="124" spans="1:12" s="160" customFormat="1">
      <c r="A124" s="156">
        <f t="shared" si="17"/>
        <v>119</v>
      </c>
      <c r="B124" s="201">
        <v>1422</v>
      </c>
      <c r="C124" s="39">
        <f>634859.27+181269.95</f>
        <v>816129.22</v>
      </c>
      <c r="D124" s="35"/>
      <c r="E124" s="39">
        <f>707.38</f>
        <v>707.38</v>
      </c>
      <c r="F124" s="35"/>
      <c r="G124" s="39">
        <v>0</v>
      </c>
      <c r="H124" s="35"/>
      <c r="I124" s="39">
        <v>0</v>
      </c>
      <c r="J124" s="35"/>
      <c r="K124" s="39">
        <f t="shared" si="16"/>
        <v>816836.6</v>
      </c>
      <c r="L124" s="35"/>
    </row>
    <row r="125" spans="1:12" s="160" customFormat="1">
      <c r="A125" s="156">
        <f t="shared" si="17"/>
        <v>120</v>
      </c>
      <c r="B125" s="201">
        <v>1425</v>
      </c>
      <c r="C125" s="39">
        <f>85151.44+24080.76</f>
        <v>109232.2</v>
      </c>
      <c r="D125" s="35"/>
      <c r="E125" s="39">
        <f>149669.73</f>
        <v>149669.73000000001</v>
      </c>
      <c r="F125" s="35"/>
      <c r="G125" s="39">
        <v>0</v>
      </c>
      <c r="H125" s="35"/>
      <c r="I125" s="39">
        <v>0</v>
      </c>
      <c r="J125" s="35"/>
      <c r="K125" s="39">
        <f t="shared" si="16"/>
        <v>258901.93</v>
      </c>
      <c r="L125" s="35"/>
    </row>
    <row r="126" spans="1:12" s="160" customFormat="1">
      <c r="A126" s="156">
        <f t="shared" si="17"/>
        <v>121</v>
      </c>
      <c r="B126" s="201">
        <v>1426</v>
      </c>
      <c r="C126" s="39">
        <f>-14213.05-4408.35</f>
        <v>-18621.400000000001</v>
      </c>
      <c r="D126" s="35"/>
      <c r="E126" s="39">
        <f>189.03</f>
        <v>189.03</v>
      </c>
      <c r="F126" s="35"/>
      <c r="G126" s="39">
        <v>0</v>
      </c>
      <c r="H126" s="35"/>
      <c r="I126" s="39">
        <v>0</v>
      </c>
      <c r="J126" s="35"/>
      <c r="K126" s="39">
        <f t="shared" si="16"/>
        <v>-18432.370000000003</v>
      </c>
      <c r="L126" s="35"/>
    </row>
    <row r="127" spans="1:12" s="160" customFormat="1">
      <c r="A127" s="156">
        <f t="shared" si="17"/>
        <v>122</v>
      </c>
      <c r="B127" s="201">
        <v>1431</v>
      </c>
      <c r="C127" s="39">
        <v>0</v>
      </c>
      <c r="D127" s="35"/>
      <c r="E127" s="39">
        <f>139.75</f>
        <v>139.75</v>
      </c>
      <c r="F127" s="35"/>
      <c r="G127" s="39">
        <v>0</v>
      </c>
      <c r="H127" s="35"/>
      <c r="I127" s="39">
        <v>0</v>
      </c>
      <c r="J127" s="35"/>
      <c r="K127" s="39">
        <f t="shared" si="16"/>
        <v>139.75</v>
      </c>
      <c r="L127" s="35"/>
    </row>
    <row r="128" spans="1:12" s="160" customFormat="1">
      <c r="A128" s="156">
        <f t="shared" si="17"/>
        <v>123</v>
      </c>
      <c r="B128" s="201">
        <v>1432</v>
      </c>
      <c r="C128" s="39">
        <f>427.09</f>
        <v>427.09</v>
      </c>
      <c r="D128" s="35"/>
      <c r="E128" s="39">
        <f>-2564.05</f>
        <v>-2564.0500000000002</v>
      </c>
      <c r="F128" s="35"/>
      <c r="G128" s="39">
        <v>0</v>
      </c>
      <c r="H128" s="35"/>
      <c r="I128" s="39">
        <v>0</v>
      </c>
      <c r="J128" s="35"/>
      <c r="K128" s="39">
        <f t="shared" si="16"/>
        <v>-2136.96</v>
      </c>
      <c r="L128" s="35"/>
    </row>
    <row r="129" spans="1:13" s="160" customFormat="1">
      <c r="A129" s="156">
        <f t="shared" si="17"/>
        <v>124</v>
      </c>
      <c r="B129" s="201">
        <v>1441</v>
      </c>
      <c r="C129" s="39">
        <v>0</v>
      </c>
      <c r="D129" s="35"/>
      <c r="E129" s="39">
        <v>0</v>
      </c>
      <c r="F129" s="35"/>
      <c r="G129" s="39">
        <v>0</v>
      </c>
      <c r="H129" s="35"/>
      <c r="I129" s="39">
        <v>0</v>
      </c>
      <c r="J129" s="35"/>
      <c r="K129" s="39">
        <f>SUM(C129:I129)</f>
        <v>0</v>
      </c>
      <c r="L129" s="35"/>
    </row>
    <row r="130" spans="1:13" s="160" customFormat="1">
      <c r="A130" s="156">
        <f t="shared" si="17"/>
        <v>125</v>
      </c>
      <c r="B130" s="201">
        <v>1442</v>
      </c>
      <c r="C130" s="39">
        <f>0</f>
        <v>0</v>
      </c>
      <c r="D130" s="35"/>
      <c r="E130" s="39">
        <v>0</v>
      </c>
      <c r="F130" s="35"/>
      <c r="G130" s="39">
        <v>0</v>
      </c>
      <c r="H130" s="35"/>
      <c r="I130" s="39">
        <v>0</v>
      </c>
      <c r="J130" s="35"/>
      <c r="K130" s="39">
        <f t="shared" si="16"/>
        <v>0</v>
      </c>
      <c r="L130" s="35"/>
    </row>
    <row r="131" spans="1:13" s="160" customFormat="1">
      <c r="A131" s="156">
        <f t="shared" si="17"/>
        <v>126</v>
      </c>
      <c r="B131" s="201">
        <v>1444</v>
      </c>
      <c r="C131" s="39">
        <f>0</f>
        <v>0</v>
      </c>
      <c r="D131" s="35"/>
      <c r="E131" s="39">
        <v>0</v>
      </c>
      <c r="F131" s="35"/>
      <c r="G131" s="39">
        <v>0</v>
      </c>
      <c r="H131" s="35"/>
      <c r="I131" s="39">
        <v>0</v>
      </c>
      <c r="J131" s="35"/>
      <c r="K131" s="39">
        <f t="shared" si="16"/>
        <v>0</v>
      </c>
      <c r="L131" s="35"/>
    </row>
    <row r="132" spans="1:13" s="160" customFormat="1" ht="13.5" thickBot="1">
      <c r="A132" s="156">
        <f t="shared" si="17"/>
        <v>127</v>
      </c>
      <c r="B132" s="202" t="s">
        <v>1240</v>
      </c>
      <c r="C132" s="203">
        <f>SUM(C119:C131)</f>
        <v>25145684.600000001</v>
      </c>
      <c r="D132" s="78"/>
      <c r="E132" s="203">
        <f>SUM(E119:E131)</f>
        <v>17463528.620000001</v>
      </c>
      <c r="F132" s="78"/>
      <c r="G132" s="203">
        <f>SUM(G119:G131)</f>
        <v>0</v>
      </c>
      <c r="H132" s="78"/>
      <c r="I132" s="203">
        <f>SUM(I119:I131)</f>
        <v>0</v>
      </c>
      <c r="J132" s="78"/>
      <c r="K132" s="203">
        <f t="shared" ref="K132" si="18">SUM(C132:I132)</f>
        <v>42609213.219999999</v>
      </c>
      <c r="L132" s="35"/>
    </row>
    <row r="133" spans="1:13" s="160" customFormat="1" ht="13.5" thickTop="1">
      <c r="A133" s="156">
        <f t="shared" si="17"/>
        <v>128</v>
      </c>
      <c r="B133" s="67"/>
      <c r="C133" s="68"/>
      <c r="D133" s="35"/>
      <c r="E133" s="68"/>
      <c r="F133" s="35"/>
      <c r="G133" s="68"/>
      <c r="H133" s="35"/>
      <c r="I133" s="68"/>
      <c r="J133" s="35"/>
      <c r="K133" s="68"/>
      <c r="L133" s="35"/>
    </row>
    <row r="134" spans="1:13" s="160" customFormat="1">
      <c r="A134" s="156">
        <f t="shared" si="17"/>
        <v>129</v>
      </c>
      <c r="B134" s="204" t="s">
        <v>1241</v>
      </c>
      <c r="C134" s="205">
        <f>C132*C25</f>
        <v>23731130.692856364</v>
      </c>
      <c r="D134" s="338" t="str">
        <f>"L"&amp;A25&amp;" * L"&amp;A132&amp;""</f>
        <v>L20 * L127</v>
      </c>
      <c r="E134" s="205">
        <f>E132*E25</f>
        <v>179725.58233407713</v>
      </c>
      <c r="F134" s="338" t="str">
        <f>"L"&amp;A25&amp;" * L"&amp;A132&amp;""</f>
        <v>L20 * L127</v>
      </c>
      <c r="G134" s="205">
        <v>0</v>
      </c>
      <c r="H134" s="66"/>
      <c r="I134" s="205">
        <v>0</v>
      </c>
      <c r="J134" s="66"/>
      <c r="K134" s="205">
        <f>C134+E134+G134+I134</f>
        <v>23910856.275190443</v>
      </c>
      <c r="L134" s="35"/>
    </row>
    <row r="135" spans="1:13" s="160" customFormat="1">
      <c r="A135" s="156">
        <f t="shared" si="17"/>
        <v>130</v>
      </c>
      <c r="B135" s="69" t="s">
        <v>2469</v>
      </c>
      <c r="C135" s="68">
        <f>$C$132*C35</f>
        <v>216755.81917781214</v>
      </c>
      <c r="D135" s="320" t="str">
        <f>"L"&amp;A35&amp;" * L"&amp;A132&amp;""</f>
        <v>L30 * L127</v>
      </c>
      <c r="E135" s="68">
        <f>$E$132*E28</f>
        <v>0</v>
      </c>
      <c r="F135" s="68"/>
      <c r="G135" s="68">
        <v>0</v>
      </c>
      <c r="H135" s="35"/>
      <c r="I135" s="35">
        <v>0</v>
      </c>
      <c r="J135" s="35"/>
      <c r="K135" s="68">
        <f>C135+E135+G135+I135</f>
        <v>216755.81917781214</v>
      </c>
      <c r="L135" s="35"/>
    </row>
    <row r="136" spans="1:13" s="160" customFormat="1">
      <c r="A136" s="156">
        <f t="shared" si="17"/>
        <v>131</v>
      </c>
      <c r="B136" s="69" t="s">
        <v>2470</v>
      </c>
      <c r="C136" s="68">
        <f t="shared" ref="C136:C138" si="19">$C$132*C36</f>
        <v>1.5340999019087407E-7</v>
      </c>
      <c r="D136" s="320" t="str">
        <f>"L"&amp;A36&amp;" * L"&amp;A132&amp;""</f>
        <v>L31 * L127</v>
      </c>
      <c r="E136" s="68"/>
      <c r="F136" s="68"/>
      <c r="G136" s="68"/>
      <c r="H136" s="35"/>
      <c r="I136" s="35"/>
      <c r="J136" s="35"/>
      <c r="K136" s="68">
        <f t="shared" ref="K136:K138" si="20">C136+E136+G136+I136</f>
        <v>1.5340999019087407E-7</v>
      </c>
      <c r="L136" s="35"/>
    </row>
    <row r="137" spans="1:13" s="160" customFormat="1">
      <c r="A137" s="156">
        <f t="shared" si="17"/>
        <v>132</v>
      </c>
      <c r="B137" s="69" t="s">
        <v>2471</v>
      </c>
      <c r="C137" s="68">
        <f t="shared" si="19"/>
        <v>68033.936024071707</v>
      </c>
      <c r="D137" s="320" t="str">
        <f>"L"&amp;A37&amp;" * L"&amp;A132&amp;""</f>
        <v>L32 * L127</v>
      </c>
      <c r="E137" s="68"/>
      <c r="F137" s="68"/>
      <c r="G137" s="68"/>
      <c r="H137" s="35"/>
      <c r="I137" s="35"/>
      <c r="J137" s="35"/>
      <c r="K137" s="68">
        <f t="shared" si="20"/>
        <v>68033.936024071707</v>
      </c>
      <c r="L137" s="35"/>
    </row>
    <row r="138" spans="1:13" s="160" customFormat="1">
      <c r="A138" s="156">
        <f t="shared" si="17"/>
        <v>133</v>
      </c>
      <c r="B138" s="69" t="s">
        <v>2472</v>
      </c>
      <c r="C138" s="68">
        <f t="shared" si="19"/>
        <v>1.5340999019087407E-7</v>
      </c>
      <c r="D138" s="338" t="str">
        <f>"L"&amp;A38&amp;" * L"&amp;A132&amp;""</f>
        <v>L33 * L127</v>
      </c>
      <c r="E138" s="68"/>
      <c r="F138" s="68"/>
      <c r="G138" s="68"/>
      <c r="H138" s="35"/>
      <c r="I138" s="35"/>
      <c r="J138" s="35"/>
      <c r="K138" s="68">
        <f t="shared" si="20"/>
        <v>1.5340999019087407E-7</v>
      </c>
      <c r="L138" s="35"/>
    </row>
    <row r="139" spans="1:13" s="161" customFormat="1" ht="13.5" thickBot="1">
      <c r="A139" s="156">
        <f t="shared" si="17"/>
        <v>134</v>
      </c>
      <c r="B139" s="202" t="s">
        <v>1242</v>
      </c>
      <c r="C139" s="203">
        <f>SUM(C135:C138)</f>
        <v>284789.75520219072</v>
      </c>
      <c r="D139" s="269"/>
      <c r="E139" s="203">
        <f>SUM(E135:E138)</f>
        <v>0</v>
      </c>
      <c r="F139" s="203"/>
      <c r="G139" s="203">
        <f>SUM(G135:G138)</f>
        <v>0</v>
      </c>
      <c r="H139" s="78"/>
      <c r="I139" s="203">
        <f>SUM(I135:I138)</f>
        <v>0</v>
      </c>
      <c r="J139" s="78"/>
      <c r="K139" s="203">
        <f>SUM(K135:K138)</f>
        <v>284789.75520219072</v>
      </c>
      <c r="L139" s="35"/>
      <c r="M139" s="160"/>
    </row>
    <row r="140" spans="1:13" s="161" customFormat="1" ht="13.5" thickTop="1">
      <c r="A140" s="156">
        <f t="shared" si="17"/>
        <v>135</v>
      </c>
      <c r="B140" s="67"/>
      <c r="C140" s="68"/>
      <c r="D140" s="35"/>
      <c r="E140" s="68"/>
      <c r="F140" s="68"/>
      <c r="G140" s="68"/>
      <c r="H140" s="35"/>
      <c r="I140" s="68"/>
      <c r="J140" s="35"/>
      <c r="K140" s="68"/>
      <c r="L140" s="35"/>
      <c r="M140" s="160"/>
    </row>
    <row r="141" spans="1:13" s="34" customFormat="1">
      <c r="A141" s="156">
        <f t="shared" si="17"/>
        <v>136</v>
      </c>
      <c r="B141" s="149" t="s">
        <v>1243</v>
      </c>
      <c r="C141" s="53">
        <f>C132</f>
        <v>25145684.600000001</v>
      </c>
      <c r="D141" s="321" t="s">
        <v>1237</v>
      </c>
      <c r="E141" s="57">
        <f>E132</f>
        <v>17463528.620000001</v>
      </c>
      <c r="F141" s="325" t="s">
        <v>1238</v>
      </c>
      <c r="G141" s="55"/>
      <c r="H141" s="325" t="s">
        <v>1239</v>
      </c>
      <c r="I141" s="57"/>
      <c r="J141" s="325" t="s">
        <v>1239</v>
      </c>
      <c r="K141" s="53">
        <f>C141+E141+G141+I141</f>
        <v>42609213.219999999</v>
      </c>
      <c r="L141" s="35"/>
      <c r="M141" s="30"/>
    </row>
    <row r="142" spans="1:13" s="34" customFormat="1">
      <c r="A142" s="156">
        <f t="shared" si="17"/>
        <v>137</v>
      </c>
      <c r="B142" s="146" t="s">
        <v>1244</v>
      </c>
      <c r="C142" s="146">
        <f>$C$141*C33</f>
        <v>21006869.771625962</v>
      </c>
      <c r="D142" s="320" t="str">
        <f>"L"&amp;A33&amp;" * L"&amp;A141&amp;""</f>
        <v>L28 * L136</v>
      </c>
      <c r="E142" s="146">
        <f>$E$141*E33</f>
        <v>107004.70901169465</v>
      </c>
      <c r="F142" s="320" t="str">
        <f>"L"&amp;A33&amp;" * L"&amp;A141&amp;""</f>
        <v>L28 * L136</v>
      </c>
      <c r="G142" s="146"/>
      <c r="H142" s="147"/>
      <c r="I142" s="146"/>
      <c r="J142" s="147"/>
      <c r="K142" s="146">
        <f>C142+E142+G142+I142</f>
        <v>21113874.480637658</v>
      </c>
      <c r="L142" s="35"/>
      <c r="M142" s="30"/>
    </row>
    <row r="143" spans="1:13" s="34" customFormat="1">
      <c r="A143" s="156">
        <f t="shared" si="17"/>
        <v>138</v>
      </c>
      <c r="B143" s="146" t="s">
        <v>1245</v>
      </c>
      <c r="C143" s="146">
        <f>$C$141*C34</f>
        <v>2360320.5811255611</v>
      </c>
      <c r="D143" s="320" t="str">
        <f>"L"&amp;A34&amp;" * L"&amp;A141&amp;""</f>
        <v>L29 * L136</v>
      </c>
      <c r="E143" s="146">
        <f>$E$141*E34</f>
        <v>72720.873322382482</v>
      </c>
      <c r="F143" s="320" t="str">
        <f>"L"&amp;A34&amp;" * L"&amp;A141&amp;""</f>
        <v>L29 * L136</v>
      </c>
      <c r="G143" s="146"/>
      <c r="H143" s="147"/>
      <c r="I143" s="146"/>
      <c r="J143" s="147"/>
      <c r="K143" s="146">
        <f>C143+E143+G143+I143</f>
        <v>2433041.4544479437</v>
      </c>
      <c r="L143" s="35"/>
      <c r="M143" s="30"/>
    </row>
    <row r="144" spans="1:13" s="34" customFormat="1">
      <c r="A144" s="156">
        <f t="shared" si="17"/>
        <v>139</v>
      </c>
      <c r="B144" s="146" t="s">
        <v>1246</v>
      </c>
      <c r="C144" s="146">
        <f>$C$141*C39</f>
        <v>283235.98840954102</v>
      </c>
      <c r="D144" s="320" t="str">
        <f>"L"&amp;A39&amp;" * L"&amp;A141&amp;""</f>
        <v>L34 * L136</v>
      </c>
      <c r="E144" s="146"/>
      <c r="F144" s="147"/>
      <c r="G144" s="148"/>
      <c r="H144" s="147"/>
      <c r="I144" s="146"/>
      <c r="J144" s="147"/>
      <c r="K144" s="146">
        <f>C144+E144+G144+I144</f>
        <v>283235.98840954102</v>
      </c>
      <c r="L144" s="35"/>
      <c r="M144" s="30"/>
    </row>
    <row r="145" spans="1:13" s="34" customFormat="1">
      <c r="A145" s="156">
        <f t="shared" si="17"/>
        <v>140</v>
      </c>
      <c r="B145" s="146" t="s">
        <v>1247</v>
      </c>
      <c r="C145" s="146">
        <f>$C$141*C40</f>
        <v>363940.34010483837</v>
      </c>
      <c r="D145" s="320" t="str">
        <f>"L"&amp;A40&amp;" * L"&amp;A141&amp;""</f>
        <v>L35 * L136</v>
      </c>
      <c r="E145" s="146"/>
      <c r="F145" s="147"/>
      <c r="G145" s="148"/>
      <c r="H145" s="147"/>
      <c r="I145" s="146"/>
      <c r="J145" s="147"/>
      <c r="K145" s="146">
        <f>C145+E145+G145+I145</f>
        <v>363940.34010483837</v>
      </c>
      <c r="L145" s="35"/>
      <c r="M145" s="30"/>
    </row>
    <row r="146" spans="1:13" s="34" customFormat="1">
      <c r="A146" s="156">
        <f t="shared" si="17"/>
        <v>141</v>
      </c>
      <c r="B146" s="146"/>
      <c r="C146" s="148"/>
      <c r="D146" s="147"/>
      <c r="E146" s="146"/>
      <c r="F146" s="147"/>
      <c r="G146" s="148"/>
      <c r="H146" s="147"/>
      <c r="I146" s="148"/>
      <c r="J146" s="147"/>
      <c r="K146" s="146"/>
      <c r="L146" s="35"/>
      <c r="M146" s="30"/>
    </row>
    <row r="147" spans="1:13">
      <c r="A147" s="156">
        <f t="shared" si="17"/>
        <v>142</v>
      </c>
      <c r="B147" s="158" t="s">
        <v>1248</v>
      </c>
      <c r="C147" s="329" t="s">
        <v>1249</v>
      </c>
      <c r="D147" s="330"/>
      <c r="E147" s="329" t="s">
        <v>1250</v>
      </c>
      <c r="F147" s="330"/>
      <c r="G147" s="330" t="s">
        <v>1205</v>
      </c>
      <c r="H147" s="331"/>
      <c r="I147" s="332" t="s">
        <v>1161</v>
      </c>
      <c r="J147" s="66"/>
      <c r="K147" s="66"/>
      <c r="L147" s="35"/>
    </row>
    <row r="148" spans="1:13">
      <c r="A148" s="156">
        <f t="shared" si="17"/>
        <v>143</v>
      </c>
      <c r="B148" s="65" t="s">
        <v>1251</v>
      </c>
      <c r="C148" s="59">
        <v>104328044</v>
      </c>
      <c r="D148" s="35"/>
      <c r="E148" s="59">
        <v>55859676</v>
      </c>
      <c r="F148" s="35"/>
      <c r="G148" s="59">
        <v>52831968</v>
      </c>
      <c r="H148" s="35"/>
      <c r="I148" s="59">
        <v>49441866</v>
      </c>
      <c r="J148" s="35"/>
      <c r="K148" s="59">
        <f>SUM(C148:I148)</f>
        <v>262461554</v>
      </c>
      <c r="L148" s="35"/>
    </row>
    <row r="149" spans="1:13">
      <c r="A149" s="156">
        <f t="shared" si="17"/>
        <v>144</v>
      </c>
      <c r="B149" s="70" t="s">
        <v>1252</v>
      </c>
      <c r="C149" s="59"/>
      <c r="D149" s="35"/>
      <c r="E149" s="59"/>
      <c r="F149" s="35"/>
      <c r="G149" s="59"/>
      <c r="H149" s="35"/>
      <c r="I149" s="59"/>
      <c r="J149" s="35"/>
      <c r="K149" s="59"/>
      <c r="L149" s="35"/>
    </row>
    <row r="150" spans="1:13">
      <c r="A150" s="156">
        <f t="shared" si="17"/>
        <v>145</v>
      </c>
      <c r="B150" s="152" t="s">
        <v>1253</v>
      </c>
      <c r="C150" s="59"/>
      <c r="D150" s="35"/>
      <c r="E150" s="59"/>
      <c r="F150" s="35"/>
      <c r="G150" s="59"/>
      <c r="H150" s="35"/>
      <c r="I150" s="59"/>
      <c r="J150" s="35"/>
      <c r="K150" s="59">
        <f>SUM(C150:I150)</f>
        <v>0</v>
      </c>
      <c r="L150" s="35"/>
    </row>
    <row r="151" spans="1:13">
      <c r="A151" s="156">
        <f t="shared" si="17"/>
        <v>146</v>
      </c>
      <c r="B151" s="152" t="s">
        <v>1254</v>
      </c>
      <c r="C151" s="121">
        <f>C132</f>
        <v>25145684.600000001</v>
      </c>
      <c r="D151" s="35"/>
      <c r="E151" s="59"/>
      <c r="F151" s="35"/>
      <c r="G151" s="59"/>
      <c r="H151" s="35"/>
      <c r="I151" s="59"/>
      <c r="J151" s="35"/>
      <c r="K151" s="59">
        <f>SUM(C151:I151)</f>
        <v>25145684.600000001</v>
      </c>
      <c r="L151" s="35"/>
    </row>
    <row r="152" spans="1:13">
      <c r="A152" s="156">
        <f t="shared" si="17"/>
        <v>147</v>
      </c>
      <c r="B152" s="152" t="s">
        <v>1255</v>
      </c>
      <c r="C152" s="59"/>
      <c r="D152" s="35"/>
      <c r="E152" s="59"/>
      <c r="F152" s="35"/>
      <c r="G152" s="59"/>
      <c r="H152" s="35"/>
      <c r="I152" s="59"/>
      <c r="J152" s="35"/>
      <c r="K152" s="59">
        <f>SUM(C152:I152)</f>
        <v>0</v>
      </c>
      <c r="L152" s="35"/>
    </row>
    <row r="153" spans="1:13">
      <c r="A153" s="156">
        <f t="shared" si="17"/>
        <v>148</v>
      </c>
      <c r="B153" s="152" t="s">
        <v>1256</v>
      </c>
      <c r="C153" s="59">
        <f>44572.63</f>
        <v>44572.63</v>
      </c>
      <c r="D153" s="35"/>
      <c r="E153" s="59"/>
      <c r="F153" s="35"/>
      <c r="G153" s="59"/>
      <c r="H153" s="35"/>
      <c r="I153" s="59"/>
      <c r="J153" s="35"/>
      <c r="K153" s="59">
        <f>SUM(C153:I153)</f>
        <v>44572.63</v>
      </c>
      <c r="L153" s="35"/>
    </row>
    <row r="154" spans="1:13">
      <c r="A154" s="156">
        <f t="shared" ref="A154:A191" si="21">A153+1</f>
        <v>149</v>
      </c>
      <c r="B154" s="70" t="s">
        <v>1257</v>
      </c>
      <c r="C154" s="59"/>
      <c r="D154" s="35"/>
      <c r="E154" s="59"/>
      <c r="F154" s="35"/>
      <c r="G154" s="59"/>
      <c r="H154" s="35"/>
      <c r="I154" s="59"/>
      <c r="J154" s="35"/>
      <c r="K154" s="59"/>
      <c r="L154" s="35"/>
    </row>
    <row r="155" spans="1:13">
      <c r="A155" s="156">
        <f t="shared" si="21"/>
        <v>150</v>
      </c>
      <c r="B155" s="152" t="s">
        <v>1258</v>
      </c>
      <c r="C155" s="59">
        <f>904732+213868</f>
        <v>1118600</v>
      </c>
      <c r="D155" s="35"/>
      <c r="E155" s="59"/>
      <c r="F155" s="35"/>
      <c r="G155" s="59"/>
      <c r="H155" s="35"/>
      <c r="I155" s="59"/>
      <c r="J155" s="35"/>
      <c r="K155" s="59">
        <f>SUM(C155:I155)</f>
        <v>1118600</v>
      </c>
      <c r="L155" s="35"/>
    </row>
    <row r="156" spans="1:13">
      <c r="A156" s="156">
        <f t="shared" si="21"/>
        <v>151</v>
      </c>
      <c r="B156" s="152" t="s">
        <v>1259</v>
      </c>
      <c r="C156" s="59"/>
      <c r="D156" s="35"/>
      <c r="E156" s="59"/>
      <c r="F156" s="35"/>
      <c r="G156" s="59"/>
      <c r="H156" s="35"/>
      <c r="I156" s="59"/>
      <c r="J156" s="35"/>
      <c r="K156" s="59">
        <f>SUM(C156:I156)</f>
        <v>0</v>
      </c>
      <c r="L156" s="35"/>
    </row>
    <row r="157" spans="1:13" ht="13.5" thickBot="1">
      <c r="A157" s="156">
        <f t="shared" si="21"/>
        <v>152</v>
      </c>
      <c r="B157" s="153" t="s">
        <v>1260</v>
      </c>
      <c r="C157" s="154">
        <f>C148-C150-C151-C152-C153+C155+C156</f>
        <v>80256386.770000011</v>
      </c>
      <c r="D157" s="78"/>
      <c r="E157" s="154">
        <f>E148-E150-E151-E152+E155+E156</f>
        <v>55859676</v>
      </c>
      <c r="F157" s="154"/>
      <c r="G157" s="154">
        <f>G148-G150-G151-G152+G155+G156</f>
        <v>52831968</v>
      </c>
      <c r="H157" s="154"/>
      <c r="I157" s="154">
        <f>I148-I150-I151-I152+I155+I156</f>
        <v>49441866</v>
      </c>
      <c r="J157" s="78"/>
      <c r="K157" s="154">
        <f>K148-K150-K151-K152-K153+K155+K156</f>
        <v>238389896.77000001</v>
      </c>
      <c r="L157" s="35"/>
    </row>
    <row r="158" spans="1:13" ht="13.5" thickTop="1">
      <c r="A158" s="156">
        <f t="shared" si="21"/>
        <v>153</v>
      </c>
      <c r="B158" s="71"/>
      <c r="C158" s="72"/>
      <c r="D158" s="35"/>
      <c r="E158" s="72"/>
      <c r="F158" s="72"/>
      <c r="G158" s="72"/>
      <c r="H158" s="72"/>
      <c r="I158" s="72"/>
      <c r="J158" s="35"/>
      <c r="K158" s="72"/>
      <c r="L158" s="35"/>
    </row>
    <row r="159" spans="1:13">
      <c r="A159" s="156">
        <f t="shared" si="21"/>
        <v>154</v>
      </c>
      <c r="B159" s="72" t="s">
        <v>1261</v>
      </c>
      <c r="C159" s="72">
        <f>$C$157*C25</f>
        <v>75741616.650011525</v>
      </c>
      <c r="D159" s="320" t="str">
        <f>"L"&amp;A25&amp;" * L"&amp;A157&amp;""</f>
        <v>L20 * L152</v>
      </c>
      <c r="E159" s="72">
        <f>$E$157*E25</f>
        <v>574878.82412236521</v>
      </c>
      <c r="F159" s="320" t="str">
        <f>"L"&amp;A25&amp;" * L"&amp;A157&amp;""</f>
        <v>L20 * L152</v>
      </c>
      <c r="G159" s="72">
        <f>$G$157*G25</f>
        <v>3817691.5873524644</v>
      </c>
      <c r="H159" s="320" t="str">
        <f>"L"&amp;A25&amp;" * L"&amp;A157&amp;""</f>
        <v>L20 * L152</v>
      </c>
      <c r="I159" s="72">
        <f>$I$157*I25</f>
        <v>0</v>
      </c>
      <c r="J159" s="326"/>
      <c r="K159" s="72">
        <f>SUM(C159:I159)</f>
        <v>80134187.061486363</v>
      </c>
      <c r="L159" s="35"/>
    </row>
    <row r="160" spans="1:13">
      <c r="A160" s="156">
        <f t="shared" si="21"/>
        <v>155</v>
      </c>
      <c r="B160" s="72" t="s">
        <v>2473</v>
      </c>
      <c r="C160" s="72">
        <f>$C$157*C35</f>
        <v>691810.11117043416</v>
      </c>
      <c r="D160" s="320" t="str">
        <f>"L"&amp;A35&amp;" * L"&amp;A157&amp;""</f>
        <v>L30 * L152</v>
      </c>
      <c r="E160" s="72"/>
      <c r="F160" s="323"/>
      <c r="G160" s="59"/>
      <c r="H160" s="326"/>
      <c r="I160" s="59"/>
      <c r="J160" s="326"/>
      <c r="K160" s="72">
        <f>SUM(C160:I160)</f>
        <v>691810.11117043416</v>
      </c>
      <c r="L160" s="35"/>
    </row>
    <row r="161" spans="1:13">
      <c r="A161" s="156">
        <f t="shared" si="21"/>
        <v>156</v>
      </c>
      <c r="B161" s="72" t="s">
        <v>2474</v>
      </c>
      <c r="C161" s="72">
        <f t="shared" ref="C161:C163" si="22">$C$157*C36</f>
        <v>4.8963198668055733E-7</v>
      </c>
      <c r="D161" s="320" t="str">
        <f>"L"&amp;A36&amp;" * L"&amp;A157&amp;""</f>
        <v>L31 * L152</v>
      </c>
      <c r="E161" s="72"/>
      <c r="F161" s="323"/>
      <c r="G161" s="59"/>
      <c r="H161" s="326"/>
      <c r="I161" s="59"/>
      <c r="J161" s="326"/>
      <c r="K161" s="72">
        <f t="shared" ref="K161:K163" si="23">SUM(C161:I161)</f>
        <v>4.8963198668055733E-7</v>
      </c>
      <c r="L161" s="35"/>
    </row>
    <row r="162" spans="1:13">
      <c r="A162" s="156">
        <f t="shared" si="21"/>
        <v>157</v>
      </c>
      <c r="B162" s="72" t="s">
        <v>2475</v>
      </c>
      <c r="C162" s="72">
        <f t="shared" si="22"/>
        <v>217140.95161415232</v>
      </c>
      <c r="D162" s="320" t="str">
        <f>"L"&amp;A37&amp;" * L"&amp;A157&amp;""</f>
        <v>L32 * L152</v>
      </c>
      <c r="E162" s="72"/>
      <c r="F162" s="323"/>
      <c r="G162" s="59"/>
      <c r="H162" s="326"/>
      <c r="I162" s="59"/>
      <c r="J162" s="326"/>
      <c r="K162" s="72">
        <f t="shared" si="23"/>
        <v>217140.95161415232</v>
      </c>
      <c r="L162" s="35"/>
    </row>
    <row r="163" spans="1:13">
      <c r="A163" s="156">
        <f t="shared" si="21"/>
        <v>158</v>
      </c>
      <c r="B163" s="72" t="s">
        <v>2476</v>
      </c>
      <c r="C163" s="72">
        <f t="shared" si="22"/>
        <v>4.8963198668055733E-7</v>
      </c>
      <c r="D163" s="320" t="str">
        <f>"L"&amp;A38&amp;" * L"&amp;A157&amp;""</f>
        <v>L33 * L152</v>
      </c>
      <c r="E163" s="72"/>
      <c r="F163" s="323"/>
      <c r="G163" s="59"/>
      <c r="H163" s="326"/>
      <c r="I163" s="59"/>
      <c r="J163" s="326"/>
      <c r="K163" s="72">
        <f t="shared" si="23"/>
        <v>4.8963198668055733E-7</v>
      </c>
      <c r="L163" s="35"/>
    </row>
    <row r="164" spans="1:13" s="34" customFormat="1" ht="13.5" thickBot="1">
      <c r="A164" s="156">
        <f t="shared" si="21"/>
        <v>159</v>
      </c>
      <c r="B164" s="153" t="s">
        <v>1262</v>
      </c>
      <c r="C164" s="154">
        <f>SUM(C159:C163)</f>
        <v>76650567.712797105</v>
      </c>
      <c r="D164" s="154"/>
      <c r="E164" s="154">
        <f>SUM(E159:E163)</f>
        <v>574878.82412236521</v>
      </c>
      <c r="F164" s="324"/>
      <c r="G164" s="154">
        <f>SUM(G159:G163)</f>
        <v>3817691.5873524644</v>
      </c>
      <c r="H164" s="327"/>
      <c r="I164" s="154">
        <f>SUM(I159:I163)</f>
        <v>0</v>
      </c>
      <c r="J164" s="327"/>
      <c r="K164" s="154">
        <f>SUM(K159:K163)</f>
        <v>81043138.124271944</v>
      </c>
      <c r="L164" s="35"/>
      <c r="M164" s="30"/>
    </row>
    <row r="165" spans="1:13" ht="13.5" thickTop="1">
      <c r="A165" s="156">
        <f t="shared" si="21"/>
        <v>160</v>
      </c>
      <c r="B165" s="72"/>
      <c r="C165" s="72"/>
      <c r="D165" s="35"/>
      <c r="E165" s="72"/>
      <c r="F165" s="323"/>
      <c r="G165" s="59"/>
      <c r="H165" s="326"/>
      <c r="I165" s="59"/>
      <c r="J165" s="326"/>
      <c r="K165" s="72"/>
      <c r="L165" s="35"/>
    </row>
    <row r="166" spans="1:13">
      <c r="A166" s="156">
        <f t="shared" si="21"/>
        <v>161</v>
      </c>
      <c r="B166" s="149" t="s">
        <v>1263</v>
      </c>
      <c r="C166" s="53">
        <f>C157</f>
        <v>80256386.770000011</v>
      </c>
      <c r="D166" s="321" t="s">
        <v>1249</v>
      </c>
      <c r="E166" s="57">
        <f>E157</f>
        <v>55859676</v>
      </c>
      <c r="F166" s="325" t="s">
        <v>1250</v>
      </c>
      <c r="G166" s="55">
        <f>G157</f>
        <v>52831968</v>
      </c>
      <c r="H166" s="325" t="s">
        <v>1205</v>
      </c>
      <c r="I166" s="57">
        <f>I157</f>
        <v>49441866</v>
      </c>
      <c r="J166" s="325" t="s">
        <v>1161</v>
      </c>
      <c r="K166" s="53">
        <f>C166+E166+G166+I166</f>
        <v>238389896.77000001</v>
      </c>
      <c r="L166" s="35"/>
    </row>
    <row r="167" spans="1:13">
      <c r="A167" s="156">
        <f>A166+1</f>
        <v>162</v>
      </c>
      <c r="B167" s="146" t="s">
        <v>1264</v>
      </c>
      <c r="C167" s="146">
        <f>$C$166*C33</f>
        <v>67046711.673884384</v>
      </c>
      <c r="D167" s="320" t="str">
        <f>"L"&amp;A33&amp;" * L"&amp;A166&amp;""</f>
        <v>L28 * L161</v>
      </c>
      <c r="E167" s="146">
        <f>$E$166*E33</f>
        <v>342270.36848796613</v>
      </c>
      <c r="F167" s="320" t="str">
        <f>"L"&amp;A33&amp;" * L"&amp;A166&amp;""</f>
        <v>L28 * L161</v>
      </c>
      <c r="G167" s="146">
        <f>$G$166*G33</f>
        <v>3717465.3084360356</v>
      </c>
      <c r="H167" s="320" t="str">
        <f>"L"&amp;A33&amp;" * L"&amp;A166&amp;""</f>
        <v>L28 * L161</v>
      </c>
      <c r="I167" s="146"/>
      <c r="J167" s="328"/>
      <c r="K167" s="146">
        <f>C167+E167+G167</f>
        <v>71106447.350808382</v>
      </c>
      <c r="L167" s="35"/>
    </row>
    <row r="168" spans="1:13">
      <c r="A168" s="156">
        <f>A167+1</f>
        <v>163</v>
      </c>
      <c r="B168" s="146" t="s">
        <v>1265</v>
      </c>
      <c r="C168" s="146">
        <f>$C$166*C34</f>
        <v>7533332.4374872735</v>
      </c>
      <c r="D168" s="320" t="str">
        <f>"L"&amp;A34&amp;" * L"&amp;A166&amp;""</f>
        <v>L29 * L161</v>
      </c>
      <c r="E168" s="146">
        <f>$E$166*E34</f>
        <v>232608.45563439911</v>
      </c>
      <c r="F168" s="320" t="str">
        <f>"L"&amp;A34&amp;" * L"&amp;A166&amp;""</f>
        <v>L29 * L161</v>
      </c>
      <c r="G168" s="146">
        <f>$G$166*G34</f>
        <v>100226.27891642894</v>
      </c>
      <c r="H168" s="320" t="str">
        <f>"L"&amp;A34&amp;" * L"&amp;A166&amp;""</f>
        <v>L29 * L161</v>
      </c>
      <c r="I168" s="146"/>
      <c r="J168" s="328"/>
      <c r="K168" s="146">
        <f>C168+E168+G168</f>
        <v>7866167.1720381016</v>
      </c>
      <c r="L168" s="35"/>
    </row>
    <row r="169" spans="1:13">
      <c r="A169" s="156">
        <f t="shared" si="21"/>
        <v>164</v>
      </c>
      <c r="B169" s="162" t="s">
        <v>1266</v>
      </c>
      <c r="C169" s="163">
        <v>12155809</v>
      </c>
      <c r="D169" s="322" t="s">
        <v>1267</v>
      </c>
      <c r="E169" s="163"/>
      <c r="F169" s="164"/>
      <c r="G169" s="163"/>
      <c r="H169" s="164"/>
      <c r="I169" s="163"/>
      <c r="J169" s="164"/>
      <c r="K169" s="163">
        <f>SUM(C169:I169)</f>
        <v>12155809</v>
      </c>
      <c r="L169" s="35"/>
    </row>
    <row r="170" spans="1:13">
      <c r="A170" s="156">
        <f t="shared" si="21"/>
        <v>165</v>
      </c>
      <c r="B170" s="146" t="s">
        <v>1268</v>
      </c>
      <c r="C170" s="146">
        <f>$C$166*C40</f>
        <v>1161572.5386398607</v>
      </c>
      <c r="D170" s="320" t="str">
        <f>"L"&amp;A40&amp;" * L"&amp;A166&amp;""</f>
        <v>L35 * L161</v>
      </c>
      <c r="E170" s="146"/>
      <c r="F170" s="147"/>
      <c r="G170" s="148"/>
      <c r="H170" s="147"/>
      <c r="I170" s="146"/>
      <c r="J170" s="147"/>
      <c r="K170" s="146">
        <f>C170+E170+G170+I170</f>
        <v>1161572.5386398607</v>
      </c>
      <c r="L170" s="35"/>
    </row>
    <row r="171" spans="1:13">
      <c r="A171" s="156">
        <f t="shared" si="21"/>
        <v>166</v>
      </c>
      <c r="B171" s="72"/>
      <c r="C171" s="72"/>
      <c r="D171" s="35"/>
      <c r="E171" s="72"/>
      <c r="F171" s="35"/>
      <c r="G171" s="59"/>
      <c r="H171" s="35"/>
      <c r="I171" s="59"/>
      <c r="J171" s="35"/>
      <c r="K171" s="72"/>
      <c r="L171" s="35"/>
    </row>
    <row r="172" spans="1:13">
      <c r="A172" s="156">
        <f t="shared" si="21"/>
        <v>167</v>
      </c>
      <c r="B172" s="333" t="s">
        <v>1269</v>
      </c>
      <c r="C172" s="333"/>
      <c r="D172" s="49"/>
      <c r="E172" s="49"/>
      <c r="F172" s="49"/>
      <c r="G172" s="49"/>
      <c r="H172" s="49"/>
      <c r="I172" s="49"/>
      <c r="J172" s="49"/>
      <c r="K172" s="49"/>
      <c r="L172" s="35"/>
    </row>
    <row r="173" spans="1:13">
      <c r="A173" s="156">
        <f>A172+1</f>
        <v>168</v>
      </c>
      <c r="B173" s="334" t="s">
        <v>1270</v>
      </c>
      <c r="C173" s="333"/>
      <c r="D173" s="49"/>
      <c r="E173" s="49"/>
      <c r="F173" s="49"/>
      <c r="G173" s="49"/>
      <c r="H173" s="49"/>
      <c r="I173" s="49"/>
      <c r="J173" s="49"/>
      <c r="K173" s="49"/>
      <c r="L173" s="35"/>
    </row>
    <row r="174" spans="1:13">
      <c r="A174" s="156">
        <f t="shared" si="21"/>
        <v>169</v>
      </c>
      <c r="B174" s="333" t="s">
        <v>1271</v>
      </c>
      <c r="C174" s="333"/>
      <c r="D174" s="49"/>
      <c r="E174" s="49"/>
      <c r="F174" s="49"/>
      <c r="G174" s="49"/>
      <c r="H174" s="49"/>
      <c r="I174" s="49"/>
      <c r="J174" s="49"/>
      <c r="K174" s="49"/>
      <c r="L174" s="35"/>
    </row>
    <row r="175" spans="1:13">
      <c r="A175" s="156">
        <f t="shared" si="21"/>
        <v>170</v>
      </c>
      <c r="B175" s="333" t="s">
        <v>1272</v>
      </c>
      <c r="C175" s="333"/>
      <c r="D175" s="49"/>
      <c r="E175" s="49"/>
      <c r="F175" s="49"/>
      <c r="G175" s="49"/>
      <c r="H175" s="49"/>
      <c r="I175" s="49"/>
      <c r="J175" s="49"/>
      <c r="K175" s="49"/>
      <c r="L175" s="35"/>
    </row>
    <row r="176" spans="1:13">
      <c r="A176" s="156">
        <f t="shared" si="21"/>
        <v>171</v>
      </c>
      <c r="B176" s="333" t="s">
        <v>1273</v>
      </c>
      <c r="C176" s="333"/>
      <c r="D176" s="49"/>
      <c r="E176" s="49"/>
      <c r="F176" s="49"/>
      <c r="G176" s="49"/>
      <c r="H176" s="49"/>
      <c r="I176" s="49"/>
      <c r="J176" s="49"/>
      <c r="K176" s="49"/>
      <c r="L176" s="35"/>
    </row>
    <row r="177" spans="1:13">
      <c r="A177" s="156">
        <f t="shared" si="21"/>
        <v>172</v>
      </c>
      <c r="B177" s="334" t="s">
        <v>1274</v>
      </c>
      <c r="C177" s="333"/>
      <c r="D177" s="49"/>
      <c r="E177" s="49"/>
      <c r="F177" s="49"/>
      <c r="G177" s="49"/>
      <c r="H177" s="49"/>
      <c r="I177" s="49"/>
      <c r="J177" s="49"/>
      <c r="K177" s="56"/>
      <c r="L177" s="35"/>
    </row>
    <row r="178" spans="1:13">
      <c r="A178" s="156">
        <f t="shared" si="21"/>
        <v>173</v>
      </c>
      <c r="B178" s="334" t="s">
        <v>1275</v>
      </c>
      <c r="C178" s="333"/>
      <c r="D178" s="49"/>
      <c r="E178" s="49"/>
      <c r="F178" s="49"/>
      <c r="G178" s="49"/>
      <c r="H178" s="49"/>
      <c r="I178" s="49"/>
      <c r="J178" s="49"/>
      <c r="K178" s="49"/>
      <c r="L178" s="35"/>
    </row>
    <row r="179" spans="1:13">
      <c r="A179" s="156">
        <f t="shared" si="21"/>
        <v>174</v>
      </c>
      <c r="B179" s="333" t="s">
        <v>1276</v>
      </c>
      <c r="C179" s="333"/>
      <c r="D179" s="49"/>
      <c r="E179" s="49"/>
      <c r="F179" s="49"/>
      <c r="G179" s="49"/>
      <c r="H179" s="49"/>
      <c r="I179" s="49"/>
      <c r="J179" s="49"/>
      <c r="K179" s="49"/>
      <c r="L179" s="35"/>
    </row>
    <row r="180" spans="1:13">
      <c r="A180" s="156">
        <f t="shared" si="21"/>
        <v>175</v>
      </c>
      <c r="B180" s="326" t="s">
        <v>1277</v>
      </c>
      <c r="C180" s="333"/>
      <c r="D180" s="49"/>
      <c r="E180" s="49"/>
      <c r="F180" s="49"/>
      <c r="G180" s="49"/>
      <c r="H180" s="49"/>
      <c r="I180" s="49"/>
      <c r="J180" s="49"/>
      <c r="K180" s="49"/>
      <c r="L180" s="35"/>
    </row>
    <row r="181" spans="1:13">
      <c r="A181" s="156">
        <f t="shared" si="21"/>
        <v>176</v>
      </c>
      <c r="B181" s="333" t="s">
        <v>1278</v>
      </c>
      <c r="C181" s="333"/>
      <c r="D181" s="49"/>
      <c r="E181" s="49"/>
      <c r="F181" s="49"/>
      <c r="G181" s="49"/>
      <c r="H181" s="49"/>
      <c r="I181" s="49"/>
      <c r="J181" s="49"/>
      <c r="K181" s="49"/>
      <c r="L181" s="35"/>
    </row>
    <row r="182" spans="1:13">
      <c r="A182" s="156">
        <f t="shared" si="21"/>
        <v>177</v>
      </c>
      <c r="B182" s="333" t="s">
        <v>1279</v>
      </c>
      <c r="C182" s="333"/>
      <c r="D182" s="49"/>
      <c r="E182" s="49"/>
      <c r="F182" s="49"/>
      <c r="G182" s="49"/>
      <c r="H182" s="49"/>
      <c r="I182" s="49"/>
      <c r="J182" s="49"/>
      <c r="K182" s="49"/>
      <c r="L182" s="35"/>
    </row>
    <row r="183" spans="1:13">
      <c r="A183" s="156">
        <f t="shared" si="21"/>
        <v>178</v>
      </c>
      <c r="B183" s="333" t="s">
        <v>1280</v>
      </c>
      <c r="C183" s="333"/>
      <c r="D183" s="49"/>
      <c r="E183" s="49"/>
      <c r="F183" s="49"/>
      <c r="G183" s="49"/>
      <c r="H183" s="49"/>
      <c r="I183" s="49"/>
      <c r="J183" s="49"/>
      <c r="K183" s="49"/>
      <c r="L183" s="35"/>
    </row>
    <row r="184" spans="1:13">
      <c r="A184" s="156">
        <f t="shared" si="21"/>
        <v>179</v>
      </c>
      <c r="B184" s="335" t="s">
        <v>1281</v>
      </c>
      <c r="C184" s="333"/>
      <c r="D184" s="49"/>
      <c r="E184" s="49"/>
      <c r="F184" s="49"/>
      <c r="G184" s="49"/>
      <c r="H184" s="49"/>
      <c r="I184" s="49"/>
      <c r="J184" s="49"/>
      <c r="K184" s="49"/>
      <c r="L184" s="35"/>
    </row>
    <row r="185" spans="1:13">
      <c r="A185" s="156">
        <f t="shared" si="21"/>
        <v>180</v>
      </c>
      <c r="B185" s="335" t="s">
        <v>1282</v>
      </c>
      <c r="C185" s="333"/>
      <c r="D185" s="49"/>
      <c r="E185" s="49"/>
      <c r="F185" s="49"/>
      <c r="G185" s="49"/>
      <c r="H185" s="49"/>
      <c r="I185" s="49"/>
      <c r="J185" s="49"/>
      <c r="K185" s="49"/>
      <c r="L185" s="35"/>
    </row>
    <row r="186" spans="1:13">
      <c r="A186" s="156">
        <f t="shared" si="21"/>
        <v>181</v>
      </c>
      <c r="B186" s="335" t="s">
        <v>1283</v>
      </c>
      <c r="C186" s="333"/>
      <c r="D186" s="49"/>
      <c r="E186" s="49"/>
      <c r="F186" s="49"/>
      <c r="G186" s="49"/>
      <c r="H186" s="49"/>
      <c r="I186" s="49"/>
      <c r="J186" s="49"/>
      <c r="K186" s="49"/>
      <c r="L186" s="35"/>
    </row>
    <row r="187" spans="1:13" s="34" customFormat="1">
      <c r="A187" s="156">
        <f t="shared" si="21"/>
        <v>182</v>
      </c>
      <c r="B187" s="336" t="s">
        <v>1284</v>
      </c>
      <c r="C187" s="337"/>
      <c r="D187" s="52"/>
      <c r="E187" s="51"/>
      <c r="F187" s="52"/>
      <c r="G187" s="51"/>
      <c r="H187" s="52"/>
      <c r="I187" s="51"/>
      <c r="J187" s="52"/>
      <c r="K187" s="49"/>
      <c r="L187" s="35"/>
      <c r="M187" s="30"/>
    </row>
    <row r="188" spans="1:13" s="34" customFormat="1">
      <c r="A188" s="156">
        <f t="shared" si="21"/>
        <v>183</v>
      </c>
      <c r="B188" s="336" t="s">
        <v>1285</v>
      </c>
      <c r="C188" s="337"/>
      <c r="D188" s="52"/>
      <c r="E188" s="51"/>
      <c r="F188" s="52"/>
      <c r="G188" s="51"/>
      <c r="H188" s="52"/>
      <c r="I188" s="51"/>
      <c r="J188" s="52"/>
      <c r="K188" s="49"/>
      <c r="L188" s="35"/>
      <c r="M188" s="30"/>
    </row>
    <row r="189" spans="1:13" s="34" customFormat="1">
      <c r="A189" s="156">
        <f t="shared" si="21"/>
        <v>184</v>
      </c>
      <c r="B189" s="336" t="s">
        <v>1286</v>
      </c>
      <c r="C189" s="337"/>
      <c r="D189" s="52"/>
      <c r="E189" s="51"/>
      <c r="F189" s="52"/>
      <c r="G189" s="51"/>
      <c r="H189" s="52"/>
      <c r="I189" s="51"/>
      <c r="J189" s="52"/>
      <c r="K189" s="49"/>
      <c r="L189" s="35"/>
      <c r="M189" s="30"/>
    </row>
    <row r="190" spans="1:13" s="34" customFormat="1">
      <c r="A190" s="156">
        <f t="shared" si="21"/>
        <v>185</v>
      </c>
      <c r="B190" s="336" t="s">
        <v>1287</v>
      </c>
      <c r="C190" s="337"/>
      <c r="D190" s="52"/>
      <c r="E190" s="51"/>
      <c r="F190" s="52"/>
      <c r="G190" s="51"/>
      <c r="H190" s="52"/>
      <c r="I190" s="51"/>
      <c r="J190" s="52"/>
      <c r="K190" s="49"/>
      <c r="L190" s="35"/>
      <c r="M190" s="30"/>
    </row>
    <row r="191" spans="1:13" s="34" customFormat="1">
      <c r="A191" s="156">
        <f t="shared" si="21"/>
        <v>186</v>
      </c>
      <c r="B191" s="333" t="s">
        <v>1288</v>
      </c>
      <c r="C191" s="337"/>
      <c r="D191" s="52"/>
      <c r="E191" s="51"/>
      <c r="F191" s="52"/>
      <c r="G191" s="51"/>
      <c r="H191" s="52"/>
      <c r="I191" s="51"/>
      <c r="J191" s="52"/>
      <c r="K191" s="49"/>
      <c r="L191" s="35"/>
      <c r="M191" s="30"/>
    </row>
    <row r="192" spans="1:13">
      <c r="C192" s="32"/>
      <c r="D192" s="32"/>
      <c r="E192" s="32"/>
      <c r="F192" s="32"/>
      <c r="G192" s="32"/>
    </row>
    <row r="193" spans="2:7">
      <c r="B193" s="32"/>
      <c r="C193" s="32"/>
      <c r="D193" s="32"/>
      <c r="E193" s="32"/>
      <c r="F193" s="32"/>
      <c r="G193" s="32"/>
    </row>
    <row r="194" spans="2:7">
      <c r="C194" s="32"/>
      <c r="D194" s="32"/>
      <c r="E194" s="32"/>
      <c r="F194" s="32"/>
      <c r="G194" s="32"/>
    </row>
    <row r="195" spans="2:7">
      <c r="B195" s="32"/>
      <c r="C195" s="32"/>
      <c r="D195" s="32"/>
      <c r="E195" s="32"/>
      <c r="F195" s="32"/>
      <c r="G195" s="32"/>
    </row>
  </sheetData>
  <mergeCells count="2">
    <mergeCell ref="B24:K24"/>
    <mergeCell ref="B32:K32"/>
  </mergeCells>
  <hyperlinks>
    <hyperlink ref="C1" location="'Cover Sheets'!A18" display="(Back to Worksheet Links)" xr:uid="{AD550180-44AD-475D-9AD9-5F990460F903}"/>
  </hyperlinks>
  <pageMargins left="0.7" right="0.7" top="0.75" bottom="0.75" header="0.3" footer="0.3"/>
  <pageSetup paperSize="17" fitToHeight="0" orientation="landscape" r:id="rId1"/>
  <headerFooter>
    <oddFooter>&amp;R&amp;A</oddFooter>
  </headerFooter>
  <rowBreaks count="1" manualBreakCount="1">
    <brk id="7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618"/>
  <sheetViews>
    <sheetView view="pageBreakPreview" topLeftCell="A42" zoomScale="70" zoomScaleNormal="90" zoomScaleSheetLayoutView="70" zoomScalePageLayoutView="90" workbookViewId="0">
      <selection activeCell="L57" sqref="L57"/>
    </sheetView>
  </sheetViews>
  <sheetFormatPr defaultColWidth="9.140625" defaultRowHeight="12.75" outlineLevelRow="2"/>
  <cols>
    <col min="1" max="1" width="9.140625" style="7"/>
    <col min="2" max="2" width="12.7109375" style="7" bestFit="1" customWidth="1"/>
    <col min="3" max="3" width="14.28515625" style="7" customWidth="1"/>
    <col min="4" max="4" width="8" style="13" customWidth="1"/>
    <col min="5" max="5" width="42.85546875" style="8" customWidth="1"/>
    <col min="6" max="7" width="21.5703125" style="28" customWidth="1"/>
    <col min="8" max="9" width="18.42578125" style="9" customWidth="1"/>
    <col min="10" max="11" width="14.5703125" style="9" customWidth="1"/>
    <col min="12" max="12" width="16.5703125" style="10" customWidth="1"/>
    <col min="13" max="13" width="20.5703125" style="13" customWidth="1"/>
    <col min="14" max="14" width="13.5703125" style="8" bestFit="1" customWidth="1"/>
    <col min="15" max="15" width="12.140625" style="7" customWidth="1"/>
    <col min="16" max="16" width="12" style="7" customWidth="1"/>
    <col min="17" max="18" width="9.140625" style="8" customWidth="1"/>
    <col min="19" max="19" width="12.42578125" style="8" bestFit="1" customWidth="1"/>
    <col min="20" max="16384" width="9.140625" style="8"/>
  </cols>
  <sheetData>
    <row r="1" spans="1:16" s="3" customFormat="1" ht="15">
      <c r="A1" s="6" t="str">
        <f>'Cover Sheets'!A10:D10</f>
        <v>WAPA-UGP 2025 Rate Estimate Calculation</v>
      </c>
      <c r="B1" s="1"/>
      <c r="C1" s="1"/>
      <c r="D1" s="2"/>
      <c r="F1" s="430" t="s">
        <v>53</v>
      </c>
      <c r="G1" s="430"/>
      <c r="H1" s="119"/>
      <c r="I1" s="119"/>
      <c r="J1" s="119"/>
      <c r="K1" s="119"/>
      <c r="L1" s="431"/>
    </row>
    <row r="2" spans="1:16" s="3" customFormat="1">
      <c r="A2" s="6" t="s">
        <v>104</v>
      </c>
      <c r="B2" s="1"/>
      <c r="C2" s="1"/>
      <c r="D2" s="2"/>
      <c r="F2" s="182"/>
      <c r="G2" s="182"/>
      <c r="H2" s="119"/>
      <c r="I2" s="119"/>
      <c r="J2" s="119"/>
      <c r="K2" s="119"/>
      <c r="L2" s="431"/>
    </row>
    <row r="3" spans="1:16" s="4" customFormat="1" ht="14.1" customHeight="1">
      <c r="A3" s="1" t="str">
        <f>'Summary-Est'!A3</f>
        <v>12 Months Ending 09/30/2025 Estimate</v>
      </c>
      <c r="B3" s="1"/>
      <c r="C3" s="1"/>
      <c r="D3" s="3"/>
      <c r="F3" s="118"/>
      <c r="G3" s="118"/>
      <c r="H3" s="118"/>
      <c r="I3" s="118"/>
      <c r="J3" s="118"/>
      <c r="K3" s="118"/>
      <c r="M3" s="3"/>
      <c r="N3" s="3"/>
      <c r="O3" s="3"/>
      <c r="P3" s="3"/>
    </row>
    <row r="4" spans="1:16" s="4" customFormat="1" ht="14.1" customHeight="1">
      <c r="A4" s="1"/>
      <c r="B4" s="89">
        <v>-1</v>
      </c>
      <c r="C4" s="89">
        <v>-2</v>
      </c>
      <c r="D4" s="89">
        <v>-3</v>
      </c>
      <c r="E4" s="89">
        <v>-4</v>
      </c>
      <c r="F4" s="89">
        <v>-5</v>
      </c>
      <c r="G4" s="89">
        <v>-6</v>
      </c>
      <c r="H4" s="159">
        <v>-7</v>
      </c>
      <c r="I4" s="89">
        <v>-8</v>
      </c>
      <c r="J4" s="89">
        <v>-9</v>
      </c>
      <c r="K4" s="159">
        <v>-10</v>
      </c>
      <c r="L4" s="159">
        <v>-11</v>
      </c>
      <c r="M4" s="3"/>
      <c r="N4" s="3"/>
      <c r="O4" s="3"/>
      <c r="P4" s="3"/>
    </row>
    <row r="5" spans="1:16" s="3" customFormat="1" ht="54.75" customHeight="1">
      <c r="A5" s="3" t="s">
        <v>22</v>
      </c>
      <c r="B5" s="3" t="s">
        <v>105</v>
      </c>
      <c r="D5" s="5" t="s">
        <v>106</v>
      </c>
      <c r="E5" s="6" t="s">
        <v>107</v>
      </c>
      <c r="F5" s="120" t="s">
        <v>108</v>
      </c>
      <c r="G5" s="120" t="s">
        <v>109</v>
      </c>
      <c r="H5" s="120" t="s">
        <v>110</v>
      </c>
      <c r="I5" s="120" t="s">
        <v>111</v>
      </c>
      <c r="J5" s="120" t="s">
        <v>112</v>
      </c>
      <c r="K5" s="120" t="s">
        <v>113</v>
      </c>
      <c r="L5" s="432" t="s">
        <v>114</v>
      </c>
      <c r="M5" s="5" t="s">
        <v>115</v>
      </c>
      <c r="P5" s="5"/>
    </row>
    <row r="6" spans="1:16" outlineLevel="2">
      <c r="A6" s="7">
        <v>1</v>
      </c>
      <c r="B6" s="7" t="s">
        <v>29</v>
      </c>
      <c r="C6" s="7" t="s">
        <v>80</v>
      </c>
      <c r="D6" s="8" t="s">
        <v>116</v>
      </c>
      <c r="E6" s="8" t="s">
        <v>117</v>
      </c>
      <c r="F6" s="28">
        <v>96623.18</v>
      </c>
      <c r="H6" s="10">
        <f>F6+G6</f>
        <v>96623.18</v>
      </c>
      <c r="I6" s="10">
        <v>0</v>
      </c>
      <c r="J6" s="10">
        <v>0</v>
      </c>
      <c r="K6" s="10"/>
      <c r="L6" s="433">
        <f t="shared" ref="L6:L37" si="0">SUM(H6:K6)</f>
        <v>96623.18</v>
      </c>
      <c r="M6" s="8"/>
      <c r="N6" s="7"/>
      <c r="P6" s="11"/>
    </row>
    <row r="7" spans="1:16" ht="13.5" customHeight="1" outlineLevel="2">
      <c r="A7" s="7">
        <f>A6+1</f>
        <v>2</v>
      </c>
      <c r="B7" s="7" t="s">
        <v>29</v>
      </c>
      <c r="C7" s="7" t="s">
        <v>80</v>
      </c>
      <c r="D7" s="8" t="s">
        <v>118</v>
      </c>
      <c r="E7" s="8" t="s">
        <v>119</v>
      </c>
      <c r="F7" s="28">
        <v>343710.28</v>
      </c>
      <c r="H7" s="10">
        <f t="shared" ref="H7:H70" si="1">F7+G7</f>
        <v>343710.28</v>
      </c>
      <c r="I7" s="10">
        <v>0</v>
      </c>
      <c r="J7" s="10">
        <v>0</v>
      </c>
      <c r="K7" s="10"/>
      <c r="L7" s="433">
        <f t="shared" si="0"/>
        <v>343710.28</v>
      </c>
      <c r="M7" s="8"/>
      <c r="N7" s="7"/>
      <c r="P7" s="11"/>
    </row>
    <row r="8" spans="1:16" ht="12.75" customHeight="1" outlineLevel="2">
      <c r="A8" s="7">
        <f>A7+1</f>
        <v>3</v>
      </c>
      <c r="B8" s="7" t="s">
        <v>29</v>
      </c>
      <c r="C8" s="7" t="s">
        <v>80</v>
      </c>
      <c r="D8" s="8" t="s">
        <v>120</v>
      </c>
      <c r="E8" s="8" t="s">
        <v>121</v>
      </c>
      <c r="F8" s="183">
        <v>459778.46</v>
      </c>
      <c r="G8" s="183"/>
      <c r="H8" s="10">
        <f t="shared" si="1"/>
        <v>459778.46</v>
      </c>
      <c r="I8" s="10">
        <v>0</v>
      </c>
      <c r="J8" s="10">
        <v>0</v>
      </c>
      <c r="K8" s="10"/>
      <c r="L8" s="433">
        <f t="shared" si="0"/>
        <v>459778.46</v>
      </c>
      <c r="M8" s="8"/>
      <c r="N8" s="7"/>
      <c r="P8" s="11"/>
    </row>
    <row r="9" spans="1:16" outlineLevel="2">
      <c r="A9" s="7">
        <f t="shared" ref="A9:A72" si="2">A8+1</f>
        <v>4</v>
      </c>
      <c r="B9" s="7" t="s">
        <v>29</v>
      </c>
      <c r="C9" s="7" t="s">
        <v>80</v>
      </c>
      <c r="D9" s="12" t="s">
        <v>122</v>
      </c>
      <c r="E9" s="8" t="s">
        <v>123</v>
      </c>
      <c r="F9" s="183">
        <v>357312.09</v>
      </c>
      <c r="G9" s="183"/>
      <c r="H9" s="10">
        <f t="shared" si="1"/>
        <v>357312.09</v>
      </c>
      <c r="I9" s="10">
        <v>0</v>
      </c>
      <c r="J9" s="10">
        <v>0</v>
      </c>
      <c r="K9" s="10"/>
      <c r="L9" s="433">
        <f t="shared" si="0"/>
        <v>357312.09</v>
      </c>
      <c r="M9" s="12"/>
      <c r="N9" s="7"/>
      <c r="P9" s="11"/>
    </row>
    <row r="10" spans="1:16" outlineLevel="2">
      <c r="A10" s="7">
        <f t="shared" si="2"/>
        <v>5</v>
      </c>
      <c r="B10" s="7" t="s">
        <v>29</v>
      </c>
      <c r="C10" s="7" t="s">
        <v>80</v>
      </c>
      <c r="D10" s="13" t="s">
        <v>124</v>
      </c>
      <c r="E10" s="8" t="s">
        <v>125</v>
      </c>
      <c r="F10" s="183">
        <v>6362299.5499999998</v>
      </c>
      <c r="G10" s="183"/>
      <c r="H10" s="10">
        <f t="shared" si="1"/>
        <v>6362299.5499999998</v>
      </c>
      <c r="I10" s="10">
        <v>0</v>
      </c>
      <c r="J10" s="10">
        <v>0</v>
      </c>
      <c r="K10" s="10"/>
      <c r="L10" s="433">
        <f t="shared" si="0"/>
        <v>6362299.5499999998</v>
      </c>
      <c r="N10" s="7"/>
      <c r="P10" s="11"/>
    </row>
    <row r="11" spans="1:16" outlineLevel="2">
      <c r="A11" s="7">
        <f t="shared" si="2"/>
        <v>6</v>
      </c>
      <c r="B11" s="7" t="s">
        <v>29</v>
      </c>
      <c r="C11" s="7" t="s">
        <v>80</v>
      </c>
      <c r="D11" s="13" t="s">
        <v>126</v>
      </c>
      <c r="E11" s="8" t="s">
        <v>127</v>
      </c>
      <c r="F11" s="183">
        <v>9317119.5999999996</v>
      </c>
      <c r="G11" s="183"/>
      <c r="H11" s="10">
        <f t="shared" si="1"/>
        <v>9317119.5999999996</v>
      </c>
      <c r="I11" s="10">
        <v>0</v>
      </c>
      <c r="J11" s="10">
        <v>0</v>
      </c>
      <c r="K11" s="10"/>
      <c r="L11" s="433">
        <f t="shared" si="0"/>
        <v>9317119.5999999996</v>
      </c>
      <c r="N11" s="7"/>
    </row>
    <row r="12" spans="1:16" outlineLevel="2">
      <c r="A12" s="7">
        <f t="shared" si="2"/>
        <v>7</v>
      </c>
      <c r="B12" s="7" t="s">
        <v>29</v>
      </c>
      <c r="C12" s="7" t="s">
        <v>80</v>
      </c>
      <c r="D12" s="13" t="s">
        <v>128</v>
      </c>
      <c r="E12" s="8" t="s">
        <v>129</v>
      </c>
      <c r="F12" s="183">
        <v>7484031.3300000001</v>
      </c>
      <c r="G12" s="183"/>
      <c r="H12" s="10">
        <f t="shared" si="1"/>
        <v>7484031.3300000001</v>
      </c>
      <c r="I12" s="10">
        <v>0</v>
      </c>
      <c r="J12" s="10">
        <v>0</v>
      </c>
      <c r="K12" s="10"/>
      <c r="L12" s="433">
        <f t="shared" si="0"/>
        <v>7484031.3300000001</v>
      </c>
      <c r="N12" s="7"/>
      <c r="P12" s="11"/>
    </row>
    <row r="13" spans="1:16" outlineLevel="2">
      <c r="A13" s="7">
        <f t="shared" si="2"/>
        <v>8</v>
      </c>
      <c r="B13" s="7" t="s">
        <v>29</v>
      </c>
      <c r="C13" s="7" t="s">
        <v>80</v>
      </c>
      <c r="D13" s="13" t="s">
        <v>130</v>
      </c>
      <c r="E13" s="8" t="s">
        <v>131</v>
      </c>
      <c r="F13" s="183">
        <v>12837758.279999999</v>
      </c>
      <c r="G13" s="183"/>
      <c r="H13" s="10">
        <f t="shared" si="1"/>
        <v>12837758.279999999</v>
      </c>
      <c r="I13" s="10">
        <v>0</v>
      </c>
      <c r="J13" s="10">
        <v>0</v>
      </c>
      <c r="K13" s="10"/>
      <c r="L13" s="433">
        <f t="shared" si="0"/>
        <v>12837758.279999999</v>
      </c>
      <c r="N13" s="7"/>
    </row>
    <row r="14" spans="1:16" outlineLevel="2">
      <c r="A14" s="7">
        <f t="shared" si="2"/>
        <v>9</v>
      </c>
      <c r="B14" s="7" t="s">
        <v>29</v>
      </c>
      <c r="C14" s="7" t="s">
        <v>80</v>
      </c>
      <c r="D14" s="13" t="s">
        <v>132</v>
      </c>
      <c r="E14" s="8" t="s">
        <v>133</v>
      </c>
      <c r="F14" s="183">
        <v>2564428.87</v>
      </c>
      <c r="G14" s="183"/>
      <c r="H14" s="10">
        <f t="shared" si="1"/>
        <v>2564428.87</v>
      </c>
      <c r="I14" s="10">
        <v>0</v>
      </c>
      <c r="J14" s="10">
        <v>0</v>
      </c>
      <c r="K14" s="10"/>
      <c r="L14" s="433">
        <f t="shared" si="0"/>
        <v>2564428.87</v>
      </c>
      <c r="N14" s="7"/>
      <c r="P14" s="11"/>
    </row>
    <row r="15" spans="1:16" outlineLevel="2">
      <c r="A15" s="7">
        <f t="shared" si="2"/>
        <v>10</v>
      </c>
      <c r="B15" s="7" t="s">
        <v>29</v>
      </c>
      <c r="C15" s="7" t="s">
        <v>80</v>
      </c>
      <c r="D15" s="13" t="s">
        <v>134</v>
      </c>
      <c r="E15" s="8" t="s">
        <v>135</v>
      </c>
      <c r="F15" s="183">
        <v>1718240.27</v>
      </c>
      <c r="G15" s="183"/>
      <c r="H15" s="10">
        <f t="shared" si="1"/>
        <v>1718240.27</v>
      </c>
      <c r="I15" s="10">
        <v>0</v>
      </c>
      <c r="J15" s="10">
        <v>0</v>
      </c>
      <c r="K15" s="10"/>
      <c r="L15" s="433">
        <f t="shared" si="0"/>
        <v>1718240.27</v>
      </c>
      <c r="N15" s="7"/>
      <c r="P15" s="11"/>
    </row>
    <row r="16" spans="1:16" outlineLevel="2">
      <c r="A16" s="7">
        <f t="shared" si="2"/>
        <v>11</v>
      </c>
      <c r="B16" s="7" t="s">
        <v>29</v>
      </c>
      <c r="C16" s="7" t="s">
        <v>80</v>
      </c>
      <c r="D16" s="13" t="s">
        <v>136</v>
      </c>
      <c r="E16" s="8" t="s">
        <v>137</v>
      </c>
      <c r="F16" s="183">
        <v>3318557.94</v>
      </c>
      <c r="G16" s="183"/>
      <c r="H16" s="10">
        <f t="shared" si="1"/>
        <v>3318557.94</v>
      </c>
      <c r="I16" s="10">
        <v>0</v>
      </c>
      <c r="J16" s="10">
        <v>0</v>
      </c>
      <c r="K16" s="10"/>
      <c r="L16" s="433">
        <f t="shared" si="0"/>
        <v>3318557.94</v>
      </c>
      <c r="N16" s="7"/>
      <c r="P16" s="11"/>
    </row>
    <row r="17" spans="1:16" outlineLevel="2">
      <c r="A17" s="7">
        <f t="shared" si="2"/>
        <v>12</v>
      </c>
      <c r="B17" s="7" t="s">
        <v>29</v>
      </c>
      <c r="C17" s="7" t="s">
        <v>80</v>
      </c>
      <c r="D17" s="13" t="s">
        <v>138</v>
      </c>
      <c r="E17" s="8" t="s">
        <v>139</v>
      </c>
      <c r="F17" s="183">
        <v>3495515.91</v>
      </c>
      <c r="G17" s="183"/>
      <c r="H17" s="10">
        <f t="shared" si="1"/>
        <v>3495515.91</v>
      </c>
      <c r="I17" s="10">
        <v>0</v>
      </c>
      <c r="J17" s="10">
        <v>0</v>
      </c>
      <c r="K17" s="10"/>
      <c r="L17" s="433">
        <f t="shared" si="0"/>
        <v>3495515.91</v>
      </c>
      <c r="N17" s="7"/>
      <c r="P17" s="11"/>
    </row>
    <row r="18" spans="1:16" outlineLevel="2">
      <c r="A18" s="7">
        <f t="shared" si="2"/>
        <v>13</v>
      </c>
      <c r="B18" s="7" t="s">
        <v>29</v>
      </c>
      <c r="C18" s="7" t="s">
        <v>80</v>
      </c>
      <c r="D18" s="13" t="s">
        <v>140</v>
      </c>
      <c r="E18" s="8" t="s">
        <v>141</v>
      </c>
      <c r="F18" s="183">
        <v>1259667.9099999999</v>
      </c>
      <c r="G18" s="183"/>
      <c r="H18" s="10">
        <f t="shared" si="1"/>
        <v>1259667.9099999999</v>
      </c>
      <c r="I18" s="10">
        <v>0</v>
      </c>
      <c r="J18" s="10">
        <v>0</v>
      </c>
      <c r="K18" s="10"/>
      <c r="L18" s="433">
        <f t="shared" si="0"/>
        <v>1259667.9099999999</v>
      </c>
      <c r="N18" s="7"/>
      <c r="P18" s="11"/>
    </row>
    <row r="19" spans="1:16" outlineLevel="2">
      <c r="A19" s="7">
        <f t="shared" si="2"/>
        <v>14</v>
      </c>
      <c r="B19" s="7" t="s">
        <v>29</v>
      </c>
      <c r="C19" s="7" t="s">
        <v>80</v>
      </c>
      <c r="D19" s="13" t="s">
        <v>142</v>
      </c>
      <c r="E19" s="8" t="s">
        <v>143</v>
      </c>
      <c r="F19" s="183">
        <v>13451446</v>
      </c>
      <c r="G19" s="183"/>
      <c r="H19" s="10">
        <f t="shared" si="1"/>
        <v>13451446</v>
      </c>
      <c r="I19" s="10">
        <v>0</v>
      </c>
      <c r="J19" s="10">
        <v>0</v>
      </c>
      <c r="K19" s="10"/>
      <c r="L19" s="433">
        <f t="shared" si="0"/>
        <v>13451446</v>
      </c>
      <c r="N19" s="7"/>
      <c r="P19" s="11"/>
    </row>
    <row r="20" spans="1:16" outlineLevel="2">
      <c r="A20" s="7">
        <f t="shared" si="2"/>
        <v>15</v>
      </c>
      <c r="B20" s="7" t="s">
        <v>29</v>
      </c>
      <c r="C20" s="7" t="s">
        <v>80</v>
      </c>
      <c r="D20" s="13" t="s">
        <v>144</v>
      </c>
      <c r="E20" s="8" t="s">
        <v>145</v>
      </c>
      <c r="F20" s="183">
        <v>14513307.74</v>
      </c>
      <c r="G20" s="183"/>
      <c r="H20" s="10">
        <f t="shared" si="1"/>
        <v>14513307.74</v>
      </c>
      <c r="I20" s="10">
        <v>0</v>
      </c>
      <c r="J20" s="10">
        <v>0</v>
      </c>
      <c r="K20" s="10"/>
      <c r="L20" s="433">
        <f t="shared" si="0"/>
        <v>14513307.74</v>
      </c>
      <c r="N20" s="7"/>
      <c r="P20" s="11"/>
    </row>
    <row r="21" spans="1:16" outlineLevel="2">
      <c r="A21" s="7">
        <f t="shared" si="2"/>
        <v>16</v>
      </c>
      <c r="B21" s="7" t="s">
        <v>29</v>
      </c>
      <c r="C21" s="7" t="s">
        <v>80</v>
      </c>
      <c r="D21" s="13" t="s">
        <v>146</v>
      </c>
      <c r="E21" s="8" t="s">
        <v>147</v>
      </c>
      <c r="F21" s="183">
        <v>8961040.5500000007</v>
      </c>
      <c r="G21" s="183"/>
      <c r="H21" s="10">
        <f t="shared" si="1"/>
        <v>8961040.5500000007</v>
      </c>
      <c r="I21" s="10">
        <v>0</v>
      </c>
      <c r="J21" s="10">
        <v>0</v>
      </c>
      <c r="K21" s="10"/>
      <c r="L21" s="433">
        <f t="shared" si="0"/>
        <v>8961040.5500000007</v>
      </c>
      <c r="N21" s="7"/>
      <c r="P21" s="11"/>
    </row>
    <row r="22" spans="1:16" outlineLevel="2">
      <c r="A22" s="7">
        <f t="shared" si="2"/>
        <v>17</v>
      </c>
      <c r="B22" s="7" t="s">
        <v>29</v>
      </c>
      <c r="C22" s="7" t="s">
        <v>80</v>
      </c>
      <c r="D22" s="13" t="s">
        <v>148</v>
      </c>
      <c r="E22" s="8" t="s">
        <v>149</v>
      </c>
      <c r="F22" s="183">
        <v>1366481</v>
      </c>
      <c r="G22" s="183"/>
      <c r="H22" s="10">
        <f t="shared" si="1"/>
        <v>1366481</v>
      </c>
      <c r="I22" s="10">
        <v>0</v>
      </c>
      <c r="J22" s="10">
        <v>0</v>
      </c>
      <c r="K22" s="10"/>
      <c r="L22" s="433">
        <f t="shared" si="0"/>
        <v>1366481</v>
      </c>
      <c r="N22" s="7"/>
      <c r="P22" s="11"/>
    </row>
    <row r="23" spans="1:16" outlineLevel="2">
      <c r="A23" s="7">
        <f t="shared" si="2"/>
        <v>18</v>
      </c>
      <c r="B23" s="7" t="s">
        <v>29</v>
      </c>
      <c r="C23" s="7" t="s">
        <v>80</v>
      </c>
      <c r="D23" s="13" t="s">
        <v>150</v>
      </c>
      <c r="E23" s="8" t="s">
        <v>151</v>
      </c>
      <c r="F23" s="183">
        <v>2605678.14</v>
      </c>
      <c r="G23" s="183"/>
      <c r="H23" s="10">
        <f t="shared" si="1"/>
        <v>2605678.14</v>
      </c>
      <c r="I23" s="10">
        <v>0</v>
      </c>
      <c r="J23" s="10">
        <v>0</v>
      </c>
      <c r="K23" s="10"/>
      <c r="L23" s="433">
        <f t="shared" si="0"/>
        <v>2605678.14</v>
      </c>
      <c r="N23" s="7"/>
      <c r="P23" s="11"/>
    </row>
    <row r="24" spans="1:16" outlineLevel="2">
      <c r="A24" s="7">
        <f t="shared" si="2"/>
        <v>19</v>
      </c>
      <c r="B24" s="7" t="s">
        <v>29</v>
      </c>
      <c r="C24" s="7" t="s">
        <v>80</v>
      </c>
      <c r="D24" s="13" t="s">
        <v>152</v>
      </c>
      <c r="E24" s="8" t="s">
        <v>153</v>
      </c>
      <c r="F24" s="28">
        <v>553799.82999999996</v>
      </c>
      <c r="H24" s="10">
        <f t="shared" si="1"/>
        <v>553799.82999999996</v>
      </c>
      <c r="I24" s="10">
        <v>0</v>
      </c>
      <c r="J24" s="10">
        <v>0</v>
      </c>
      <c r="K24" s="10"/>
      <c r="L24" s="433">
        <f t="shared" si="0"/>
        <v>553799.82999999996</v>
      </c>
      <c r="N24" s="7"/>
      <c r="P24" s="11"/>
    </row>
    <row r="25" spans="1:16" outlineLevel="2">
      <c r="A25" s="7">
        <f t="shared" si="2"/>
        <v>20</v>
      </c>
      <c r="B25" s="7" t="s">
        <v>29</v>
      </c>
      <c r="C25" s="7" t="s">
        <v>80</v>
      </c>
      <c r="D25" s="13" t="s">
        <v>154</v>
      </c>
      <c r="E25" s="8" t="s">
        <v>155</v>
      </c>
      <c r="F25" s="28">
        <v>3464063.5</v>
      </c>
      <c r="H25" s="10">
        <f t="shared" si="1"/>
        <v>3464063.5</v>
      </c>
      <c r="I25" s="10">
        <v>0</v>
      </c>
      <c r="J25" s="10">
        <v>0</v>
      </c>
      <c r="K25" s="10"/>
      <c r="L25" s="433">
        <f t="shared" si="0"/>
        <v>3464063.5</v>
      </c>
      <c r="N25" s="7"/>
      <c r="P25" s="11"/>
    </row>
    <row r="26" spans="1:16" outlineLevel="2">
      <c r="A26" s="7">
        <f t="shared" si="2"/>
        <v>21</v>
      </c>
      <c r="B26" s="7" t="s">
        <v>29</v>
      </c>
      <c r="C26" s="7" t="s">
        <v>80</v>
      </c>
      <c r="D26" s="13" t="s">
        <v>156</v>
      </c>
      <c r="E26" s="8" t="s">
        <v>157</v>
      </c>
      <c r="F26" s="28">
        <v>918675.84</v>
      </c>
      <c r="H26" s="10">
        <f t="shared" si="1"/>
        <v>918675.84</v>
      </c>
      <c r="I26" s="10">
        <v>0</v>
      </c>
      <c r="J26" s="10">
        <v>0</v>
      </c>
      <c r="K26" s="10"/>
      <c r="L26" s="433">
        <f t="shared" si="0"/>
        <v>918675.84</v>
      </c>
      <c r="N26" s="7"/>
      <c r="P26" s="11"/>
    </row>
    <row r="27" spans="1:16" outlineLevel="2">
      <c r="A27" s="7">
        <f t="shared" si="2"/>
        <v>22</v>
      </c>
      <c r="B27" s="7" t="s">
        <v>29</v>
      </c>
      <c r="C27" s="7" t="s">
        <v>80</v>
      </c>
      <c r="D27" s="13" t="s">
        <v>158</v>
      </c>
      <c r="E27" s="8" t="s">
        <v>159</v>
      </c>
      <c r="F27" s="28">
        <v>1258899.68</v>
      </c>
      <c r="H27" s="10">
        <f t="shared" si="1"/>
        <v>1258899.68</v>
      </c>
      <c r="I27" s="10">
        <v>0</v>
      </c>
      <c r="J27" s="10">
        <v>0</v>
      </c>
      <c r="K27" s="10">
        <f>-51813</f>
        <v>-51813</v>
      </c>
      <c r="L27" s="433">
        <f t="shared" si="0"/>
        <v>1207086.68</v>
      </c>
      <c r="N27" s="7"/>
      <c r="P27" s="11"/>
    </row>
    <row r="28" spans="1:16" outlineLevel="2">
      <c r="A28" s="7">
        <f t="shared" si="2"/>
        <v>23</v>
      </c>
      <c r="B28" s="7" t="s">
        <v>29</v>
      </c>
      <c r="C28" s="7" t="s">
        <v>80</v>
      </c>
      <c r="D28" s="13" t="s">
        <v>160</v>
      </c>
      <c r="E28" s="8" t="s">
        <v>161</v>
      </c>
      <c r="F28" s="28">
        <v>20977730.73</v>
      </c>
      <c r="H28" s="10">
        <f t="shared" si="1"/>
        <v>20977730.73</v>
      </c>
      <c r="I28" s="10">
        <v>0</v>
      </c>
      <c r="J28" s="10">
        <v>0</v>
      </c>
      <c r="K28" s="10"/>
      <c r="L28" s="433">
        <f t="shared" si="0"/>
        <v>20977730.73</v>
      </c>
      <c r="N28" s="7"/>
      <c r="P28" s="11"/>
    </row>
    <row r="29" spans="1:16" outlineLevel="2">
      <c r="A29" s="7">
        <f t="shared" si="2"/>
        <v>24</v>
      </c>
      <c r="B29" s="7" t="s">
        <v>29</v>
      </c>
      <c r="C29" s="7" t="s">
        <v>80</v>
      </c>
      <c r="D29" s="13" t="s">
        <v>162</v>
      </c>
      <c r="E29" s="8" t="s">
        <v>163</v>
      </c>
      <c r="F29" s="28">
        <v>9365001.5600000005</v>
      </c>
      <c r="H29" s="10">
        <f t="shared" si="1"/>
        <v>9365001.5600000005</v>
      </c>
      <c r="I29" s="10">
        <v>0</v>
      </c>
      <c r="J29" s="10">
        <v>0</v>
      </c>
      <c r="K29" s="10"/>
      <c r="L29" s="433">
        <f t="shared" si="0"/>
        <v>9365001.5600000005</v>
      </c>
      <c r="N29" s="7"/>
      <c r="P29" s="11"/>
    </row>
    <row r="30" spans="1:16" outlineLevel="2">
      <c r="A30" s="7">
        <f t="shared" si="2"/>
        <v>25</v>
      </c>
      <c r="B30" s="7" t="s">
        <v>29</v>
      </c>
      <c r="C30" s="7" t="s">
        <v>80</v>
      </c>
      <c r="D30" s="13" t="s">
        <v>164</v>
      </c>
      <c r="E30" s="8" t="s">
        <v>165</v>
      </c>
      <c r="F30" s="28">
        <v>1983046.82</v>
      </c>
      <c r="H30" s="10">
        <f t="shared" si="1"/>
        <v>1983046.82</v>
      </c>
      <c r="I30" s="10">
        <v>0</v>
      </c>
      <c r="J30" s="10">
        <v>0</v>
      </c>
      <c r="K30" s="10"/>
      <c r="L30" s="433">
        <f t="shared" si="0"/>
        <v>1983046.82</v>
      </c>
      <c r="N30" s="7"/>
      <c r="P30" s="11"/>
    </row>
    <row r="31" spans="1:16" outlineLevel="2">
      <c r="A31" s="7">
        <f t="shared" si="2"/>
        <v>26</v>
      </c>
      <c r="B31" s="7" t="s">
        <v>29</v>
      </c>
      <c r="C31" s="7" t="s">
        <v>80</v>
      </c>
      <c r="D31" s="13" t="s">
        <v>166</v>
      </c>
      <c r="E31" s="8" t="s">
        <v>167</v>
      </c>
      <c r="F31" s="28">
        <v>4159479.56</v>
      </c>
      <c r="H31" s="10">
        <f t="shared" si="1"/>
        <v>4159479.56</v>
      </c>
      <c r="I31" s="10">
        <v>0</v>
      </c>
      <c r="J31" s="10">
        <v>0</v>
      </c>
      <c r="K31" s="10"/>
      <c r="L31" s="433">
        <f t="shared" si="0"/>
        <v>4159479.56</v>
      </c>
      <c r="N31" s="7"/>
      <c r="P31" s="11"/>
    </row>
    <row r="32" spans="1:16" outlineLevel="2">
      <c r="A32" s="7">
        <f t="shared" si="2"/>
        <v>27</v>
      </c>
      <c r="B32" s="7" t="s">
        <v>29</v>
      </c>
      <c r="C32" s="7" t="s">
        <v>80</v>
      </c>
      <c r="D32" s="13" t="s">
        <v>168</v>
      </c>
      <c r="E32" s="8" t="s">
        <v>169</v>
      </c>
      <c r="F32" s="28">
        <v>771572.37</v>
      </c>
      <c r="H32" s="10">
        <f t="shared" si="1"/>
        <v>771572.37</v>
      </c>
      <c r="I32" s="10">
        <v>0</v>
      </c>
      <c r="J32" s="10">
        <v>0</v>
      </c>
      <c r="K32" s="10"/>
      <c r="L32" s="433">
        <f t="shared" si="0"/>
        <v>771572.37</v>
      </c>
      <c r="N32" s="7"/>
      <c r="P32" s="11"/>
    </row>
    <row r="33" spans="1:16" outlineLevel="2">
      <c r="A33" s="7">
        <f t="shared" si="2"/>
        <v>28</v>
      </c>
      <c r="B33" s="7" t="s">
        <v>29</v>
      </c>
      <c r="C33" s="7" t="s">
        <v>80</v>
      </c>
      <c r="D33" s="13" t="s">
        <v>170</v>
      </c>
      <c r="E33" s="8" t="s">
        <v>171</v>
      </c>
      <c r="F33" s="28">
        <v>34387.89</v>
      </c>
      <c r="H33" s="10">
        <f t="shared" si="1"/>
        <v>34387.89</v>
      </c>
      <c r="I33" s="10">
        <v>0</v>
      </c>
      <c r="J33" s="10">
        <v>0</v>
      </c>
      <c r="K33" s="10"/>
      <c r="L33" s="433">
        <f t="shared" si="0"/>
        <v>34387.89</v>
      </c>
      <c r="N33" s="7"/>
      <c r="P33" s="11"/>
    </row>
    <row r="34" spans="1:16" outlineLevel="2">
      <c r="A34" s="7">
        <f t="shared" si="2"/>
        <v>29</v>
      </c>
      <c r="B34" s="7" t="s">
        <v>29</v>
      </c>
      <c r="C34" s="7" t="s">
        <v>80</v>
      </c>
      <c r="D34" s="13" t="s">
        <v>172</v>
      </c>
      <c r="E34" s="8" t="s">
        <v>173</v>
      </c>
      <c r="F34" s="28">
        <v>2369098.0699999998</v>
      </c>
      <c r="H34" s="10">
        <f t="shared" si="1"/>
        <v>2369098.0699999998</v>
      </c>
      <c r="I34" s="10">
        <v>0</v>
      </c>
      <c r="J34" s="10">
        <v>0</v>
      </c>
      <c r="K34" s="10"/>
      <c r="L34" s="433">
        <f t="shared" si="0"/>
        <v>2369098.0699999998</v>
      </c>
      <c r="N34" s="7"/>
      <c r="P34" s="11"/>
    </row>
    <row r="35" spans="1:16" outlineLevel="2">
      <c r="A35" s="7">
        <f t="shared" si="2"/>
        <v>30</v>
      </c>
      <c r="B35" s="7" t="s">
        <v>29</v>
      </c>
      <c r="C35" s="7" t="s">
        <v>80</v>
      </c>
      <c r="D35" s="13" t="s">
        <v>174</v>
      </c>
      <c r="E35" s="8" t="s">
        <v>175</v>
      </c>
      <c r="F35" s="28">
        <v>8661075.9700000007</v>
      </c>
      <c r="H35" s="10">
        <f t="shared" si="1"/>
        <v>8661075.9700000007</v>
      </c>
      <c r="I35" s="10">
        <v>0</v>
      </c>
      <c r="J35" s="10">
        <v>0</v>
      </c>
      <c r="K35" s="10"/>
      <c r="L35" s="433">
        <f t="shared" si="0"/>
        <v>8661075.9700000007</v>
      </c>
      <c r="N35" s="7"/>
      <c r="P35" s="11"/>
    </row>
    <row r="36" spans="1:16" outlineLevel="2">
      <c r="A36" s="7">
        <f t="shared" si="2"/>
        <v>31</v>
      </c>
      <c r="B36" s="7" t="s">
        <v>29</v>
      </c>
      <c r="C36" s="7" t="s">
        <v>80</v>
      </c>
      <c r="D36" s="13" t="s">
        <v>176</v>
      </c>
      <c r="E36" s="8" t="s">
        <v>177</v>
      </c>
      <c r="F36" s="28">
        <v>183484.72</v>
      </c>
      <c r="H36" s="10">
        <f t="shared" si="1"/>
        <v>183484.72</v>
      </c>
      <c r="I36" s="10">
        <v>0</v>
      </c>
      <c r="J36" s="10">
        <v>0</v>
      </c>
      <c r="K36" s="10"/>
      <c r="L36" s="433">
        <f t="shared" si="0"/>
        <v>183484.72</v>
      </c>
      <c r="N36" s="7"/>
      <c r="P36" s="11"/>
    </row>
    <row r="37" spans="1:16" outlineLevel="2">
      <c r="A37" s="7">
        <f t="shared" si="2"/>
        <v>32</v>
      </c>
      <c r="B37" s="7" t="s">
        <v>29</v>
      </c>
      <c r="C37" s="7" t="s">
        <v>80</v>
      </c>
      <c r="D37" s="13" t="s">
        <v>178</v>
      </c>
      <c r="E37" s="8" t="s">
        <v>179</v>
      </c>
      <c r="F37" s="28">
        <v>922097.72</v>
      </c>
      <c r="H37" s="10">
        <f t="shared" si="1"/>
        <v>922097.72</v>
      </c>
      <c r="I37" s="10">
        <v>0</v>
      </c>
      <c r="J37" s="10">
        <v>0</v>
      </c>
      <c r="K37" s="10"/>
      <c r="L37" s="433">
        <f t="shared" si="0"/>
        <v>922097.72</v>
      </c>
      <c r="N37" s="7"/>
      <c r="P37" s="11"/>
    </row>
    <row r="38" spans="1:16" outlineLevel="2">
      <c r="A38" s="7">
        <f t="shared" si="2"/>
        <v>33</v>
      </c>
      <c r="B38" s="7" t="s">
        <v>29</v>
      </c>
      <c r="C38" s="7" t="s">
        <v>80</v>
      </c>
      <c r="D38" s="13" t="s">
        <v>180</v>
      </c>
      <c r="E38" s="8" t="s">
        <v>181</v>
      </c>
      <c r="F38" s="28">
        <v>4465037.05</v>
      </c>
      <c r="H38" s="10">
        <f t="shared" si="1"/>
        <v>4465037.05</v>
      </c>
      <c r="I38" s="10">
        <v>0</v>
      </c>
      <c r="J38" s="10">
        <v>0</v>
      </c>
      <c r="K38" s="10"/>
      <c r="L38" s="433">
        <f t="shared" ref="L38:L69" si="3">SUM(H38:K38)</f>
        <v>4465037.05</v>
      </c>
      <c r="N38" s="7"/>
      <c r="P38" s="11"/>
    </row>
    <row r="39" spans="1:16" outlineLevel="2">
      <c r="A39" s="7">
        <f t="shared" si="2"/>
        <v>34</v>
      </c>
      <c r="B39" s="7" t="s">
        <v>29</v>
      </c>
      <c r="C39" s="7" t="s">
        <v>80</v>
      </c>
      <c r="D39" s="13" t="s">
        <v>182</v>
      </c>
      <c r="E39" s="8" t="s">
        <v>183</v>
      </c>
      <c r="F39" s="183">
        <v>200790.43</v>
      </c>
      <c r="G39" s="183"/>
      <c r="H39" s="10">
        <f t="shared" si="1"/>
        <v>200790.43</v>
      </c>
      <c r="I39" s="10">
        <v>0</v>
      </c>
      <c r="J39" s="10">
        <v>0</v>
      </c>
      <c r="K39" s="10"/>
      <c r="L39" s="433">
        <f t="shared" si="3"/>
        <v>200790.43</v>
      </c>
      <c r="N39" s="7"/>
      <c r="P39" s="11"/>
    </row>
    <row r="40" spans="1:16" outlineLevel="2">
      <c r="A40" s="7">
        <f t="shared" si="2"/>
        <v>35</v>
      </c>
      <c r="B40" s="7" t="s">
        <v>29</v>
      </c>
      <c r="C40" s="7" t="s">
        <v>80</v>
      </c>
      <c r="D40" s="13" t="s">
        <v>184</v>
      </c>
      <c r="E40" s="8" t="s">
        <v>185</v>
      </c>
      <c r="F40" s="28">
        <v>8301710.0999999996</v>
      </c>
      <c r="H40" s="10">
        <f t="shared" si="1"/>
        <v>8301710.0999999996</v>
      </c>
      <c r="I40" s="10">
        <v>0</v>
      </c>
      <c r="J40" s="10">
        <v>0</v>
      </c>
      <c r="K40" s="10"/>
      <c r="L40" s="433">
        <f t="shared" si="3"/>
        <v>8301710.0999999996</v>
      </c>
      <c r="N40" s="7"/>
      <c r="P40" s="11"/>
    </row>
    <row r="41" spans="1:16" outlineLevel="2">
      <c r="A41" s="7">
        <f t="shared" si="2"/>
        <v>36</v>
      </c>
      <c r="B41" s="7" t="s">
        <v>29</v>
      </c>
      <c r="C41" s="7" t="s">
        <v>80</v>
      </c>
      <c r="D41" s="13" t="s">
        <v>186</v>
      </c>
      <c r="E41" s="8" t="s">
        <v>187</v>
      </c>
      <c r="F41" s="183">
        <v>17867985.469999999</v>
      </c>
      <c r="G41" s="183">
        <v>1742415</v>
      </c>
      <c r="H41" s="10">
        <f t="shared" si="1"/>
        <v>19610400.469999999</v>
      </c>
      <c r="I41" s="10">
        <v>0</v>
      </c>
      <c r="J41" s="10">
        <v>0</v>
      </c>
      <c r="K41" s="10"/>
      <c r="L41" s="433">
        <f t="shared" si="3"/>
        <v>19610400.469999999</v>
      </c>
      <c r="N41" s="7"/>
      <c r="P41" s="11"/>
    </row>
    <row r="42" spans="1:16" outlineLevel="2">
      <c r="A42" s="7">
        <f t="shared" si="2"/>
        <v>37</v>
      </c>
      <c r="B42" s="7" t="s">
        <v>29</v>
      </c>
      <c r="C42" s="7" t="s">
        <v>80</v>
      </c>
      <c r="D42" s="13" t="s">
        <v>188</v>
      </c>
      <c r="E42" s="8" t="s">
        <v>189</v>
      </c>
      <c r="F42" s="28">
        <v>7554491.9000000004</v>
      </c>
      <c r="H42" s="10">
        <f t="shared" si="1"/>
        <v>7554491.9000000004</v>
      </c>
      <c r="I42" s="10">
        <v>0</v>
      </c>
      <c r="J42" s="10">
        <v>0</v>
      </c>
      <c r="K42" s="10"/>
      <c r="L42" s="433">
        <f t="shared" si="3"/>
        <v>7554491.9000000004</v>
      </c>
      <c r="N42" s="7"/>
      <c r="P42" s="11"/>
    </row>
    <row r="43" spans="1:16" outlineLevel="2">
      <c r="A43" s="7">
        <f t="shared" si="2"/>
        <v>38</v>
      </c>
      <c r="B43" s="7" t="s">
        <v>29</v>
      </c>
      <c r="C43" s="7" t="s">
        <v>80</v>
      </c>
      <c r="D43" s="13" t="s">
        <v>190</v>
      </c>
      <c r="E43" s="8" t="s">
        <v>191</v>
      </c>
      <c r="F43" s="28">
        <v>7782247.0099999998</v>
      </c>
      <c r="H43" s="10">
        <f t="shared" si="1"/>
        <v>7782247.0099999998</v>
      </c>
      <c r="I43" s="10">
        <v>0</v>
      </c>
      <c r="J43" s="10">
        <v>0</v>
      </c>
      <c r="K43" s="10"/>
      <c r="L43" s="433">
        <f t="shared" si="3"/>
        <v>7782247.0099999998</v>
      </c>
      <c r="N43" s="7"/>
      <c r="P43" s="11"/>
    </row>
    <row r="44" spans="1:16" outlineLevel="2">
      <c r="A44" s="7">
        <f t="shared" si="2"/>
        <v>39</v>
      </c>
      <c r="B44" s="7" t="s">
        <v>29</v>
      </c>
      <c r="C44" s="7" t="s">
        <v>80</v>
      </c>
      <c r="D44" s="13" t="s">
        <v>192</v>
      </c>
      <c r="E44" s="8" t="s">
        <v>193</v>
      </c>
      <c r="F44" s="28">
        <v>2319938.7200000002</v>
      </c>
      <c r="H44" s="10">
        <f t="shared" si="1"/>
        <v>2319938.7200000002</v>
      </c>
      <c r="I44" s="10">
        <v>0</v>
      </c>
      <c r="J44" s="10">
        <v>0</v>
      </c>
      <c r="K44" s="10"/>
      <c r="L44" s="433">
        <f t="shared" si="3"/>
        <v>2319938.7200000002</v>
      </c>
      <c r="N44" s="7"/>
      <c r="P44" s="11"/>
    </row>
    <row r="45" spans="1:16" outlineLevel="2">
      <c r="A45" s="7">
        <f t="shared" si="2"/>
        <v>40</v>
      </c>
      <c r="B45" s="7" t="s">
        <v>29</v>
      </c>
      <c r="C45" s="7" t="s">
        <v>80</v>
      </c>
      <c r="D45" s="13" t="s">
        <v>194</v>
      </c>
      <c r="E45" s="8" t="s">
        <v>195</v>
      </c>
      <c r="F45" s="28">
        <v>777326.71</v>
      </c>
      <c r="H45" s="10">
        <f t="shared" si="1"/>
        <v>777326.71</v>
      </c>
      <c r="I45" s="10">
        <v>0</v>
      </c>
      <c r="J45" s="10">
        <v>0</v>
      </c>
      <c r="K45" s="10"/>
      <c r="L45" s="433">
        <f t="shared" si="3"/>
        <v>777326.71</v>
      </c>
      <c r="N45" s="7"/>
      <c r="P45" s="11"/>
    </row>
    <row r="46" spans="1:16" outlineLevel="2">
      <c r="A46" s="7">
        <f t="shared" si="2"/>
        <v>41</v>
      </c>
      <c r="B46" s="7" t="s">
        <v>29</v>
      </c>
      <c r="C46" s="7" t="s">
        <v>80</v>
      </c>
      <c r="D46" s="13" t="s">
        <v>196</v>
      </c>
      <c r="E46" s="8" t="s">
        <v>197</v>
      </c>
      <c r="F46" s="183">
        <v>2269522.02</v>
      </c>
      <c r="G46" s="183"/>
      <c r="H46" s="10">
        <f t="shared" si="1"/>
        <v>2269522.02</v>
      </c>
      <c r="I46" s="10">
        <v>0</v>
      </c>
      <c r="J46" s="10">
        <v>0</v>
      </c>
      <c r="K46" s="10"/>
      <c r="L46" s="433">
        <f t="shared" si="3"/>
        <v>2269522.02</v>
      </c>
      <c r="N46" s="7"/>
      <c r="P46" s="11"/>
    </row>
    <row r="47" spans="1:16" outlineLevel="2">
      <c r="A47" s="7">
        <f t="shared" si="2"/>
        <v>42</v>
      </c>
      <c r="B47" s="7" t="s">
        <v>29</v>
      </c>
      <c r="C47" s="7" t="s">
        <v>80</v>
      </c>
      <c r="D47" s="13" t="s">
        <v>198</v>
      </c>
      <c r="E47" s="8" t="s">
        <v>199</v>
      </c>
      <c r="F47" s="183">
        <v>937082.17</v>
      </c>
      <c r="G47" s="183">
        <v>2669653</v>
      </c>
      <c r="H47" s="10">
        <f t="shared" si="1"/>
        <v>3606735.17</v>
      </c>
      <c r="I47" s="10">
        <v>0</v>
      </c>
      <c r="J47" s="10">
        <v>0</v>
      </c>
      <c r="K47" s="10"/>
      <c r="L47" s="433">
        <f t="shared" si="3"/>
        <v>3606735.17</v>
      </c>
      <c r="N47" s="7"/>
      <c r="P47" s="11"/>
    </row>
    <row r="48" spans="1:16" outlineLevel="2">
      <c r="A48" s="7">
        <f t="shared" si="2"/>
        <v>43</v>
      </c>
      <c r="B48" s="7" t="s">
        <v>29</v>
      </c>
      <c r="C48" s="7" t="s">
        <v>80</v>
      </c>
      <c r="D48" s="13" t="s">
        <v>200</v>
      </c>
      <c r="E48" s="8" t="s">
        <v>201</v>
      </c>
      <c r="F48" s="183">
        <v>11919658.630000001</v>
      </c>
      <c r="G48" s="183"/>
      <c r="H48" s="10">
        <f t="shared" si="1"/>
        <v>11919658.630000001</v>
      </c>
      <c r="I48" s="10">
        <v>0</v>
      </c>
      <c r="J48" s="10">
        <v>0</v>
      </c>
      <c r="K48" s="10"/>
      <c r="L48" s="433">
        <f t="shared" si="3"/>
        <v>11919658.630000001</v>
      </c>
      <c r="N48" s="7"/>
      <c r="P48" s="11"/>
    </row>
    <row r="49" spans="1:16" outlineLevel="2">
      <c r="A49" s="7">
        <f t="shared" si="2"/>
        <v>44</v>
      </c>
      <c r="B49" s="7" t="s">
        <v>29</v>
      </c>
      <c r="C49" s="7" t="s">
        <v>80</v>
      </c>
      <c r="D49" s="13" t="s">
        <v>202</v>
      </c>
      <c r="E49" s="8" t="s">
        <v>203</v>
      </c>
      <c r="F49" s="28">
        <v>17831554.219999999</v>
      </c>
      <c r="H49" s="10">
        <f t="shared" si="1"/>
        <v>17831554.219999999</v>
      </c>
      <c r="I49" s="10">
        <v>0</v>
      </c>
      <c r="J49" s="10">
        <v>0</v>
      </c>
      <c r="K49" s="10"/>
      <c r="L49" s="433">
        <f t="shared" si="3"/>
        <v>17831554.219999999</v>
      </c>
      <c r="N49" s="7"/>
      <c r="P49" s="11"/>
    </row>
    <row r="50" spans="1:16" outlineLevel="2">
      <c r="A50" s="7">
        <f t="shared" si="2"/>
        <v>45</v>
      </c>
      <c r="B50" s="7" t="s">
        <v>29</v>
      </c>
      <c r="C50" s="7" t="s">
        <v>80</v>
      </c>
      <c r="D50" s="13" t="s">
        <v>204</v>
      </c>
      <c r="E50" s="8" t="s">
        <v>205</v>
      </c>
      <c r="F50" s="184">
        <v>7747203.0899999999</v>
      </c>
      <c r="G50" s="184"/>
      <c r="H50" s="10">
        <f t="shared" si="1"/>
        <v>7747203.0899999999</v>
      </c>
      <c r="I50" s="10">
        <v>0</v>
      </c>
      <c r="J50" s="10">
        <v>0</v>
      </c>
      <c r="K50" s="10"/>
      <c r="L50" s="433">
        <f t="shared" si="3"/>
        <v>7747203.0899999999</v>
      </c>
      <c r="N50" s="7"/>
      <c r="P50" s="11"/>
    </row>
    <row r="51" spans="1:16" outlineLevel="2">
      <c r="A51" s="7">
        <f t="shared" si="2"/>
        <v>46</v>
      </c>
      <c r="B51" s="7" t="s">
        <v>29</v>
      </c>
      <c r="C51" s="7" t="s">
        <v>80</v>
      </c>
      <c r="D51" s="13" t="s">
        <v>206</v>
      </c>
      <c r="E51" s="8" t="s">
        <v>207</v>
      </c>
      <c r="F51" s="28">
        <v>10455917.060000001</v>
      </c>
      <c r="H51" s="10">
        <f t="shared" si="1"/>
        <v>10455917.060000001</v>
      </c>
      <c r="I51" s="10">
        <v>0</v>
      </c>
      <c r="J51" s="10">
        <v>0</v>
      </c>
      <c r="K51" s="10"/>
      <c r="L51" s="433">
        <f t="shared" si="3"/>
        <v>10455917.060000001</v>
      </c>
      <c r="N51" s="7"/>
      <c r="P51" s="11"/>
    </row>
    <row r="52" spans="1:16" outlineLevel="2">
      <c r="A52" s="7">
        <f t="shared" si="2"/>
        <v>47</v>
      </c>
      <c r="B52" s="7" t="s">
        <v>29</v>
      </c>
      <c r="C52" s="7" t="s">
        <v>80</v>
      </c>
      <c r="D52" s="13" t="s">
        <v>208</v>
      </c>
      <c r="E52" s="8" t="s">
        <v>209</v>
      </c>
      <c r="F52" s="28">
        <v>10713977.23</v>
      </c>
      <c r="H52" s="10">
        <f t="shared" si="1"/>
        <v>10713977.23</v>
      </c>
      <c r="I52" s="10">
        <v>0</v>
      </c>
      <c r="J52" s="10">
        <v>0</v>
      </c>
      <c r="K52" s="10"/>
      <c r="L52" s="433">
        <f t="shared" si="3"/>
        <v>10713977.23</v>
      </c>
      <c r="N52" s="7"/>
      <c r="P52" s="11"/>
    </row>
    <row r="53" spans="1:16" outlineLevel="2">
      <c r="A53" s="7">
        <f t="shared" si="2"/>
        <v>48</v>
      </c>
      <c r="B53" s="7" t="s">
        <v>29</v>
      </c>
      <c r="C53" s="7" t="s">
        <v>80</v>
      </c>
      <c r="D53" s="13" t="s">
        <v>210</v>
      </c>
      <c r="E53" s="8" t="s">
        <v>211</v>
      </c>
      <c r="F53" s="28">
        <v>5062687.71</v>
      </c>
      <c r="H53" s="10">
        <f t="shared" si="1"/>
        <v>5062687.71</v>
      </c>
      <c r="I53" s="10">
        <v>0</v>
      </c>
      <c r="J53" s="10">
        <v>0</v>
      </c>
      <c r="K53" s="10"/>
      <c r="L53" s="433">
        <f t="shared" si="3"/>
        <v>5062687.71</v>
      </c>
      <c r="N53" s="7"/>
      <c r="P53" s="11"/>
    </row>
    <row r="54" spans="1:16" outlineLevel="2">
      <c r="A54" s="7">
        <f t="shared" si="2"/>
        <v>49</v>
      </c>
      <c r="B54" s="7" t="s">
        <v>29</v>
      </c>
      <c r="C54" s="7" t="s">
        <v>80</v>
      </c>
      <c r="D54" s="13" t="s">
        <v>212</v>
      </c>
      <c r="E54" s="8" t="s">
        <v>213</v>
      </c>
      <c r="F54" s="28">
        <v>1948078.5</v>
      </c>
      <c r="H54" s="10">
        <f t="shared" si="1"/>
        <v>1948078.5</v>
      </c>
      <c r="I54" s="10">
        <v>0</v>
      </c>
      <c r="J54" s="10">
        <v>0</v>
      </c>
      <c r="K54" s="10"/>
      <c r="L54" s="433">
        <f t="shared" si="3"/>
        <v>1948078.5</v>
      </c>
      <c r="N54" s="7"/>
      <c r="P54" s="11"/>
    </row>
    <row r="55" spans="1:16" outlineLevel="2">
      <c r="A55" s="7">
        <f t="shared" si="2"/>
        <v>50</v>
      </c>
      <c r="B55" s="7" t="s">
        <v>29</v>
      </c>
      <c r="C55" s="7" t="s">
        <v>80</v>
      </c>
      <c r="D55" s="13" t="s">
        <v>214</v>
      </c>
      <c r="E55" s="8" t="s">
        <v>215</v>
      </c>
      <c r="F55" s="28">
        <v>1521173.69</v>
      </c>
      <c r="H55" s="10">
        <f t="shared" si="1"/>
        <v>1521173.69</v>
      </c>
      <c r="I55" s="10">
        <v>0</v>
      </c>
      <c r="J55" s="10">
        <v>0</v>
      </c>
      <c r="K55" s="10"/>
      <c r="L55" s="433">
        <f t="shared" si="3"/>
        <v>1521173.69</v>
      </c>
      <c r="N55" s="7"/>
      <c r="P55" s="11"/>
    </row>
    <row r="56" spans="1:16" outlineLevel="2">
      <c r="A56" s="7">
        <f t="shared" si="2"/>
        <v>51</v>
      </c>
      <c r="B56" s="7" t="s">
        <v>29</v>
      </c>
      <c r="C56" s="7" t="s">
        <v>80</v>
      </c>
      <c r="D56" s="13" t="s">
        <v>216</v>
      </c>
      <c r="E56" s="8" t="s">
        <v>217</v>
      </c>
      <c r="F56" s="28">
        <v>455727</v>
      </c>
      <c r="H56" s="10">
        <f t="shared" si="1"/>
        <v>455727</v>
      </c>
      <c r="I56" s="10">
        <v>0</v>
      </c>
      <c r="J56" s="10">
        <v>0</v>
      </c>
      <c r="K56" s="10"/>
      <c r="L56" s="433">
        <f t="shared" si="3"/>
        <v>455727</v>
      </c>
      <c r="N56" s="7"/>
      <c r="P56" s="11"/>
    </row>
    <row r="57" spans="1:16" outlineLevel="2">
      <c r="A57" s="7">
        <f t="shared" si="2"/>
        <v>52</v>
      </c>
      <c r="B57" s="7" t="s">
        <v>29</v>
      </c>
      <c r="C57" s="7" t="s">
        <v>80</v>
      </c>
      <c r="D57" s="13" t="s">
        <v>218</v>
      </c>
      <c r="E57" s="8" t="s">
        <v>219</v>
      </c>
      <c r="F57" s="28">
        <v>3361449.06</v>
      </c>
      <c r="H57" s="10">
        <f t="shared" si="1"/>
        <v>3361449.06</v>
      </c>
      <c r="I57" s="10">
        <v>0</v>
      </c>
      <c r="J57" s="10">
        <v>0</v>
      </c>
      <c r="K57" s="10"/>
      <c r="L57" s="433">
        <f t="shared" si="3"/>
        <v>3361449.06</v>
      </c>
      <c r="N57" s="7"/>
      <c r="P57" s="11"/>
    </row>
    <row r="58" spans="1:16" outlineLevel="2">
      <c r="A58" s="7">
        <f t="shared" si="2"/>
        <v>53</v>
      </c>
      <c r="B58" s="7" t="s">
        <v>29</v>
      </c>
      <c r="C58" s="7" t="s">
        <v>80</v>
      </c>
      <c r="D58" s="13" t="s">
        <v>220</v>
      </c>
      <c r="E58" s="8" t="s">
        <v>221</v>
      </c>
      <c r="F58" s="28">
        <v>3279089.4</v>
      </c>
      <c r="H58" s="10">
        <f t="shared" si="1"/>
        <v>3279089.4</v>
      </c>
      <c r="I58" s="10">
        <v>0</v>
      </c>
      <c r="J58" s="10">
        <v>0</v>
      </c>
      <c r="K58" s="10"/>
      <c r="L58" s="433">
        <f t="shared" si="3"/>
        <v>3279089.4</v>
      </c>
      <c r="N58" s="7"/>
      <c r="P58" s="11"/>
    </row>
    <row r="59" spans="1:16" outlineLevel="2">
      <c r="A59" s="7">
        <f t="shared" si="2"/>
        <v>54</v>
      </c>
      <c r="B59" s="7" t="s">
        <v>29</v>
      </c>
      <c r="C59" s="7" t="s">
        <v>80</v>
      </c>
      <c r="D59" s="13" t="s">
        <v>222</v>
      </c>
      <c r="E59" s="8" t="s">
        <v>223</v>
      </c>
      <c r="F59" s="28">
        <v>156778</v>
      </c>
      <c r="H59" s="10">
        <f t="shared" si="1"/>
        <v>156778</v>
      </c>
      <c r="I59" s="10">
        <v>0</v>
      </c>
      <c r="J59" s="10">
        <v>0</v>
      </c>
      <c r="K59" s="10"/>
      <c r="L59" s="433">
        <f t="shared" si="3"/>
        <v>156778</v>
      </c>
      <c r="N59" s="7"/>
      <c r="P59" s="11"/>
    </row>
    <row r="60" spans="1:16" outlineLevel="2">
      <c r="A60" s="7">
        <f t="shared" si="2"/>
        <v>55</v>
      </c>
      <c r="B60" s="7" t="s">
        <v>29</v>
      </c>
      <c r="C60" s="7" t="s">
        <v>80</v>
      </c>
      <c r="D60" s="13" t="s">
        <v>224</v>
      </c>
      <c r="E60" s="8" t="s">
        <v>225</v>
      </c>
      <c r="F60" s="28">
        <v>10110752.16</v>
      </c>
      <c r="H60" s="10">
        <f t="shared" si="1"/>
        <v>10110752.16</v>
      </c>
      <c r="I60" s="10">
        <v>0</v>
      </c>
      <c r="J60" s="10">
        <v>0</v>
      </c>
      <c r="K60" s="10"/>
      <c r="L60" s="433">
        <f t="shared" si="3"/>
        <v>10110752.16</v>
      </c>
      <c r="N60" s="7"/>
      <c r="P60" s="11"/>
    </row>
    <row r="61" spans="1:16" outlineLevel="2">
      <c r="A61" s="7">
        <f t="shared" si="2"/>
        <v>56</v>
      </c>
      <c r="B61" s="7" t="s">
        <v>29</v>
      </c>
      <c r="C61" s="7" t="s">
        <v>80</v>
      </c>
      <c r="D61" s="13" t="s">
        <v>226</v>
      </c>
      <c r="E61" s="8" t="s">
        <v>227</v>
      </c>
      <c r="F61" s="28">
        <v>1270645.42</v>
      </c>
      <c r="H61" s="10">
        <f t="shared" si="1"/>
        <v>1270645.42</v>
      </c>
      <c r="I61" s="10">
        <v>0</v>
      </c>
      <c r="J61" s="10">
        <v>0</v>
      </c>
      <c r="K61" s="10"/>
      <c r="L61" s="433">
        <f t="shared" si="3"/>
        <v>1270645.42</v>
      </c>
      <c r="N61" s="7"/>
      <c r="P61" s="11"/>
    </row>
    <row r="62" spans="1:16" outlineLevel="2">
      <c r="A62" s="7">
        <f t="shared" si="2"/>
        <v>57</v>
      </c>
      <c r="B62" s="7" t="s">
        <v>29</v>
      </c>
      <c r="C62" s="7" t="s">
        <v>80</v>
      </c>
      <c r="D62" s="13" t="s">
        <v>228</v>
      </c>
      <c r="E62" s="8" t="s">
        <v>229</v>
      </c>
      <c r="F62" s="28">
        <v>3255847.1</v>
      </c>
      <c r="H62" s="10">
        <f t="shared" si="1"/>
        <v>3255847.1</v>
      </c>
      <c r="I62" s="10">
        <v>0</v>
      </c>
      <c r="J62" s="10">
        <v>0</v>
      </c>
      <c r="K62" s="10"/>
      <c r="L62" s="433">
        <f t="shared" si="3"/>
        <v>3255847.1</v>
      </c>
      <c r="N62" s="7"/>
      <c r="P62" s="11"/>
    </row>
    <row r="63" spans="1:16" outlineLevel="2">
      <c r="A63" s="7">
        <f t="shared" si="2"/>
        <v>58</v>
      </c>
      <c r="B63" s="7" t="s">
        <v>29</v>
      </c>
      <c r="C63" s="7" t="s">
        <v>80</v>
      </c>
      <c r="D63" s="13" t="s">
        <v>230</v>
      </c>
      <c r="E63" s="8" t="s">
        <v>231</v>
      </c>
      <c r="F63" s="28">
        <v>6016436.0499999998</v>
      </c>
      <c r="H63" s="10">
        <f t="shared" si="1"/>
        <v>6016436.0499999998</v>
      </c>
      <c r="I63" s="10">
        <v>0</v>
      </c>
      <c r="J63" s="10">
        <v>0</v>
      </c>
      <c r="K63" s="10"/>
      <c r="L63" s="433">
        <f t="shared" si="3"/>
        <v>6016436.0499999998</v>
      </c>
      <c r="N63" s="7"/>
      <c r="P63" s="11"/>
    </row>
    <row r="64" spans="1:16" outlineLevel="2">
      <c r="A64" s="7">
        <f t="shared" si="2"/>
        <v>59</v>
      </c>
      <c r="B64" s="7" t="s">
        <v>29</v>
      </c>
      <c r="C64" s="7" t="s">
        <v>80</v>
      </c>
      <c r="D64" s="13" t="s">
        <v>232</v>
      </c>
      <c r="E64" s="8" t="s">
        <v>233</v>
      </c>
      <c r="F64" s="28">
        <v>11263708.41</v>
      </c>
      <c r="H64" s="10">
        <f t="shared" si="1"/>
        <v>11263708.41</v>
      </c>
      <c r="I64" s="10">
        <v>0</v>
      </c>
      <c r="J64" s="10">
        <v>0</v>
      </c>
      <c r="K64" s="10"/>
      <c r="L64" s="433">
        <f t="shared" si="3"/>
        <v>11263708.41</v>
      </c>
      <c r="N64" s="7"/>
      <c r="P64" s="11"/>
    </row>
    <row r="65" spans="1:16" outlineLevel="2">
      <c r="A65" s="7">
        <f t="shared" si="2"/>
        <v>60</v>
      </c>
      <c r="B65" s="7" t="s">
        <v>29</v>
      </c>
      <c r="C65" s="7" t="s">
        <v>80</v>
      </c>
      <c r="D65" s="13" t="s">
        <v>234</v>
      </c>
      <c r="E65" s="8" t="s">
        <v>235</v>
      </c>
      <c r="F65" s="28">
        <v>617622.68000000005</v>
      </c>
      <c r="H65" s="10">
        <f t="shared" si="1"/>
        <v>617622.68000000005</v>
      </c>
      <c r="I65" s="10">
        <v>0</v>
      </c>
      <c r="J65" s="10">
        <v>0</v>
      </c>
      <c r="K65" s="10"/>
      <c r="L65" s="433">
        <f t="shared" si="3"/>
        <v>617622.68000000005</v>
      </c>
      <c r="N65" s="7"/>
      <c r="P65" s="11"/>
    </row>
    <row r="66" spans="1:16" outlineLevel="2">
      <c r="A66" s="7">
        <f t="shared" si="2"/>
        <v>61</v>
      </c>
      <c r="B66" s="7" t="s">
        <v>29</v>
      </c>
      <c r="C66" s="7" t="s">
        <v>80</v>
      </c>
      <c r="D66" s="13" t="s">
        <v>236</v>
      </c>
      <c r="E66" s="8" t="s">
        <v>237</v>
      </c>
      <c r="F66" s="28">
        <v>6319621.6699999999</v>
      </c>
      <c r="H66" s="10">
        <f t="shared" si="1"/>
        <v>6319621.6699999999</v>
      </c>
      <c r="I66" s="10">
        <v>0</v>
      </c>
      <c r="J66" s="10">
        <v>0</v>
      </c>
      <c r="K66" s="10"/>
      <c r="L66" s="433">
        <f t="shared" si="3"/>
        <v>6319621.6699999999</v>
      </c>
      <c r="N66" s="7"/>
      <c r="P66" s="11"/>
    </row>
    <row r="67" spans="1:16" outlineLevel="2">
      <c r="A67" s="7">
        <f t="shared" si="2"/>
        <v>62</v>
      </c>
      <c r="B67" s="7" t="s">
        <v>29</v>
      </c>
      <c r="C67" s="7" t="s">
        <v>80</v>
      </c>
      <c r="D67" s="13" t="s">
        <v>238</v>
      </c>
      <c r="E67" s="8" t="s">
        <v>239</v>
      </c>
      <c r="F67" s="28">
        <v>1189519.96</v>
      </c>
      <c r="H67" s="10">
        <f t="shared" si="1"/>
        <v>1189519.96</v>
      </c>
      <c r="I67" s="10">
        <v>0</v>
      </c>
      <c r="J67" s="10">
        <v>0</v>
      </c>
      <c r="K67" s="10"/>
      <c r="L67" s="433">
        <f t="shared" si="3"/>
        <v>1189519.96</v>
      </c>
      <c r="N67" s="7"/>
      <c r="P67" s="11"/>
    </row>
    <row r="68" spans="1:16" outlineLevel="2">
      <c r="A68" s="7">
        <f t="shared" si="2"/>
        <v>63</v>
      </c>
      <c r="B68" s="7" t="s">
        <v>29</v>
      </c>
      <c r="C68" s="7" t="s">
        <v>80</v>
      </c>
      <c r="D68" s="13" t="s">
        <v>240</v>
      </c>
      <c r="E68" s="8" t="s">
        <v>241</v>
      </c>
      <c r="F68" s="28">
        <v>4941648.6100000003</v>
      </c>
      <c r="H68" s="10">
        <f t="shared" si="1"/>
        <v>4941648.6100000003</v>
      </c>
      <c r="I68" s="10">
        <v>0</v>
      </c>
      <c r="J68" s="10">
        <v>0</v>
      </c>
      <c r="K68" s="10"/>
      <c r="L68" s="433">
        <f t="shared" si="3"/>
        <v>4941648.6100000003</v>
      </c>
      <c r="N68" s="7"/>
      <c r="P68" s="11"/>
    </row>
    <row r="69" spans="1:16" outlineLevel="2">
      <c r="A69" s="7">
        <f t="shared" si="2"/>
        <v>64</v>
      </c>
      <c r="B69" s="7" t="s">
        <v>29</v>
      </c>
      <c r="C69" s="7" t="s">
        <v>80</v>
      </c>
      <c r="D69" s="13" t="s">
        <v>242</v>
      </c>
      <c r="E69" s="8" t="s">
        <v>243</v>
      </c>
      <c r="F69" s="28">
        <v>3155849.87</v>
      </c>
      <c r="H69" s="10">
        <f t="shared" si="1"/>
        <v>3155849.87</v>
      </c>
      <c r="I69" s="10">
        <v>0</v>
      </c>
      <c r="J69" s="10">
        <v>0</v>
      </c>
      <c r="K69" s="10"/>
      <c r="L69" s="433">
        <f t="shared" si="3"/>
        <v>3155849.87</v>
      </c>
      <c r="N69" s="7"/>
      <c r="P69" s="11"/>
    </row>
    <row r="70" spans="1:16" outlineLevel="2">
      <c r="A70" s="7">
        <f t="shared" si="2"/>
        <v>65</v>
      </c>
      <c r="B70" s="7" t="s">
        <v>29</v>
      </c>
      <c r="C70" s="7" t="s">
        <v>80</v>
      </c>
      <c r="D70" s="13" t="s">
        <v>244</v>
      </c>
      <c r="E70" s="8" t="s">
        <v>245</v>
      </c>
      <c r="F70" s="28">
        <v>28856299.199999999</v>
      </c>
      <c r="H70" s="10">
        <f t="shared" si="1"/>
        <v>28856299.199999999</v>
      </c>
      <c r="I70" s="10">
        <v>0</v>
      </c>
      <c r="J70" s="10">
        <v>0</v>
      </c>
      <c r="K70" s="10"/>
      <c r="L70" s="433">
        <f t="shared" ref="L70:L101" si="4">SUM(H70:K70)</f>
        <v>28856299.199999999</v>
      </c>
      <c r="N70" s="7"/>
      <c r="P70" s="11"/>
    </row>
    <row r="71" spans="1:16" outlineLevel="2">
      <c r="A71" s="7">
        <f t="shared" si="2"/>
        <v>66</v>
      </c>
      <c r="B71" s="7" t="s">
        <v>29</v>
      </c>
      <c r="C71" s="7" t="s">
        <v>80</v>
      </c>
      <c r="D71" s="13" t="s">
        <v>246</v>
      </c>
      <c r="E71" s="8" t="s">
        <v>247</v>
      </c>
      <c r="F71" s="28">
        <v>1055414.43</v>
      </c>
      <c r="H71" s="10">
        <f t="shared" ref="H71:H110" si="5">F71+G71</f>
        <v>1055414.43</v>
      </c>
      <c r="I71" s="10">
        <v>0</v>
      </c>
      <c r="J71" s="10">
        <v>0</v>
      </c>
      <c r="K71" s="10"/>
      <c r="L71" s="433">
        <f t="shared" si="4"/>
        <v>1055414.43</v>
      </c>
      <c r="N71" s="7"/>
      <c r="P71" s="11"/>
    </row>
    <row r="72" spans="1:16" outlineLevel="2">
      <c r="A72" s="7">
        <f t="shared" si="2"/>
        <v>67</v>
      </c>
      <c r="B72" s="7" t="s">
        <v>29</v>
      </c>
      <c r="C72" s="7" t="s">
        <v>80</v>
      </c>
      <c r="D72" s="13" t="s">
        <v>248</v>
      </c>
      <c r="E72" s="8" t="s">
        <v>249</v>
      </c>
      <c r="F72" s="28">
        <v>7039893</v>
      </c>
      <c r="H72" s="10">
        <f t="shared" si="5"/>
        <v>7039893</v>
      </c>
      <c r="I72" s="10">
        <v>0</v>
      </c>
      <c r="J72" s="10">
        <v>0</v>
      </c>
      <c r="K72" s="10"/>
      <c r="L72" s="433">
        <f t="shared" si="4"/>
        <v>7039893</v>
      </c>
      <c r="N72" s="7"/>
      <c r="P72" s="11"/>
    </row>
    <row r="73" spans="1:16" outlineLevel="2">
      <c r="A73" s="7">
        <f t="shared" ref="A73:A136" si="6">A72+1</f>
        <v>68</v>
      </c>
      <c r="B73" s="7" t="s">
        <v>29</v>
      </c>
      <c r="C73" s="7" t="s">
        <v>80</v>
      </c>
      <c r="D73" s="13" t="s">
        <v>250</v>
      </c>
      <c r="E73" s="8" t="s">
        <v>251</v>
      </c>
      <c r="F73" s="28">
        <v>9199829.6600000001</v>
      </c>
      <c r="H73" s="10">
        <f t="shared" si="5"/>
        <v>9199829.6600000001</v>
      </c>
      <c r="I73" s="10">
        <v>0</v>
      </c>
      <c r="J73" s="10">
        <v>0</v>
      </c>
      <c r="K73" s="10"/>
      <c r="L73" s="433">
        <f t="shared" si="4"/>
        <v>9199829.6600000001</v>
      </c>
      <c r="N73" s="7"/>
      <c r="P73" s="11"/>
    </row>
    <row r="74" spans="1:16" outlineLevel="2">
      <c r="A74" s="7">
        <f t="shared" si="6"/>
        <v>69</v>
      </c>
      <c r="B74" s="7" t="s">
        <v>29</v>
      </c>
      <c r="C74" s="7" t="s">
        <v>80</v>
      </c>
      <c r="D74" s="13" t="s">
        <v>252</v>
      </c>
      <c r="E74" s="8" t="s">
        <v>253</v>
      </c>
      <c r="F74" s="28">
        <v>6257785.9800000004</v>
      </c>
      <c r="H74" s="10">
        <f t="shared" si="5"/>
        <v>6257785.9800000004</v>
      </c>
      <c r="I74" s="10">
        <v>0</v>
      </c>
      <c r="J74" s="10">
        <v>0</v>
      </c>
      <c r="K74" s="10"/>
      <c r="L74" s="433">
        <f t="shared" si="4"/>
        <v>6257785.9800000004</v>
      </c>
      <c r="N74" s="7"/>
      <c r="P74" s="11"/>
    </row>
    <row r="75" spans="1:16" outlineLevel="2">
      <c r="A75" s="7">
        <f t="shared" si="6"/>
        <v>70</v>
      </c>
      <c r="B75" s="7" t="s">
        <v>29</v>
      </c>
      <c r="C75" s="7" t="s">
        <v>80</v>
      </c>
      <c r="D75" s="13" t="s">
        <v>254</v>
      </c>
      <c r="E75" s="8" t="s">
        <v>255</v>
      </c>
      <c r="F75" s="28">
        <v>1089083.24</v>
      </c>
      <c r="G75" s="28">
        <v>1128812</v>
      </c>
      <c r="H75" s="10">
        <f t="shared" si="5"/>
        <v>2217895.2400000002</v>
      </c>
      <c r="I75" s="10">
        <v>0</v>
      </c>
      <c r="J75" s="10">
        <v>0</v>
      </c>
      <c r="K75" s="10"/>
      <c r="L75" s="433">
        <f t="shared" si="4"/>
        <v>2217895.2400000002</v>
      </c>
      <c r="N75" s="7"/>
      <c r="P75" s="11"/>
    </row>
    <row r="76" spans="1:16" outlineLevel="2">
      <c r="A76" s="7">
        <f t="shared" si="6"/>
        <v>71</v>
      </c>
      <c r="B76" s="7" t="s">
        <v>29</v>
      </c>
      <c r="C76" s="7" t="s">
        <v>80</v>
      </c>
      <c r="D76" s="13" t="s">
        <v>256</v>
      </c>
      <c r="E76" s="8" t="s">
        <v>257</v>
      </c>
      <c r="F76" s="28">
        <v>1816903.7</v>
      </c>
      <c r="H76" s="10">
        <f t="shared" si="5"/>
        <v>1816903.7</v>
      </c>
      <c r="I76" s="10">
        <v>0</v>
      </c>
      <c r="J76" s="10">
        <v>0</v>
      </c>
      <c r="K76" s="10"/>
      <c r="L76" s="433">
        <f t="shared" si="4"/>
        <v>1816903.7</v>
      </c>
      <c r="N76" s="7"/>
      <c r="P76" s="11"/>
    </row>
    <row r="77" spans="1:16" outlineLevel="2">
      <c r="A77" s="7">
        <f t="shared" si="6"/>
        <v>72</v>
      </c>
      <c r="B77" s="7" t="s">
        <v>29</v>
      </c>
      <c r="C77" s="7" t="s">
        <v>80</v>
      </c>
      <c r="D77" s="13" t="s">
        <v>258</v>
      </c>
      <c r="E77" s="8" t="s">
        <v>259</v>
      </c>
      <c r="F77" s="183">
        <v>2469604.23</v>
      </c>
      <c r="G77" s="183"/>
      <c r="H77" s="10">
        <f t="shared" si="5"/>
        <v>2469604.23</v>
      </c>
      <c r="I77" s="10">
        <v>0</v>
      </c>
      <c r="J77" s="10">
        <v>0</v>
      </c>
      <c r="K77" s="10"/>
      <c r="L77" s="433">
        <f t="shared" si="4"/>
        <v>2469604.23</v>
      </c>
      <c r="N77" s="7"/>
      <c r="P77" s="11"/>
    </row>
    <row r="78" spans="1:16" outlineLevel="2">
      <c r="A78" s="7">
        <f t="shared" si="6"/>
        <v>73</v>
      </c>
      <c r="B78" s="7" t="s">
        <v>29</v>
      </c>
      <c r="C78" s="7" t="s">
        <v>80</v>
      </c>
      <c r="D78" s="13" t="s">
        <v>260</v>
      </c>
      <c r="E78" s="8" t="s">
        <v>261</v>
      </c>
      <c r="F78" s="28">
        <v>6346264.54</v>
      </c>
      <c r="H78" s="10">
        <f t="shared" si="5"/>
        <v>6346264.54</v>
      </c>
      <c r="I78" s="10">
        <v>0</v>
      </c>
      <c r="J78" s="10">
        <v>0</v>
      </c>
      <c r="K78" s="10"/>
      <c r="L78" s="433">
        <f t="shared" si="4"/>
        <v>6346264.54</v>
      </c>
      <c r="N78" s="7"/>
      <c r="P78" s="11"/>
    </row>
    <row r="79" spans="1:16" outlineLevel="2">
      <c r="A79" s="7">
        <f t="shared" si="6"/>
        <v>74</v>
      </c>
      <c r="B79" s="7" t="s">
        <v>29</v>
      </c>
      <c r="C79" s="7" t="s">
        <v>80</v>
      </c>
      <c r="D79" s="13" t="s">
        <v>262</v>
      </c>
      <c r="E79" s="8" t="s">
        <v>263</v>
      </c>
      <c r="F79" s="28">
        <v>11220164.279999999</v>
      </c>
      <c r="H79" s="10">
        <f t="shared" si="5"/>
        <v>11220164.279999999</v>
      </c>
      <c r="I79" s="10">
        <v>0</v>
      </c>
      <c r="J79" s="10">
        <v>0</v>
      </c>
      <c r="K79" s="10"/>
      <c r="L79" s="433">
        <f t="shared" si="4"/>
        <v>11220164.279999999</v>
      </c>
      <c r="N79" s="7"/>
      <c r="P79" s="11"/>
    </row>
    <row r="80" spans="1:16" outlineLevel="2">
      <c r="A80" s="7">
        <f t="shared" si="6"/>
        <v>75</v>
      </c>
      <c r="B80" s="7" t="s">
        <v>29</v>
      </c>
      <c r="C80" s="7" t="s">
        <v>80</v>
      </c>
      <c r="D80" s="13" t="s">
        <v>264</v>
      </c>
      <c r="E80" s="8" t="s">
        <v>265</v>
      </c>
      <c r="F80" s="183">
        <v>3216069.16</v>
      </c>
      <c r="G80" s="183"/>
      <c r="H80" s="10">
        <f t="shared" si="5"/>
        <v>3216069.16</v>
      </c>
      <c r="I80" s="10">
        <v>0</v>
      </c>
      <c r="J80" s="10">
        <v>0</v>
      </c>
      <c r="K80" s="10"/>
      <c r="L80" s="433">
        <f t="shared" si="4"/>
        <v>3216069.16</v>
      </c>
      <c r="N80" s="7"/>
      <c r="P80" s="11"/>
    </row>
    <row r="81" spans="1:16" outlineLevel="2">
      <c r="A81" s="7">
        <f t="shared" si="6"/>
        <v>76</v>
      </c>
      <c r="B81" s="7" t="s">
        <v>29</v>
      </c>
      <c r="C81" s="7" t="s">
        <v>80</v>
      </c>
      <c r="D81" s="13" t="s">
        <v>266</v>
      </c>
      <c r="E81" s="8" t="s">
        <v>267</v>
      </c>
      <c r="F81" s="28">
        <v>1132485.8600000001</v>
      </c>
      <c r="H81" s="10">
        <f t="shared" si="5"/>
        <v>1132485.8600000001</v>
      </c>
      <c r="I81" s="10">
        <v>0</v>
      </c>
      <c r="J81" s="10">
        <v>0</v>
      </c>
      <c r="K81" s="10"/>
      <c r="L81" s="433">
        <f t="shared" si="4"/>
        <v>1132485.8600000001</v>
      </c>
      <c r="N81" s="7"/>
      <c r="P81" s="11"/>
    </row>
    <row r="82" spans="1:16" outlineLevel="2">
      <c r="A82" s="7">
        <f t="shared" si="6"/>
        <v>77</v>
      </c>
      <c r="B82" s="7" t="s">
        <v>29</v>
      </c>
      <c r="C82" s="7" t="s">
        <v>80</v>
      </c>
      <c r="D82" s="13" t="s">
        <v>268</v>
      </c>
      <c r="E82" s="8" t="s">
        <v>269</v>
      </c>
      <c r="F82" s="28">
        <v>309991</v>
      </c>
      <c r="H82" s="10">
        <f t="shared" si="5"/>
        <v>309991</v>
      </c>
      <c r="I82" s="10">
        <v>0</v>
      </c>
      <c r="J82" s="10">
        <v>0</v>
      </c>
      <c r="K82" s="10"/>
      <c r="L82" s="433">
        <f t="shared" si="4"/>
        <v>309991</v>
      </c>
      <c r="N82" s="7"/>
      <c r="P82" s="11"/>
    </row>
    <row r="83" spans="1:16" outlineLevel="2">
      <c r="A83" s="7">
        <f t="shared" si="6"/>
        <v>78</v>
      </c>
      <c r="B83" s="7" t="s">
        <v>29</v>
      </c>
      <c r="C83" s="7" t="s">
        <v>80</v>
      </c>
      <c r="D83" s="13" t="s">
        <v>270</v>
      </c>
      <c r="E83" s="8" t="s">
        <v>271</v>
      </c>
      <c r="F83" s="28">
        <v>2651859.84</v>
      </c>
      <c r="H83" s="10">
        <f t="shared" si="5"/>
        <v>2651859.84</v>
      </c>
      <c r="I83" s="10">
        <v>0</v>
      </c>
      <c r="J83" s="10">
        <v>0</v>
      </c>
      <c r="K83" s="10"/>
      <c r="L83" s="433">
        <f t="shared" si="4"/>
        <v>2651859.84</v>
      </c>
      <c r="N83" s="7"/>
      <c r="P83" s="11"/>
    </row>
    <row r="84" spans="1:16" ht="13.5" customHeight="1" outlineLevel="2">
      <c r="A84" s="7">
        <f t="shared" si="6"/>
        <v>79</v>
      </c>
      <c r="B84" s="7" t="s">
        <v>29</v>
      </c>
      <c r="C84" s="7" t="s">
        <v>80</v>
      </c>
      <c r="D84" s="13" t="s">
        <v>272</v>
      </c>
      <c r="E84" s="8" t="s">
        <v>273</v>
      </c>
      <c r="F84" s="28">
        <v>3973415.92</v>
      </c>
      <c r="H84" s="10">
        <f t="shared" si="5"/>
        <v>3973415.92</v>
      </c>
      <c r="I84" s="10">
        <v>0</v>
      </c>
      <c r="J84" s="10">
        <v>0</v>
      </c>
      <c r="K84" s="10"/>
      <c r="L84" s="433">
        <f t="shared" si="4"/>
        <v>3973415.92</v>
      </c>
      <c r="N84" s="7"/>
      <c r="P84" s="11"/>
    </row>
    <row r="85" spans="1:16" outlineLevel="2">
      <c r="A85" s="7">
        <f t="shared" si="6"/>
        <v>80</v>
      </c>
      <c r="B85" s="7" t="s">
        <v>29</v>
      </c>
      <c r="C85" s="7" t="s">
        <v>80</v>
      </c>
      <c r="D85" s="13" t="s">
        <v>274</v>
      </c>
      <c r="E85" s="8" t="s">
        <v>275</v>
      </c>
      <c r="F85" s="28">
        <v>5563295.5999999996</v>
      </c>
      <c r="H85" s="10">
        <f t="shared" si="5"/>
        <v>5563295.5999999996</v>
      </c>
      <c r="I85" s="10">
        <v>0</v>
      </c>
      <c r="J85" s="10">
        <v>0</v>
      </c>
      <c r="K85" s="10"/>
      <c r="L85" s="433">
        <f t="shared" si="4"/>
        <v>5563295.5999999996</v>
      </c>
      <c r="N85" s="7"/>
      <c r="P85" s="11"/>
    </row>
    <row r="86" spans="1:16" outlineLevel="2">
      <c r="A86" s="7">
        <f t="shared" si="6"/>
        <v>81</v>
      </c>
      <c r="B86" s="7" t="s">
        <v>29</v>
      </c>
      <c r="C86" s="7" t="s">
        <v>80</v>
      </c>
      <c r="D86" s="13" t="s">
        <v>276</v>
      </c>
      <c r="E86" s="8" t="s">
        <v>277</v>
      </c>
      <c r="F86" s="28">
        <v>5949647.5099999998</v>
      </c>
      <c r="G86" s="28">
        <v>7536096</v>
      </c>
      <c r="H86" s="10">
        <f t="shared" si="5"/>
        <v>13485743.51</v>
      </c>
      <c r="I86" s="10">
        <v>0</v>
      </c>
      <c r="J86" s="10">
        <v>0</v>
      </c>
      <c r="K86" s="10">
        <v>-7536096</v>
      </c>
      <c r="L86" s="433">
        <f t="shared" si="4"/>
        <v>5949647.5099999998</v>
      </c>
      <c r="N86" s="7"/>
      <c r="P86" s="11"/>
    </row>
    <row r="87" spans="1:16" outlineLevel="2">
      <c r="A87" s="7">
        <f t="shared" si="6"/>
        <v>82</v>
      </c>
      <c r="B87" s="7" t="s">
        <v>29</v>
      </c>
      <c r="C87" s="7" t="s">
        <v>80</v>
      </c>
      <c r="D87" s="13" t="s">
        <v>278</v>
      </c>
      <c r="E87" s="8" t="s">
        <v>279</v>
      </c>
      <c r="F87" s="28">
        <v>3226732.48</v>
      </c>
      <c r="H87" s="10">
        <f t="shared" si="5"/>
        <v>3226732.48</v>
      </c>
      <c r="I87" s="10">
        <v>0</v>
      </c>
      <c r="J87" s="10">
        <v>0</v>
      </c>
      <c r="K87" s="10"/>
      <c r="L87" s="433">
        <f t="shared" si="4"/>
        <v>3226732.48</v>
      </c>
      <c r="N87" s="7"/>
      <c r="P87" s="11"/>
    </row>
    <row r="88" spans="1:16" outlineLevel="2">
      <c r="A88" s="7">
        <f t="shared" si="6"/>
        <v>83</v>
      </c>
      <c r="B88" s="7" t="s">
        <v>29</v>
      </c>
      <c r="C88" s="7" t="s">
        <v>80</v>
      </c>
      <c r="D88" s="13" t="s">
        <v>280</v>
      </c>
      <c r="E88" s="8" t="s">
        <v>281</v>
      </c>
      <c r="F88" s="28">
        <v>6868035.9100000001</v>
      </c>
      <c r="H88" s="10">
        <f t="shared" si="5"/>
        <v>6868035.9100000001</v>
      </c>
      <c r="I88" s="10">
        <v>0</v>
      </c>
      <c r="J88" s="10">
        <v>0</v>
      </c>
      <c r="K88" s="10"/>
      <c r="L88" s="433">
        <f t="shared" si="4"/>
        <v>6868035.9100000001</v>
      </c>
      <c r="N88" s="7"/>
      <c r="P88" s="11"/>
    </row>
    <row r="89" spans="1:16" outlineLevel="2">
      <c r="A89" s="7">
        <f t="shared" si="6"/>
        <v>84</v>
      </c>
      <c r="B89" s="7" t="s">
        <v>29</v>
      </c>
      <c r="C89" s="7" t="s">
        <v>80</v>
      </c>
      <c r="D89" s="13" t="s">
        <v>282</v>
      </c>
      <c r="E89" s="8" t="s">
        <v>283</v>
      </c>
      <c r="F89" s="28">
        <v>388816.19</v>
      </c>
      <c r="H89" s="10">
        <f t="shared" si="5"/>
        <v>388816.19</v>
      </c>
      <c r="I89" s="10">
        <v>0</v>
      </c>
      <c r="J89" s="10">
        <v>0</v>
      </c>
      <c r="K89" s="10"/>
      <c r="L89" s="433">
        <f t="shared" si="4"/>
        <v>388816.19</v>
      </c>
      <c r="N89" s="7"/>
      <c r="P89" s="11"/>
    </row>
    <row r="90" spans="1:16" outlineLevel="2">
      <c r="A90" s="7">
        <f t="shared" si="6"/>
        <v>85</v>
      </c>
      <c r="B90" s="7" t="s">
        <v>29</v>
      </c>
      <c r="C90" s="7" t="s">
        <v>80</v>
      </c>
      <c r="D90" s="13" t="s">
        <v>284</v>
      </c>
      <c r="E90" s="8" t="s">
        <v>285</v>
      </c>
      <c r="F90" s="28">
        <v>2488318.48</v>
      </c>
      <c r="H90" s="10">
        <f t="shared" si="5"/>
        <v>2488318.48</v>
      </c>
      <c r="I90" s="10">
        <v>0</v>
      </c>
      <c r="J90" s="10">
        <v>0</v>
      </c>
      <c r="K90" s="10"/>
      <c r="L90" s="433">
        <f t="shared" si="4"/>
        <v>2488318.48</v>
      </c>
      <c r="N90" s="7"/>
      <c r="P90" s="11"/>
    </row>
    <row r="91" spans="1:16" outlineLevel="2">
      <c r="A91" s="7">
        <f t="shared" si="6"/>
        <v>86</v>
      </c>
      <c r="B91" s="7" t="s">
        <v>29</v>
      </c>
      <c r="C91" s="7" t="s">
        <v>80</v>
      </c>
      <c r="D91" s="13" t="s">
        <v>286</v>
      </c>
      <c r="E91" s="8" t="s">
        <v>287</v>
      </c>
      <c r="F91" s="28">
        <v>2038920.25</v>
      </c>
      <c r="H91" s="10">
        <f t="shared" si="5"/>
        <v>2038920.25</v>
      </c>
      <c r="I91" s="10">
        <v>0</v>
      </c>
      <c r="J91" s="10">
        <v>0</v>
      </c>
      <c r="K91" s="10"/>
      <c r="L91" s="433">
        <f t="shared" si="4"/>
        <v>2038920.25</v>
      </c>
      <c r="N91" s="7"/>
      <c r="P91" s="11"/>
    </row>
    <row r="92" spans="1:16" outlineLevel="2">
      <c r="A92" s="7">
        <f t="shared" si="6"/>
        <v>87</v>
      </c>
      <c r="B92" s="7" t="s">
        <v>29</v>
      </c>
      <c r="C92" s="7" t="s">
        <v>80</v>
      </c>
      <c r="D92" s="13" t="s">
        <v>288</v>
      </c>
      <c r="E92" s="8" t="s">
        <v>289</v>
      </c>
      <c r="F92" s="28">
        <v>2140435.5299999998</v>
      </c>
      <c r="H92" s="10">
        <f t="shared" si="5"/>
        <v>2140435.5299999998</v>
      </c>
      <c r="I92" s="10">
        <v>0</v>
      </c>
      <c r="J92" s="10">
        <v>0</v>
      </c>
      <c r="K92" s="10"/>
      <c r="L92" s="433">
        <f t="shared" si="4"/>
        <v>2140435.5299999998</v>
      </c>
      <c r="N92" s="7"/>
      <c r="P92" s="11"/>
    </row>
    <row r="93" spans="1:16" outlineLevel="2">
      <c r="A93" s="7">
        <f t="shared" si="6"/>
        <v>88</v>
      </c>
      <c r="B93" s="7" t="s">
        <v>29</v>
      </c>
      <c r="C93" s="7" t="s">
        <v>80</v>
      </c>
      <c r="D93" s="13" t="s">
        <v>290</v>
      </c>
      <c r="E93" s="8" t="s">
        <v>291</v>
      </c>
      <c r="F93" s="28">
        <v>9269194.1600000001</v>
      </c>
      <c r="H93" s="10">
        <f t="shared" si="5"/>
        <v>9269194.1600000001</v>
      </c>
      <c r="I93" s="10">
        <v>0</v>
      </c>
      <c r="J93" s="10">
        <v>0</v>
      </c>
      <c r="K93" s="10"/>
      <c r="L93" s="433">
        <f t="shared" si="4"/>
        <v>9269194.1600000001</v>
      </c>
      <c r="N93" s="7"/>
      <c r="P93" s="11"/>
    </row>
    <row r="94" spans="1:16" outlineLevel="2">
      <c r="A94" s="7">
        <f t="shared" si="6"/>
        <v>89</v>
      </c>
      <c r="B94" s="7" t="s">
        <v>29</v>
      </c>
      <c r="C94" s="7" t="s">
        <v>80</v>
      </c>
      <c r="D94" s="13" t="s">
        <v>292</v>
      </c>
      <c r="E94" s="8" t="s">
        <v>293</v>
      </c>
      <c r="F94" s="28">
        <v>52063.76</v>
      </c>
      <c r="H94" s="10">
        <f t="shared" si="5"/>
        <v>52063.76</v>
      </c>
      <c r="I94" s="10">
        <v>0</v>
      </c>
      <c r="J94" s="10">
        <v>0</v>
      </c>
      <c r="K94" s="10"/>
      <c r="L94" s="433">
        <f t="shared" si="4"/>
        <v>52063.76</v>
      </c>
      <c r="N94" s="7"/>
      <c r="P94" s="11"/>
    </row>
    <row r="95" spans="1:16" outlineLevel="2">
      <c r="A95" s="7">
        <f t="shared" si="6"/>
        <v>90</v>
      </c>
      <c r="B95" s="7" t="s">
        <v>29</v>
      </c>
      <c r="C95" s="7" t="s">
        <v>80</v>
      </c>
      <c r="D95" s="13" t="s">
        <v>294</v>
      </c>
      <c r="E95" s="8" t="s">
        <v>295</v>
      </c>
      <c r="F95" s="183">
        <v>799951.5</v>
      </c>
      <c r="G95" s="183"/>
      <c r="H95" s="10">
        <f t="shared" si="5"/>
        <v>799951.5</v>
      </c>
      <c r="I95" s="10">
        <v>0</v>
      </c>
      <c r="J95" s="10">
        <v>0</v>
      </c>
      <c r="K95" s="10"/>
      <c r="L95" s="433">
        <f t="shared" si="4"/>
        <v>799951.5</v>
      </c>
      <c r="N95" s="7"/>
      <c r="P95" s="11"/>
    </row>
    <row r="96" spans="1:16" outlineLevel="2">
      <c r="A96" s="7">
        <f t="shared" si="6"/>
        <v>91</v>
      </c>
      <c r="B96" s="7" t="s">
        <v>29</v>
      </c>
      <c r="C96" s="7" t="s">
        <v>80</v>
      </c>
      <c r="D96" s="13" t="s">
        <v>296</v>
      </c>
      <c r="E96" s="8" t="s">
        <v>297</v>
      </c>
      <c r="F96" s="28">
        <v>2235654.88</v>
      </c>
      <c r="H96" s="10">
        <f t="shared" si="5"/>
        <v>2235654.88</v>
      </c>
      <c r="I96" s="10">
        <v>0</v>
      </c>
      <c r="J96" s="10">
        <v>0</v>
      </c>
      <c r="K96" s="10"/>
      <c r="L96" s="433">
        <f t="shared" si="4"/>
        <v>2235654.88</v>
      </c>
      <c r="N96" s="7"/>
      <c r="P96" s="11"/>
    </row>
    <row r="97" spans="1:16" outlineLevel="2">
      <c r="A97" s="7">
        <f t="shared" si="6"/>
        <v>92</v>
      </c>
      <c r="B97" s="7" t="s">
        <v>29</v>
      </c>
      <c r="C97" s="7" t="s">
        <v>80</v>
      </c>
      <c r="D97" s="13" t="s">
        <v>298</v>
      </c>
      <c r="E97" s="8" t="s">
        <v>299</v>
      </c>
      <c r="F97" s="28">
        <v>18190842.870000001</v>
      </c>
      <c r="G97" s="28">
        <v>1900257</v>
      </c>
      <c r="H97" s="10">
        <f t="shared" si="5"/>
        <v>20091099.870000001</v>
      </c>
      <c r="I97" s="10">
        <v>0</v>
      </c>
      <c r="J97" s="10">
        <v>0</v>
      </c>
      <c r="K97" s="10"/>
      <c r="L97" s="433">
        <f t="shared" si="4"/>
        <v>20091099.870000001</v>
      </c>
      <c r="N97" s="7"/>
      <c r="P97" s="11"/>
    </row>
    <row r="98" spans="1:16" outlineLevel="2">
      <c r="A98" s="7">
        <f t="shared" si="6"/>
        <v>93</v>
      </c>
      <c r="B98" s="7" t="s">
        <v>29</v>
      </c>
      <c r="C98" s="7" t="s">
        <v>80</v>
      </c>
      <c r="D98" s="13" t="s">
        <v>300</v>
      </c>
      <c r="E98" s="8" t="s">
        <v>301</v>
      </c>
      <c r="F98" s="28">
        <v>1938352.95</v>
      </c>
      <c r="H98" s="10">
        <f t="shared" si="5"/>
        <v>1938352.95</v>
      </c>
      <c r="I98" s="10">
        <v>0</v>
      </c>
      <c r="J98" s="10">
        <v>0</v>
      </c>
      <c r="K98" s="10"/>
      <c r="L98" s="433">
        <f t="shared" si="4"/>
        <v>1938352.95</v>
      </c>
      <c r="N98" s="7"/>
      <c r="P98" s="11"/>
    </row>
    <row r="99" spans="1:16" outlineLevel="2">
      <c r="A99" s="7">
        <f t="shared" si="6"/>
        <v>94</v>
      </c>
      <c r="B99" s="7" t="s">
        <v>29</v>
      </c>
      <c r="C99" s="7" t="s">
        <v>80</v>
      </c>
      <c r="D99" s="13" t="s">
        <v>302</v>
      </c>
      <c r="E99" s="8" t="s">
        <v>303</v>
      </c>
      <c r="F99" s="28">
        <v>3217192.17</v>
      </c>
      <c r="H99" s="10">
        <f t="shared" si="5"/>
        <v>3217192.17</v>
      </c>
      <c r="I99" s="10">
        <v>0</v>
      </c>
      <c r="J99" s="10">
        <v>0</v>
      </c>
      <c r="K99" s="10"/>
      <c r="L99" s="433">
        <f t="shared" si="4"/>
        <v>3217192.17</v>
      </c>
      <c r="N99" s="7"/>
      <c r="P99" s="11"/>
    </row>
    <row r="100" spans="1:16" outlineLevel="2">
      <c r="A100" s="7">
        <f t="shared" si="6"/>
        <v>95</v>
      </c>
      <c r="B100" s="7" t="s">
        <v>29</v>
      </c>
      <c r="C100" s="7" t="s">
        <v>80</v>
      </c>
      <c r="D100" s="13" t="s">
        <v>304</v>
      </c>
      <c r="E100" s="8" t="s">
        <v>305</v>
      </c>
      <c r="F100" s="28">
        <v>277896.62</v>
      </c>
      <c r="H100" s="10">
        <f t="shared" si="5"/>
        <v>277896.62</v>
      </c>
      <c r="I100" s="10">
        <v>0</v>
      </c>
      <c r="J100" s="10">
        <v>0</v>
      </c>
      <c r="K100" s="10"/>
      <c r="L100" s="433">
        <f t="shared" si="4"/>
        <v>277896.62</v>
      </c>
      <c r="N100" s="7"/>
    </row>
    <row r="101" spans="1:16" outlineLevel="2">
      <c r="A101" s="7">
        <f t="shared" si="6"/>
        <v>96</v>
      </c>
      <c r="B101" s="7" t="s">
        <v>29</v>
      </c>
      <c r="C101" s="7" t="s">
        <v>80</v>
      </c>
      <c r="D101" s="13" t="s">
        <v>306</v>
      </c>
      <c r="E101" s="8" t="s">
        <v>307</v>
      </c>
      <c r="F101" s="28">
        <v>6743203.0499999998</v>
      </c>
      <c r="H101" s="10">
        <f t="shared" si="5"/>
        <v>6743203.0499999998</v>
      </c>
      <c r="I101" s="10">
        <v>0</v>
      </c>
      <c r="J101" s="10">
        <v>0</v>
      </c>
      <c r="K101" s="10"/>
      <c r="L101" s="433">
        <f t="shared" si="4"/>
        <v>6743203.0499999998</v>
      </c>
      <c r="N101" s="7"/>
      <c r="P101" s="11"/>
    </row>
    <row r="102" spans="1:16" outlineLevel="2">
      <c r="A102" s="7">
        <f t="shared" si="6"/>
        <v>97</v>
      </c>
      <c r="B102" s="7" t="s">
        <v>29</v>
      </c>
      <c r="C102" s="7" t="s">
        <v>80</v>
      </c>
      <c r="D102" s="13" t="s">
        <v>308</v>
      </c>
      <c r="E102" s="8" t="s">
        <v>309</v>
      </c>
      <c r="F102" s="28">
        <v>3485236.01</v>
      </c>
      <c r="H102" s="10">
        <f t="shared" si="5"/>
        <v>3485236.01</v>
      </c>
      <c r="I102" s="10">
        <v>0</v>
      </c>
      <c r="J102" s="10">
        <v>0</v>
      </c>
      <c r="K102" s="10"/>
      <c r="L102" s="433">
        <f t="shared" ref="L102:L110" si="7">SUM(H102:K102)</f>
        <v>3485236.01</v>
      </c>
      <c r="N102" s="7"/>
      <c r="P102" s="11"/>
    </row>
    <row r="103" spans="1:16" outlineLevel="2">
      <c r="A103" s="7">
        <f t="shared" si="6"/>
        <v>98</v>
      </c>
      <c r="B103" s="7" t="s">
        <v>29</v>
      </c>
      <c r="C103" s="7" t="s">
        <v>80</v>
      </c>
      <c r="D103" s="13" t="s">
        <v>310</v>
      </c>
      <c r="E103" s="8" t="s">
        <v>311</v>
      </c>
      <c r="F103" s="28">
        <v>2418956.92</v>
      </c>
      <c r="H103" s="10">
        <f t="shared" si="5"/>
        <v>2418956.92</v>
      </c>
      <c r="I103" s="10">
        <v>0</v>
      </c>
      <c r="J103" s="10">
        <v>0</v>
      </c>
      <c r="K103" s="10"/>
      <c r="L103" s="433">
        <f t="shared" si="7"/>
        <v>2418956.92</v>
      </c>
      <c r="N103" s="7"/>
      <c r="P103" s="11"/>
    </row>
    <row r="104" spans="1:16" outlineLevel="2">
      <c r="A104" s="7">
        <f t="shared" si="6"/>
        <v>99</v>
      </c>
      <c r="B104" s="7" t="s">
        <v>29</v>
      </c>
      <c r="C104" s="7" t="s">
        <v>80</v>
      </c>
      <c r="D104" s="13" t="s">
        <v>312</v>
      </c>
      <c r="E104" s="8" t="s">
        <v>313</v>
      </c>
      <c r="F104" s="28">
        <v>312931.03999999998</v>
      </c>
      <c r="H104" s="10">
        <f t="shared" si="5"/>
        <v>312931.03999999998</v>
      </c>
      <c r="I104" s="10">
        <v>0</v>
      </c>
      <c r="J104" s="10">
        <v>0</v>
      </c>
      <c r="K104" s="10"/>
      <c r="L104" s="433">
        <f t="shared" si="7"/>
        <v>312931.03999999998</v>
      </c>
      <c r="N104" s="7"/>
      <c r="P104" s="11"/>
    </row>
    <row r="105" spans="1:16" outlineLevel="2">
      <c r="A105" s="7">
        <f t="shared" si="6"/>
        <v>100</v>
      </c>
      <c r="B105" s="7" t="s">
        <v>29</v>
      </c>
      <c r="C105" s="7" t="s">
        <v>80</v>
      </c>
      <c r="D105" s="13" t="s">
        <v>314</v>
      </c>
      <c r="E105" s="8" t="s">
        <v>315</v>
      </c>
      <c r="F105" s="28">
        <v>161893.01999999999</v>
      </c>
      <c r="H105" s="10">
        <f t="shared" si="5"/>
        <v>161893.01999999999</v>
      </c>
      <c r="I105" s="10">
        <v>0</v>
      </c>
      <c r="J105" s="10">
        <v>0</v>
      </c>
      <c r="K105" s="10"/>
      <c r="L105" s="433">
        <f t="shared" si="7"/>
        <v>161893.01999999999</v>
      </c>
      <c r="N105" s="7"/>
      <c r="P105" s="11"/>
    </row>
    <row r="106" spans="1:16" outlineLevel="2">
      <c r="A106" s="7">
        <f t="shared" si="6"/>
        <v>101</v>
      </c>
      <c r="B106" s="7" t="s">
        <v>29</v>
      </c>
      <c r="C106" s="7" t="s">
        <v>80</v>
      </c>
      <c r="D106" s="13" t="s">
        <v>316</v>
      </c>
      <c r="E106" s="8" t="s">
        <v>317</v>
      </c>
      <c r="F106" s="28">
        <v>7488153.7300000004</v>
      </c>
      <c r="G106" s="28">
        <v>2571258</v>
      </c>
      <c r="H106" s="10">
        <f t="shared" si="5"/>
        <v>10059411.73</v>
      </c>
      <c r="I106" s="10">
        <v>0</v>
      </c>
      <c r="J106" s="10">
        <v>0</v>
      </c>
      <c r="K106" s="10"/>
      <c r="L106" s="433">
        <f t="shared" si="7"/>
        <v>10059411.73</v>
      </c>
      <c r="N106" s="7"/>
      <c r="P106" s="11"/>
    </row>
    <row r="107" spans="1:16" outlineLevel="2">
      <c r="A107" s="7">
        <f t="shared" si="6"/>
        <v>102</v>
      </c>
      <c r="B107" s="7" t="s">
        <v>29</v>
      </c>
      <c r="C107" s="7" t="s">
        <v>80</v>
      </c>
      <c r="D107" s="13" t="s">
        <v>318</v>
      </c>
      <c r="E107" s="8" t="s">
        <v>319</v>
      </c>
      <c r="F107" s="28">
        <v>26924889.420000002</v>
      </c>
      <c r="H107" s="10">
        <f t="shared" si="5"/>
        <v>26924889.420000002</v>
      </c>
      <c r="I107" s="10">
        <v>0</v>
      </c>
      <c r="J107" s="10">
        <v>0</v>
      </c>
      <c r="K107" s="10"/>
      <c r="L107" s="433">
        <f t="shared" si="7"/>
        <v>26924889.420000002</v>
      </c>
      <c r="N107" s="7"/>
      <c r="P107" s="11"/>
    </row>
    <row r="108" spans="1:16" outlineLevel="2">
      <c r="A108" s="7">
        <f t="shared" si="6"/>
        <v>103</v>
      </c>
      <c r="B108" s="7" t="s">
        <v>29</v>
      </c>
      <c r="C108" s="7" t="s">
        <v>80</v>
      </c>
      <c r="D108" s="13" t="s">
        <v>320</v>
      </c>
      <c r="E108" s="8" t="s">
        <v>321</v>
      </c>
      <c r="F108" s="28">
        <v>17627867.68</v>
      </c>
      <c r="H108" s="10">
        <f t="shared" si="5"/>
        <v>17627867.68</v>
      </c>
      <c r="I108" s="10">
        <v>0</v>
      </c>
      <c r="J108" s="10">
        <v>0</v>
      </c>
      <c r="K108" s="10"/>
      <c r="L108" s="433">
        <f t="shared" si="7"/>
        <v>17627867.68</v>
      </c>
      <c r="N108" s="7"/>
      <c r="P108" s="11"/>
    </row>
    <row r="109" spans="1:16" outlineLevel="2">
      <c r="A109" s="7">
        <f t="shared" si="6"/>
        <v>104</v>
      </c>
      <c r="B109" s="7" t="s">
        <v>29</v>
      </c>
      <c r="C109" s="7" t="s">
        <v>80</v>
      </c>
      <c r="D109" s="13" t="s">
        <v>322</v>
      </c>
      <c r="E109" s="8" t="s">
        <v>323</v>
      </c>
      <c r="F109" s="28">
        <v>11035513.970000001</v>
      </c>
      <c r="H109" s="10">
        <f t="shared" si="5"/>
        <v>11035513.970000001</v>
      </c>
      <c r="I109" s="10">
        <v>0</v>
      </c>
      <c r="J109" s="10">
        <v>0</v>
      </c>
      <c r="K109" s="10"/>
      <c r="L109" s="433">
        <f t="shared" si="7"/>
        <v>11035513.970000001</v>
      </c>
      <c r="N109" s="7"/>
      <c r="P109" s="11"/>
    </row>
    <row r="110" spans="1:16" outlineLevel="2">
      <c r="A110" s="7">
        <f t="shared" si="6"/>
        <v>105</v>
      </c>
      <c r="B110" s="7" t="s">
        <v>29</v>
      </c>
      <c r="C110" s="7" t="s">
        <v>80</v>
      </c>
      <c r="D110" s="13" t="s">
        <v>324</v>
      </c>
      <c r="E110" s="8" t="s">
        <v>325</v>
      </c>
      <c r="F110" s="28">
        <v>4629315.97</v>
      </c>
      <c r="H110" s="10">
        <f t="shared" si="5"/>
        <v>4629315.97</v>
      </c>
      <c r="I110" s="10">
        <v>0</v>
      </c>
      <c r="J110" s="10">
        <v>0</v>
      </c>
      <c r="K110" s="10"/>
      <c r="L110" s="433">
        <f t="shared" si="7"/>
        <v>4629315.97</v>
      </c>
      <c r="N110" s="7"/>
      <c r="P110" s="11"/>
    </row>
    <row r="111" spans="1:16" s="4" customFormat="1" ht="13.5" outlineLevel="1" thickBot="1">
      <c r="A111" s="7">
        <f t="shared" si="6"/>
        <v>106</v>
      </c>
      <c r="B111" s="3" t="s">
        <v>29</v>
      </c>
      <c r="C111" s="14" t="s">
        <v>326</v>
      </c>
      <c r="D111" s="15"/>
      <c r="E111" s="16" t="s">
        <v>327</v>
      </c>
      <c r="F111" s="26">
        <f t="shared" ref="F111:L111" si="8">SUM(F6:F110)</f>
        <v>553314864.17000031</v>
      </c>
      <c r="G111" s="26">
        <f t="shared" si="8"/>
        <v>17548491</v>
      </c>
      <c r="H111" s="26">
        <f>SUM(H6:H110)</f>
        <v>570863355.17000031</v>
      </c>
      <c r="I111" s="26">
        <f t="shared" si="8"/>
        <v>0</v>
      </c>
      <c r="J111" s="138">
        <f t="shared" si="8"/>
        <v>0</v>
      </c>
      <c r="K111" s="26">
        <f t="shared" si="8"/>
        <v>-7587909</v>
      </c>
      <c r="L111" s="26">
        <f t="shared" si="8"/>
        <v>563275446.17000031</v>
      </c>
      <c r="M111" s="17"/>
      <c r="N111" s="3"/>
      <c r="O111" s="3"/>
      <c r="P111" s="5"/>
    </row>
    <row r="112" spans="1:16" ht="13.5" outlineLevel="2" thickTop="1">
      <c r="A112" s="7">
        <f t="shared" si="6"/>
        <v>107</v>
      </c>
      <c r="B112" s="7" t="s">
        <v>29</v>
      </c>
      <c r="C112" s="7" t="s">
        <v>82</v>
      </c>
      <c r="D112" s="13" t="s">
        <v>328</v>
      </c>
      <c r="E112" s="8" t="s">
        <v>329</v>
      </c>
      <c r="F112" s="28">
        <v>6259.21</v>
      </c>
      <c r="H112" s="10">
        <f>F112+G112</f>
        <v>6259.21</v>
      </c>
      <c r="I112" s="9">
        <v>0</v>
      </c>
      <c r="J112" s="9">
        <v>0</v>
      </c>
      <c r="L112" s="433">
        <f t="shared" ref="L112:L143" si="9">SUM(H112:K112)</f>
        <v>6259.21</v>
      </c>
      <c r="N112" s="7"/>
      <c r="P112" s="11"/>
    </row>
    <row r="113" spans="1:16" outlineLevel="2">
      <c r="A113" s="7">
        <f t="shared" si="6"/>
        <v>108</v>
      </c>
      <c r="B113" s="7" t="s">
        <v>29</v>
      </c>
      <c r="C113" s="7" t="s">
        <v>82</v>
      </c>
      <c r="D113" s="13" t="s">
        <v>330</v>
      </c>
      <c r="E113" s="8" t="s">
        <v>331</v>
      </c>
      <c r="F113" s="183">
        <v>12377.42</v>
      </c>
      <c r="G113" s="183"/>
      <c r="H113" s="10">
        <f t="shared" ref="H113:H176" si="10">F113+G113</f>
        <v>12377.42</v>
      </c>
      <c r="I113" s="9">
        <v>0</v>
      </c>
      <c r="L113" s="433">
        <f t="shared" si="9"/>
        <v>12377.42</v>
      </c>
      <c r="N113" s="7"/>
      <c r="P113" s="11"/>
    </row>
    <row r="114" spans="1:16" outlineLevel="2">
      <c r="A114" s="7">
        <f t="shared" si="6"/>
        <v>109</v>
      </c>
      <c r="B114" s="7" t="s">
        <v>29</v>
      </c>
      <c r="C114" s="7" t="s">
        <v>82</v>
      </c>
      <c r="D114" s="13" t="s">
        <v>332</v>
      </c>
      <c r="E114" s="1" t="s">
        <v>333</v>
      </c>
      <c r="F114" s="183">
        <v>5795383.96</v>
      </c>
      <c r="G114" s="183"/>
      <c r="H114" s="10">
        <f t="shared" si="10"/>
        <v>5795383.96</v>
      </c>
      <c r="I114" s="9">
        <v>0</v>
      </c>
      <c r="J114" s="9">
        <v>0</v>
      </c>
      <c r="L114" s="433">
        <f t="shared" si="9"/>
        <v>5795383.96</v>
      </c>
      <c r="N114" s="7"/>
      <c r="P114" s="11"/>
    </row>
    <row r="115" spans="1:16" outlineLevel="2">
      <c r="A115" s="7">
        <f t="shared" si="6"/>
        <v>110</v>
      </c>
      <c r="B115" s="7" t="s">
        <v>29</v>
      </c>
      <c r="C115" s="7" t="s">
        <v>82</v>
      </c>
      <c r="D115" s="13" t="s">
        <v>334</v>
      </c>
      <c r="E115" s="8" t="s">
        <v>335</v>
      </c>
      <c r="F115" s="28">
        <v>2318295.1</v>
      </c>
      <c r="H115" s="10">
        <f t="shared" si="10"/>
        <v>2318295.1</v>
      </c>
      <c r="I115" s="9">
        <v>-800023.53</v>
      </c>
      <c r="J115" s="9">
        <v>0</v>
      </c>
      <c r="L115" s="433">
        <f t="shared" si="9"/>
        <v>1518271.57</v>
      </c>
      <c r="N115" s="7"/>
      <c r="P115" s="11"/>
    </row>
    <row r="116" spans="1:16" outlineLevel="2">
      <c r="A116" s="7">
        <f t="shared" si="6"/>
        <v>111</v>
      </c>
      <c r="B116" s="7" t="s">
        <v>29</v>
      </c>
      <c r="C116" s="7" t="s">
        <v>82</v>
      </c>
      <c r="D116" s="13" t="s">
        <v>336</v>
      </c>
      <c r="E116" s="8" t="s">
        <v>337</v>
      </c>
      <c r="F116" s="28">
        <v>63325.31</v>
      </c>
      <c r="H116" s="10">
        <f t="shared" si="10"/>
        <v>63325.31</v>
      </c>
      <c r="I116" s="9">
        <v>0</v>
      </c>
      <c r="J116" s="9">
        <v>0</v>
      </c>
      <c r="L116" s="433">
        <f t="shared" si="9"/>
        <v>63325.31</v>
      </c>
      <c r="N116" s="7"/>
    </row>
    <row r="117" spans="1:16" outlineLevel="2">
      <c r="A117" s="7">
        <f t="shared" si="6"/>
        <v>112</v>
      </c>
      <c r="B117" s="7" t="s">
        <v>29</v>
      </c>
      <c r="C117" s="7" t="s">
        <v>82</v>
      </c>
      <c r="D117" s="13" t="s">
        <v>338</v>
      </c>
      <c r="E117" s="8" t="s">
        <v>339</v>
      </c>
      <c r="F117" s="28">
        <v>2931082.34</v>
      </c>
      <c r="H117" s="10">
        <f t="shared" si="10"/>
        <v>2931082.34</v>
      </c>
      <c r="I117" s="9">
        <v>-124344</v>
      </c>
      <c r="J117" s="9">
        <v>0</v>
      </c>
      <c r="L117" s="433">
        <f t="shared" si="9"/>
        <v>2806738.34</v>
      </c>
      <c r="N117" s="7"/>
    </row>
    <row r="118" spans="1:16" outlineLevel="2">
      <c r="A118" s="7">
        <f t="shared" si="6"/>
        <v>113</v>
      </c>
      <c r="B118" s="7" t="s">
        <v>29</v>
      </c>
      <c r="C118" s="7" t="s">
        <v>82</v>
      </c>
      <c r="D118" s="13" t="s">
        <v>340</v>
      </c>
      <c r="E118" s="8" t="s">
        <v>341</v>
      </c>
      <c r="F118" s="28">
        <v>369059.41</v>
      </c>
      <c r="H118" s="10">
        <f t="shared" si="10"/>
        <v>369059.41</v>
      </c>
      <c r="I118" s="9">
        <v>0</v>
      </c>
      <c r="J118" s="9">
        <v>0</v>
      </c>
      <c r="L118" s="433">
        <f t="shared" si="9"/>
        <v>369059.41</v>
      </c>
      <c r="N118" s="7"/>
    </row>
    <row r="119" spans="1:16" outlineLevel="2">
      <c r="A119" s="7">
        <f t="shared" si="6"/>
        <v>114</v>
      </c>
      <c r="B119" s="7" t="s">
        <v>29</v>
      </c>
      <c r="C119" s="7" t="s">
        <v>82</v>
      </c>
      <c r="D119" s="13" t="s">
        <v>342</v>
      </c>
      <c r="E119" s="8" t="s">
        <v>343</v>
      </c>
      <c r="F119" s="28">
        <v>298521.89</v>
      </c>
      <c r="H119" s="10">
        <f t="shared" si="10"/>
        <v>298521.89</v>
      </c>
      <c r="I119" s="9">
        <v>0</v>
      </c>
      <c r="J119" s="9">
        <v>0</v>
      </c>
      <c r="L119" s="433">
        <f t="shared" si="9"/>
        <v>298521.89</v>
      </c>
      <c r="N119" s="7"/>
      <c r="P119" s="11"/>
    </row>
    <row r="120" spans="1:16" outlineLevel="2">
      <c r="A120" s="7">
        <f t="shared" si="6"/>
        <v>115</v>
      </c>
      <c r="B120" s="7" t="s">
        <v>29</v>
      </c>
      <c r="C120" s="7" t="s">
        <v>82</v>
      </c>
      <c r="D120" s="13" t="s">
        <v>344</v>
      </c>
      <c r="E120" s="8" t="s">
        <v>345</v>
      </c>
      <c r="F120" s="28">
        <f>14752878.62+49844.27</f>
        <v>14802722.889999999</v>
      </c>
      <c r="H120" s="10">
        <f t="shared" si="10"/>
        <v>14802722.889999999</v>
      </c>
      <c r="I120" s="9">
        <v>-109224</v>
      </c>
      <c r="J120" s="9">
        <v>0</v>
      </c>
      <c r="L120" s="433">
        <f t="shared" si="9"/>
        <v>14693498.889999999</v>
      </c>
      <c r="M120" s="8"/>
      <c r="N120" s="7"/>
      <c r="P120" s="11"/>
    </row>
    <row r="121" spans="1:16" outlineLevel="2">
      <c r="A121" s="7">
        <f t="shared" si="6"/>
        <v>116</v>
      </c>
      <c r="B121" s="7" t="s">
        <v>29</v>
      </c>
      <c r="C121" s="7" t="s">
        <v>82</v>
      </c>
      <c r="D121" s="13" t="s">
        <v>346</v>
      </c>
      <c r="E121" s="8" t="s">
        <v>347</v>
      </c>
      <c r="F121" s="183">
        <v>4733509.87</v>
      </c>
      <c r="G121" s="183"/>
      <c r="H121" s="10">
        <f t="shared" si="10"/>
        <v>4733509.87</v>
      </c>
      <c r="I121" s="9">
        <v>-231321.2</v>
      </c>
      <c r="J121" s="9">
        <v>0</v>
      </c>
      <c r="L121" s="433">
        <f t="shared" si="9"/>
        <v>4502188.67</v>
      </c>
      <c r="M121" s="8"/>
      <c r="N121" s="7"/>
      <c r="P121" s="11"/>
    </row>
    <row r="122" spans="1:16" outlineLevel="2">
      <c r="A122" s="7">
        <f t="shared" si="6"/>
        <v>117</v>
      </c>
      <c r="B122" s="7" t="s">
        <v>29</v>
      </c>
      <c r="C122" s="7" t="s">
        <v>82</v>
      </c>
      <c r="D122" s="13" t="s">
        <v>348</v>
      </c>
      <c r="E122" s="8" t="s">
        <v>349</v>
      </c>
      <c r="F122" s="183">
        <v>495306.08</v>
      </c>
      <c r="G122" s="183"/>
      <c r="H122" s="10">
        <f t="shared" si="10"/>
        <v>495306.08</v>
      </c>
      <c r="I122" s="9">
        <v>-441103.97</v>
      </c>
      <c r="J122" s="9">
        <v>0</v>
      </c>
      <c r="L122" s="433">
        <f t="shared" si="9"/>
        <v>54202.110000000044</v>
      </c>
      <c r="M122" s="8"/>
      <c r="N122" s="7"/>
      <c r="P122" s="11"/>
    </row>
    <row r="123" spans="1:16" outlineLevel="2">
      <c r="A123" s="7">
        <f t="shared" si="6"/>
        <v>118</v>
      </c>
      <c r="B123" s="7" t="s">
        <v>29</v>
      </c>
      <c r="C123" s="7" t="s">
        <v>82</v>
      </c>
      <c r="D123" s="13" t="s">
        <v>350</v>
      </c>
      <c r="E123" s="8" t="s">
        <v>351</v>
      </c>
      <c r="F123" s="28">
        <f>19713860.2+13499.45</f>
        <v>19727359.649999999</v>
      </c>
      <c r="G123" s="28">
        <v>2600000</v>
      </c>
      <c r="H123" s="10">
        <f t="shared" si="10"/>
        <v>22327359.649999999</v>
      </c>
      <c r="I123" s="9">
        <v>-200648</v>
      </c>
      <c r="J123" s="9">
        <v>0</v>
      </c>
      <c r="K123" s="9">
        <v>-2600000</v>
      </c>
      <c r="L123" s="433">
        <f t="shared" si="9"/>
        <v>19526711.649999999</v>
      </c>
      <c r="M123" s="8"/>
      <c r="N123" s="7"/>
      <c r="P123" s="11"/>
    </row>
    <row r="124" spans="1:16" outlineLevel="2">
      <c r="A124" s="7">
        <f t="shared" si="6"/>
        <v>119</v>
      </c>
      <c r="B124" s="7" t="s">
        <v>29</v>
      </c>
      <c r="C124" s="7" t="s">
        <v>82</v>
      </c>
      <c r="D124" s="13" t="s">
        <v>352</v>
      </c>
      <c r="E124" s="8" t="s">
        <v>353</v>
      </c>
      <c r="F124" s="183">
        <v>35853.82</v>
      </c>
      <c r="G124" s="183"/>
      <c r="H124" s="10">
        <f t="shared" si="10"/>
        <v>35853.82</v>
      </c>
      <c r="I124" s="9">
        <v>0</v>
      </c>
      <c r="J124" s="9">
        <v>0</v>
      </c>
      <c r="L124" s="433">
        <f t="shared" si="9"/>
        <v>35853.82</v>
      </c>
      <c r="N124" s="7"/>
      <c r="P124" s="11"/>
    </row>
    <row r="125" spans="1:16" outlineLevel="2">
      <c r="A125" s="7">
        <f t="shared" si="6"/>
        <v>120</v>
      </c>
      <c r="B125" s="7" t="s">
        <v>29</v>
      </c>
      <c r="C125" s="7" t="s">
        <v>82</v>
      </c>
      <c r="D125" s="13" t="s">
        <v>354</v>
      </c>
      <c r="E125" s="8" t="s">
        <v>355</v>
      </c>
      <c r="F125" s="183">
        <v>3496396.41</v>
      </c>
      <c r="G125" s="183"/>
      <c r="H125" s="10">
        <f t="shared" si="10"/>
        <v>3496396.41</v>
      </c>
      <c r="I125" s="9">
        <v>-1310501.02</v>
      </c>
      <c r="J125" s="9">
        <v>0</v>
      </c>
      <c r="L125" s="433">
        <f t="shared" si="9"/>
        <v>2185895.39</v>
      </c>
      <c r="M125" s="8"/>
      <c r="N125" s="7"/>
      <c r="P125" s="11"/>
    </row>
    <row r="126" spans="1:16" outlineLevel="2">
      <c r="A126" s="7">
        <f t="shared" si="6"/>
        <v>121</v>
      </c>
      <c r="B126" s="7" t="s">
        <v>29</v>
      </c>
      <c r="C126" s="7" t="s">
        <v>82</v>
      </c>
      <c r="D126" s="13" t="s">
        <v>356</v>
      </c>
      <c r="E126" s="8" t="s">
        <v>357</v>
      </c>
      <c r="F126" s="183">
        <v>14164196.390000001</v>
      </c>
      <c r="G126" s="183"/>
      <c r="H126" s="10">
        <f t="shared" si="10"/>
        <v>14164196.390000001</v>
      </c>
      <c r="I126" s="9">
        <v>0</v>
      </c>
      <c r="J126" s="9">
        <v>0</v>
      </c>
      <c r="L126" s="433">
        <f t="shared" si="9"/>
        <v>14164196.390000001</v>
      </c>
      <c r="N126" s="7"/>
      <c r="P126" s="11"/>
    </row>
    <row r="127" spans="1:16" outlineLevel="2">
      <c r="A127" s="7">
        <f t="shared" si="6"/>
        <v>122</v>
      </c>
      <c r="B127" s="7" t="s">
        <v>29</v>
      </c>
      <c r="C127" s="7" t="s">
        <v>82</v>
      </c>
      <c r="D127" s="13" t="s">
        <v>358</v>
      </c>
      <c r="E127" s="8" t="s">
        <v>359</v>
      </c>
      <c r="F127" s="28">
        <v>4798763.16</v>
      </c>
      <c r="H127" s="10">
        <f t="shared" si="10"/>
        <v>4798763.16</v>
      </c>
      <c r="I127" s="9">
        <v>0</v>
      </c>
      <c r="J127" s="9">
        <v>0</v>
      </c>
      <c r="L127" s="433">
        <f t="shared" si="9"/>
        <v>4798763.16</v>
      </c>
      <c r="N127" s="7"/>
      <c r="P127" s="11"/>
    </row>
    <row r="128" spans="1:16" outlineLevel="2">
      <c r="A128" s="7">
        <f t="shared" si="6"/>
        <v>123</v>
      </c>
      <c r="B128" s="7" t="s">
        <v>29</v>
      </c>
      <c r="C128" s="7" t="s">
        <v>82</v>
      </c>
      <c r="D128" s="13" t="s">
        <v>360</v>
      </c>
      <c r="E128" s="8" t="s">
        <v>361</v>
      </c>
      <c r="F128" s="183">
        <v>2752078.12</v>
      </c>
      <c r="G128" s="183"/>
      <c r="H128" s="10">
        <f t="shared" si="10"/>
        <v>2752078.12</v>
      </c>
      <c r="I128" s="9">
        <v>0</v>
      </c>
      <c r="J128" s="9">
        <v>0</v>
      </c>
      <c r="L128" s="433">
        <f t="shared" si="9"/>
        <v>2752078.12</v>
      </c>
      <c r="N128" s="7"/>
      <c r="P128" s="11"/>
    </row>
    <row r="129" spans="1:19" outlineLevel="2">
      <c r="A129" s="7">
        <f t="shared" si="6"/>
        <v>124</v>
      </c>
      <c r="B129" s="7" t="s">
        <v>29</v>
      </c>
      <c r="C129" s="7" t="s">
        <v>82</v>
      </c>
      <c r="D129" s="13" t="s">
        <v>362</v>
      </c>
      <c r="E129" s="8" t="s">
        <v>363</v>
      </c>
      <c r="F129" s="183">
        <v>3876965.53</v>
      </c>
      <c r="G129" s="183"/>
      <c r="H129" s="10">
        <f t="shared" si="10"/>
        <v>3876965.53</v>
      </c>
      <c r="I129" s="9">
        <v>-1007873.07</v>
      </c>
      <c r="J129" s="9">
        <v>0</v>
      </c>
      <c r="L129" s="433">
        <f t="shared" si="9"/>
        <v>2869092.46</v>
      </c>
      <c r="M129" s="8"/>
      <c r="N129" s="7"/>
      <c r="P129" s="11"/>
    </row>
    <row r="130" spans="1:19" outlineLevel="2">
      <c r="A130" s="7">
        <f t="shared" si="6"/>
        <v>125</v>
      </c>
      <c r="B130" s="7" t="s">
        <v>29</v>
      </c>
      <c r="C130" s="7" t="s">
        <v>82</v>
      </c>
      <c r="D130" s="13" t="s">
        <v>364</v>
      </c>
      <c r="E130" s="8" t="s">
        <v>365</v>
      </c>
      <c r="F130" s="183">
        <v>1365436.37</v>
      </c>
      <c r="G130" s="183"/>
      <c r="H130" s="10">
        <f t="shared" si="10"/>
        <v>1365436.37</v>
      </c>
      <c r="I130" s="9">
        <v>0</v>
      </c>
      <c r="J130" s="9">
        <v>0</v>
      </c>
      <c r="L130" s="433">
        <f t="shared" si="9"/>
        <v>1365436.37</v>
      </c>
      <c r="M130" s="8"/>
      <c r="N130" s="7"/>
      <c r="P130" s="11"/>
    </row>
    <row r="131" spans="1:19" outlineLevel="2">
      <c r="A131" s="7">
        <f t="shared" si="6"/>
        <v>126</v>
      </c>
      <c r="B131" s="7" t="s">
        <v>29</v>
      </c>
      <c r="C131" s="7" t="s">
        <v>82</v>
      </c>
      <c r="D131" s="13" t="s">
        <v>366</v>
      </c>
      <c r="E131" s="8" t="s">
        <v>367</v>
      </c>
      <c r="F131" s="183">
        <v>8846514.7200000007</v>
      </c>
      <c r="G131" s="183"/>
      <c r="H131" s="10">
        <f t="shared" si="10"/>
        <v>8846514.7200000007</v>
      </c>
      <c r="I131" s="9">
        <v>-2065347.24</v>
      </c>
      <c r="J131" s="9">
        <v>0</v>
      </c>
      <c r="L131" s="433">
        <f t="shared" si="9"/>
        <v>6781167.4800000004</v>
      </c>
      <c r="M131" s="8"/>
      <c r="N131" s="7"/>
      <c r="P131" s="11"/>
    </row>
    <row r="132" spans="1:19" outlineLevel="2">
      <c r="A132" s="7">
        <f t="shared" si="6"/>
        <v>127</v>
      </c>
      <c r="B132" s="7" t="s">
        <v>29</v>
      </c>
      <c r="C132" s="7" t="s">
        <v>82</v>
      </c>
      <c r="D132" s="13" t="s">
        <v>368</v>
      </c>
      <c r="E132" s="8" t="s">
        <v>369</v>
      </c>
      <c r="F132" s="183">
        <v>8505890.4100000001</v>
      </c>
      <c r="G132" s="183"/>
      <c r="H132" s="10">
        <f t="shared" si="10"/>
        <v>8505890.4100000001</v>
      </c>
      <c r="I132" s="9">
        <v>0</v>
      </c>
      <c r="J132" s="9">
        <v>0</v>
      </c>
      <c r="L132" s="433">
        <f t="shared" si="9"/>
        <v>8505890.4100000001</v>
      </c>
      <c r="N132" s="7"/>
      <c r="P132" s="11"/>
    </row>
    <row r="133" spans="1:19" outlineLevel="2">
      <c r="A133" s="7">
        <f t="shared" si="6"/>
        <v>128</v>
      </c>
      <c r="B133" s="7" t="s">
        <v>29</v>
      </c>
      <c r="C133" s="7" t="s">
        <v>82</v>
      </c>
      <c r="D133" s="13" t="s">
        <v>370</v>
      </c>
      <c r="E133" s="8" t="s">
        <v>371</v>
      </c>
      <c r="F133" s="28">
        <v>2390851.2200000002</v>
      </c>
      <c r="H133" s="10">
        <f t="shared" si="10"/>
        <v>2390851.2200000002</v>
      </c>
      <c r="I133" s="9">
        <v>0</v>
      </c>
      <c r="J133" s="9">
        <v>0</v>
      </c>
      <c r="L133" s="433">
        <f t="shared" si="9"/>
        <v>2390851.2200000002</v>
      </c>
      <c r="N133" s="7"/>
      <c r="P133" s="11"/>
      <c r="S133" s="18"/>
    </row>
    <row r="134" spans="1:19" outlineLevel="2">
      <c r="A134" s="7">
        <f t="shared" si="6"/>
        <v>129</v>
      </c>
      <c r="B134" s="7" t="s">
        <v>29</v>
      </c>
      <c r="C134" s="7" t="s">
        <v>82</v>
      </c>
      <c r="D134" s="13" t="s">
        <v>372</v>
      </c>
      <c r="E134" s="8" t="s">
        <v>373</v>
      </c>
      <c r="F134" s="183">
        <v>1588076.67</v>
      </c>
      <c r="G134" s="183"/>
      <c r="H134" s="10">
        <f t="shared" si="10"/>
        <v>1588076.67</v>
      </c>
      <c r="I134" s="9">
        <v>-1567242.25</v>
      </c>
      <c r="J134" s="9">
        <v>0</v>
      </c>
      <c r="L134" s="433">
        <f t="shared" si="9"/>
        <v>20834.419999999925</v>
      </c>
      <c r="M134" s="8"/>
      <c r="N134" s="7"/>
      <c r="P134" s="11"/>
      <c r="S134" s="19"/>
    </row>
    <row r="135" spans="1:19" outlineLevel="2">
      <c r="A135" s="7">
        <f t="shared" si="6"/>
        <v>130</v>
      </c>
      <c r="B135" s="7" t="s">
        <v>29</v>
      </c>
      <c r="C135" s="7" t="s">
        <v>82</v>
      </c>
      <c r="D135" s="13" t="s">
        <v>374</v>
      </c>
      <c r="E135" s="8" t="s">
        <v>375</v>
      </c>
      <c r="F135" s="28">
        <f>10895638.31+283007.18+3603.23</f>
        <v>11182248.720000001</v>
      </c>
      <c r="H135" s="10">
        <f t="shared" si="10"/>
        <v>11182248.720000001</v>
      </c>
      <c r="I135" s="9">
        <v>-2304.9</v>
      </c>
      <c r="J135" s="9">
        <v>0</v>
      </c>
      <c r="L135" s="433">
        <f t="shared" si="9"/>
        <v>11179943.82</v>
      </c>
      <c r="M135" s="8"/>
      <c r="N135" s="7"/>
      <c r="P135" s="11"/>
    </row>
    <row r="136" spans="1:19" outlineLevel="2">
      <c r="A136" s="7">
        <f t="shared" si="6"/>
        <v>131</v>
      </c>
      <c r="B136" s="7" t="s">
        <v>29</v>
      </c>
      <c r="C136" s="7" t="s">
        <v>82</v>
      </c>
      <c r="D136" s="13" t="s">
        <v>376</v>
      </c>
      <c r="E136" s="8" t="s">
        <v>377</v>
      </c>
      <c r="F136" s="28">
        <v>848872.14</v>
      </c>
      <c r="H136" s="10">
        <f t="shared" si="10"/>
        <v>848872.14</v>
      </c>
      <c r="I136" s="9">
        <v>-109672.64</v>
      </c>
      <c r="L136" s="433">
        <f t="shared" si="9"/>
        <v>739199.5</v>
      </c>
      <c r="M136" s="8"/>
      <c r="N136" s="7"/>
      <c r="P136" s="11"/>
    </row>
    <row r="137" spans="1:19" outlineLevel="2">
      <c r="A137" s="7">
        <f t="shared" ref="A137:A200" si="11">A136+1</f>
        <v>132</v>
      </c>
      <c r="B137" s="7" t="s">
        <v>29</v>
      </c>
      <c r="C137" s="7" t="s">
        <v>82</v>
      </c>
      <c r="D137" s="13" t="s">
        <v>378</v>
      </c>
      <c r="E137" s="8" t="s">
        <v>379</v>
      </c>
      <c r="F137" s="183">
        <v>16272742.529999999</v>
      </c>
      <c r="G137" s="183"/>
      <c r="H137" s="10">
        <f t="shared" si="10"/>
        <v>16272742.529999999</v>
      </c>
      <c r="I137" s="9">
        <v>0</v>
      </c>
      <c r="J137" s="9">
        <v>0</v>
      </c>
      <c r="L137" s="433">
        <f t="shared" si="9"/>
        <v>16272742.529999999</v>
      </c>
      <c r="M137" s="8"/>
      <c r="N137" s="7"/>
      <c r="P137" s="11"/>
    </row>
    <row r="138" spans="1:19" outlineLevel="2">
      <c r="A138" s="7">
        <f t="shared" si="11"/>
        <v>133</v>
      </c>
      <c r="B138" s="7" t="s">
        <v>29</v>
      </c>
      <c r="C138" s="7" t="s">
        <v>82</v>
      </c>
      <c r="D138" s="13" t="s">
        <v>380</v>
      </c>
      <c r="E138" s="8" t="s">
        <v>381</v>
      </c>
      <c r="F138" s="28">
        <v>1657438.26</v>
      </c>
      <c r="H138" s="10">
        <f t="shared" si="10"/>
        <v>1657438.26</v>
      </c>
      <c r="I138" s="9">
        <v>-1657438</v>
      </c>
      <c r="J138" s="9">
        <v>0</v>
      </c>
      <c r="L138" s="433">
        <f t="shared" si="9"/>
        <v>0.26000000000931323</v>
      </c>
      <c r="M138" s="8"/>
      <c r="N138" s="7"/>
      <c r="P138" s="11"/>
    </row>
    <row r="139" spans="1:19" outlineLevel="2">
      <c r="A139" s="7">
        <f t="shared" si="11"/>
        <v>134</v>
      </c>
      <c r="B139" s="7" t="s">
        <v>29</v>
      </c>
      <c r="C139" s="7" t="s">
        <v>82</v>
      </c>
      <c r="D139" s="13" t="s">
        <v>382</v>
      </c>
      <c r="E139" s="8" t="s">
        <v>383</v>
      </c>
      <c r="F139" s="28">
        <v>12332947.029999999</v>
      </c>
      <c r="H139" s="10">
        <f t="shared" si="10"/>
        <v>12332947.029999999</v>
      </c>
      <c r="I139" s="9">
        <v>-97895</v>
      </c>
      <c r="J139" s="9">
        <v>0</v>
      </c>
      <c r="L139" s="433">
        <f t="shared" si="9"/>
        <v>12235052.029999999</v>
      </c>
      <c r="M139" s="8"/>
      <c r="N139" s="7"/>
      <c r="P139" s="11"/>
    </row>
    <row r="140" spans="1:19" outlineLevel="2">
      <c r="A140" s="7">
        <f t="shared" si="11"/>
        <v>135</v>
      </c>
      <c r="B140" s="7" t="s">
        <v>29</v>
      </c>
      <c r="C140" s="7" t="s">
        <v>82</v>
      </c>
      <c r="D140" s="13" t="s">
        <v>384</v>
      </c>
      <c r="E140" s="8" t="s">
        <v>385</v>
      </c>
      <c r="F140" s="183">
        <v>108819.74</v>
      </c>
      <c r="G140" s="183"/>
      <c r="H140" s="10">
        <f t="shared" si="10"/>
        <v>108819.74</v>
      </c>
      <c r="I140" s="9">
        <v>0</v>
      </c>
      <c r="J140" s="9">
        <v>0</v>
      </c>
      <c r="L140" s="433">
        <f t="shared" si="9"/>
        <v>108819.74</v>
      </c>
      <c r="M140" s="8"/>
      <c r="N140" s="7"/>
      <c r="P140" s="11"/>
    </row>
    <row r="141" spans="1:19" outlineLevel="2">
      <c r="A141" s="7">
        <f t="shared" si="11"/>
        <v>136</v>
      </c>
      <c r="B141" s="7" t="s">
        <v>29</v>
      </c>
      <c r="C141" s="7" t="s">
        <v>82</v>
      </c>
      <c r="D141" s="13" t="s">
        <v>386</v>
      </c>
      <c r="E141" s="8" t="s">
        <v>387</v>
      </c>
      <c r="F141" s="28">
        <v>49112.160000000003</v>
      </c>
      <c r="H141" s="10">
        <f t="shared" si="10"/>
        <v>49112.160000000003</v>
      </c>
      <c r="I141" s="9">
        <v>0</v>
      </c>
      <c r="J141" s="9">
        <v>0</v>
      </c>
      <c r="L141" s="433">
        <f t="shared" si="9"/>
        <v>49112.160000000003</v>
      </c>
      <c r="M141" s="8"/>
      <c r="N141" s="7"/>
      <c r="P141" s="11"/>
    </row>
    <row r="142" spans="1:19" outlineLevel="2">
      <c r="A142" s="7">
        <f t="shared" si="11"/>
        <v>137</v>
      </c>
      <c r="B142" s="7" t="s">
        <v>29</v>
      </c>
      <c r="C142" s="7" t="s">
        <v>82</v>
      </c>
      <c r="D142" s="13" t="s">
        <v>388</v>
      </c>
      <c r="E142" s="8" t="s">
        <v>389</v>
      </c>
      <c r="F142" s="28">
        <v>88696.06</v>
      </c>
      <c r="H142" s="10">
        <f t="shared" si="10"/>
        <v>88696.06</v>
      </c>
      <c r="I142" s="9">
        <v>0</v>
      </c>
      <c r="J142" s="9">
        <v>0</v>
      </c>
      <c r="L142" s="433">
        <f t="shared" si="9"/>
        <v>88696.06</v>
      </c>
      <c r="M142" s="8"/>
      <c r="N142" s="7"/>
      <c r="P142" s="11"/>
    </row>
    <row r="143" spans="1:19" outlineLevel="2">
      <c r="A143" s="7">
        <f t="shared" si="11"/>
        <v>138</v>
      </c>
      <c r="B143" s="7" t="s">
        <v>29</v>
      </c>
      <c r="C143" s="7" t="s">
        <v>82</v>
      </c>
      <c r="D143" s="13" t="s">
        <v>390</v>
      </c>
      <c r="E143" s="8" t="s">
        <v>391</v>
      </c>
      <c r="F143" s="183">
        <v>2149403.61</v>
      </c>
      <c r="G143" s="183"/>
      <c r="H143" s="10">
        <f t="shared" si="10"/>
        <v>2149403.61</v>
      </c>
      <c r="I143" s="9">
        <v>-1211250</v>
      </c>
      <c r="J143" s="9">
        <v>0</v>
      </c>
      <c r="L143" s="433">
        <f t="shared" si="9"/>
        <v>938153.60999999987</v>
      </c>
      <c r="M143" s="8"/>
      <c r="N143" s="7"/>
      <c r="P143" s="11"/>
    </row>
    <row r="144" spans="1:19" outlineLevel="2">
      <c r="A144" s="7">
        <f t="shared" si="11"/>
        <v>139</v>
      </c>
      <c r="B144" s="7" t="s">
        <v>29</v>
      </c>
      <c r="C144" s="7" t="s">
        <v>82</v>
      </c>
      <c r="D144" s="13" t="s">
        <v>392</v>
      </c>
      <c r="E144" s="8" t="s">
        <v>393</v>
      </c>
      <c r="F144" s="183">
        <v>6813253.8399999999</v>
      </c>
      <c r="G144" s="183"/>
      <c r="H144" s="10">
        <f t="shared" si="10"/>
        <v>6813253.8399999999</v>
      </c>
      <c r="I144" s="9">
        <v>-1197121.81</v>
      </c>
      <c r="J144" s="9">
        <v>0</v>
      </c>
      <c r="L144" s="433">
        <f t="shared" ref="L144:L175" si="12">SUM(H144:K144)</f>
        <v>5616132.0299999993</v>
      </c>
      <c r="M144" s="8"/>
      <c r="N144" s="7"/>
      <c r="P144" s="11"/>
    </row>
    <row r="145" spans="1:16" outlineLevel="2">
      <c r="A145" s="7">
        <f t="shared" si="11"/>
        <v>140</v>
      </c>
      <c r="B145" s="7" t="s">
        <v>29</v>
      </c>
      <c r="C145" s="7" t="s">
        <v>82</v>
      </c>
      <c r="D145" s="13" t="s">
        <v>394</v>
      </c>
      <c r="E145" s="8" t="s">
        <v>395</v>
      </c>
      <c r="F145" s="183">
        <v>2092683.74</v>
      </c>
      <c r="G145" s="183"/>
      <c r="H145" s="10">
        <f>F145+G145</f>
        <v>2092683.74</v>
      </c>
      <c r="I145" s="9">
        <v>-17146.990000000002</v>
      </c>
      <c r="J145" s="9">
        <v>0</v>
      </c>
      <c r="L145" s="433">
        <f t="shared" si="12"/>
        <v>2075536.75</v>
      </c>
      <c r="M145" s="8"/>
      <c r="N145" s="7"/>
      <c r="P145" s="11"/>
    </row>
    <row r="146" spans="1:16" outlineLevel="2">
      <c r="A146" s="7">
        <f t="shared" si="11"/>
        <v>141</v>
      </c>
      <c r="B146" s="7" t="s">
        <v>29</v>
      </c>
      <c r="C146" s="7" t="s">
        <v>82</v>
      </c>
      <c r="D146" s="13" t="s">
        <v>396</v>
      </c>
      <c r="E146" s="8" t="s">
        <v>397</v>
      </c>
      <c r="F146" s="183">
        <v>579.42999999999995</v>
      </c>
      <c r="G146" s="183"/>
      <c r="H146" s="10">
        <f t="shared" si="10"/>
        <v>579.42999999999995</v>
      </c>
      <c r="I146" s="9">
        <v>-579.42999999999995</v>
      </c>
      <c r="J146" s="9">
        <v>0</v>
      </c>
      <c r="L146" s="433">
        <f t="shared" si="12"/>
        <v>0</v>
      </c>
      <c r="M146" s="8"/>
      <c r="N146" s="7"/>
      <c r="P146" s="11"/>
    </row>
    <row r="147" spans="1:16" outlineLevel="2">
      <c r="A147" s="7">
        <f t="shared" si="11"/>
        <v>142</v>
      </c>
      <c r="B147" s="7" t="s">
        <v>29</v>
      </c>
      <c r="C147" s="7" t="s">
        <v>82</v>
      </c>
      <c r="D147" s="13" t="s">
        <v>398</v>
      </c>
      <c r="E147" s="8" t="s">
        <v>399</v>
      </c>
      <c r="F147" s="183">
        <v>3529818.02</v>
      </c>
      <c r="G147" s="183"/>
      <c r="H147" s="10">
        <f t="shared" si="10"/>
        <v>3529818.02</v>
      </c>
      <c r="I147" s="9">
        <v>-41652.43</v>
      </c>
      <c r="J147" s="9">
        <v>0</v>
      </c>
      <c r="L147" s="433">
        <f t="shared" si="12"/>
        <v>3488165.59</v>
      </c>
      <c r="M147" s="8"/>
      <c r="N147" s="7"/>
      <c r="P147" s="11"/>
    </row>
    <row r="148" spans="1:16" outlineLevel="2">
      <c r="A148" s="7">
        <f t="shared" si="11"/>
        <v>143</v>
      </c>
      <c r="B148" s="7" t="s">
        <v>29</v>
      </c>
      <c r="C148" s="7" t="s">
        <v>82</v>
      </c>
      <c r="D148" s="13" t="s">
        <v>400</v>
      </c>
      <c r="E148" s="8" t="s">
        <v>401</v>
      </c>
      <c r="F148" s="183">
        <v>749767.78</v>
      </c>
      <c r="G148" s="183"/>
      <c r="H148" s="10">
        <f t="shared" si="10"/>
        <v>749767.78</v>
      </c>
      <c r="I148" s="9">
        <v>-494847</v>
      </c>
      <c r="J148" s="9">
        <v>0</v>
      </c>
      <c r="L148" s="433">
        <f t="shared" si="12"/>
        <v>254920.78000000003</v>
      </c>
      <c r="N148" s="7"/>
      <c r="P148" s="11"/>
    </row>
    <row r="149" spans="1:16" outlineLevel="2">
      <c r="A149" s="7">
        <f t="shared" si="11"/>
        <v>144</v>
      </c>
      <c r="B149" s="7" t="s">
        <v>29</v>
      </c>
      <c r="C149" s="7" t="s">
        <v>82</v>
      </c>
      <c r="D149" s="13" t="s">
        <v>402</v>
      </c>
      <c r="E149" s="8" t="s">
        <v>403</v>
      </c>
      <c r="F149" s="183">
        <v>5508482</v>
      </c>
      <c r="G149" s="183"/>
      <c r="H149" s="10">
        <f t="shared" si="10"/>
        <v>5508482</v>
      </c>
      <c r="I149" s="9">
        <v>-164228.81</v>
      </c>
      <c r="J149" s="9">
        <v>0</v>
      </c>
      <c r="L149" s="433">
        <f t="shared" si="12"/>
        <v>5344253.1900000004</v>
      </c>
      <c r="M149" s="8"/>
      <c r="N149" s="7"/>
      <c r="P149" s="11"/>
    </row>
    <row r="150" spans="1:16" outlineLevel="2">
      <c r="A150" s="7">
        <f t="shared" si="11"/>
        <v>145</v>
      </c>
      <c r="B150" s="7" t="s">
        <v>29</v>
      </c>
      <c r="C150" s="7" t="s">
        <v>82</v>
      </c>
      <c r="D150" s="13" t="s">
        <v>404</v>
      </c>
      <c r="E150" s="8" t="s">
        <v>405</v>
      </c>
      <c r="F150" s="183">
        <v>4318483.83</v>
      </c>
      <c r="G150" s="183"/>
      <c r="H150" s="10">
        <f t="shared" si="10"/>
        <v>4318483.83</v>
      </c>
      <c r="I150" s="9">
        <v>0</v>
      </c>
      <c r="J150" s="9">
        <v>0</v>
      </c>
      <c r="L150" s="433">
        <f t="shared" si="12"/>
        <v>4318483.83</v>
      </c>
      <c r="M150" s="8"/>
      <c r="N150" s="7"/>
      <c r="P150" s="11"/>
    </row>
    <row r="151" spans="1:16" ht="12.75" customHeight="1" outlineLevel="2">
      <c r="A151" s="7">
        <f t="shared" si="11"/>
        <v>146</v>
      </c>
      <c r="B151" s="7" t="s">
        <v>29</v>
      </c>
      <c r="C151" s="7" t="s">
        <v>82</v>
      </c>
      <c r="D151" s="13" t="s">
        <v>406</v>
      </c>
      <c r="E151" s="8" t="s">
        <v>407</v>
      </c>
      <c r="F151" s="183">
        <v>1235034.1000000001</v>
      </c>
      <c r="G151" s="183"/>
      <c r="H151" s="10">
        <f t="shared" si="10"/>
        <v>1235034.1000000001</v>
      </c>
      <c r="I151" s="9">
        <v>-586376.6</v>
      </c>
      <c r="J151" s="9">
        <v>0</v>
      </c>
      <c r="L151" s="433">
        <f t="shared" si="12"/>
        <v>648657.50000000012</v>
      </c>
      <c r="M151" s="8"/>
      <c r="N151" s="7"/>
      <c r="P151" s="11"/>
    </row>
    <row r="152" spans="1:16" outlineLevel="2">
      <c r="A152" s="7">
        <f t="shared" si="11"/>
        <v>147</v>
      </c>
      <c r="B152" s="7" t="s">
        <v>29</v>
      </c>
      <c r="C152" s="7" t="s">
        <v>82</v>
      </c>
      <c r="D152" s="13" t="s">
        <v>408</v>
      </c>
      <c r="E152" s="8" t="s">
        <v>409</v>
      </c>
      <c r="F152" s="28">
        <v>28177761.109999999</v>
      </c>
      <c r="H152" s="10">
        <f t="shared" si="10"/>
        <v>28177761.109999999</v>
      </c>
      <c r="I152" s="9">
        <v>0</v>
      </c>
      <c r="J152" s="9">
        <v>0</v>
      </c>
      <c r="L152" s="433">
        <f t="shared" si="12"/>
        <v>28177761.109999999</v>
      </c>
      <c r="M152" s="8"/>
      <c r="N152" s="7"/>
      <c r="P152" s="11"/>
    </row>
    <row r="153" spans="1:16" outlineLevel="2">
      <c r="A153" s="7">
        <f t="shared" si="11"/>
        <v>148</v>
      </c>
      <c r="B153" s="7" t="s">
        <v>29</v>
      </c>
      <c r="C153" s="7" t="s">
        <v>82</v>
      </c>
      <c r="D153" s="13" t="s">
        <v>410</v>
      </c>
      <c r="E153" s="8" t="s">
        <v>411</v>
      </c>
      <c r="F153" s="183">
        <v>4407240.51</v>
      </c>
      <c r="G153" s="183"/>
      <c r="H153" s="10">
        <f t="shared" si="10"/>
        <v>4407240.51</v>
      </c>
      <c r="I153" s="9">
        <v>-40435</v>
      </c>
      <c r="J153" s="9">
        <v>0</v>
      </c>
      <c r="L153" s="433">
        <f t="shared" si="12"/>
        <v>4366805.51</v>
      </c>
      <c r="M153" s="8"/>
      <c r="N153" s="7"/>
      <c r="P153" s="11"/>
    </row>
    <row r="154" spans="1:16" outlineLevel="2">
      <c r="A154" s="7">
        <f t="shared" si="11"/>
        <v>149</v>
      </c>
      <c r="B154" s="7" t="s">
        <v>29</v>
      </c>
      <c r="C154" s="7" t="s">
        <v>82</v>
      </c>
      <c r="D154" s="13" t="s">
        <v>412</v>
      </c>
      <c r="E154" s="8" t="s">
        <v>413</v>
      </c>
      <c r="F154" s="183">
        <v>7507076.0999999996</v>
      </c>
      <c r="G154" s="183"/>
      <c r="H154" s="10">
        <f t="shared" si="10"/>
        <v>7507076.0999999996</v>
      </c>
      <c r="I154" s="9">
        <v>-1303371.45</v>
      </c>
      <c r="J154" s="9">
        <v>0</v>
      </c>
      <c r="L154" s="433">
        <f t="shared" si="12"/>
        <v>6203704.6499999994</v>
      </c>
      <c r="M154" s="8"/>
      <c r="N154" s="7"/>
      <c r="P154" s="11"/>
    </row>
    <row r="155" spans="1:16" outlineLevel="2">
      <c r="A155" s="7">
        <f t="shared" si="11"/>
        <v>150</v>
      </c>
      <c r="B155" s="7" t="s">
        <v>29</v>
      </c>
      <c r="C155" s="7" t="s">
        <v>82</v>
      </c>
      <c r="D155" s="13" t="s">
        <v>414</v>
      </c>
      <c r="E155" s="8" t="s">
        <v>415</v>
      </c>
      <c r="F155" s="183">
        <v>253710.27</v>
      </c>
      <c r="G155" s="183"/>
      <c r="H155" s="10">
        <f t="shared" si="10"/>
        <v>253710.27</v>
      </c>
      <c r="I155" s="9">
        <v>0</v>
      </c>
      <c r="J155" s="9">
        <v>0</v>
      </c>
      <c r="L155" s="433">
        <f t="shared" si="12"/>
        <v>253710.27</v>
      </c>
      <c r="M155" s="8"/>
      <c r="N155" s="7"/>
      <c r="P155" s="11"/>
    </row>
    <row r="156" spans="1:16" outlineLevel="2">
      <c r="A156" s="7">
        <f t="shared" si="11"/>
        <v>151</v>
      </c>
      <c r="B156" s="7" t="s">
        <v>29</v>
      </c>
      <c r="C156" s="7" t="s">
        <v>82</v>
      </c>
      <c r="D156" s="13" t="s">
        <v>416</v>
      </c>
      <c r="E156" s="8" t="s">
        <v>417</v>
      </c>
      <c r="F156" s="183">
        <v>13833713.08</v>
      </c>
      <c r="G156" s="183"/>
      <c r="H156" s="10">
        <f t="shared" si="10"/>
        <v>13833713.08</v>
      </c>
      <c r="I156" s="9">
        <v>0</v>
      </c>
      <c r="J156" s="9">
        <v>0</v>
      </c>
      <c r="L156" s="433">
        <f t="shared" si="12"/>
        <v>13833713.08</v>
      </c>
      <c r="N156" s="7"/>
      <c r="P156" s="11"/>
    </row>
    <row r="157" spans="1:16" outlineLevel="2">
      <c r="A157" s="7">
        <f t="shared" si="11"/>
        <v>152</v>
      </c>
      <c r="B157" s="7" t="s">
        <v>29</v>
      </c>
      <c r="C157" s="7" t="s">
        <v>82</v>
      </c>
      <c r="D157" s="13" t="s">
        <v>418</v>
      </c>
      <c r="E157" s="8" t="s">
        <v>419</v>
      </c>
      <c r="F157" s="183">
        <v>17659237.890000001</v>
      </c>
      <c r="G157" s="183">
        <v>842509</v>
      </c>
      <c r="H157" s="10">
        <f t="shared" si="10"/>
        <v>18501746.890000001</v>
      </c>
      <c r="I157" s="9">
        <v>-163144</v>
      </c>
      <c r="J157" s="9">
        <v>0</v>
      </c>
      <c r="L157" s="433">
        <f t="shared" si="12"/>
        <v>18338602.890000001</v>
      </c>
      <c r="M157" s="8"/>
      <c r="N157" s="7"/>
      <c r="P157" s="11"/>
    </row>
    <row r="158" spans="1:16" outlineLevel="2">
      <c r="A158" s="7">
        <f t="shared" si="11"/>
        <v>153</v>
      </c>
      <c r="B158" s="7" t="s">
        <v>29</v>
      </c>
      <c r="C158" s="7" t="s">
        <v>82</v>
      </c>
      <c r="D158" s="13" t="s">
        <v>420</v>
      </c>
      <c r="E158" s="8" t="s">
        <v>421</v>
      </c>
      <c r="F158" s="183">
        <v>1757750.27</v>
      </c>
      <c r="G158" s="183"/>
      <c r="H158" s="10">
        <f t="shared" si="10"/>
        <v>1757750.27</v>
      </c>
      <c r="I158" s="9">
        <v>0</v>
      </c>
      <c r="J158" s="9">
        <v>0</v>
      </c>
      <c r="L158" s="433">
        <f t="shared" si="12"/>
        <v>1757750.27</v>
      </c>
      <c r="N158" s="7"/>
      <c r="P158" s="11"/>
    </row>
    <row r="159" spans="1:16" outlineLevel="2">
      <c r="A159" s="7">
        <f t="shared" si="11"/>
        <v>154</v>
      </c>
      <c r="B159" s="7" t="s">
        <v>29</v>
      </c>
      <c r="C159" s="7" t="s">
        <v>82</v>
      </c>
      <c r="D159" s="13" t="s">
        <v>422</v>
      </c>
      <c r="E159" s="8" t="s">
        <v>423</v>
      </c>
      <c r="F159" s="183">
        <v>15403790.310000001</v>
      </c>
      <c r="G159" s="183"/>
      <c r="H159" s="10">
        <f t="shared" si="10"/>
        <v>15403790.310000001</v>
      </c>
      <c r="I159" s="9">
        <v>0</v>
      </c>
      <c r="J159" s="9">
        <v>0</v>
      </c>
      <c r="L159" s="433">
        <f t="shared" si="12"/>
        <v>15403790.310000001</v>
      </c>
      <c r="N159" s="7"/>
      <c r="P159" s="11"/>
    </row>
    <row r="160" spans="1:16" outlineLevel="2">
      <c r="A160" s="7">
        <f t="shared" si="11"/>
        <v>155</v>
      </c>
      <c r="B160" s="7" t="s">
        <v>29</v>
      </c>
      <c r="C160" s="7" t="s">
        <v>82</v>
      </c>
      <c r="D160" s="13" t="s">
        <v>424</v>
      </c>
      <c r="E160" s="8" t="s">
        <v>425</v>
      </c>
      <c r="F160" s="183">
        <v>18824369.579999998</v>
      </c>
      <c r="G160" s="183">
        <v>774179</v>
      </c>
      <c r="H160" s="10">
        <f t="shared" si="10"/>
        <v>19598548.579999998</v>
      </c>
      <c r="I160" s="9">
        <v>0</v>
      </c>
      <c r="J160" s="9">
        <v>0</v>
      </c>
      <c r="L160" s="433">
        <f t="shared" si="12"/>
        <v>19598548.579999998</v>
      </c>
      <c r="N160" s="7"/>
      <c r="P160" s="11"/>
    </row>
    <row r="161" spans="1:16" outlineLevel="2">
      <c r="A161" s="7">
        <f t="shared" si="11"/>
        <v>156</v>
      </c>
      <c r="B161" s="7" t="s">
        <v>29</v>
      </c>
      <c r="C161" s="7" t="s">
        <v>82</v>
      </c>
      <c r="D161" s="13" t="s">
        <v>426</v>
      </c>
      <c r="E161" s="8" t="s">
        <v>427</v>
      </c>
      <c r="F161" s="183">
        <v>269023.35999999999</v>
      </c>
      <c r="G161" s="183"/>
      <c r="H161" s="10">
        <f t="shared" si="10"/>
        <v>269023.35999999999</v>
      </c>
      <c r="I161" s="9">
        <v>0</v>
      </c>
      <c r="J161" s="9">
        <v>0</v>
      </c>
      <c r="L161" s="433">
        <f t="shared" si="12"/>
        <v>269023.35999999999</v>
      </c>
      <c r="N161" s="7"/>
      <c r="P161" s="11"/>
    </row>
    <row r="162" spans="1:16" ht="12.75" customHeight="1" outlineLevel="2">
      <c r="A162" s="7">
        <f t="shared" si="11"/>
        <v>157</v>
      </c>
      <c r="B162" s="7" t="s">
        <v>29</v>
      </c>
      <c r="C162" s="7" t="s">
        <v>82</v>
      </c>
      <c r="D162" s="13" t="s">
        <v>428</v>
      </c>
      <c r="E162" s="8" t="s">
        <v>429</v>
      </c>
      <c r="F162" s="183">
        <v>24385266.469999999</v>
      </c>
      <c r="G162" s="183"/>
      <c r="H162" s="10">
        <f t="shared" si="10"/>
        <v>24385266.469999999</v>
      </c>
      <c r="I162" s="9">
        <v>-1922930</v>
      </c>
      <c r="J162" s="9">
        <v>0</v>
      </c>
      <c r="L162" s="433">
        <f t="shared" si="12"/>
        <v>22462336.469999999</v>
      </c>
      <c r="M162" s="8"/>
      <c r="N162" s="7"/>
      <c r="P162" s="11"/>
    </row>
    <row r="163" spans="1:16" outlineLevel="2">
      <c r="A163" s="7">
        <f t="shared" si="11"/>
        <v>158</v>
      </c>
      <c r="B163" s="7" t="s">
        <v>29</v>
      </c>
      <c r="C163" s="7" t="s">
        <v>82</v>
      </c>
      <c r="D163" s="13" t="s">
        <v>430</v>
      </c>
      <c r="E163" s="8" t="s">
        <v>431</v>
      </c>
      <c r="F163" s="183">
        <v>1517924.97</v>
      </c>
      <c r="G163" s="183">
        <v>6155166</v>
      </c>
      <c r="H163" s="10">
        <f>F163+G163</f>
        <v>7673090.9699999997</v>
      </c>
      <c r="I163" s="9">
        <v>-43752</v>
      </c>
      <c r="J163" s="9">
        <v>0</v>
      </c>
      <c r="L163" s="433">
        <f t="shared" si="12"/>
        <v>7629338.9699999997</v>
      </c>
      <c r="M163" s="8"/>
      <c r="N163" s="7"/>
      <c r="P163" s="11"/>
    </row>
    <row r="164" spans="1:16" outlineLevel="2">
      <c r="A164" s="7">
        <f t="shared" si="11"/>
        <v>159</v>
      </c>
      <c r="B164" s="7" t="s">
        <v>29</v>
      </c>
      <c r="C164" s="7" t="s">
        <v>82</v>
      </c>
      <c r="D164" s="13" t="s">
        <v>432</v>
      </c>
      <c r="E164" s="8" t="s">
        <v>433</v>
      </c>
      <c r="F164" s="183">
        <v>6180010.5999999996</v>
      </c>
      <c r="G164" s="183"/>
      <c r="H164" s="10">
        <f t="shared" si="10"/>
        <v>6180010.5999999996</v>
      </c>
      <c r="I164" s="9">
        <v>-326876.78999999998</v>
      </c>
      <c r="J164" s="9">
        <v>0</v>
      </c>
      <c r="L164" s="433">
        <f t="shared" si="12"/>
        <v>5853133.8099999996</v>
      </c>
      <c r="M164" s="8"/>
      <c r="N164" s="7"/>
      <c r="P164" s="11"/>
    </row>
    <row r="165" spans="1:16" outlineLevel="2">
      <c r="A165" s="7">
        <f t="shared" si="11"/>
        <v>160</v>
      </c>
      <c r="B165" s="7" t="s">
        <v>29</v>
      </c>
      <c r="C165" s="7" t="s">
        <v>82</v>
      </c>
      <c r="D165" s="13" t="s">
        <v>434</v>
      </c>
      <c r="E165" s="8" t="s">
        <v>435</v>
      </c>
      <c r="F165" s="183">
        <v>8524818.9399999995</v>
      </c>
      <c r="G165" s="183"/>
      <c r="H165" s="10">
        <f t="shared" si="10"/>
        <v>8524818.9399999995</v>
      </c>
      <c r="I165" s="9">
        <v>0</v>
      </c>
      <c r="J165" s="9">
        <v>0</v>
      </c>
      <c r="L165" s="433">
        <f t="shared" si="12"/>
        <v>8524818.9399999995</v>
      </c>
      <c r="M165" s="8"/>
      <c r="N165" s="7"/>
      <c r="P165" s="11"/>
    </row>
    <row r="166" spans="1:16" outlineLevel="2">
      <c r="A166" s="7">
        <f t="shared" si="11"/>
        <v>161</v>
      </c>
      <c r="B166" s="7" t="s">
        <v>29</v>
      </c>
      <c r="C166" s="7" t="s">
        <v>82</v>
      </c>
      <c r="D166" s="13" t="s">
        <v>436</v>
      </c>
      <c r="E166" s="8" t="s">
        <v>437</v>
      </c>
      <c r="F166" s="183">
        <v>6872496.5700000003</v>
      </c>
      <c r="G166" s="183"/>
      <c r="H166" s="10">
        <f t="shared" si="10"/>
        <v>6872496.5700000003</v>
      </c>
      <c r="I166" s="9">
        <v>-59777.35</v>
      </c>
      <c r="J166" s="9">
        <v>0</v>
      </c>
      <c r="L166" s="433">
        <f t="shared" si="12"/>
        <v>6812719.2200000007</v>
      </c>
      <c r="M166" s="8"/>
      <c r="N166" s="7"/>
      <c r="P166" s="11"/>
    </row>
    <row r="167" spans="1:16" outlineLevel="2">
      <c r="A167" s="7">
        <f t="shared" si="11"/>
        <v>162</v>
      </c>
      <c r="B167" s="7" t="s">
        <v>29</v>
      </c>
      <c r="C167" s="7" t="s">
        <v>82</v>
      </c>
      <c r="D167" s="13" t="s">
        <v>438</v>
      </c>
      <c r="E167" s="8" t="s">
        <v>439</v>
      </c>
      <c r="F167" s="183">
        <v>10832.21</v>
      </c>
      <c r="G167" s="183"/>
      <c r="H167" s="10">
        <f t="shared" si="10"/>
        <v>10832.21</v>
      </c>
      <c r="I167" s="9">
        <v>0</v>
      </c>
      <c r="J167" s="9">
        <v>0</v>
      </c>
      <c r="L167" s="433">
        <f t="shared" si="12"/>
        <v>10832.21</v>
      </c>
      <c r="M167" s="8"/>
      <c r="N167" s="7"/>
      <c r="P167" s="11"/>
    </row>
    <row r="168" spans="1:16" outlineLevel="2">
      <c r="A168" s="7">
        <f t="shared" si="11"/>
        <v>163</v>
      </c>
      <c r="B168" s="7" t="s">
        <v>29</v>
      </c>
      <c r="C168" s="7" t="s">
        <v>82</v>
      </c>
      <c r="D168" s="13" t="s">
        <v>440</v>
      </c>
      <c r="E168" s="8" t="s">
        <v>441</v>
      </c>
      <c r="F168" s="183">
        <v>3925050.18</v>
      </c>
      <c r="G168" s="183"/>
      <c r="H168" s="10">
        <f t="shared" si="10"/>
        <v>3925050.18</v>
      </c>
      <c r="I168" s="9">
        <v>-143716.45000000001</v>
      </c>
      <c r="J168" s="9">
        <v>0</v>
      </c>
      <c r="L168" s="433">
        <f t="shared" si="12"/>
        <v>3781333.73</v>
      </c>
      <c r="M168" s="8"/>
      <c r="N168" s="7"/>
      <c r="P168" s="11"/>
    </row>
    <row r="169" spans="1:16" outlineLevel="2">
      <c r="A169" s="7">
        <f t="shared" si="11"/>
        <v>164</v>
      </c>
      <c r="B169" s="7" t="s">
        <v>29</v>
      </c>
      <c r="C169" s="7" t="s">
        <v>82</v>
      </c>
      <c r="D169" s="13" t="s">
        <v>442</v>
      </c>
      <c r="E169" s="8" t="s">
        <v>443</v>
      </c>
      <c r="F169" s="183">
        <v>13557476.24</v>
      </c>
      <c r="G169" s="183"/>
      <c r="H169" s="10">
        <f t="shared" si="10"/>
        <v>13557476.24</v>
      </c>
      <c r="I169" s="9">
        <v>-786535.83</v>
      </c>
      <c r="J169" s="9">
        <v>0</v>
      </c>
      <c r="L169" s="433">
        <f t="shared" si="12"/>
        <v>12770940.41</v>
      </c>
      <c r="P169" s="11"/>
    </row>
    <row r="170" spans="1:16" outlineLevel="2">
      <c r="A170" s="7">
        <f t="shared" si="11"/>
        <v>165</v>
      </c>
      <c r="B170" s="7" t="s">
        <v>29</v>
      </c>
      <c r="C170" s="7" t="s">
        <v>82</v>
      </c>
      <c r="D170" s="13" t="s">
        <v>444</v>
      </c>
      <c r="E170" s="8" t="s">
        <v>445</v>
      </c>
      <c r="F170" s="183">
        <v>25604830.550000001</v>
      </c>
      <c r="G170" s="183"/>
      <c r="H170" s="10">
        <f t="shared" si="10"/>
        <v>25604830.550000001</v>
      </c>
      <c r="I170" s="9">
        <v>-3366859</v>
      </c>
      <c r="J170" s="9">
        <v>0</v>
      </c>
      <c r="L170" s="433">
        <f t="shared" si="12"/>
        <v>22237971.550000001</v>
      </c>
      <c r="M170" s="8"/>
      <c r="N170" s="7"/>
      <c r="P170" s="11"/>
    </row>
    <row r="171" spans="1:16" outlineLevel="2">
      <c r="A171" s="7">
        <f t="shared" si="11"/>
        <v>166</v>
      </c>
      <c r="B171" s="7" t="s">
        <v>29</v>
      </c>
      <c r="C171" s="7" t="s">
        <v>82</v>
      </c>
      <c r="D171" s="13" t="s">
        <v>446</v>
      </c>
      <c r="E171" s="8" t="s">
        <v>447</v>
      </c>
      <c r="F171" s="183">
        <v>7118009.3099999996</v>
      </c>
      <c r="G171" s="183"/>
      <c r="H171" s="10">
        <f t="shared" si="10"/>
        <v>7118009.3099999996</v>
      </c>
      <c r="I171" s="9">
        <v>-1181101.42</v>
      </c>
      <c r="J171" s="9">
        <v>0</v>
      </c>
      <c r="L171" s="433">
        <f t="shared" si="12"/>
        <v>5936907.8899999997</v>
      </c>
      <c r="M171" s="8"/>
      <c r="N171" s="7"/>
      <c r="P171" s="11"/>
    </row>
    <row r="172" spans="1:16" outlineLevel="2">
      <c r="A172" s="7">
        <f t="shared" si="11"/>
        <v>167</v>
      </c>
      <c r="B172" s="7" t="s">
        <v>29</v>
      </c>
      <c r="C172" s="7" t="s">
        <v>82</v>
      </c>
      <c r="D172" s="13" t="s">
        <v>448</v>
      </c>
      <c r="E172" s="8" t="s">
        <v>449</v>
      </c>
      <c r="F172" s="183">
        <v>3946074.33</v>
      </c>
      <c r="G172" s="183"/>
      <c r="H172" s="10">
        <f t="shared" si="10"/>
        <v>3946074.33</v>
      </c>
      <c r="I172" s="9">
        <v>-1591198</v>
      </c>
      <c r="J172" s="9">
        <v>0</v>
      </c>
      <c r="L172" s="433">
        <f t="shared" si="12"/>
        <v>2354876.33</v>
      </c>
      <c r="M172" s="8"/>
      <c r="N172" s="7"/>
      <c r="P172" s="11"/>
    </row>
    <row r="173" spans="1:16" outlineLevel="2">
      <c r="A173" s="7">
        <f t="shared" si="11"/>
        <v>168</v>
      </c>
      <c r="B173" s="7" t="s">
        <v>29</v>
      </c>
      <c r="C173" s="7" t="s">
        <v>82</v>
      </c>
      <c r="D173" s="13" t="s">
        <v>450</v>
      </c>
      <c r="E173" s="8" t="s">
        <v>451</v>
      </c>
      <c r="F173" s="183">
        <v>3934101.14</v>
      </c>
      <c r="G173" s="183"/>
      <c r="H173" s="10">
        <f t="shared" si="10"/>
        <v>3934101.14</v>
      </c>
      <c r="I173" s="9">
        <v>-158721.51</v>
      </c>
      <c r="J173" s="9">
        <v>0</v>
      </c>
      <c r="L173" s="433">
        <f t="shared" si="12"/>
        <v>3775379.63</v>
      </c>
      <c r="M173" s="8"/>
      <c r="N173" s="7"/>
      <c r="P173" s="11"/>
    </row>
    <row r="174" spans="1:16" outlineLevel="2">
      <c r="A174" s="7">
        <f t="shared" si="11"/>
        <v>169</v>
      </c>
      <c r="B174" s="7" t="s">
        <v>29</v>
      </c>
      <c r="C174" s="7" t="s">
        <v>82</v>
      </c>
      <c r="D174" s="13" t="s">
        <v>452</v>
      </c>
      <c r="E174" s="8" t="s">
        <v>453</v>
      </c>
      <c r="F174" s="183">
        <v>11108747.65</v>
      </c>
      <c r="G174" s="183"/>
      <c r="H174" s="10">
        <f t="shared" si="10"/>
        <v>11108747.65</v>
      </c>
      <c r="I174" s="9">
        <v>0</v>
      </c>
      <c r="J174" s="9">
        <v>0</v>
      </c>
      <c r="L174" s="433">
        <f t="shared" si="12"/>
        <v>11108747.65</v>
      </c>
      <c r="M174" s="8"/>
      <c r="N174" s="7"/>
      <c r="P174" s="11"/>
    </row>
    <row r="175" spans="1:16" outlineLevel="2">
      <c r="A175" s="7">
        <f t="shared" si="11"/>
        <v>170</v>
      </c>
      <c r="B175" s="7" t="s">
        <v>29</v>
      </c>
      <c r="C175" s="7" t="s">
        <v>82</v>
      </c>
      <c r="D175" s="13" t="s">
        <v>454</v>
      </c>
      <c r="E175" s="8" t="s">
        <v>455</v>
      </c>
      <c r="F175" s="183">
        <v>29969.23</v>
      </c>
      <c r="G175" s="183"/>
      <c r="H175" s="10">
        <f t="shared" si="10"/>
        <v>29969.23</v>
      </c>
      <c r="I175" s="9">
        <v>0</v>
      </c>
      <c r="J175" s="9">
        <v>0</v>
      </c>
      <c r="L175" s="433">
        <f t="shared" si="12"/>
        <v>29969.23</v>
      </c>
      <c r="M175" s="8"/>
      <c r="N175" s="7"/>
      <c r="P175" s="11"/>
    </row>
    <row r="176" spans="1:16" outlineLevel="2">
      <c r="A176" s="7">
        <f t="shared" si="11"/>
        <v>171</v>
      </c>
      <c r="B176" s="7" t="s">
        <v>29</v>
      </c>
      <c r="C176" s="7" t="s">
        <v>82</v>
      </c>
      <c r="D176" s="13" t="s">
        <v>456</v>
      </c>
      <c r="E176" s="8" t="s">
        <v>457</v>
      </c>
      <c r="F176" s="183">
        <v>41335.040000000001</v>
      </c>
      <c r="G176" s="183"/>
      <c r="H176" s="10">
        <f t="shared" si="10"/>
        <v>41335.040000000001</v>
      </c>
      <c r="I176" s="9">
        <v>0</v>
      </c>
      <c r="J176" s="9">
        <v>0</v>
      </c>
      <c r="L176" s="433">
        <f t="shared" ref="L176:L207" si="13">SUM(H176:K176)</f>
        <v>41335.040000000001</v>
      </c>
      <c r="N176" s="7"/>
      <c r="P176" s="11"/>
    </row>
    <row r="177" spans="1:16" outlineLevel="2">
      <c r="A177" s="7">
        <f t="shared" si="11"/>
        <v>172</v>
      </c>
      <c r="B177" s="7" t="s">
        <v>29</v>
      </c>
      <c r="C177" s="7" t="s">
        <v>82</v>
      </c>
      <c r="D177" s="13" t="s">
        <v>458</v>
      </c>
      <c r="E177" s="8" t="s">
        <v>459</v>
      </c>
      <c r="F177" s="183">
        <v>6531404.9400000004</v>
      </c>
      <c r="G177" s="183"/>
      <c r="H177" s="10">
        <f t="shared" ref="H177:H186" si="14">F177+G177</f>
        <v>6531404.9400000004</v>
      </c>
      <c r="I177" s="9">
        <v>-836290</v>
      </c>
      <c r="J177" s="9">
        <v>0</v>
      </c>
      <c r="L177" s="433">
        <f t="shared" si="13"/>
        <v>5695114.9400000004</v>
      </c>
      <c r="M177" s="8"/>
      <c r="N177" s="7"/>
      <c r="P177" s="11"/>
    </row>
    <row r="178" spans="1:16" outlineLevel="2">
      <c r="A178" s="7">
        <f t="shared" si="11"/>
        <v>173</v>
      </c>
      <c r="B178" s="7" t="s">
        <v>29</v>
      </c>
      <c r="C178" s="7" t="s">
        <v>82</v>
      </c>
      <c r="D178" s="13" t="s">
        <v>460</v>
      </c>
      <c r="E178" s="8" t="s">
        <v>461</v>
      </c>
      <c r="F178" s="183">
        <v>9648450.7699999996</v>
      </c>
      <c r="G178" s="183"/>
      <c r="H178" s="10">
        <f t="shared" si="14"/>
        <v>9648450.7699999996</v>
      </c>
      <c r="I178" s="9">
        <v>-343742</v>
      </c>
      <c r="J178" s="9">
        <v>0</v>
      </c>
      <c r="L178" s="433">
        <f t="shared" si="13"/>
        <v>9304708.7699999996</v>
      </c>
      <c r="M178" s="8"/>
      <c r="N178" s="7"/>
      <c r="P178" s="11"/>
    </row>
    <row r="179" spans="1:16" outlineLevel="2">
      <c r="A179" s="7">
        <f t="shared" si="11"/>
        <v>174</v>
      </c>
      <c r="B179" s="7" t="s">
        <v>29</v>
      </c>
      <c r="C179" s="7" t="s">
        <v>82</v>
      </c>
      <c r="D179" s="13" t="s">
        <v>462</v>
      </c>
      <c r="E179" s="8" t="s">
        <v>463</v>
      </c>
      <c r="F179" s="183">
        <v>1333800.8</v>
      </c>
      <c r="G179" s="183"/>
      <c r="H179" s="10">
        <f t="shared" si="14"/>
        <v>1333800.8</v>
      </c>
      <c r="I179" s="9">
        <v>-154097</v>
      </c>
      <c r="J179" s="9">
        <v>0</v>
      </c>
      <c r="L179" s="433">
        <f t="shared" si="13"/>
        <v>1179703.8</v>
      </c>
      <c r="N179" s="7"/>
      <c r="P179" s="11"/>
    </row>
    <row r="180" spans="1:16" outlineLevel="2">
      <c r="A180" s="7">
        <f t="shared" si="11"/>
        <v>175</v>
      </c>
      <c r="B180" s="7" t="s">
        <v>29</v>
      </c>
      <c r="C180" s="7" t="s">
        <v>82</v>
      </c>
      <c r="D180" s="13" t="s">
        <v>464</v>
      </c>
      <c r="E180" s="8" t="s">
        <v>465</v>
      </c>
      <c r="F180" s="183">
        <v>7904070.5800000001</v>
      </c>
      <c r="G180" s="183"/>
      <c r="H180" s="10">
        <f t="shared" si="14"/>
        <v>7904070.5800000001</v>
      </c>
      <c r="I180" s="9">
        <v>0</v>
      </c>
      <c r="J180" s="9">
        <v>0</v>
      </c>
      <c r="L180" s="433">
        <f t="shared" si="13"/>
        <v>7904070.5800000001</v>
      </c>
      <c r="N180" s="7"/>
      <c r="P180" s="11"/>
    </row>
    <row r="181" spans="1:16" outlineLevel="2">
      <c r="A181" s="7">
        <f t="shared" si="11"/>
        <v>176</v>
      </c>
      <c r="B181" s="7" t="s">
        <v>29</v>
      </c>
      <c r="C181" s="7" t="s">
        <v>82</v>
      </c>
      <c r="D181" s="13" t="s">
        <v>466</v>
      </c>
      <c r="E181" s="8" t="s">
        <v>467</v>
      </c>
      <c r="F181" s="183">
        <v>1318129.4099999999</v>
      </c>
      <c r="G181" s="183"/>
      <c r="H181" s="10">
        <f t="shared" si="14"/>
        <v>1318129.4099999999</v>
      </c>
      <c r="I181" s="9">
        <v>0</v>
      </c>
      <c r="J181" s="9">
        <v>0</v>
      </c>
      <c r="L181" s="433">
        <f t="shared" si="13"/>
        <v>1318129.4099999999</v>
      </c>
      <c r="N181" s="7"/>
      <c r="P181" s="11"/>
    </row>
    <row r="182" spans="1:16" outlineLevel="2">
      <c r="A182" s="7">
        <f t="shared" si="11"/>
        <v>177</v>
      </c>
      <c r="B182" s="7" t="s">
        <v>29</v>
      </c>
      <c r="C182" s="7" t="s">
        <v>82</v>
      </c>
      <c r="D182" s="13" t="s">
        <v>468</v>
      </c>
      <c r="E182" s="8" t="s">
        <v>469</v>
      </c>
      <c r="F182" s="183">
        <v>5381273.4699999997</v>
      </c>
      <c r="G182" s="183"/>
      <c r="H182" s="10">
        <f t="shared" si="14"/>
        <v>5381273.4699999997</v>
      </c>
      <c r="I182" s="9">
        <v>0</v>
      </c>
      <c r="J182" s="9">
        <v>0</v>
      </c>
      <c r="L182" s="433">
        <f t="shared" si="13"/>
        <v>5381273.4699999997</v>
      </c>
      <c r="N182" s="7"/>
      <c r="P182" s="11"/>
    </row>
    <row r="183" spans="1:16" outlineLevel="2">
      <c r="A183" s="7">
        <f t="shared" si="11"/>
        <v>178</v>
      </c>
      <c r="B183" s="7" t="s">
        <v>29</v>
      </c>
      <c r="C183" s="7" t="s">
        <v>82</v>
      </c>
      <c r="D183" s="13" t="s">
        <v>470</v>
      </c>
      <c r="E183" s="8" t="s">
        <v>471</v>
      </c>
      <c r="F183" s="183">
        <v>3531440.82</v>
      </c>
      <c r="G183" s="183"/>
      <c r="H183" s="10">
        <f t="shared" si="14"/>
        <v>3531440.82</v>
      </c>
      <c r="I183" s="9">
        <v>-586992</v>
      </c>
      <c r="J183" s="9">
        <v>0</v>
      </c>
      <c r="L183" s="433">
        <f t="shared" si="13"/>
        <v>2944448.82</v>
      </c>
      <c r="M183" s="8"/>
      <c r="N183" s="7"/>
      <c r="P183" s="11"/>
    </row>
    <row r="184" spans="1:16" outlineLevel="2">
      <c r="A184" s="7">
        <f t="shared" si="11"/>
        <v>179</v>
      </c>
      <c r="B184" s="7" t="s">
        <v>29</v>
      </c>
      <c r="C184" s="7" t="s">
        <v>82</v>
      </c>
      <c r="D184" s="13" t="s">
        <v>472</v>
      </c>
      <c r="E184" s="8" t="s">
        <v>473</v>
      </c>
      <c r="F184" s="183">
        <v>7979019.6900000004</v>
      </c>
      <c r="G184" s="183"/>
      <c r="H184" s="10">
        <f t="shared" si="14"/>
        <v>7979019.6900000004</v>
      </c>
      <c r="I184" s="9">
        <v>-1095435.3600000001</v>
      </c>
      <c r="J184" s="9">
        <v>0</v>
      </c>
      <c r="L184" s="433">
        <f t="shared" si="13"/>
        <v>6883584.3300000001</v>
      </c>
      <c r="N184" s="7"/>
      <c r="P184" s="11"/>
    </row>
    <row r="185" spans="1:16" outlineLevel="2">
      <c r="A185" s="7">
        <f t="shared" si="11"/>
        <v>180</v>
      </c>
      <c r="B185" s="7" t="s">
        <v>29</v>
      </c>
      <c r="C185" s="7" t="s">
        <v>82</v>
      </c>
      <c r="D185" s="13" t="s">
        <v>474</v>
      </c>
      <c r="E185" s="8" t="s">
        <v>475</v>
      </c>
      <c r="F185" s="183">
        <v>5517622.7000000002</v>
      </c>
      <c r="G185" s="183"/>
      <c r="H185" s="10">
        <f t="shared" si="14"/>
        <v>5517622.7000000002</v>
      </c>
      <c r="I185" s="9">
        <v>-195317.53</v>
      </c>
      <c r="J185" s="9">
        <v>0</v>
      </c>
      <c r="L185" s="433">
        <f t="shared" si="13"/>
        <v>5322305.17</v>
      </c>
      <c r="M185" s="8"/>
      <c r="N185" s="7"/>
      <c r="P185" s="11"/>
    </row>
    <row r="186" spans="1:16" outlineLevel="2">
      <c r="A186" s="7">
        <f t="shared" si="11"/>
        <v>181</v>
      </c>
      <c r="B186" s="7" t="s">
        <v>29</v>
      </c>
      <c r="C186" s="7" t="s">
        <v>82</v>
      </c>
      <c r="D186" s="13" t="s">
        <v>476</v>
      </c>
      <c r="E186" s="8" t="s">
        <v>477</v>
      </c>
      <c r="F186" s="183">
        <v>72367.83</v>
      </c>
      <c r="G186" s="183"/>
      <c r="H186" s="10">
        <f t="shared" si="14"/>
        <v>72367.83</v>
      </c>
      <c r="I186" s="9">
        <v>-72367.83</v>
      </c>
      <c r="J186" s="9">
        <v>0</v>
      </c>
      <c r="L186" s="433">
        <f t="shared" si="13"/>
        <v>0</v>
      </c>
      <c r="M186" s="8"/>
      <c r="N186" s="7"/>
      <c r="P186" s="11"/>
    </row>
    <row r="187" spans="1:16" outlineLevel="2">
      <c r="A187" s="7">
        <f t="shared" si="11"/>
        <v>182</v>
      </c>
      <c r="B187" s="7" t="s">
        <v>29</v>
      </c>
      <c r="C187" s="7" t="s">
        <v>82</v>
      </c>
      <c r="D187" s="13" t="s">
        <v>478</v>
      </c>
      <c r="E187" s="8" t="s">
        <v>479</v>
      </c>
      <c r="F187" s="183">
        <v>1944816.97</v>
      </c>
      <c r="G187" s="183"/>
      <c r="H187" s="10">
        <f>F187+G187</f>
        <v>1944816.97</v>
      </c>
      <c r="I187" s="9">
        <v>-33744</v>
      </c>
      <c r="J187" s="9">
        <v>0</v>
      </c>
      <c r="L187" s="433">
        <f t="shared" si="13"/>
        <v>1911072.97</v>
      </c>
      <c r="M187" s="8"/>
      <c r="N187" s="7"/>
      <c r="P187" s="11"/>
    </row>
    <row r="188" spans="1:16" ht="13.5" customHeight="1" outlineLevel="2">
      <c r="A188" s="7">
        <f t="shared" si="11"/>
        <v>183</v>
      </c>
      <c r="B188" s="7" t="s">
        <v>29</v>
      </c>
      <c r="C188" s="7" t="s">
        <v>82</v>
      </c>
      <c r="D188" s="13" t="s">
        <v>480</v>
      </c>
      <c r="E188" s="8" t="s">
        <v>481</v>
      </c>
      <c r="F188" s="183">
        <v>18359552.66</v>
      </c>
      <c r="G188" s="183"/>
      <c r="H188" s="10">
        <f t="shared" ref="H188:H202" si="15">F188+G188</f>
        <v>18359552.66</v>
      </c>
      <c r="I188" s="9">
        <v>0</v>
      </c>
      <c r="J188" s="9">
        <v>0</v>
      </c>
      <c r="L188" s="433">
        <f t="shared" si="13"/>
        <v>18359552.66</v>
      </c>
      <c r="N188" s="7"/>
      <c r="P188" s="11"/>
    </row>
    <row r="189" spans="1:16" outlineLevel="2">
      <c r="A189" s="7">
        <f t="shared" si="11"/>
        <v>184</v>
      </c>
      <c r="B189" s="7" t="s">
        <v>29</v>
      </c>
      <c r="C189" s="7" t="s">
        <v>82</v>
      </c>
      <c r="D189" s="13" t="s">
        <v>482</v>
      </c>
      <c r="E189" s="8" t="s">
        <v>483</v>
      </c>
      <c r="F189" s="183">
        <v>4160684.48</v>
      </c>
      <c r="G189" s="183"/>
      <c r="H189" s="10">
        <f t="shared" si="15"/>
        <v>4160684.48</v>
      </c>
      <c r="I189" s="9">
        <v>-287496.89</v>
      </c>
      <c r="J189" s="9">
        <v>0</v>
      </c>
      <c r="L189" s="433">
        <f t="shared" si="13"/>
        <v>3873187.59</v>
      </c>
      <c r="M189" s="8"/>
      <c r="N189" s="7"/>
      <c r="P189" s="11"/>
    </row>
    <row r="190" spans="1:16" outlineLevel="2">
      <c r="A190" s="7">
        <f t="shared" si="11"/>
        <v>185</v>
      </c>
      <c r="B190" s="7" t="s">
        <v>29</v>
      </c>
      <c r="C190" s="7" t="s">
        <v>82</v>
      </c>
      <c r="D190" s="13" t="s">
        <v>484</v>
      </c>
      <c r="E190" s="8" t="s">
        <v>485</v>
      </c>
      <c r="F190" s="183">
        <v>3797914.69</v>
      </c>
      <c r="G190" s="183"/>
      <c r="H190" s="10">
        <f t="shared" si="15"/>
        <v>3797914.69</v>
      </c>
      <c r="I190" s="9">
        <v>-71356</v>
      </c>
      <c r="J190" s="9">
        <v>0</v>
      </c>
      <c r="L190" s="433">
        <f t="shared" si="13"/>
        <v>3726558.69</v>
      </c>
      <c r="M190" s="8"/>
      <c r="N190" s="7"/>
      <c r="P190" s="11"/>
    </row>
    <row r="191" spans="1:16" outlineLevel="2">
      <c r="A191" s="7">
        <f t="shared" si="11"/>
        <v>186</v>
      </c>
      <c r="B191" s="7" t="s">
        <v>29</v>
      </c>
      <c r="C191" s="7" t="s">
        <v>82</v>
      </c>
      <c r="D191" s="13" t="s">
        <v>486</v>
      </c>
      <c r="E191" s="8" t="s">
        <v>487</v>
      </c>
      <c r="F191" s="183">
        <v>180660.37</v>
      </c>
      <c r="G191" s="183"/>
      <c r="H191" s="10">
        <f t="shared" si="15"/>
        <v>180660.37</v>
      </c>
      <c r="I191" s="9">
        <v>0</v>
      </c>
      <c r="J191" s="9">
        <v>0</v>
      </c>
      <c r="L191" s="433">
        <f t="shared" si="13"/>
        <v>180660.37</v>
      </c>
      <c r="M191" s="8"/>
      <c r="N191" s="7"/>
      <c r="P191" s="11"/>
    </row>
    <row r="192" spans="1:16" outlineLevel="2">
      <c r="A192" s="7">
        <f t="shared" si="11"/>
        <v>187</v>
      </c>
      <c r="B192" s="7" t="s">
        <v>29</v>
      </c>
      <c r="C192" s="7" t="s">
        <v>82</v>
      </c>
      <c r="D192" s="13" t="s">
        <v>488</v>
      </c>
      <c r="E192" s="8" t="s">
        <v>489</v>
      </c>
      <c r="F192" s="183">
        <v>890606.75</v>
      </c>
      <c r="G192" s="183"/>
      <c r="H192" s="10">
        <f t="shared" si="15"/>
        <v>890606.75</v>
      </c>
      <c r="I192" s="9">
        <v>-108484.95</v>
      </c>
      <c r="J192" s="9">
        <v>0</v>
      </c>
      <c r="L192" s="433">
        <f t="shared" si="13"/>
        <v>782121.8</v>
      </c>
      <c r="M192" s="8"/>
      <c r="N192" s="7"/>
      <c r="P192" s="11"/>
    </row>
    <row r="193" spans="1:16" outlineLevel="2">
      <c r="A193" s="7">
        <f t="shared" si="11"/>
        <v>188</v>
      </c>
      <c r="B193" s="7" t="s">
        <v>29</v>
      </c>
      <c r="C193" s="7" t="s">
        <v>82</v>
      </c>
      <c r="D193" s="13" t="s">
        <v>490</v>
      </c>
      <c r="E193" s="8" t="s">
        <v>491</v>
      </c>
      <c r="F193" s="183">
        <v>2034652.24</v>
      </c>
      <c r="G193" s="183"/>
      <c r="H193" s="10">
        <f t="shared" si="15"/>
        <v>2034652.24</v>
      </c>
      <c r="I193" s="9">
        <v>-209290</v>
      </c>
      <c r="J193" s="9">
        <v>0</v>
      </c>
      <c r="L193" s="433">
        <f t="shared" si="13"/>
        <v>1825362.24</v>
      </c>
      <c r="M193" s="8"/>
      <c r="N193" s="7"/>
      <c r="P193" s="11"/>
    </row>
    <row r="194" spans="1:16" outlineLevel="2">
      <c r="A194" s="7">
        <f t="shared" si="11"/>
        <v>189</v>
      </c>
      <c r="B194" s="7" t="s">
        <v>29</v>
      </c>
      <c r="C194" s="7" t="s">
        <v>82</v>
      </c>
      <c r="D194" s="13" t="s">
        <v>492</v>
      </c>
      <c r="E194" s="8" t="s">
        <v>493</v>
      </c>
      <c r="F194" s="183">
        <v>4220540.96</v>
      </c>
      <c r="G194" s="183"/>
      <c r="H194" s="10">
        <f t="shared" si="15"/>
        <v>4220540.96</v>
      </c>
      <c r="I194" s="9">
        <v>-699890</v>
      </c>
      <c r="J194" s="9">
        <v>0</v>
      </c>
      <c r="L194" s="433">
        <f t="shared" si="13"/>
        <v>3520650.96</v>
      </c>
      <c r="M194" s="8"/>
      <c r="N194" s="7"/>
      <c r="P194" s="11"/>
    </row>
    <row r="195" spans="1:16" outlineLevel="2">
      <c r="A195" s="7">
        <f t="shared" si="11"/>
        <v>190</v>
      </c>
      <c r="B195" s="7" t="s">
        <v>29</v>
      </c>
      <c r="C195" s="7" t="s">
        <v>82</v>
      </c>
      <c r="D195" s="13" t="s">
        <v>494</v>
      </c>
      <c r="E195" s="8" t="s">
        <v>495</v>
      </c>
      <c r="F195" s="183">
        <v>992414.68</v>
      </c>
      <c r="G195" s="183"/>
      <c r="H195" s="10">
        <f t="shared" si="15"/>
        <v>992414.68</v>
      </c>
      <c r="I195" s="9">
        <v>-160601.15</v>
      </c>
      <c r="J195" s="9">
        <v>0</v>
      </c>
      <c r="L195" s="433">
        <f t="shared" si="13"/>
        <v>831813.53</v>
      </c>
      <c r="M195" s="8"/>
      <c r="N195" s="7"/>
      <c r="P195" s="11"/>
    </row>
    <row r="196" spans="1:16" outlineLevel="2">
      <c r="A196" s="7">
        <f t="shared" si="11"/>
        <v>191</v>
      </c>
      <c r="B196" s="7" t="s">
        <v>29</v>
      </c>
      <c r="C196" s="7" t="s">
        <v>82</v>
      </c>
      <c r="D196" s="13" t="s">
        <v>496</v>
      </c>
      <c r="E196" s="8" t="s">
        <v>497</v>
      </c>
      <c r="F196" s="183">
        <f>5739050.59</f>
        <v>5739050.5899999999</v>
      </c>
      <c r="G196" s="183"/>
      <c r="H196" s="10">
        <f t="shared" si="15"/>
        <v>5739050.5899999999</v>
      </c>
      <c r="I196" s="9">
        <v>-630014.97</v>
      </c>
      <c r="J196" s="9">
        <v>0</v>
      </c>
      <c r="L196" s="433">
        <f t="shared" si="13"/>
        <v>5109035.62</v>
      </c>
      <c r="M196" s="8"/>
      <c r="N196" s="7"/>
      <c r="P196" s="11"/>
    </row>
    <row r="197" spans="1:16" outlineLevel="2">
      <c r="A197" s="7">
        <f t="shared" si="11"/>
        <v>192</v>
      </c>
      <c r="B197" s="7" t="s">
        <v>29</v>
      </c>
      <c r="C197" s="7" t="s">
        <v>82</v>
      </c>
      <c r="D197" s="13" t="s">
        <v>498</v>
      </c>
      <c r="E197" s="8" t="s">
        <v>499</v>
      </c>
      <c r="F197" s="183">
        <v>1733527.61</v>
      </c>
      <c r="G197" s="183"/>
      <c r="H197" s="10">
        <f t="shared" si="15"/>
        <v>1733527.61</v>
      </c>
      <c r="I197" s="9">
        <v>-1733527.61</v>
      </c>
      <c r="J197" s="9">
        <v>0</v>
      </c>
      <c r="L197" s="433">
        <f t="shared" si="13"/>
        <v>0</v>
      </c>
      <c r="N197" s="7"/>
      <c r="P197" s="11"/>
    </row>
    <row r="198" spans="1:16" outlineLevel="2">
      <c r="A198" s="7">
        <f t="shared" si="11"/>
        <v>193</v>
      </c>
      <c r="B198" s="7" t="s">
        <v>29</v>
      </c>
      <c r="C198" s="7" t="s">
        <v>82</v>
      </c>
      <c r="D198" s="13" t="s">
        <v>500</v>
      </c>
      <c r="E198" s="8" t="s">
        <v>501</v>
      </c>
      <c r="F198" s="183">
        <v>8375650.7999999998</v>
      </c>
      <c r="G198" s="183"/>
      <c r="H198" s="10">
        <f t="shared" si="15"/>
        <v>8375650.7999999998</v>
      </c>
      <c r="I198" s="9">
        <v>0</v>
      </c>
      <c r="K198" s="9">
        <f>-8375651</f>
        <v>-8375651</v>
      </c>
      <c r="L198" s="433">
        <f t="shared" si="13"/>
        <v>-0.20000000018626451</v>
      </c>
      <c r="N198" s="7"/>
      <c r="P198" s="11"/>
    </row>
    <row r="199" spans="1:16" outlineLevel="2">
      <c r="A199" s="7">
        <f t="shared" si="11"/>
        <v>194</v>
      </c>
      <c r="B199" s="7" t="s">
        <v>29</v>
      </c>
      <c r="C199" s="7" t="s">
        <v>82</v>
      </c>
      <c r="D199" s="13" t="s">
        <v>502</v>
      </c>
      <c r="E199" s="8" t="s">
        <v>503</v>
      </c>
      <c r="F199" s="183">
        <v>623512.97</v>
      </c>
      <c r="G199" s="183"/>
      <c r="H199" s="10">
        <f t="shared" si="15"/>
        <v>623512.97</v>
      </c>
      <c r="I199" s="9">
        <v>0</v>
      </c>
      <c r="J199" s="9">
        <v>0</v>
      </c>
      <c r="L199" s="433">
        <f t="shared" si="13"/>
        <v>623512.97</v>
      </c>
      <c r="N199" s="7"/>
      <c r="P199" s="11"/>
    </row>
    <row r="200" spans="1:16" outlineLevel="2">
      <c r="A200" s="7">
        <f t="shared" si="11"/>
        <v>195</v>
      </c>
      <c r="B200" s="7" t="s">
        <v>29</v>
      </c>
      <c r="C200" s="7" t="s">
        <v>82</v>
      </c>
      <c r="D200" s="13" t="s">
        <v>504</v>
      </c>
      <c r="E200" s="8" t="s">
        <v>505</v>
      </c>
      <c r="F200" s="183">
        <v>8764448.2799999993</v>
      </c>
      <c r="G200" s="183"/>
      <c r="H200" s="10">
        <f t="shared" si="15"/>
        <v>8764448.2799999993</v>
      </c>
      <c r="I200" s="9">
        <v>-1538024.12</v>
      </c>
      <c r="J200" s="9">
        <v>0</v>
      </c>
      <c r="L200" s="433">
        <f t="shared" si="13"/>
        <v>7226424.1599999992</v>
      </c>
      <c r="M200" s="8"/>
      <c r="N200" s="7"/>
      <c r="P200" s="11"/>
    </row>
    <row r="201" spans="1:16" outlineLevel="2">
      <c r="A201" s="7">
        <f t="shared" ref="A201:A264" si="16">A200+1</f>
        <v>196</v>
      </c>
      <c r="B201" s="7" t="s">
        <v>29</v>
      </c>
      <c r="C201" s="7" t="s">
        <v>82</v>
      </c>
      <c r="D201" s="13" t="s">
        <v>506</v>
      </c>
      <c r="E201" s="8" t="s">
        <v>507</v>
      </c>
      <c r="F201" s="183">
        <v>74402.89</v>
      </c>
      <c r="G201" s="183"/>
      <c r="H201" s="10">
        <f t="shared" si="15"/>
        <v>74402.89</v>
      </c>
      <c r="I201" s="9">
        <v>0</v>
      </c>
      <c r="J201" s="9">
        <v>0</v>
      </c>
      <c r="L201" s="433">
        <f t="shared" si="13"/>
        <v>74402.89</v>
      </c>
      <c r="N201" s="7"/>
      <c r="P201" s="11"/>
    </row>
    <row r="202" spans="1:16" outlineLevel="2">
      <c r="A202" s="7">
        <f t="shared" si="16"/>
        <v>197</v>
      </c>
      <c r="B202" s="7" t="s">
        <v>29</v>
      </c>
      <c r="C202" s="7" t="s">
        <v>82</v>
      </c>
      <c r="D202" s="13" t="s">
        <v>508</v>
      </c>
      <c r="E202" s="8" t="s">
        <v>509</v>
      </c>
      <c r="F202" s="183">
        <v>22102.23</v>
      </c>
      <c r="G202" s="183"/>
      <c r="H202" s="10">
        <f t="shared" si="15"/>
        <v>22102.23</v>
      </c>
      <c r="I202" s="9">
        <v>0</v>
      </c>
      <c r="J202" s="9">
        <v>0</v>
      </c>
      <c r="L202" s="433">
        <f t="shared" si="13"/>
        <v>22102.23</v>
      </c>
      <c r="M202" s="8"/>
      <c r="N202" s="7"/>
      <c r="P202" s="11"/>
    </row>
    <row r="203" spans="1:16" outlineLevel="2">
      <c r="A203" s="7">
        <f t="shared" si="16"/>
        <v>198</v>
      </c>
      <c r="B203" s="7" t="s">
        <v>29</v>
      </c>
      <c r="C203" s="7" t="s">
        <v>82</v>
      </c>
      <c r="D203" s="13" t="s">
        <v>510</v>
      </c>
      <c r="E203" s="8" t="s">
        <v>511</v>
      </c>
      <c r="F203" s="183">
        <v>13002875.039999999</v>
      </c>
      <c r="G203" s="183">
        <v>5240911</v>
      </c>
      <c r="H203" s="10">
        <f>F203+G203</f>
        <v>18243786.039999999</v>
      </c>
      <c r="I203" s="9">
        <v>0</v>
      </c>
      <c r="J203" s="9">
        <v>0</v>
      </c>
      <c r="L203" s="433">
        <f t="shared" si="13"/>
        <v>18243786.039999999</v>
      </c>
      <c r="N203" s="7"/>
      <c r="P203" s="11"/>
    </row>
    <row r="204" spans="1:16" outlineLevel="2">
      <c r="A204" s="7">
        <f t="shared" si="16"/>
        <v>199</v>
      </c>
      <c r="B204" s="7" t="s">
        <v>29</v>
      </c>
      <c r="C204" s="7" t="s">
        <v>82</v>
      </c>
      <c r="D204" s="13" t="s">
        <v>512</v>
      </c>
      <c r="E204" s="8" t="s">
        <v>513</v>
      </c>
      <c r="F204" s="183">
        <v>15965764.93</v>
      </c>
      <c r="G204" s="183"/>
      <c r="H204" s="10">
        <f t="shared" ref="H204:H216" si="17">F204+G204</f>
        <v>15965764.93</v>
      </c>
      <c r="I204" s="9">
        <v>0</v>
      </c>
      <c r="J204" s="9">
        <v>0</v>
      </c>
      <c r="L204" s="433">
        <f t="shared" si="13"/>
        <v>15965764.93</v>
      </c>
      <c r="N204" s="7"/>
      <c r="P204" s="11"/>
    </row>
    <row r="205" spans="1:16" outlineLevel="2">
      <c r="A205" s="7">
        <f t="shared" si="16"/>
        <v>200</v>
      </c>
      <c r="B205" s="7" t="s">
        <v>29</v>
      </c>
      <c r="C205" s="7" t="s">
        <v>82</v>
      </c>
      <c r="D205" s="13" t="s">
        <v>514</v>
      </c>
      <c r="E205" s="8" t="s">
        <v>515</v>
      </c>
      <c r="F205" s="183">
        <v>15080471.949999999</v>
      </c>
      <c r="G205" s="183"/>
      <c r="H205" s="10">
        <f t="shared" si="17"/>
        <v>15080471.949999999</v>
      </c>
      <c r="I205" s="9">
        <v>-516513.16</v>
      </c>
      <c r="J205" s="9">
        <v>0</v>
      </c>
      <c r="L205" s="433">
        <f t="shared" si="13"/>
        <v>14563958.789999999</v>
      </c>
      <c r="M205" s="8"/>
      <c r="N205" s="7"/>
      <c r="P205" s="11"/>
    </row>
    <row r="206" spans="1:16" outlineLevel="2">
      <c r="A206" s="7">
        <f t="shared" si="16"/>
        <v>201</v>
      </c>
      <c r="B206" s="7" t="s">
        <v>29</v>
      </c>
      <c r="C206" s="7" t="s">
        <v>82</v>
      </c>
      <c r="D206" s="13" t="s">
        <v>516</v>
      </c>
      <c r="E206" s="8" t="s">
        <v>517</v>
      </c>
      <c r="F206" s="28">
        <v>8022741.1900000004</v>
      </c>
      <c r="H206" s="10">
        <f t="shared" si="17"/>
        <v>8022741.1900000004</v>
      </c>
      <c r="I206" s="9">
        <v>-254683.47</v>
      </c>
      <c r="J206" s="9">
        <v>0</v>
      </c>
      <c r="L206" s="433">
        <f t="shared" si="13"/>
        <v>7768057.7200000007</v>
      </c>
      <c r="N206" s="7"/>
      <c r="P206" s="11"/>
    </row>
    <row r="207" spans="1:16" outlineLevel="2">
      <c r="A207" s="7">
        <f t="shared" si="16"/>
        <v>202</v>
      </c>
      <c r="B207" s="7" t="s">
        <v>29</v>
      </c>
      <c r="C207" s="7" t="s">
        <v>82</v>
      </c>
      <c r="D207" s="13" t="s">
        <v>518</v>
      </c>
      <c r="E207" s="8" t="s">
        <v>519</v>
      </c>
      <c r="F207" s="28">
        <v>49735.05</v>
      </c>
      <c r="H207" s="10">
        <f t="shared" si="17"/>
        <v>49735.05</v>
      </c>
      <c r="I207" s="9">
        <v>0</v>
      </c>
      <c r="J207" s="9">
        <v>0</v>
      </c>
      <c r="L207" s="433">
        <f t="shared" si="13"/>
        <v>49735.05</v>
      </c>
      <c r="N207" s="7"/>
      <c r="P207" s="11"/>
    </row>
    <row r="208" spans="1:16" outlineLevel="2">
      <c r="A208" s="7">
        <f t="shared" si="16"/>
        <v>203</v>
      </c>
      <c r="B208" s="7" t="s">
        <v>29</v>
      </c>
      <c r="C208" s="7" t="s">
        <v>82</v>
      </c>
      <c r="D208" s="13" t="s">
        <v>520</v>
      </c>
      <c r="E208" s="8" t="s">
        <v>521</v>
      </c>
      <c r="F208" s="28">
        <v>93606.07</v>
      </c>
      <c r="H208" s="10">
        <f t="shared" si="17"/>
        <v>93606.07</v>
      </c>
      <c r="I208" s="9">
        <v>0</v>
      </c>
      <c r="J208" s="9">
        <v>0</v>
      </c>
      <c r="L208" s="433">
        <f t="shared" ref="L208:L237" si="18">SUM(H208:K208)</f>
        <v>93606.07</v>
      </c>
      <c r="N208" s="7"/>
      <c r="P208" s="11"/>
    </row>
    <row r="209" spans="1:16" outlineLevel="2">
      <c r="A209" s="7">
        <f t="shared" si="16"/>
        <v>204</v>
      </c>
      <c r="B209" s="7" t="s">
        <v>29</v>
      </c>
      <c r="C209" s="7" t="s">
        <v>82</v>
      </c>
      <c r="D209" s="13" t="s">
        <v>522</v>
      </c>
      <c r="E209" s="8" t="s">
        <v>523</v>
      </c>
      <c r="F209" s="183">
        <v>25796.11</v>
      </c>
      <c r="G209" s="183"/>
      <c r="H209" s="10">
        <f t="shared" si="17"/>
        <v>25796.11</v>
      </c>
      <c r="I209" s="9">
        <v>0</v>
      </c>
      <c r="J209" s="9">
        <v>0</v>
      </c>
      <c r="L209" s="433">
        <f t="shared" si="18"/>
        <v>25796.11</v>
      </c>
      <c r="N209" s="7"/>
      <c r="P209" s="11"/>
    </row>
    <row r="210" spans="1:16" outlineLevel="2">
      <c r="A210" s="7">
        <f t="shared" si="16"/>
        <v>205</v>
      </c>
      <c r="B210" s="7" t="s">
        <v>29</v>
      </c>
      <c r="C210" s="7" t="s">
        <v>82</v>
      </c>
      <c r="D210" s="13" t="s">
        <v>524</v>
      </c>
      <c r="E210" s="8" t="s">
        <v>525</v>
      </c>
      <c r="F210" s="183">
        <v>3386697.27</v>
      </c>
      <c r="G210" s="183"/>
      <c r="H210" s="10">
        <f t="shared" si="17"/>
        <v>3386697.27</v>
      </c>
      <c r="I210" s="9">
        <v>-334512.53999999998</v>
      </c>
      <c r="J210" s="9">
        <v>0</v>
      </c>
      <c r="L210" s="433">
        <f t="shared" si="18"/>
        <v>3052184.73</v>
      </c>
      <c r="N210" s="7"/>
      <c r="P210" s="11"/>
    </row>
    <row r="211" spans="1:16" outlineLevel="2">
      <c r="A211" s="7">
        <f t="shared" si="16"/>
        <v>206</v>
      </c>
      <c r="B211" s="7" t="s">
        <v>29</v>
      </c>
      <c r="C211" s="7" t="s">
        <v>82</v>
      </c>
      <c r="D211" s="13" t="s">
        <v>526</v>
      </c>
      <c r="E211" s="8" t="s">
        <v>527</v>
      </c>
      <c r="F211" s="183">
        <v>661496.97</v>
      </c>
      <c r="G211" s="183"/>
      <c r="H211" s="10">
        <f t="shared" si="17"/>
        <v>661496.97</v>
      </c>
      <c r="I211" s="9">
        <v>-103120.76</v>
      </c>
      <c r="L211" s="433">
        <f t="shared" si="18"/>
        <v>558376.21</v>
      </c>
      <c r="N211" s="7"/>
      <c r="P211" s="11"/>
    </row>
    <row r="212" spans="1:16" outlineLevel="2">
      <c r="A212" s="7">
        <f t="shared" si="16"/>
        <v>207</v>
      </c>
      <c r="B212" s="7" t="s">
        <v>29</v>
      </c>
      <c r="C212" s="7" t="s">
        <v>82</v>
      </c>
      <c r="D212" s="13" t="s">
        <v>528</v>
      </c>
      <c r="E212" s="8" t="s">
        <v>529</v>
      </c>
      <c r="F212" s="183">
        <v>5204792.82</v>
      </c>
      <c r="G212" s="183"/>
      <c r="H212" s="10">
        <f t="shared" si="17"/>
        <v>5204792.82</v>
      </c>
      <c r="I212" s="9">
        <v>0</v>
      </c>
      <c r="J212" s="9">
        <v>0</v>
      </c>
      <c r="L212" s="433">
        <f t="shared" si="18"/>
        <v>5204792.82</v>
      </c>
      <c r="N212" s="7"/>
      <c r="P212" s="11"/>
    </row>
    <row r="213" spans="1:16" outlineLevel="2">
      <c r="A213" s="7">
        <f t="shared" si="16"/>
        <v>208</v>
      </c>
      <c r="B213" s="7" t="s">
        <v>29</v>
      </c>
      <c r="C213" s="7" t="s">
        <v>82</v>
      </c>
      <c r="D213" s="13" t="s">
        <v>530</v>
      </c>
      <c r="E213" s="8" t="s">
        <v>531</v>
      </c>
      <c r="F213" s="183">
        <v>1190631.28</v>
      </c>
      <c r="G213" s="183"/>
      <c r="H213" s="10">
        <f t="shared" si="17"/>
        <v>1190631.28</v>
      </c>
      <c r="I213" s="9">
        <v>-125594.13</v>
      </c>
      <c r="J213" s="9">
        <v>0</v>
      </c>
      <c r="L213" s="433">
        <f t="shared" si="18"/>
        <v>1065037.1499999999</v>
      </c>
      <c r="M213" s="8"/>
      <c r="N213" s="7"/>
      <c r="P213" s="11"/>
    </row>
    <row r="214" spans="1:16" outlineLevel="2">
      <c r="A214" s="7">
        <f t="shared" si="16"/>
        <v>209</v>
      </c>
      <c r="B214" s="7" t="s">
        <v>29</v>
      </c>
      <c r="C214" s="7" t="s">
        <v>82</v>
      </c>
      <c r="D214" s="13" t="s">
        <v>532</v>
      </c>
      <c r="E214" s="8" t="s">
        <v>533</v>
      </c>
      <c r="F214" s="183">
        <v>12816176.859999999</v>
      </c>
      <c r="G214" s="183"/>
      <c r="H214" s="10">
        <f t="shared" si="17"/>
        <v>12816176.859999999</v>
      </c>
      <c r="I214" s="9">
        <v>0</v>
      </c>
      <c r="J214" s="9">
        <v>0</v>
      </c>
      <c r="L214" s="433">
        <f t="shared" si="18"/>
        <v>12816176.859999999</v>
      </c>
      <c r="N214" s="7"/>
      <c r="P214" s="11"/>
    </row>
    <row r="215" spans="1:16" outlineLevel="2">
      <c r="A215" s="7">
        <f t="shared" si="16"/>
        <v>210</v>
      </c>
      <c r="B215" s="7" t="s">
        <v>29</v>
      </c>
      <c r="C215" s="7" t="s">
        <v>82</v>
      </c>
      <c r="D215" s="13" t="s">
        <v>534</v>
      </c>
      <c r="E215" s="8" t="s">
        <v>535</v>
      </c>
      <c r="F215" s="183">
        <v>12228699.77</v>
      </c>
      <c r="G215" s="183"/>
      <c r="H215" s="10">
        <f t="shared" si="17"/>
        <v>12228699.77</v>
      </c>
      <c r="I215" s="9">
        <v>0</v>
      </c>
      <c r="J215" s="9">
        <v>0</v>
      </c>
      <c r="L215" s="433">
        <f t="shared" si="18"/>
        <v>12228699.77</v>
      </c>
      <c r="N215" s="7"/>
      <c r="P215" s="11"/>
    </row>
    <row r="216" spans="1:16" outlineLevel="2">
      <c r="A216" s="7">
        <f t="shared" si="16"/>
        <v>211</v>
      </c>
      <c r="B216" s="7" t="s">
        <v>29</v>
      </c>
      <c r="C216" s="7" t="s">
        <v>82</v>
      </c>
      <c r="D216" s="13" t="s">
        <v>536</v>
      </c>
      <c r="E216" s="8" t="s">
        <v>537</v>
      </c>
      <c r="F216" s="183">
        <v>6991078.3300000001</v>
      </c>
      <c r="G216" s="183"/>
      <c r="H216" s="10">
        <f t="shared" si="17"/>
        <v>6991078.3300000001</v>
      </c>
      <c r="I216" s="9">
        <v>-176541.41</v>
      </c>
      <c r="J216" s="9">
        <v>0</v>
      </c>
      <c r="L216" s="433">
        <f t="shared" si="18"/>
        <v>6814536.9199999999</v>
      </c>
      <c r="M216" s="8"/>
      <c r="N216" s="7"/>
      <c r="P216" s="11"/>
    </row>
    <row r="217" spans="1:16" outlineLevel="2">
      <c r="A217" s="7">
        <f t="shared" si="16"/>
        <v>212</v>
      </c>
      <c r="B217" s="7" t="s">
        <v>29</v>
      </c>
      <c r="C217" s="7" t="s">
        <v>82</v>
      </c>
      <c r="D217" s="13" t="s">
        <v>538</v>
      </c>
      <c r="E217" s="8" t="s">
        <v>539</v>
      </c>
      <c r="F217" s="183">
        <v>260323.59</v>
      </c>
      <c r="G217" s="183"/>
      <c r="H217" s="10">
        <f>F217+G217</f>
        <v>260323.59</v>
      </c>
      <c r="I217" s="9">
        <v>0</v>
      </c>
      <c r="J217" s="9">
        <v>0</v>
      </c>
      <c r="L217" s="433">
        <f t="shared" si="18"/>
        <v>260323.59</v>
      </c>
      <c r="N217" s="7"/>
      <c r="P217" s="11"/>
    </row>
    <row r="218" spans="1:16" outlineLevel="2">
      <c r="A218" s="7">
        <f t="shared" si="16"/>
        <v>213</v>
      </c>
      <c r="B218" s="7" t="s">
        <v>29</v>
      </c>
      <c r="C218" s="7" t="s">
        <v>82</v>
      </c>
      <c r="D218" s="13" t="s">
        <v>540</v>
      </c>
      <c r="E218" s="8" t="s">
        <v>541</v>
      </c>
      <c r="F218" s="183">
        <v>3220641.33</v>
      </c>
      <c r="G218" s="183"/>
      <c r="H218" s="10">
        <f t="shared" ref="H218:H237" si="19">F218+G218</f>
        <v>3220641.33</v>
      </c>
      <c r="I218" s="9">
        <v>0</v>
      </c>
      <c r="J218" s="9">
        <v>0</v>
      </c>
      <c r="L218" s="433">
        <f t="shared" si="18"/>
        <v>3220641.33</v>
      </c>
      <c r="N218" s="7"/>
      <c r="P218" s="11"/>
    </row>
    <row r="219" spans="1:16" outlineLevel="2">
      <c r="A219" s="7">
        <f t="shared" si="16"/>
        <v>214</v>
      </c>
      <c r="B219" s="7" t="s">
        <v>29</v>
      </c>
      <c r="C219" s="7" t="s">
        <v>82</v>
      </c>
      <c r="D219" s="13" t="s">
        <v>542</v>
      </c>
      <c r="E219" s="8" t="s">
        <v>543</v>
      </c>
      <c r="F219" s="183">
        <v>1575443.18</v>
      </c>
      <c r="G219" s="183"/>
      <c r="H219" s="10">
        <f t="shared" si="19"/>
        <v>1575443.18</v>
      </c>
      <c r="I219" s="9">
        <v>-654299</v>
      </c>
      <c r="J219" s="9">
        <v>0</v>
      </c>
      <c r="L219" s="433">
        <f t="shared" si="18"/>
        <v>921144.17999999993</v>
      </c>
      <c r="M219" s="8"/>
      <c r="N219" s="7"/>
      <c r="P219" s="11"/>
    </row>
    <row r="220" spans="1:16" outlineLevel="2">
      <c r="A220" s="7">
        <f t="shared" si="16"/>
        <v>215</v>
      </c>
      <c r="B220" s="7" t="s">
        <v>29</v>
      </c>
      <c r="C220" s="7" t="s">
        <v>82</v>
      </c>
      <c r="D220" s="13" t="s">
        <v>544</v>
      </c>
      <c r="E220" s="8" t="s">
        <v>545</v>
      </c>
      <c r="F220" s="183">
        <v>25378.92</v>
      </c>
      <c r="G220" s="183"/>
      <c r="H220" s="10">
        <f t="shared" si="19"/>
        <v>25378.92</v>
      </c>
      <c r="I220" s="9">
        <v>0</v>
      </c>
      <c r="J220" s="9">
        <v>0</v>
      </c>
      <c r="L220" s="433">
        <f t="shared" si="18"/>
        <v>25378.92</v>
      </c>
      <c r="M220" s="8"/>
      <c r="N220" s="7"/>
      <c r="P220" s="11"/>
    </row>
    <row r="221" spans="1:16" outlineLevel="2">
      <c r="A221" s="7">
        <f t="shared" si="16"/>
        <v>216</v>
      </c>
      <c r="B221" s="7" t="s">
        <v>29</v>
      </c>
      <c r="C221" s="7" t="s">
        <v>82</v>
      </c>
      <c r="D221" s="13" t="s">
        <v>546</v>
      </c>
      <c r="E221" s="8" t="s">
        <v>547</v>
      </c>
      <c r="F221" s="183">
        <v>3484543.82</v>
      </c>
      <c r="G221" s="183"/>
      <c r="H221" s="10">
        <f t="shared" si="19"/>
        <v>3484543.82</v>
      </c>
      <c r="I221" s="9">
        <v>-45361.56</v>
      </c>
      <c r="J221" s="9">
        <v>0</v>
      </c>
      <c r="L221" s="433">
        <f t="shared" si="18"/>
        <v>3439182.26</v>
      </c>
      <c r="M221" s="8"/>
      <c r="N221" s="7"/>
      <c r="P221" s="11"/>
    </row>
    <row r="222" spans="1:16" outlineLevel="2">
      <c r="A222" s="7">
        <f t="shared" si="16"/>
        <v>217</v>
      </c>
      <c r="B222" s="7" t="s">
        <v>29</v>
      </c>
      <c r="C222" s="7" t="s">
        <v>82</v>
      </c>
      <c r="D222" s="13" t="s">
        <v>548</v>
      </c>
      <c r="E222" s="8" t="s">
        <v>549</v>
      </c>
      <c r="F222" s="183">
        <v>1996819.37</v>
      </c>
      <c r="G222" s="183"/>
      <c r="H222" s="10">
        <f t="shared" si="19"/>
        <v>1996819.37</v>
      </c>
      <c r="I222" s="185">
        <v>-942415</v>
      </c>
      <c r="J222" s="9">
        <v>0</v>
      </c>
      <c r="L222" s="433">
        <f t="shared" si="18"/>
        <v>1054404.3700000001</v>
      </c>
      <c r="M222" s="8"/>
      <c r="N222" s="7"/>
      <c r="P222" s="11"/>
    </row>
    <row r="223" spans="1:16" outlineLevel="2">
      <c r="A223" s="7">
        <f t="shared" si="16"/>
        <v>218</v>
      </c>
      <c r="B223" s="7" t="s">
        <v>29</v>
      </c>
      <c r="C223" s="7" t="s">
        <v>82</v>
      </c>
      <c r="D223" s="13" t="s">
        <v>550</v>
      </c>
      <c r="E223" s="8" t="s">
        <v>551</v>
      </c>
      <c r="F223" s="183">
        <v>3223562.77</v>
      </c>
      <c r="G223" s="183"/>
      <c r="H223" s="10">
        <f t="shared" si="19"/>
        <v>3223562.77</v>
      </c>
      <c r="I223" s="9">
        <v>0</v>
      </c>
      <c r="J223" s="9">
        <v>0</v>
      </c>
      <c r="L223" s="433">
        <f t="shared" si="18"/>
        <v>3223562.77</v>
      </c>
      <c r="N223" s="7"/>
      <c r="P223" s="11"/>
    </row>
    <row r="224" spans="1:16" outlineLevel="2">
      <c r="A224" s="7">
        <f t="shared" si="16"/>
        <v>219</v>
      </c>
      <c r="B224" s="7" t="s">
        <v>29</v>
      </c>
      <c r="C224" s="7" t="s">
        <v>82</v>
      </c>
      <c r="D224" s="13" t="s">
        <v>552</v>
      </c>
      <c r="E224" s="8" t="s">
        <v>553</v>
      </c>
      <c r="F224" s="183">
        <v>12077021.52</v>
      </c>
      <c r="G224" s="183"/>
      <c r="H224" s="10">
        <f t="shared" si="19"/>
        <v>12077021.52</v>
      </c>
      <c r="I224" s="9">
        <v>0</v>
      </c>
      <c r="J224" s="9">
        <v>0</v>
      </c>
      <c r="L224" s="433">
        <f t="shared" si="18"/>
        <v>12077021.52</v>
      </c>
      <c r="N224" s="7"/>
      <c r="P224" s="11"/>
    </row>
    <row r="225" spans="1:16" outlineLevel="2">
      <c r="A225" s="7">
        <f t="shared" si="16"/>
        <v>220</v>
      </c>
      <c r="B225" s="7" t="s">
        <v>29</v>
      </c>
      <c r="C225" s="7" t="s">
        <v>82</v>
      </c>
      <c r="D225" s="13" t="s">
        <v>554</v>
      </c>
      <c r="E225" s="8" t="s">
        <v>555</v>
      </c>
      <c r="F225" s="183">
        <v>18629337.329999998</v>
      </c>
      <c r="G225" s="183"/>
      <c r="H225" s="10">
        <f t="shared" si="19"/>
        <v>18629337.329999998</v>
      </c>
      <c r="I225" s="9">
        <v>0</v>
      </c>
      <c r="J225" s="9">
        <v>0</v>
      </c>
      <c r="L225" s="433">
        <f t="shared" si="18"/>
        <v>18629337.329999998</v>
      </c>
      <c r="M225" s="8"/>
      <c r="N225" s="7"/>
      <c r="P225" s="11"/>
    </row>
    <row r="226" spans="1:16" outlineLevel="2">
      <c r="A226" s="7">
        <f t="shared" si="16"/>
        <v>221</v>
      </c>
      <c r="B226" s="7" t="s">
        <v>29</v>
      </c>
      <c r="C226" s="7" t="s">
        <v>82</v>
      </c>
      <c r="D226" s="13" t="s">
        <v>556</v>
      </c>
      <c r="E226" s="8" t="s">
        <v>557</v>
      </c>
      <c r="F226" s="183">
        <v>7637764.3799999999</v>
      </c>
      <c r="G226" s="183"/>
      <c r="H226" s="10">
        <f t="shared" si="19"/>
        <v>7637764.3799999999</v>
      </c>
      <c r="I226" s="9">
        <v>-108365.37</v>
      </c>
      <c r="J226" s="9">
        <v>0</v>
      </c>
      <c r="L226" s="433">
        <f t="shared" si="18"/>
        <v>7529399.0099999998</v>
      </c>
      <c r="M226" s="8"/>
      <c r="N226" s="7"/>
      <c r="P226" s="11"/>
    </row>
    <row r="227" spans="1:16" outlineLevel="2">
      <c r="A227" s="7">
        <f t="shared" si="16"/>
        <v>222</v>
      </c>
      <c r="B227" s="7" t="s">
        <v>29</v>
      </c>
      <c r="C227" s="7" t="s">
        <v>82</v>
      </c>
      <c r="D227" s="13" t="s">
        <v>558</v>
      </c>
      <c r="E227" s="8" t="s">
        <v>559</v>
      </c>
      <c r="F227" s="183">
        <v>5141440.25</v>
      </c>
      <c r="G227" s="183"/>
      <c r="H227" s="10">
        <f t="shared" si="19"/>
        <v>5141440.25</v>
      </c>
      <c r="I227" s="9">
        <v>-181849</v>
      </c>
      <c r="J227" s="9">
        <v>0</v>
      </c>
      <c r="L227" s="433">
        <f t="shared" si="18"/>
        <v>4959591.25</v>
      </c>
      <c r="M227" s="8"/>
      <c r="N227" s="7"/>
      <c r="P227" s="11"/>
    </row>
    <row r="228" spans="1:16" outlineLevel="2">
      <c r="A228" s="7">
        <f t="shared" si="16"/>
        <v>223</v>
      </c>
      <c r="B228" s="7" t="s">
        <v>29</v>
      </c>
      <c r="C228" s="7" t="s">
        <v>82</v>
      </c>
      <c r="D228" s="13" t="s">
        <v>560</v>
      </c>
      <c r="E228" s="8" t="s">
        <v>561</v>
      </c>
      <c r="F228" s="183">
        <v>12340200.26</v>
      </c>
      <c r="G228" s="183"/>
      <c r="H228" s="10">
        <f t="shared" si="19"/>
        <v>12340200.26</v>
      </c>
      <c r="I228" s="9">
        <v>0</v>
      </c>
      <c r="J228" s="9">
        <v>0</v>
      </c>
      <c r="L228" s="433">
        <f t="shared" si="18"/>
        <v>12340200.26</v>
      </c>
      <c r="N228" s="7"/>
      <c r="P228" s="11"/>
    </row>
    <row r="229" spans="1:16" outlineLevel="2">
      <c r="A229" s="7">
        <f t="shared" si="16"/>
        <v>224</v>
      </c>
      <c r="B229" s="7" t="s">
        <v>29</v>
      </c>
      <c r="C229" s="7" t="s">
        <v>82</v>
      </c>
      <c r="D229" s="13" t="s">
        <v>562</v>
      </c>
      <c r="E229" s="8" t="s">
        <v>563</v>
      </c>
      <c r="F229" s="183">
        <v>818761.1</v>
      </c>
      <c r="G229" s="183"/>
      <c r="H229" s="10">
        <f t="shared" si="19"/>
        <v>818761.1</v>
      </c>
      <c r="I229" s="9">
        <v>-250593.49</v>
      </c>
      <c r="J229" s="9">
        <v>0</v>
      </c>
      <c r="L229" s="433">
        <f t="shared" si="18"/>
        <v>568167.61</v>
      </c>
      <c r="M229" s="8"/>
      <c r="N229" s="7"/>
      <c r="P229" s="11"/>
    </row>
    <row r="230" spans="1:16" outlineLevel="2">
      <c r="A230" s="7">
        <f t="shared" si="16"/>
        <v>225</v>
      </c>
      <c r="B230" s="7" t="s">
        <v>29</v>
      </c>
      <c r="C230" s="7" t="s">
        <v>82</v>
      </c>
      <c r="D230" s="13" t="s">
        <v>564</v>
      </c>
      <c r="E230" s="8" t="s">
        <v>565</v>
      </c>
      <c r="F230" s="183">
        <v>15629036.98</v>
      </c>
      <c r="G230" s="183"/>
      <c r="H230" s="10">
        <f t="shared" si="19"/>
        <v>15629036.98</v>
      </c>
      <c r="I230" s="9">
        <v>0</v>
      </c>
      <c r="J230" s="9">
        <v>0</v>
      </c>
      <c r="L230" s="433">
        <f t="shared" si="18"/>
        <v>15629036.98</v>
      </c>
      <c r="N230" s="7"/>
      <c r="P230" s="11"/>
    </row>
    <row r="231" spans="1:16" outlineLevel="2">
      <c r="A231" s="7">
        <f t="shared" si="16"/>
        <v>226</v>
      </c>
      <c r="B231" s="7" t="s">
        <v>29</v>
      </c>
      <c r="C231" s="7" t="s">
        <v>82</v>
      </c>
      <c r="D231" s="13" t="s">
        <v>566</v>
      </c>
      <c r="E231" s="8" t="s">
        <v>567</v>
      </c>
      <c r="F231" s="183">
        <v>8420699.9299999997</v>
      </c>
      <c r="G231" s="183"/>
      <c r="H231" s="10">
        <f t="shared" si="19"/>
        <v>8420699.9299999997</v>
      </c>
      <c r="I231" s="9">
        <v>-97320</v>
      </c>
      <c r="J231" s="9">
        <v>0</v>
      </c>
      <c r="K231" s="9">
        <v>-403</v>
      </c>
      <c r="L231" s="433">
        <f t="shared" si="18"/>
        <v>8322976.9299999997</v>
      </c>
      <c r="N231" s="7"/>
      <c r="P231" s="11"/>
    </row>
    <row r="232" spans="1:16" outlineLevel="2">
      <c r="A232" s="7">
        <f t="shared" si="16"/>
        <v>227</v>
      </c>
      <c r="B232" s="7" t="s">
        <v>29</v>
      </c>
      <c r="C232" s="7" t="s">
        <v>82</v>
      </c>
      <c r="D232" s="13" t="s">
        <v>568</v>
      </c>
      <c r="E232" s="8" t="s">
        <v>569</v>
      </c>
      <c r="F232" s="183">
        <v>3289729.45</v>
      </c>
      <c r="G232" s="183"/>
      <c r="H232" s="10">
        <f t="shared" si="19"/>
        <v>3289729.45</v>
      </c>
      <c r="I232" s="9">
        <v>-243116.9</v>
      </c>
      <c r="J232" s="9">
        <v>0</v>
      </c>
      <c r="L232" s="433">
        <f t="shared" si="18"/>
        <v>3046612.5500000003</v>
      </c>
      <c r="M232" s="8"/>
      <c r="N232" s="7"/>
      <c r="P232" s="11"/>
    </row>
    <row r="233" spans="1:16" outlineLevel="2">
      <c r="A233" s="7">
        <f t="shared" si="16"/>
        <v>228</v>
      </c>
      <c r="B233" s="7" t="s">
        <v>29</v>
      </c>
      <c r="C233" s="7" t="s">
        <v>82</v>
      </c>
      <c r="D233" s="13" t="s">
        <v>570</v>
      </c>
      <c r="E233" s="8" t="s">
        <v>571</v>
      </c>
      <c r="F233" s="183">
        <v>183222.22</v>
      </c>
      <c r="G233" s="183"/>
      <c r="H233" s="10">
        <f t="shared" si="19"/>
        <v>183222.22</v>
      </c>
      <c r="I233" s="9">
        <v>0</v>
      </c>
      <c r="J233" s="9">
        <v>0</v>
      </c>
      <c r="L233" s="433">
        <f t="shared" si="18"/>
        <v>183222.22</v>
      </c>
      <c r="M233" s="8"/>
      <c r="N233" s="7"/>
      <c r="P233" s="11"/>
    </row>
    <row r="234" spans="1:16" outlineLevel="2">
      <c r="A234" s="7">
        <f t="shared" si="16"/>
        <v>229</v>
      </c>
      <c r="B234" s="7" t="s">
        <v>29</v>
      </c>
      <c r="C234" s="7" t="s">
        <v>82</v>
      </c>
      <c r="D234" s="13" t="s">
        <v>572</v>
      </c>
      <c r="E234" s="8" t="s">
        <v>573</v>
      </c>
      <c r="F234" s="183">
        <v>7471674.29</v>
      </c>
      <c r="G234" s="183"/>
      <c r="H234" s="10">
        <f t="shared" si="19"/>
        <v>7471674.29</v>
      </c>
      <c r="I234" s="9">
        <v>-1346899.36</v>
      </c>
      <c r="J234" s="9">
        <v>0</v>
      </c>
      <c r="L234" s="433">
        <f t="shared" si="18"/>
        <v>6124774.9299999997</v>
      </c>
      <c r="M234" s="8"/>
      <c r="N234" s="7"/>
      <c r="P234" s="11"/>
    </row>
    <row r="235" spans="1:16" outlineLevel="2">
      <c r="A235" s="7">
        <f t="shared" si="16"/>
        <v>230</v>
      </c>
      <c r="B235" s="7" t="s">
        <v>29</v>
      </c>
      <c r="C235" s="7" t="s">
        <v>82</v>
      </c>
      <c r="D235" s="13" t="s">
        <v>574</v>
      </c>
      <c r="E235" s="8" t="s">
        <v>575</v>
      </c>
      <c r="F235" s="183">
        <v>2875981.99</v>
      </c>
      <c r="G235" s="183"/>
      <c r="H235" s="10">
        <f t="shared" si="19"/>
        <v>2875981.99</v>
      </c>
      <c r="I235" s="9">
        <v>-1579680.04</v>
      </c>
      <c r="J235" s="9">
        <v>0</v>
      </c>
      <c r="L235" s="433">
        <f t="shared" si="18"/>
        <v>1296301.9500000002</v>
      </c>
      <c r="M235" s="8"/>
      <c r="N235" s="7"/>
      <c r="P235" s="11"/>
    </row>
    <row r="236" spans="1:16" outlineLevel="2">
      <c r="A236" s="7">
        <f t="shared" si="16"/>
        <v>231</v>
      </c>
      <c r="B236" s="7" t="s">
        <v>29</v>
      </c>
      <c r="C236" s="7" t="s">
        <v>82</v>
      </c>
      <c r="D236" s="13" t="s">
        <v>576</v>
      </c>
      <c r="E236" s="8" t="s">
        <v>577</v>
      </c>
      <c r="F236" s="183">
        <v>76395.83</v>
      </c>
      <c r="G236" s="183"/>
      <c r="H236" s="10">
        <f t="shared" si="19"/>
        <v>76395.83</v>
      </c>
      <c r="I236" s="9">
        <v>0</v>
      </c>
      <c r="J236" s="9">
        <v>0</v>
      </c>
      <c r="L236" s="433">
        <f t="shared" si="18"/>
        <v>76395.83</v>
      </c>
      <c r="M236" s="8"/>
      <c r="N236" s="7"/>
      <c r="P236" s="11"/>
    </row>
    <row r="237" spans="1:16" outlineLevel="2">
      <c r="A237" s="7">
        <f t="shared" si="16"/>
        <v>232</v>
      </c>
      <c r="B237" s="7" t="s">
        <v>29</v>
      </c>
      <c r="C237" s="7" t="s">
        <v>82</v>
      </c>
      <c r="D237" s="13" t="s">
        <v>578</v>
      </c>
      <c r="E237" s="8" t="s">
        <v>579</v>
      </c>
      <c r="F237" s="183">
        <v>2935</v>
      </c>
      <c r="G237" s="183"/>
      <c r="H237" s="10">
        <f t="shared" si="19"/>
        <v>2935</v>
      </c>
      <c r="I237" s="9">
        <v>0</v>
      </c>
      <c r="J237" s="9">
        <v>0</v>
      </c>
      <c r="L237" s="433">
        <f t="shared" si="18"/>
        <v>2935</v>
      </c>
      <c r="M237" s="8"/>
      <c r="N237" s="7"/>
      <c r="P237" s="11"/>
    </row>
    <row r="238" spans="1:16" s="4" customFormat="1" ht="13.5" outlineLevel="1" thickBot="1">
      <c r="A238" s="7">
        <f t="shared" si="16"/>
        <v>233</v>
      </c>
      <c r="B238" s="3" t="s">
        <v>29</v>
      </c>
      <c r="C238" s="14" t="s">
        <v>580</v>
      </c>
      <c r="D238" s="15"/>
      <c r="E238" s="16" t="s">
        <v>581</v>
      </c>
      <c r="F238" s="186">
        <f t="shared" ref="F238:L238" si="20">SUM(F112:F237)</f>
        <v>711396822.18000054</v>
      </c>
      <c r="G238" s="186">
        <f t="shared" si="20"/>
        <v>15612765</v>
      </c>
      <c r="H238" s="186">
        <f>SUM(H112:H237)</f>
        <v>727009587.18000042</v>
      </c>
      <c r="I238" s="186">
        <f t="shared" si="20"/>
        <v>-40244097.289999992</v>
      </c>
      <c r="J238" s="139">
        <f t="shared" si="20"/>
        <v>0</v>
      </c>
      <c r="K238" s="139">
        <f t="shared" si="20"/>
        <v>-10976054</v>
      </c>
      <c r="L238" s="139">
        <f t="shared" si="20"/>
        <v>675789435.89000022</v>
      </c>
      <c r="M238" s="17"/>
      <c r="N238" s="3"/>
      <c r="O238" s="3"/>
      <c r="P238" s="5"/>
    </row>
    <row r="239" spans="1:16" ht="13.5" outlineLevel="2" thickTop="1">
      <c r="A239" s="7">
        <f t="shared" si="16"/>
        <v>234</v>
      </c>
      <c r="B239" s="7" t="s">
        <v>29</v>
      </c>
      <c r="C239" s="7" t="s">
        <v>582</v>
      </c>
      <c r="D239" s="13" t="s">
        <v>583</v>
      </c>
      <c r="E239" s="8" t="s">
        <v>584</v>
      </c>
      <c r="F239" s="183">
        <v>3488667.41</v>
      </c>
      <c r="G239" s="183"/>
      <c r="H239" s="10">
        <f>F239+G239</f>
        <v>3488667.41</v>
      </c>
      <c r="I239" s="9">
        <v>0</v>
      </c>
      <c r="J239" s="9">
        <v>0</v>
      </c>
      <c r="L239" s="433">
        <f t="shared" ref="L239:L256" si="21">SUM(H239:K239)</f>
        <v>3488667.41</v>
      </c>
      <c r="N239" s="7"/>
      <c r="P239" s="11"/>
    </row>
    <row r="240" spans="1:16" outlineLevel="2">
      <c r="A240" s="7">
        <f t="shared" si="16"/>
        <v>235</v>
      </c>
      <c r="B240" s="7" t="s">
        <v>29</v>
      </c>
      <c r="C240" s="7" t="s">
        <v>582</v>
      </c>
      <c r="D240" s="13" t="s">
        <v>585</v>
      </c>
      <c r="E240" s="8" t="s">
        <v>586</v>
      </c>
      <c r="F240" s="183">
        <v>13518890.67</v>
      </c>
      <c r="G240" s="183"/>
      <c r="H240" s="10">
        <f t="shared" ref="H240:H256" si="22">F240+G240</f>
        <v>13518890.67</v>
      </c>
      <c r="I240" s="9">
        <v>0</v>
      </c>
      <c r="J240" s="9">
        <v>0</v>
      </c>
      <c r="L240" s="433">
        <f t="shared" si="21"/>
        <v>13518890.67</v>
      </c>
      <c r="N240" s="7"/>
      <c r="P240" s="11"/>
    </row>
    <row r="241" spans="1:16" outlineLevel="2">
      <c r="A241" s="7">
        <f t="shared" si="16"/>
        <v>236</v>
      </c>
      <c r="B241" s="7" t="s">
        <v>29</v>
      </c>
      <c r="C241" s="7" t="s">
        <v>582</v>
      </c>
      <c r="D241" s="13" t="s">
        <v>587</v>
      </c>
      <c r="E241" s="8" t="s">
        <v>588</v>
      </c>
      <c r="F241" s="183">
        <v>6853288.5700000003</v>
      </c>
      <c r="G241" s="183"/>
      <c r="H241" s="10">
        <f t="shared" si="22"/>
        <v>6853288.5700000003</v>
      </c>
      <c r="I241" s="9">
        <v>0</v>
      </c>
      <c r="J241" s="9">
        <v>0</v>
      </c>
      <c r="L241" s="433">
        <f t="shared" si="21"/>
        <v>6853288.5700000003</v>
      </c>
      <c r="N241" s="7"/>
      <c r="P241" s="11"/>
    </row>
    <row r="242" spans="1:16" outlineLevel="2">
      <c r="A242" s="7">
        <f t="shared" si="16"/>
        <v>237</v>
      </c>
      <c r="B242" s="7" t="s">
        <v>29</v>
      </c>
      <c r="C242" s="7" t="s">
        <v>582</v>
      </c>
      <c r="D242" s="13" t="s">
        <v>589</v>
      </c>
      <c r="E242" s="8" t="s">
        <v>590</v>
      </c>
      <c r="F242" s="183">
        <v>3852063.84</v>
      </c>
      <c r="G242" s="183"/>
      <c r="H242" s="10">
        <f t="shared" si="22"/>
        <v>3852063.84</v>
      </c>
      <c r="I242" s="9">
        <v>0</v>
      </c>
      <c r="J242" s="9">
        <v>0</v>
      </c>
      <c r="L242" s="433">
        <f t="shared" si="21"/>
        <v>3852063.84</v>
      </c>
      <c r="N242" s="7"/>
      <c r="P242" s="11"/>
    </row>
    <row r="243" spans="1:16" outlineLevel="2">
      <c r="A243" s="7">
        <f t="shared" si="16"/>
        <v>238</v>
      </c>
      <c r="B243" s="7" t="s">
        <v>29</v>
      </c>
      <c r="C243" s="7" t="s">
        <v>582</v>
      </c>
      <c r="D243" s="13" t="s">
        <v>591</v>
      </c>
      <c r="E243" s="8" t="s">
        <v>592</v>
      </c>
      <c r="F243" s="183">
        <v>2203120.67</v>
      </c>
      <c r="G243" s="183"/>
      <c r="H243" s="10">
        <f t="shared" si="22"/>
        <v>2203120.67</v>
      </c>
      <c r="I243" s="9">
        <v>0</v>
      </c>
      <c r="J243" s="9">
        <v>0</v>
      </c>
      <c r="L243" s="433">
        <f t="shared" si="21"/>
        <v>2203120.67</v>
      </c>
      <c r="N243" s="7"/>
      <c r="P243" s="11"/>
    </row>
    <row r="244" spans="1:16" outlineLevel="2">
      <c r="A244" s="7">
        <f t="shared" si="16"/>
        <v>239</v>
      </c>
      <c r="B244" s="7" t="s">
        <v>29</v>
      </c>
      <c r="C244" s="7" t="s">
        <v>582</v>
      </c>
      <c r="D244" s="13" t="s">
        <v>593</v>
      </c>
      <c r="E244" s="8" t="s">
        <v>594</v>
      </c>
      <c r="F244" s="183">
        <v>584445.11</v>
      </c>
      <c r="G244" s="183"/>
      <c r="H244" s="10">
        <f t="shared" si="22"/>
        <v>584445.11</v>
      </c>
      <c r="I244" s="9">
        <v>0</v>
      </c>
      <c r="J244" s="9">
        <v>0</v>
      </c>
      <c r="L244" s="433">
        <f t="shared" si="21"/>
        <v>584445.11</v>
      </c>
      <c r="N244" s="7"/>
      <c r="P244" s="11"/>
    </row>
    <row r="245" spans="1:16" outlineLevel="2">
      <c r="A245" s="7">
        <f t="shared" si="16"/>
        <v>240</v>
      </c>
      <c r="B245" s="7" t="s">
        <v>595</v>
      </c>
      <c r="C245" s="7" t="s">
        <v>582</v>
      </c>
      <c r="D245" s="13" t="s">
        <v>596</v>
      </c>
      <c r="E245" s="8" t="s">
        <v>597</v>
      </c>
      <c r="F245" s="183">
        <f>8407258.68*0.5</f>
        <v>4203629.34</v>
      </c>
      <c r="G245" s="183"/>
      <c r="H245" s="10">
        <f t="shared" si="22"/>
        <v>4203629.34</v>
      </c>
      <c r="I245" s="9">
        <v>0</v>
      </c>
      <c r="J245" s="9">
        <v>0</v>
      </c>
      <c r="L245" s="433">
        <f t="shared" si="21"/>
        <v>4203629.34</v>
      </c>
      <c r="N245" s="7"/>
      <c r="P245" s="11"/>
    </row>
    <row r="246" spans="1:16" outlineLevel="2">
      <c r="A246" s="7">
        <f t="shared" si="16"/>
        <v>241</v>
      </c>
      <c r="B246" s="7" t="s">
        <v>29</v>
      </c>
      <c r="C246" s="7" t="s">
        <v>582</v>
      </c>
      <c r="D246" s="13" t="s">
        <v>598</v>
      </c>
      <c r="E246" s="8" t="s">
        <v>599</v>
      </c>
      <c r="F246" s="183">
        <v>2209622.59</v>
      </c>
      <c r="G246" s="183"/>
      <c r="H246" s="10">
        <f t="shared" si="22"/>
        <v>2209622.59</v>
      </c>
      <c r="I246" s="9">
        <v>0</v>
      </c>
      <c r="J246" s="9">
        <v>0</v>
      </c>
      <c r="L246" s="433">
        <f t="shared" si="21"/>
        <v>2209622.59</v>
      </c>
      <c r="N246" s="7"/>
      <c r="P246" s="11"/>
    </row>
    <row r="247" spans="1:16" outlineLevel="2">
      <c r="A247" s="7">
        <f t="shared" si="16"/>
        <v>242</v>
      </c>
      <c r="B247" s="7" t="s">
        <v>29</v>
      </c>
      <c r="C247" s="7" t="s">
        <v>582</v>
      </c>
      <c r="D247" s="13" t="s">
        <v>600</v>
      </c>
      <c r="E247" s="8" t="s">
        <v>601</v>
      </c>
      <c r="F247" s="183">
        <v>3003551.48</v>
      </c>
      <c r="G247" s="183"/>
      <c r="H247" s="10">
        <f t="shared" si="22"/>
        <v>3003551.48</v>
      </c>
      <c r="I247" s="9">
        <v>0</v>
      </c>
      <c r="J247" s="9">
        <v>0</v>
      </c>
      <c r="L247" s="433">
        <f t="shared" si="21"/>
        <v>3003551.48</v>
      </c>
      <c r="N247" s="7"/>
      <c r="P247" s="11"/>
    </row>
    <row r="248" spans="1:16" outlineLevel="2">
      <c r="A248" s="7">
        <f t="shared" si="16"/>
        <v>243</v>
      </c>
      <c r="B248" s="7" t="s">
        <v>29</v>
      </c>
      <c r="C248" s="7" t="s">
        <v>582</v>
      </c>
      <c r="D248" s="13" t="s">
        <v>602</v>
      </c>
      <c r="E248" s="8" t="s">
        <v>603</v>
      </c>
      <c r="F248" s="183">
        <v>3874657.35</v>
      </c>
      <c r="G248" s="183"/>
      <c r="H248" s="10">
        <f t="shared" si="22"/>
        <v>3874657.35</v>
      </c>
      <c r="I248" s="9">
        <v>0</v>
      </c>
      <c r="J248" s="9">
        <v>0</v>
      </c>
      <c r="L248" s="433">
        <f t="shared" si="21"/>
        <v>3874657.35</v>
      </c>
      <c r="N248" s="7"/>
      <c r="P248" s="11"/>
    </row>
    <row r="249" spans="1:16" outlineLevel="2">
      <c r="A249" s="7">
        <f t="shared" si="16"/>
        <v>244</v>
      </c>
      <c r="B249" s="7" t="s">
        <v>29</v>
      </c>
      <c r="C249" s="7" t="s">
        <v>582</v>
      </c>
      <c r="D249" s="13" t="s">
        <v>604</v>
      </c>
      <c r="E249" s="8" t="s">
        <v>605</v>
      </c>
      <c r="F249" s="183">
        <v>96884.41</v>
      </c>
      <c r="G249" s="183"/>
      <c r="H249" s="10">
        <f t="shared" si="22"/>
        <v>96884.41</v>
      </c>
      <c r="I249" s="9">
        <v>0</v>
      </c>
      <c r="J249" s="9">
        <v>0</v>
      </c>
      <c r="L249" s="433">
        <f t="shared" si="21"/>
        <v>96884.41</v>
      </c>
      <c r="N249" s="7"/>
      <c r="P249" s="11"/>
    </row>
    <row r="250" spans="1:16" outlineLevel="2">
      <c r="A250" s="7">
        <f t="shared" si="16"/>
        <v>245</v>
      </c>
      <c r="B250" s="7" t="s">
        <v>29</v>
      </c>
      <c r="C250" s="7" t="s">
        <v>582</v>
      </c>
      <c r="D250" s="13" t="s">
        <v>606</v>
      </c>
      <c r="E250" s="8" t="s">
        <v>607</v>
      </c>
      <c r="F250" s="183">
        <v>1667485.39</v>
      </c>
      <c r="G250" s="183"/>
      <c r="H250" s="10">
        <f t="shared" si="22"/>
        <v>1667485.39</v>
      </c>
      <c r="I250" s="9">
        <v>0</v>
      </c>
      <c r="J250" s="9">
        <v>0</v>
      </c>
      <c r="L250" s="433">
        <f t="shared" si="21"/>
        <v>1667485.39</v>
      </c>
      <c r="N250" s="7"/>
      <c r="P250" s="11"/>
    </row>
    <row r="251" spans="1:16" outlineLevel="2">
      <c r="A251" s="7">
        <f t="shared" si="16"/>
        <v>246</v>
      </c>
      <c r="B251" s="7" t="s">
        <v>29</v>
      </c>
      <c r="C251" s="7" t="s">
        <v>582</v>
      </c>
      <c r="D251" s="13" t="s">
        <v>608</v>
      </c>
      <c r="E251" s="8" t="s">
        <v>609</v>
      </c>
      <c r="F251" s="183">
        <v>1053841.07</v>
      </c>
      <c r="G251" s="183"/>
      <c r="H251" s="10">
        <f t="shared" si="22"/>
        <v>1053841.07</v>
      </c>
      <c r="I251" s="9">
        <v>0</v>
      </c>
      <c r="J251" s="9">
        <v>0</v>
      </c>
      <c r="L251" s="433">
        <f t="shared" si="21"/>
        <v>1053841.07</v>
      </c>
      <c r="N251" s="7"/>
      <c r="P251" s="11"/>
    </row>
    <row r="252" spans="1:16" outlineLevel="2">
      <c r="A252" s="7">
        <f t="shared" si="16"/>
        <v>247</v>
      </c>
      <c r="B252" s="7" t="s">
        <v>29</v>
      </c>
      <c r="C252" s="7" t="s">
        <v>582</v>
      </c>
      <c r="D252" s="13" t="s">
        <v>610</v>
      </c>
      <c r="E252" s="8" t="s">
        <v>611</v>
      </c>
      <c r="F252" s="183">
        <v>2221966.7200000002</v>
      </c>
      <c r="G252" s="183"/>
      <c r="H252" s="10">
        <f t="shared" si="22"/>
        <v>2221966.7200000002</v>
      </c>
      <c r="I252" s="9">
        <v>0</v>
      </c>
      <c r="J252" s="9">
        <v>0</v>
      </c>
      <c r="L252" s="433">
        <f t="shared" si="21"/>
        <v>2221966.7200000002</v>
      </c>
      <c r="N252" s="7"/>
      <c r="P252" s="11"/>
    </row>
    <row r="253" spans="1:16" outlineLevel="2">
      <c r="A253" s="7">
        <f t="shared" si="16"/>
        <v>248</v>
      </c>
      <c r="B253" s="7" t="s">
        <v>29</v>
      </c>
      <c r="C253" s="7" t="s">
        <v>582</v>
      </c>
      <c r="D253" s="13" t="s">
        <v>612</v>
      </c>
      <c r="E253" s="8" t="s">
        <v>613</v>
      </c>
      <c r="F253" s="28">
        <v>1285818.92</v>
      </c>
      <c r="H253" s="10">
        <f t="shared" si="22"/>
        <v>1285818.92</v>
      </c>
      <c r="I253" s="9">
        <v>0</v>
      </c>
      <c r="J253" s="9">
        <v>0</v>
      </c>
      <c r="L253" s="433">
        <f t="shared" si="21"/>
        <v>1285818.92</v>
      </c>
      <c r="N253" s="7"/>
      <c r="P253" s="11"/>
    </row>
    <row r="254" spans="1:16" ht="12.75" customHeight="1" outlineLevel="2">
      <c r="A254" s="7">
        <f t="shared" si="16"/>
        <v>249</v>
      </c>
      <c r="B254" s="7" t="s">
        <v>29</v>
      </c>
      <c r="C254" s="7" t="s">
        <v>582</v>
      </c>
      <c r="D254" s="548" t="s">
        <v>614</v>
      </c>
      <c r="E254" s="8" t="s">
        <v>615</v>
      </c>
      <c r="F254" s="28">
        <v>7115527.4800000004</v>
      </c>
      <c r="H254" s="10">
        <f t="shared" si="22"/>
        <v>7115527.4800000004</v>
      </c>
      <c r="I254" s="9">
        <v>0</v>
      </c>
      <c r="J254" s="9">
        <v>0</v>
      </c>
      <c r="L254" s="433">
        <f t="shared" si="21"/>
        <v>7115527.4800000004</v>
      </c>
      <c r="M254" s="8"/>
      <c r="N254" s="7"/>
      <c r="P254" s="11"/>
    </row>
    <row r="255" spans="1:16" outlineLevel="2">
      <c r="A255" s="7">
        <f t="shared" si="16"/>
        <v>250</v>
      </c>
      <c r="B255" s="7" t="s">
        <v>29</v>
      </c>
      <c r="C255" s="7" t="s">
        <v>582</v>
      </c>
      <c r="D255" s="13" t="s">
        <v>616</v>
      </c>
      <c r="E255" s="8" t="s">
        <v>617</v>
      </c>
      <c r="F255" s="28">
        <v>4740500.03</v>
      </c>
      <c r="H255" s="10">
        <f t="shared" si="22"/>
        <v>4740500.03</v>
      </c>
      <c r="I255" s="9">
        <v>0</v>
      </c>
      <c r="J255" s="9">
        <v>0</v>
      </c>
      <c r="L255" s="433">
        <f t="shared" si="21"/>
        <v>4740500.03</v>
      </c>
      <c r="M255" s="548"/>
      <c r="N255" s="7"/>
    </row>
    <row r="256" spans="1:16" outlineLevel="2">
      <c r="A256" s="7">
        <f t="shared" si="16"/>
        <v>251</v>
      </c>
      <c r="B256" s="7" t="s">
        <v>29</v>
      </c>
      <c r="C256" s="7" t="s">
        <v>582</v>
      </c>
      <c r="D256" s="13" t="s">
        <v>618</v>
      </c>
      <c r="E256" s="8" t="s">
        <v>619</v>
      </c>
      <c r="F256" s="28">
        <v>7452150.5499999998</v>
      </c>
      <c r="H256" s="10">
        <f t="shared" si="22"/>
        <v>7452150.5499999998</v>
      </c>
      <c r="I256" s="9">
        <v>0</v>
      </c>
      <c r="J256" s="9">
        <v>0</v>
      </c>
      <c r="L256" s="433">
        <f t="shared" si="21"/>
        <v>7452150.5499999998</v>
      </c>
      <c r="N256" s="7"/>
      <c r="P256" s="11"/>
    </row>
    <row r="257" spans="1:16" s="4" customFormat="1" ht="13.5" outlineLevel="1" thickBot="1">
      <c r="A257" s="7">
        <f t="shared" si="16"/>
        <v>252</v>
      </c>
      <c r="B257" s="3" t="s">
        <v>29</v>
      </c>
      <c r="C257" s="14" t="s">
        <v>620</v>
      </c>
      <c r="D257" s="15"/>
      <c r="E257" s="16" t="s">
        <v>621</v>
      </c>
      <c r="F257" s="26">
        <f t="shared" ref="F257:L257" si="23">SUM(F239:F256)</f>
        <v>69426111.599999994</v>
      </c>
      <c r="G257" s="26">
        <f t="shared" si="23"/>
        <v>0</v>
      </c>
      <c r="H257" s="26">
        <f>SUM(H239:H256)</f>
        <v>69426111.599999994</v>
      </c>
      <c r="I257" s="26">
        <f t="shared" si="23"/>
        <v>0</v>
      </c>
      <c r="J257" s="138">
        <f t="shared" si="23"/>
        <v>0</v>
      </c>
      <c r="K257" s="138">
        <f t="shared" si="23"/>
        <v>0</v>
      </c>
      <c r="L257" s="26">
        <f t="shared" si="23"/>
        <v>69426111.599999994</v>
      </c>
      <c r="M257" s="17"/>
      <c r="N257" s="3"/>
      <c r="O257" s="3"/>
      <c r="P257" s="5"/>
    </row>
    <row r="258" spans="1:16" ht="13.5" outlineLevel="2" thickTop="1">
      <c r="A258" s="7">
        <f t="shared" si="16"/>
        <v>253</v>
      </c>
      <c r="B258" s="7" t="s">
        <v>29</v>
      </c>
      <c r="C258" s="7" t="s">
        <v>88</v>
      </c>
      <c r="D258" s="13" t="s">
        <v>622</v>
      </c>
      <c r="E258" s="1" t="s">
        <v>623</v>
      </c>
      <c r="F258" s="28">
        <v>7134157.2999999998</v>
      </c>
      <c r="H258" s="10">
        <f>F258+G258</f>
        <v>7134157.2999999998</v>
      </c>
      <c r="I258" s="9">
        <v>0</v>
      </c>
      <c r="J258" s="9">
        <v>0</v>
      </c>
      <c r="K258" s="9">
        <f>'WS5-FacDetail'!J26</f>
        <v>0</v>
      </c>
      <c r="L258" s="433">
        <f>SUM(H258:K258)</f>
        <v>7134157.2999999998</v>
      </c>
      <c r="M258" s="653" t="s">
        <v>624</v>
      </c>
      <c r="N258" s="7"/>
    </row>
    <row r="259" spans="1:16" ht="12.75" customHeight="1" outlineLevel="2">
      <c r="A259" s="7">
        <f t="shared" si="16"/>
        <v>254</v>
      </c>
      <c r="B259" s="7" t="s">
        <v>29</v>
      </c>
      <c r="C259" s="7" t="s">
        <v>88</v>
      </c>
      <c r="D259" s="13" t="s">
        <v>625</v>
      </c>
      <c r="E259" s="8" t="s">
        <v>626</v>
      </c>
      <c r="F259" s="28">
        <v>1785957.71</v>
      </c>
      <c r="G259" s="28">
        <v>8041000</v>
      </c>
      <c r="H259" s="10">
        <f t="shared" ref="H259:H260" si="24">F259+G259</f>
        <v>9826957.7100000009</v>
      </c>
      <c r="I259" s="9">
        <v>0</v>
      </c>
      <c r="J259" s="9">
        <f>'WS5-FacDetail'!J27</f>
        <v>-355271.20799000026</v>
      </c>
      <c r="L259" s="433">
        <f>SUM(H259:K259)</f>
        <v>9471686.5020100009</v>
      </c>
      <c r="M259" s="654"/>
      <c r="N259" s="7"/>
      <c r="P259" s="11"/>
    </row>
    <row r="260" spans="1:16" outlineLevel="2">
      <c r="A260" s="7">
        <f t="shared" si="16"/>
        <v>255</v>
      </c>
      <c r="B260" s="7" t="s">
        <v>29</v>
      </c>
      <c r="C260" s="7" t="s">
        <v>88</v>
      </c>
      <c r="D260" s="13" t="s">
        <v>627</v>
      </c>
      <c r="E260" s="8" t="s">
        <v>628</v>
      </c>
      <c r="F260" s="28">
        <v>12261115.82</v>
      </c>
      <c r="G260" s="28">
        <v>3076900</v>
      </c>
      <c r="H260" s="10">
        <f t="shared" si="24"/>
        <v>15338015.82</v>
      </c>
      <c r="I260" s="9">
        <v>0</v>
      </c>
      <c r="J260" s="9">
        <f>'WS5-FacDetail'!J28</f>
        <v>-1588854.0393500011</v>
      </c>
      <c r="L260" s="433">
        <f>SUM(H260:K260)</f>
        <v>13749161.780649999</v>
      </c>
      <c r="M260" s="654"/>
      <c r="N260" s="7"/>
      <c r="P260" s="11"/>
    </row>
    <row r="261" spans="1:16" s="4" customFormat="1" ht="13.5" outlineLevel="1" thickBot="1">
      <c r="A261" s="7">
        <f t="shared" si="16"/>
        <v>256</v>
      </c>
      <c r="B261" s="3" t="s">
        <v>29</v>
      </c>
      <c r="C261" s="14" t="s">
        <v>629</v>
      </c>
      <c r="D261" s="15"/>
      <c r="E261" s="16" t="s">
        <v>630</v>
      </c>
      <c r="F261" s="26">
        <f t="shared" ref="F261:L261" si="25">SUM(F258:F260)</f>
        <v>21181230.829999998</v>
      </c>
      <c r="G261" s="26">
        <f t="shared" si="25"/>
        <v>11117900</v>
      </c>
      <c r="H261" s="26">
        <f>SUM(H258:H260)</f>
        <v>32299130.830000002</v>
      </c>
      <c r="I261" s="26">
        <f t="shared" si="25"/>
        <v>0</v>
      </c>
      <c r="J261" s="26">
        <f t="shared" si="25"/>
        <v>-1944125.2473400014</v>
      </c>
      <c r="K261" s="138">
        <f t="shared" si="25"/>
        <v>0</v>
      </c>
      <c r="L261" s="26">
        <f t="shared" si="25"/>
        <v>30355005.582659997</v>
      </c>
      <c r="M261" s="20"/>
      <c r="N261" s="3"/>
      <c r="O261" s="3"/>
      <c r="P261" s="5"/>
    </row>
    <row r="262" spans="1:16" ht="13.5" outlineLevel="2" thickTop="1">
      <c r="A262" s="7">
        <f t="shared" si="16"/>
        <v>257</v>
      </c>
      <c r="B262" s="7" t="s">
        <v>29</v>
      </c>
      <c r="C262" s="7" t="s">
        <v>631</v>
      </c>
      <c r="D262" s="13" t="s">
        <v>632</v>
      </c>
      <c r="E262" s="8" t="s">
        <v>633</v>
      </c>
      <c r="F262" s="28">
        <v>69740.75</v>
      </c>
      <c r="H262" s="10">
        <f>F262+G262</f>
        <v>69740.75</v>
      </c>
      <c r="I262" s="9">
        <v>0</v>
      </c>
      <c r="J262" s="9">
        <v>0</v>
      </c>
      <c r="L262" s="433">
        <f t="shared" ref="L262:L274" si="26">SUM(H262:K262)</f>
        <v>69740.75</v>
      </c>
      <c r="N262" s="7"/>
      <c r="P262" s="11"/>
    </row>
    <row r="263" spans="1:16" outlineLevel="2">
      <c r="A263" s="7">
        <f t="shared" si="16"/>
        <v>258</v>
      </c>
      <c r="B263" s="7" t="s">
        <v>29</v>
      </c>
      <c r="C263" s="7" t="s">
        <v>631</v>
      </c>
      <c r="D263" s="13" t="s">
        <v>634</v>
      </c>
      <c r="E263" s="8" t="s">
        <v>635</v>
      </c>
      <c r="F263" s="28">
        <v>218492.84</v>
      </c>
      <c r="H263" s="10">
        <f t="shared" ref="H263:H274" si="27">F263+G263</f>
        <v>218492.84</v>
      </c>
      <c r="I263" s="9">
        <v>0</v>
      </c>
      <c r="J263" s="9">
        <v>0</v>
      </c>
      <c r="L263" s="433">
        <f t="shared" si="26"/>
        <v>218492.84</v>
      </c>
      <c r="N263" s="7"/>
      <c r="P263" s="11"/>
    </row>
    <row r="264" spans="1:16" outlineLevel="2">
      <c r="A264" s="7">
        <f t="shared" si="16"/>
        <v>259</v>
      </c>
      <c r="B264" s="7" t="s">
        <v>29</v>
      </c>
      <c r="C264" s="7" t="s">
        <v>631</v>
      </c>
      <c r="D264" s="13" t="s">
        <v>636</v>
      </c>
      <c r="E264" s="8" t="s">
        <v>637</v>
      </c>
      <c r="F264" s="28">
        <v>526201.25</v>
      </c>
      <c r="H264" s="10">
        <f t="shared" si="27"/>
        <v>526201.25</v>
      </c>
      <c r="I264" s="9">
        <v>0</v>
      </c>
      <c r="J264" s="9">
        <v>0</v>
      </c>
      <c r="L264" s="433">
        <f t="shared" si="26"/>
        <v>526201.25</v>
      </c>
      <c r="N264" s="7"/>
      <c r="P264" s="11"/>
    </row>
    <row r="265" spans="1:16" outlineLevel="2">
      <c r="A265" s="7">
        <f t="shared" ref="A265:A328" si="28">A264+1</f>
        <v>260</v>
      </c>
      <c r="B265" s="7" t="s">
        <v>29</v>
      </c>
      <c r="C265" s="7" t="s">
        <v>631</v>
      </c>
      <c r="D265" s="13" t="s">
        <v>638</v>
      </c>
      <c r="E265" s="8" t="s">
        <v>639</v>
      </c>
      <c r="F265" s="28">
        <v>170278</v>
      </c>
      <c r="H265" s="10">
        <f t="shared" si="27"/>
        <v>170278</v>
      </c>
      <c r="I265" s="9">
        <v>0</v>
      </c>
      <c r="J265" s="9">
        <v>0</v>
      </c>
      <c r="L265" s="433">
        <f t="shared" si="26"/>
        <v>170278</v>
      </c>
      <c r="N265" s="7"/>
      <c r="P265" s="11"/>
    </row>
    <row r="266" spans="1:16" outlineLevel="2">
      <c r="A266" s="7">
        <f t="shared" si="28"/>
        <v>261</v>
      </c>
      <c r="B266" s="7" t="s">
        <v>29</v>
      </c>
      <c r="C266" s="7" t="s">
        <v>631</v>
      </c>
      <c r="D266" s="13" t="s">
        <v>640</v>
      </c>
      <c r="E266" s="8" t="s">
        <v>641</v>
      </c>
      <c r="F266" s="28">
        <v>35070.980000000003</v>
      </c>
      <c r="H266" s="10">
        <f t="shared" si="27"/>
        <v>35070.980000000003</v>
      </c>
      <c r="I266" s="9">
        <v>0</v>
      </c>
      <c r="J266" s="9">
        <v>0</v>
      </c>
      <c r="L266" s="433">
        <f t="shared" si="26"/>
        <v>35070.980000000003</v>
      </c>
      <c r="N266" s="7"/>
      <c r="P266" s="11"/>
    </row>
    <row r="267" spans="1:16" outlineLevel="2">
      <c r="A267" s="7">
        <f t="shared" si="28"/>
        <v>262</v>
      </c>
      <c r="B267" s="7" t="s">
        <v>29</v>
      </c>
      <c r="C267" s="7" t="s">
        <v>631</v>
      </c>
      <c r="D267" s="13" t="s">
        <v>642</v>
      </c>
      <c r="E267" s="8" t="s">
        <v>643</v>
      </c>
      <c r="F267" s="28">
        <v>163694.91</v>
      </c>
      <c r="H267" s="10">
        <f t="shared" si="27"/>
        <v>163694.91</v>
      </c>
      <c r="I267" s="9">
        <v>0</v>
      </c>
      <c r="J267" s="9">
        <v>0</v>
      </c>
      <c r="L267" s="433">
        <f t="shared" si="26"/>
        <v>163694.91</v>
      </c>
      <c r="N267" s="7"/>
      <c r="P267" s="11"/>
    </row>
    <row r="268" spans="1:16" outlineLevel="2">
      <c r="A268" s="7">
        <f t="shared" si="28"/>
        <v>263</v>
      </c>
      <c r="B268" s="7" t="s">
        <v>29</v>
      </c>
      <c r="C268" s="7" t="s">
        <v>631</v>
      </c>
      <c r="D268" s="13" t="s">
        <v>644</v>
      </c>
      <c r="E268" s="8" t="s">
        <v>645</v>
      </c>
      <c r="F268" s="28">
        <v>19074.86</v>
      </c>
      <c r="H268" s="10">
        <f t="shared" si="27"/>
        <v>19074.86</v>
      </c>
      <c r="I268" s="9">
        <v>0</v>
      </c>
      <c r="J268" s="9">
        <v>0</v>
      </c>
      <c r="L268" s="433">
        <f t="shared" si="26"/>
        <v>19074.86</v>
      </c>
      <c r="N268" s="7"/>
      <c r="P268" s="11"/>
    </row>
    <row r="269" spans="1:16" outlineLevel="2">
      <c r="A269" s="7">
        <f t="shared" si="28"/>
        <v>264</v>
      </c>
      <c r="B269" s="7" t="s">
        <v>29</v>
      </c>
      <c r="C269" s="7" t="s">
        <v>631</v>
      </c>
      <c r="D269" s="13" t="s">
        <v>646</v>
      </c>
      <c r="E269" s="8" t="s">
        <v>647</v>
      </c>
      <c r="F269" s="28">
        <v>127143.62</v>
      </c>
      <c r="H269" s="10">
        <f t="shared" si="27"/>
        <v>127143.62</v>
      </c>
      <c r="I269" s="9">
        <v>0</v>
      </c>
      <c r="J269" s="9">
        <v>0</v>
      </c>
      <c r="L269" s="433">
        <f t="shared" si="26"/>
        <v>127143.62</v>
      </c>
      <c r="N269" s="7"/>
      <c r="P269" s="11"/>
    </row>
    <row r="270" spans="1:16" outlineLevel="2">
      <c r="A270" s="7">
        <f t="shared" si="28"/>
        <v>265</v>
      </c>
      <c r="B270" s="7" t="s">
        <v>29</v>
      </c>
      <c r="C270" s="7" t="s">
        <v>631</v>
      </c>
      <c r="D270" s="13" t="s">
        <v>648</v>
      </c>
      <c r="E270" s="8" t="s">
        <v>649</v>
      </c>
      <c r="F270" s="28">
        <v>404166.08</v>
      </c>
      <c r="H270" s="10">
        <f t="shared" si="27"/>
        <v>404166.08</v>
      </c>
      <c r="I270" s="9">
        <v>0</v>
      </c>
      <c r="J270" s="9">
        <v>0</v>
      </c>
      <c r="L270" s="433">
        <f t="shared" si="26"/>
        <v>404166.08</v>
      </c>
      <c r="N270" s="7"/>
      <c r="P270" s="11"/>
    </row>
    <row r="271" spans="1:16" outlineLevel="2">
      <c r="A271" s="7">
        <f t="shared" si="28"/>
        <v>266</v>
      </c>
      <c r="B271" s="7" t="s">
        <v>29</v>
      </c>
      <c r="C271" s="7" t="s">
        <v>631</v>
      </c>
      <c r="D271" s="13" t="s">
        <v>650</v>
      </c>
      <c r="E271" s="8" t="s">
        <v>651</v>
      </c>
      <c r="F271" s="28">
        <v>1474766.3</v>
      </c>
      <c r="H271" s="10">
        <f t="shared" si="27"/>
        <v>1474766.3</v>
      </c>
      <c r="I271" s="9">
        <v>-1474766.3</v>
      </c>
      <c r="L271" s="433">
        <f t="shared" si="26"/>
        <v>0</v>
      </c>
      <c r="N271" s="7"/>
      <c r="P271" s="11"/>
    </row>
    <row r="272" spans="1:16" outlineLevel="2">
      <c r="A272" s="7">
        <f t="shared" si="28"/>
        <v>267</v>
      </c>
      <c r="B272" s="7" t="s">
        <v>29</v>
      </c>
      <c r="C272" s="7" t="s">
        <v>631</v>
      </c>
      <c r="D272" s="13" t="s">
        <v>652</v>
      </c>
      <c r="E272" s="8" t="s">
        <v>653</v>
      </c>
      <c r="F272" s="28">
        <v>192498.02</v>
      </c>
      <c r="H272" s="10">
        <f t="shared" si="27"/>
        <v>192498.02</v>
      </c>
      <c r="I272" s="9">
        <v>-192498.02</v>
      </c>
      <c r="J272" s="9">
        <v>0</v>
      </c>
      <c r="L272" s="433">
        <f t="shared" si="26"/>
        <v>0</v>
      </c>
      <c r="N272" s="7"/>
      <c r="P272" s="11"/>
    </row>
    <row r="273" spans="1:16" outlineLevel="2">
      <c r="A273" s="7">
        <f t="shared" si="28"/>
        <v>268</v>
      </c>
      <c r="B273" s="7" t="s">
        <v>29</v>
      </c>
      <c r="C273" s="7" t="s">
        <v>631</v>
      </c>
      <c r="D273" s="13" t="s">
        <v>654</v>
      </c>
      <c r="E273" s="8" t="s">
        <v>655</v>
      </c>
      <c r="F273" s="28">
        <f>2176589.12+57719.42+71118</f>
        <v>2305426.54</v>
      </c>
      <c r="H273" s="10">
        <f t="shared" si="27"/>
        <v>2305426.54</v>
      </c>
      <c r="I273" s="9">
        <v>0</v>
      </c>
      <c r="J273" s="9">
        <v>0</v>
      </c>
      <c r="L273" s="433">
        <f t="shared" si="26"/>
        <v>2305426.54</v>
      </c>
      <c r="N273" s="7"/>
      <c r="P273" s="11"/>
    </row>
    <row r="274" spans="1:16" outlineLevel="2">
      <c r="A274" s="7">
        <f t="shared" si="28"/>
        <v>269</v>
      </c>
      <c r="B274" s="7" t="s">
        <v>29</v>
      </c>
      <c r="C274" s="7" t="s">
        <v>631</v>
      </c>
      <c r="D274" s="13" t="s">
        <v>656</v>
      </c>
      <c r="E274" s="8" t="s">
        <v>657</v>
      </c>
      <c r="F274" s="28">
        <v>179327.81</v>
      </c>
      <c r="H274" s="10">
        <f t="shared" si="27"/>
        <v>179327.81</v>
      </c>
      <c r="I274" s="9">
        <v>0</v>
      </c>
      <c r="J274" s="9">
        <v>0</v>
      </c>
      <c r="L274" s="433">
        <f t="shared" si="26"/>
        <v>179327.81</v>
      </c>
      <c r="N274" s="7"/>
      <c r="P274" s="11"/>
    </row>
    <row r="275" spans="1:16" s="4" customFormat="1" ht="13.5" outlineLevel="1" thickBot="1">
      <c r="A275" s="7">
        <f t="shared" si="28"/>
        <v>270</v>
      </c>
      <c r="B275" s="3" t="s">
        <v>29</v>
      </c>
      <c r="C275" s="14" t="s">
        <v>658</v>
      </c>
      <c r="D275" s="15"/>
      <c r="E275" s="16" t="s">
        <v>659</v>
      </c>
      <c r="F275" s="26">
        <f t="shared" ref="F275:L275" si="29">SUM(F262:F274)</f>
        <v>5885881.96</v>
      </c>
      <c r="G275" s="26">
        <f t="shared" si="29"/>
        <v>0</v>
      </c>
      <c r="H275" s="26">
        <f>SUM(H262:H274)</f>
        <v>5885881.96</v>
      </c>
      <c r="I275" s="26">
        <f t="shared" si="29"/>
        <v>-1667264.32</v>
      </c>
      <c r="J275" s="138">
        <f t="shared" si="29"/>
        <v>0</v>
      </c>
      <c r="K275" s="138">
        <f t="shared" si="29"/>
        <v>0</v>
      </c>
      <c r="L275" s="26">
        <f t="shared" si="29"/>
        <v>4218617.6399999997</v>
      </c>
      <c r="M275" s="17"/>
      <c r="N275" s="3"/>
      <c r="O275" s="3"/>
      <c r="P275" s="5"/>
    </row>
    <row r="276" spans="1:16" ht="13.5" outlineLevel="2" thickTop="1">
      <c r="A276" s="7">
        <f t="shared" si="28"/>
        <v>271</v>
      </c>
      <c r="B276" s="7" t="s">
        <v>29</v>
      </c>
      <c r="C276" s="7" t="s">
        <v>660</v>
      </c>
      <c r="D276" s="13" t="s">
        <v>661</v>
      </c>
      <c r="E276" s="8" t="s">
        <v>662</v>
      </c>
      <c r="F276" s="28">
        <v>81944</v>
      </c>
      <c r="H276" s="10">
        <f>F276+G276</f>
        <v>81944</v>
      </c>
      <c r="I276" s="9">
        <v>0</v>
      </c>
      <c r="J276" s="9">
        <v>-81944</v>
      </c>
      <c r="L276" s="433">
        <f>SUM(H276:K276)</f>
        <v>0</v>
      </c>
      <c r="M276" s="8"/>
      <c r="N276" s="7"/>
      <c r="P276" s="11"/>
    </row>
    <row r="277" spans="1:16" outlineLevel="2">
      <c r="A277" s="7">
        <f t="shared" si="28"/>
        <v>272</v>
      </c>
      <c r="B277" s="7" t="s">
        <v>29</v>
      </c>
      <c r="C277" s="7" t="s">
        <v>660</v>
      </c>
      <c r="D277" s="13" t="s">
        <v>663</v>
      </c>
      <c r="E277" s="8" t="s">
        <v>664</v>
      </c>
      <c r="F277" s="28">
        <v>124887.46</v>
      </c>
      <c r="H277" s="10">
        <f t="shared" ref="H277:H279" si="30">F277+G277</f>
        <v>124887.46</v>
      </c>
      <c r="I277" s="9">
        <v>0</v>
      </c>
      <c r="J277" s="9">
        <v>-64611.39</v>
      </c>
      <c r="L277" s="433">
        <f>SUM(H277:K277)</f>
        <v>60276.070000000007</v>
      </c>
      <c r="N277" s="7"/>
      <c r="P277" s="11"/>
    </row>
    <row r="278" spans="1:16" outlineLevel="2">
      <c r="A278" s="7">
        <f t="shared" si="28"/>
        <v>273</v>
      </c>
      <c r="B278" s="7" t="s">
        <v>29</v>
      </c>
      <c r="C278" s="7" t="s">
        <v>660</v>
      </c>
      <c r="D278" s="13" t="s">
        <v>665</v>
      </c>
      <c r="E278" s="8" t="s">
        <v>666</v>
      </c>
      <c r="F278" s="28">
        <v>922163.82</v>
      </c>
      <c r="H278" s="10">
        <f t="shared" si="30"/>
        <v>922163.82</v>
      </c>
      <c r="I278" s="9">
        <v>0</v>
      </c>
      <c r="J278" s="9">
        <v>0</v>
      </c>
      <c r="L278" s="433">
        <f>SUM(H278:K278)</f>
        <v>922163.82</v>
      </c>
      <c r="N278" s="7"/>
      <c r="P278" s="11"/>
    </row>
    <row r="279" spans="1:16" outlineLevel="2">
      <c r="A279" s="7">
        <f t="shared" si="28"/>
        <v>274</v>
      </c>
      <c r="B279" s="7" t="s">
        <v>29</v>
      </c>
      <c r="C279" s="7" t="s">
        <v>660</v>
      </c>
      <c r="D279" s="13" t="s">
        <v>667</v>
      </c>
      <c r="E279" s="8" t="s">
        <v>668</v>
      </c>
      <c r="F279" s="28">
        <v>690735.13</v>
      </c>
      <c r="H279" s="10">
        <f t="shared" si="30"/>
        <v>690735.13</v>
      </c>
      <c r="I279" s="9">
        <v>0</v>
      </c>
      <c r="J279" s="9">
        <v>0</v>
      </c>
      <c r="L279" s="433">
        <f>SUM(H279:K279)</f>
        <v>690735.13</v>
      </c>
      <c r="N279" s="7"/>
      <c r="P279" s="11"/>
    </row>
    <row r="280" spans="1:16" s="4" customFormat="1" ht="13.5" outlineLevel="1" thickBot="1">
      <c r="A280" s="7">
        <f t="shared" si="28"/>
        <v>275</v>
      </c>
      <c r="B280" s="3" t="s">
        <v>29</v>
      </c>
      <c r="C280" s="14" t="s">
        <v>669</v>
      </c>
      <c r="D280" s="15"/>
      <c r="E280" s="16" t="s">
        <v>670</v>
      </c>
      <c r="F280" s="26">
        <f t="shared" ref="F280:L280" si="31">SUM(F276:F279)</f>
        <v>1819730.4100000001</v>
      </c>
      <c r="G280" s="26">
        <f t="shared" si="31"/>
        <v>0</v>
      </c>
      <c r="H280" s="26">
        <f>SUM(H276:H279)</f>
        <v>1819730.4100000001</v>
      </c>
      <c r="I280" s="26">
        <f t="shared" si="31"/>
        <v>0</v>
      </c>
      <c r="J280" s="26">
        <f t="shared" si="31"/>
        <v>-146555.39000000001</v>
      </c>
      <c r="K280" s="138">
        <f t="shared" si="31"/>
        <v>0</v>
      </c>
      <c r="L280" s="26">
        <f t="shared" si="31"/>
        <v>1673175.02</v>
      </c>
      <c r="M280" s="17"/>
      <c r="N280" s="3"/>
      <c r="O280" s="3"/>
      <c r="P280" s="5"/>
    </row>
    <row r="281" spans="1:16" ht="13.5" outlineLevel="2" thickTop="1">
      <c r="A281" s="7">
        <f t="shared" si="28"/>
        <v>276</v>
      </c>
      <c r="B281" s="7" t="s">
        <v>29</v>
      </c>
      <c r="C281" s="7" t="s">
        <v>671</v>
      </c>
      <c r="D281" s="13" t="s">
        <v>672</v>
      </c>
      <c r="E281" s="8" t="s">
        <v>673</v>
      </c>
      <c r="F281" s="28">
        <v>58085.85</v>
      </c>
      <c r="H281" s="10">
        <f>F281+G281</f>
        <v>58085.85</v>
      </c>
      <c r="I281" s="9">
        <v>0</v>
      </c>
      <c r="J281" s="9">
        <f t="shared" ref="J281:J312" si="32">-(F281*$M$284)</f>
        <v>-18558.429075</v>
      </c>
      <c r="L281" s="433">
        <f t="shared" ref="L281:L312" si="33">SUM(H281:K281)</f>
        <v>39527.420924999999</v>
      </c>
      <c r="M281" s="653" t="s">
        <v>674</v>
      </c>
      <c r="N281" s="7"/>
    </row>
    <row r="282" spans="1:16" outlineLevel="2">
      <c r="A282" s="7">
        <f t="shared" si="28"/>
        <v>277</v>
      </c>
      <c r="B282" s="7" t="s">
        <v>29</v>
      </c>
      <c r="C282" s="7" t="s">
        <v>671</v>
      </c>
      <c r="D282" s="13" t="s">
        <v>675</v>
      </c>
      <c r="E282" s="8" t="s">
        <v>676</v>
      </c>
      <c r="F282" s="28">
        <v>297948.15000000002</v>
      </c>
      <c r="H282" s="10">
        <f t="shared" ref="H282:H345" si="34">F282+G282</f>
        <v>297948.15000000002</v>
      </c>
      <c r="I282" s="9">
        <v>0</v>
      </c>
      <c r="J282" s="9">
        <f t="shared" si="32"/>
        <v>-95194.433925000005</v>
      </c>
      <c r="L282" s="433">
        <f t="shared" si="33"/>
        <v>202753.716075</v>
      </c>
      <c r="M282" s="654"/>
      <c r="N282" s="7"/>
    </row>
    <row r="283" spans="1:16" outlineLevel="2">
      <c r="A283" s="7">
        <f t="shared" si="28"/>
        <v>278</v>
      </c>
      <c r="B283" s="7" t="s">
        <v>29</v>
      </c>
      <c r="C283" s="7" t="s">
        <v>671</v>
      </c>
      <c r="D283" s="13" t="s">
        <v>677</v>
      </c>
      <c r="E283" s="8" t="s">
        <v>678</v>
      </c>
      <c r="F283" s="28">
        <v>409859.66</v>
      </c>
      <c r="H283" s="10">
        <f t="shared" si="34"/>
        <v>409859.66</v>
      </c>
      <c r="I283" s="9">
        <v>0</v>
      </c>
      <c r="J283" s="9">
        <f t="shared" si="32"/>
        <v>-130950.16137</v>
      </c>
      <c r="L283" s="433">
        <f t="shared" si="33"/>
        <v>278909.49862999999</v>
      </c>
      <c r="M283" s="654"/>
      <c r="N283" s="7"/>
    </row>
    <row r="284" spans="1:16" outlineLevel="2">
      <c r="A284" s="7">
        <f t="shared" si="28"/>
        <v>279</v>
      </c>
      <c r="B284" s="7" t="s">
        <v>29</v>
      </c>
      <c r="C284" s="7" t="s">
        <v>671</v>
      </c>
      <c r="D284" s="13" t="s">
        <v>679</v>
      </c>
      <c r="E284" s="8" t="s">
        <v>680</v>
      </c>
      <c r="F284" s="28">
        <v>99834.58</v>
      </c>
      <c r="H284" s="10">
        <f t="shared" si="34"/>
        <v>99834.58</v>
      </c>
      <c r="I284" s="9">
        <v>0</v>
      </c>
      <c r="J284" s="9">
        <f t="shared" si="32"/>
        <v>-31897.14831</v>
      </c>
      <c r="L284" s="433">
        <f t="shared" si="33"/>
        <v>67937.431689999998</v>
      </c>
      <c r="M284" s="21">
        <v>0.31950000000000001</v>
      </c>
      <c r="N284" s="7"/>
      <c r="P284" s="11"/>
    </row>
    <row r="285" spans="1:16" outlineLevel="2">
      <c r="A285" s="7">
        <f t="shared" si="28"/>
        <v>280</v>
      </c>
      <c r="B285" s="7" t="s">
        <v>29</v>
      </c>
      <c r="C285" s="7" t="s">
        <v>671</v>
      </c>
      <c r="D285" s="13" t="s">
        <v>681</v>
      </c>
      <c r="E285" s="8" t="s">
        <v>682</v>
      </c>
      <c r="F285" s="28">
        <v>352403.74</v>
      </c>
      <c r="H285" s="10">
        <f t="shared" si="34"/>
        <v>352403.74</v>
      </c>
      <c r="I285" s="9">
        <v>0</v>
      </c>
      <c r="J285" s="9">
        <f t="shared" si="32"/>
        <v>-112592.99493</v>
      </c>
      <c r="L285" s="433">
        <f t="shared" si="33"/>
        <v>239810.74507</v>
      </c>
      <c r="N285" s="7"/>
      <c r="P285" s="11"/>
    </row>
    <row r="286" spans="1:16" outlineLevel="2">
      <c r="A286" s="7">
        <f t="shared" si="28"/>
        <v>281</v>
      </c>
      <c r="B286" s="7" t="s">
        <v>29</v>
      </c>
      <c r="C286" s="7" t="s">
        <v>671</v>
      </c>
      <c r="D286" s="13" t="s">
        <v>683</v>
      </c>
      <c r="E286" s="8" t="s">
        <v>684</v>
      </c>
      <c r="F286" s="28">
        <v>443397.78</v>
      </c>
      <c r="H286" s="10">
        <f t="shared" si="34"/>
        <v>443397.78</v>
      </c>
      <c r="I286" s="9">
        <v>0</v>
      </c>
      <c r="J286" s="9">
        <f t="shared" si="32"/>
        <v>-141665.59071000002</v>
      </c>
      <c r="L286" s="433">
        <f t="shared" si="33"/>
        <v>301732.18929000001</v>
      </c>
      <c r="N286" s="7"/>
      <c r="P286" s="11"/>
    </row>
    <row r="287" spans="1:16" outlineLevel="2">
      <c r="A287" s="7">
        <f t="shared" si="28"/>
        <v>282</v>
      </c>
      <c r="B287" s="7" t="s">
        <v>29</v>
      </c>
      <c r="C287" s="7" t="s">
        <v>671</v>
      </c>
      <c r="D287" s="13" t="s">
        <v>685</v>
      </c>
      <c r="E287" s="8" t="s">
        <v>686</v>
      </c>
      <c r="F287" s="28">
        <v>227039.99</v>
      </c>
      <c r="H287" s="10">
        <f t="shared" si="34"/>
        <v>227039.99</v>
      </c>
      <c r="I287" s="9">
        <v>0</v>
      </c>
      <c r="J287" s="9">
        <f t="shared" si="32"/>
        <v>-72539.276805000001</v>
      </c>
      <c r="L287" s="433">
        <f t="shared" si="33"/>
        <v>154500.71319499999</v>
      </c>
      <c r="N287" s="7"/>
      <c r="P287" s="11"/>
    </row>
    <row r="288" spans="1:16" outlineLevel="2">
      <c r="A288" s="7">
        <f t="shared" si="28"/>
        <v>283</v>
      </c>
      <c r="B288" s="7" t="s">
        <v>29</v>
      </c>
      <c r="C288" s="7" t="s">
        <v>671</v>
      </c>
      <c r="D288" s="13" t="s">
        <v>687</v>
      </c>
      <c r="E288" s="8" t="s">
        <v>688</v>
      </c>
      <c r="F288" s="28">
        <v>10678.65</v>
      </c>
      <c r="H288" s="10">
        <f t="shared" si="34"/>
        <v>10678.65</v>
      </c>
      <c r="I288" s="9">
        <v>0</v>
      </c>
      <c r="J288" s="9">
        <f t="shared" si="32"/>
        <v>-3411.8286749999997</v>
      </c>
      <c r="L288" s="433">
        <f t="shared" si="33"/>
        <v>7266.8213249999999</v>
      </c>
      <c r="N288" s="7"/>
      <c r="P288" s="11"/>
    </row>
    <row r="289" spans="1:16" outlineLevel="2">
      <c r="A289" s="7">
        <f t="shared" si="28"/>
        <v>284</v>
      </c>
      <c r="B289" s="7" t="s">
        <v>29</v>
      </c>
      <c r="C289" s="7" t="s">
        <v>671</v>
      </c>
      <c r="D289" s="13" t="s">
        <v>689</v>
      </c>
      <c r="E289" s="8" t="s">
        <v>690</v>
      </c>
      <c r="F289" s="28">
        <v>113361.84</v>
      </c>
      <c r="H289" s="10">
        <f t="shared" si="34"/>
        <v>113361.84</v>
      </c>
      <c r="I289" s="9">
        <v>0</v>
      </c>
      <c r="J289" s="9">
        <f t="shared" si="32"/>
        <v>-36219.107880000003</v>
      </c>
      <c r="L289" s="433">
        <f t="shared" si="33"/>
        <v>77142.732120000001</v>
      </c>
      <c r="N289" s="7"/>
      <c r="P289" s="11"/>
    </row>
    <row r="290" spans="1:16" outlineLevel="2">
      <c r="A290" s="7">
        <f t="shared" si="28"/>
        <v>285</v>
      </c>
      <c r="B290" s="7" t="s">
        <v>29</v>
      </c>
      <c r="C290" s="7" t="s">
        <v>671</v>
      </c>
      <c r="D290" s="13" t="s">
        <v>691</v>
      </c>
      <c r="E290" s="8" t="s">
        <v>692</v>
      </c>
      <c r="F290" s="28">
        <v>517974.32</v>
      </c>
      <c r="H290" s="10">
        <f t="shared" si="34"/>
        <v>517974.32</v>
      </c>
      <c r="I290" s="9">
        <v>0</v>
      </c>
      <c r="J290" s="9">
        <f t="shared" si="32"/>
        <v>-165492.79524000001</v>
      </c>
      <c r="L290" s="433">
        <f t="shared" si="33"/>
        <v>352481.52476</v>
      </c>
      <c r="N290" s="7"/>
      <c r="P290" s="11"/>
    </row>
    <row r="291" spans="1:16" outlineLevel="2">
      <c r="A291" s="7">
        <f t="shared" si="28"/>
        <v>286</v>
      </c>
      <c r="B291" s="7" t="s">
        <v>29</v>
      </c>
      <c r="C291" s="7" t="s">
        <v>671</v>
      </c>
      <c r="D291" s="13" t="s">
        <v>693</v>
      </c>
      <c r="E291" s="8" t="s">
        <v>694</v>
      </c>
      <c r="F291" s="28">
        <v>44788.58</v>
      </c>
      <c r="H291" s="10">
        <f t="shared" si="34"/>
        <v>44788.58</v>
      </c>
      <c r="J291" s="9">
        <f t="shared" si="32"/>
        <v>-14309.95131</v>
      </c>
      <c r="L291" s="433">
        <f t="shared" si="33"/>
        <v>30478.628690000001</v>
      </c>
      <c r="N291" s="7"/>
      <c r="P291" s="11"/>
    </row>
    <row r="292" spans="1:16" outlineLevel="2">
      <c r="A292" s="7">
        <f t="shared" si="28"/>
        <v>287</v>
      </c>
      <c r="B292" s="7" t="s">
        <v>29</v>
      </c>
      <c r="C292" s="7" t="s">
        <v>671</v>
      </c>
      <c r="D292" s="13" t="s">
        <v>695</v>
      </c>
      <c r="E292" s="8" t="s">
        <v>696</v>
      </c>
      <c r="F292" s="28">
        <v>426667</v>
      </c>
      <c r="H292" s="10">
        <f t="shared" si="34"/>
        <v>426667</v>
      </c>
      <c r="I292" s="9">
        <v>0</v>
      </c>
      <c r="J292" s="9">
        <f t="shared" si="32"/>
        <v>-136320.10649999999</v>
      </c>
      <c r="L292" s="433">
        <f t="shared" si="33"/>
        <v>290346.89350000001</v>
      </c>
      <c r="N292" s="7"/>
      <c r="P292" s="11"/>
    </row>
    <row r="293" spans="1:16" outlineLevel="2">
      <c r="A293" s="7">
        <f t="shared" si="28"/>
        <v>288</v>
      </c>
      <c r="B293" s="7" t="s">
        <v>29</v>
      </c>
      <c r="C293" s="7" t="s">
        <v>671</v>
      </c>
      <c r="D293" s="13" t="s">
        <v>697</v>
      </c>
      <c r="E293" s="8" t="s">
        <v>698</v>
      </c>
      <c r="F293" s="28">
        <v>232617.76</v>
      </c>
      <c r="H293" s="10">
        <f t="shared" si="34"/>
        <v>232617.76</v>
      </c>
      <c r="I293" s="9">
        <v>0</v>
      </c>
      <c r="J293" s="9">
        <f t="shared" si="32"/>
        <v>-74321.374320000003</v>
      </c>
      <c r="L293" s="433">
        <f t="shared" si="33"/>
        <v>158296.38568000001</v>
      </c>
      <c r="N293" s="7"/>
      <c r="P293" s="11"/>
    </row>
    <row r="294" spans="1:16" outlineLevel="2">
      <c r="A294" s="7">
        <f t="shared" si="28"/>
        <v>289</v>
      </c>
      <c r="B294" s="7" t="s">
        <v>29</v>
      </c>
      <c r="C294" s="7" t="s">
        <v>671</v>
      </c>
      <c r="D294" s="13" t="s">
        <v>699</v>
      </c>
      <c r="E294" s="8" t="s">
        <v>700</v>
      </c>
      <c r="F294" s="28">
        <v>40530.03</v>
      </c>
      <c r="H294" s="10">
        <f t="shared" si="34"/>
        <v>40530.03</v>
      </c>
      <c r="I294" s="9">
        <v>0</v>
      </c>
      <c r="J294" s="9">
        <f t="shared" si="32"/>
        <v>-12949.344585000001</v>
      </c>
      <c r="L294" s="433">
        <f t="shared" si="33"/>
        <v>27580.685415</v>
      </c>
      <c r="N294" s="7"/>
      <c r="P294" s="11"/>
    </row>
    <row r="295" spans="1:16" outlineLevel="2">
      <c r="A295" s="7">
        <f t="shared" si="28"/>
        <v>290</v>
      </c>
      <c r="B295" s="7" t="s">
        <v>29</v>
      </c>
      <c r="C295" s="7" t="s">
        <v>671</v>
      </c>
      <c r="D295" s="13" t="s">
        <v>701</v>
      </c>
      <c r="E295" s="8" t="s">
        <v>702</v>
      </c>
      <c r="F295" s="28">
        <v>274625.58</v>
      </c>
      <c r="H295" s="10">
        <f t="shared" si="34"/>
        <v>274625.58</v>
      </c>
      <c r="I295" s="9">
        <v>0</v>
      </c>
      <c r="J295" s="9">
        <f t="shared" si="32"/>
        <v>-87742.872810000001</v>
      </c>
      <c r="L295" s="433">
        <f t="shared" si="33"/>
        <v>186882.70719000002</v>
      </c>
      <c r="N295" s="7"/>
      <c r="P295" s="11"/>
    </row>
    <row r="296" spans="1:16" outlineLevel="2">
      <c r="A296" s="7">
        <f t="shared" si="28"/>
        <v>291</v>
      </c>
      <c r="B296" s="7" t="s">
        <v>29</v>
      </c>
      <c r="C296" s="7" t="s">
        <v>671</v>
      </c>
      <c r="D296" s="13" t="s">
        <v>703</v>
      </c>
      <c r="E296" s="8" t="s">
        <v>704</v>
      </c>
      <c r="F296" s="28">
        <v>19704.27</v>
      </c>
      <c r="H296" s="10">
        <f t="shared" si="34"/>
        <v>19704.27</v>
      </c>
      <c r="I296" s="9">
        <v>0</v>
      </c>
      <c r="J296" s="9">
        <f t="shared" si="32"/>
        <v>-6295.5142650000007</v>
      </c>
      <c r="L296" s="433">
        <f t="shared" si="33"/>
        <v>13408.755734999999</v>
      </c>
      <c r="N296" s="7"/>
      <c r="P296" s="11"/>
    </row>
    <row r="297" spans="1:16" outlineLevel="2">
      <c r="A297" s="7">
        <f t="shared" si="28"/>
        <v>292</v>
      </c>
      <c r="B297" s="7" t="s">
        <v>29</v>
      </c>
      <c r="C297" s="7" t="s">
        <v>671</v>
      </c>
      <c r="D297" s="13" t="s">
        <v>705</v>
      </c>
      <c r="E297" s="8" t="s">
        <v>706</v>
      </c>
      <c r="F297" s="28">
        <v>92595.35</v>
      </c>
      <c r="H297" s="10">
        <f t="shared" si="34"/>
        <v>92595.35</v>
      </c>
      <c r="I297" s="9">
        <v>0</v>
      </c>
      <c r="J297" s="9">
        <f t="shared" si="32"/>
        <v>-29584.214325000001</v>
      </c>
      <c r="L297" s="433">
        <f t="shared" si="33"/>
        <v>63011.135675000005</v>
      </c>
      <c r="N297" s="7"/>
      <c r="P297" s="11"/>
    </row>
    <row r="298" spans="1:16" outlineLevel="2">
      <c r="A298" s="7">
        <f t="shared" si="28"/>
        <v>293</v>
      </c>
      <c r="B298" s="7" t="s">
        <v>29</v>
      </c>
      <c r="C298" s="7" t="s">
        <v>671</v>
      </c>
      <c r="D298" s="13" t="s">
        <v>707</v>
      </c>
      <c r="E298" s="8" t="s">
        <v>708</v>
      </c>
      <c r="F298" s="28">
        <v>107342.37</v>
      </c>
      <c r="H298" s="10">
        <f t="shared" si="34"/>
        <v>107342.37</v>
      </c>
      <c r="I298" s="9">
        <v>0</v>
      </c>
      <c r="J298" s="9">
        <f t="shared" si="32"/>
        <v>-34295.887215000002</v>
      </c>
      <c r="L298" s="433">
        <f t="shared" si="33"/>
        <v>73046.482785</v>
      </c>
      <c r="N298" s="7"/>
      <c r="P298" s="11"/>
    </row>
    <row r="299" spans="1:16" outlineLevel="2">
      <c r="A299" s="7">
        <f t="shared" si="28"/>
        <v>294</v>
      </c>
      <c r="B299" s="7" t="s">
        <v>29</v>
      </c>
      <c r="C299" s="7" t="s">
        <v>671</v>
      </c>
      <c r="D299" s="13" t="s">
        <v>709</v>
      </c>
      <c r="E299" s="8" t="s">
        <v>710</v>
      </c>
      <c r="F299" s="28">
        <v>266781.90999999997</v>
      </c>
      <c r="H299" s="10">
        <f t="shared" si="34"/>
        <v>266781.90999999997</v>
      </c>
      <c r="I299" s="9">
        <v>0</v>
      </c>
      <c r="J299" s="9">
        <f t="shared" si="32"/>
        <v>-85236.820244999995</v>
      </c>
      <c r="L299" s="433">
        <f t="shared" si="33"/>
        <v>181545.08975499996</v>
      </c>
      <c r="N299" s="7"/>
      <c r="P299" s="11"/>
    </row>
    <row r="300" spans="1:16" outlineLevel="2">
      <c r="A300" s="7">
        <f t="shared" si="28"/>
        <v>295</v>
      </c>
      <c r="B300" s="7" t="s">
        <v>29</v>
      </c>
      <c r="C300" s="7" t="s">
        <v>671</v>
      </c>
      <c r="D300" s="13" t="s">
        <v>711</v>
      </c>
      <c r="E300" s="8" t="s">
        <v>712</v>
      </c>
      <c r="F300" s="28">
        <v>703660.5</v>
      </c>
      <c r="H300" s="10">
        <f t="shared" si="34"/>
        <v>703660.5</v>
      </c>
      <c r="I300" s="9">
        <v>0</v>
      </c>
      <c r="J300" s="9">
        <f t="shared" si="32"/>
        <v>-224819.52975000002</v>
      </c>
      <c r="L300" s="433">
        <f t="shared" si="33"/>
        <v>478840.97025000001</v>
      </c>
      <c r="N300" s="7"/>
      <c r="P300" s="11"/>
    </row>
    <row r="301" spans="1:16" ht="13.5" customHeight="1" outlineLevel="2">
      <c r="A301" s="7">
        <f t="shared" si="28"/>
        <v>296</v>
      </c>
      <c r="B301" s="7" t="s">
        <v>29</v>
      </c>
      <c r="C301" s="7" t="s">
        <v>671</v>
      </c>
      <c r="D301" s="13" t="s">
        <v>713</v>
      </c>
      <c r="E301" s="8" t="s">
        <v>714</v>
      </c>
      <c r="F301" s="28">
        <v>37033.769999999997</v>
      </c>
      <c r="H301" s="10">
        <f t="shared" si="34"/>
        <v>37033.769999999997</v>
      </c>
      <c r="I301" s="9">
        <v>0</v>
      </c>
      <c r="J301" s="9">
        <f t="shared" si="32"/>
        <v>-11832.289514999999</v>
      </c>
      <c r="L301" s="433">
        <f t="shared" si="33"/>
        <v>25201.480485</v>
      </c>
      <c r="N301" s="7"/>
      <c r="P301" s="11"/>
    </row>
    <row r="302" spans="1:16" outlineLevel="2">
      <c r="A302" s="7">
        <f t="shared" si="28"/>
        <v>297</v>
      </c>
      <c r="B302" s="7" t="s">
        <v>29</v>
      </c>
      <c r="C302" s="7" t="s">
        <v>671</v>
      </c>
      <c r="D302" s="13" t="s">
        <v>715</v>
      </c>
      <c r="E302" s="8" t="s">
        <v>716</v>
      </c>
      <c r="F302" s="28">
        <v>771076.39</v>
      </c>
      <c r="H302" s="10">
        <f t="shared" si="34"/>
        <v>771076.39</v>
      </c>
      <c r="I302" s="9">
        <v>0</v>
      </c>
      <c r="J302" s="9">
        <f t="shared" si="32"/>
        <v>-246358.906605</v>
      </c>
      <c r="L302" s="433">
        <f t="shared" si="33"/>
        <v>524717.48339499999</v>
      </c>
      <c r="N302" s="7"/>
      <c r="P302" s="11"/>
    </row>
    <row r="303" spans="1:16" outlineLevel="2">
      <c r="A303" s="7">
        <f t="shared" si="28"/>
        <v>298</v>
      </c>
      <c r="B303" s="7" t="s">
        <v>29</v>
      </c>
      <c r="C303" s="7" t="s">
        <v>671</v>
      </c>
      <c r="D303" s="13" t="s">
        <v>717</v>
      </c>
      <c r="E303" s="8" t="s">
        <v>718</v>
      </c>
      <c r="F303" s="28">
        <v>66872.3</v>
      </c>
      <c r="H303" s="10">
        <f t="shared" si="34"/>
        <v>66872.3</v>
      </c>
      <c r="I303" s="9">
        <v>0</v>
      </c>
      <c r="J303" s="9">
        <f t="shared" si="32"/>
        <v>-21365.699850000001</v>
      </c>
      <c r="L303" s="433">
        <f t="shared" si="33"/>
        <v>45506.600149999998</v>
      </c>
      <c r="N303" s="7"/>
      <c r="P303" s="11"/>
    </row>
    <row r="304" spans="1:16" outlineLevel="2">
      <c r="A304" s="7">
        <f t="shared" si="28"/>
        <v>299</v>
      </c>
      <c r="B304" s="7" t="s">
        <v>29</v>
      </c>
      <c r="C304" s="7" t="s">
        <v>671</v>
      </c>
      <c r="D304" s="13" t="s">
        <v>719</v>
      </c>
      <c r="E304" s="8" t="s">
        <v>720</v>
      </c>
      <c r="F304" s="28">
        <v>105280.95</v>
      </c>
      <c r="H304" s="10">
        <f t="shared" si="34"/>
        <v>105280.95</v>
      </c>
      <c r="I304" s="9">
        <v>0</v>
      </c>
      <c r="J304" s="9">
        <f t="shared" si="32"/>
        <v>-33637.263525000002</v>
      </c>
      <c r="L304" s="433">
        <f t="shared" si="33"/>
        <v>71643.686474999995</v>
      </c>
      <c r="N304" s="7"/>
      <c r="P304" s="11"/>
    </row>
    <row r="305" spans="1:16" outlineLevel="2">
      <c r="A305" s="7">
        <f t="shared" si="28"/>
        <v>300</v>
      </c>
      <c r="B305" s="7" t="s">
        <v>29</v>
      </c>
      <c r="C305" s="7" t="s">
        <v>671</v>
      </c>
      <c r="D305" s="13" t="s">
        <v>721</v>
      </c>
      <c r="E305" s="8" t="s">
        <v>722</v>
      </c>
      <c r="F305" s="28">
        <v>301355.36</v>
      </c>
      <c r="H305" s="10">
        <f t="shared" si="34"/>
        <v>301355.36</v>
      </c>
      <c r="I305" s="9">
        <v>0</v>
      </c>
      <c r="J305" s="9">
        <f t="shared" si="32"/>
        <v>-96283.037519999998</v>
      </c>
      <c r="L305" s="433">
        <f t="shared" si="33"/>
        <v>205072.32247999997</v>
      </c>
      <c r="N305" s="7"/>
      <c r="P305" s="11"/>
    </row>
    <row r="306" spans="1:16" outlineLevel="2">
      <c r="A306" s="7">
        <f t="shared" si="28"/>
        <v>301</v>
      </c>
      <c r="B306" s="7" t="s">
        <v>29</v>
      </c>
      <c r="C306" s="7" t="s">
        <v>671</v>
      </c>
      <c r="D306" s="13" t="s">
        <v>723</v>
      </c>
      <c r="E306" s="8" t="s">
        <v>724</v>
      </c>
      <c r="F306" s="28">
        <v>64774.77</v>
      </c>
      <c r="H306" s="10">
        <f t="shared" si="34"/>
        <v>64774.77</v>
      </c>
      <c r="I306" s="9">
        <v>0</v>
      </c>
      <c r="J306" s="9">
        <f t="shared" si="32"/>
        <v>-20695.539014999998</v>
      </c>
      <c r="L306" s="433">
        <f t="shared" si="33"/>
        <v>44079.230985000002</v>
      </c>
      <c r="N306" s="7"/>
      <c r="P306" s="11"/>
    </row>
    <row r="307" spans="1:16" outlineLevel="2">
      <c r="A307" s="7">
        <f t="shared" si="28"/>
        <v>302</v>
      </c>
      <c r="B307" s="7" t="s">
        <v>29</v>
      </c>
      <c r="C307" s="7" t="s">
        <v>671</v>
      </c>
      <c r="D307" s="13" t="s">
        <v>725</v>
      </c>
      <c r="E307" s="8" t="s">
        <v>726</v>
      </c>
      <c r="F307" s="28">
        <v>251028.92</v>
      </c>
      <c r="H307" s="10">
        <f t="shared" si="34"/>
        <v>251028.92</v>
      </c>
      <c r="I307" s="9">
        <v>0</v>
      </c>
      <c r="J307" s="9">
        <f t="shared" si="32"/>
        <v>-80203.739939999999</v>
      </c>
      <c r="L307" s="433">
        <f t="shared" si="33"/>
        <v>170825.18006000001</v>
      </c>
      <c r="N307" s="7"/>
      <c r="P307" s="11"/>
    </row>
    <row r="308" spans="1:16" outlineLevel="2">
      <c r="A308" s="7">
        <f t="shared" si="28"/>
        <v>303</v>
      </c>
      <c r="B308" s="7" t="s">
        <v>29</v>
      </c>
      <c r="C308" s="7" t="s">
        <v>671</v>
      </c>
      <c r="D308" s="13" t="s">
        <v>727</v>
      </c>
      <c r="E308" s="8" t="s">
        <v>728</v>
      </c>
      <c r="F308" s="28">
        <v>52564.95</v>
      </c>
      <c r="H308" s="10">
        <f t="shared" si="34"/>
        <v>52564.95</v>
      </c>
      <c r="I308" s="9">
        <v>0</v>
      </c>
      <c r="J308" s="9">
        <f t="shared" si="32"/>
        <v>-16794.501525</v>
      </c>
      <c r="L308" s="433">
        <f t="shared" si="33"/>
        <v>35770.448474999997</v>
      </c>
      <c r="N308" s="7"/>
      <c r="P308" s="11"/>
    </row>
    <row r="309" spans="1:16" outlineLevel="2">
      <c r="A309" s="7">
        <f t="shared" si="28"/>
        <v>304</v>
      </c>
      <c r="B309" s="7" t="s">
        <v>29</v>
      </c>
      <c r="C309" s="7" t="s">
        <v>671</v>
      </c>
      <c r="D309" s="13" t="s">
        <v>729</v>
      </c>
      <c r="E309" s="8" t="s">
        <v>730</v>
      </c>
      <c r="F309" s="28">
        <v>1926</v>
      </c>
      <c r="H309" s="10">
        <f t="shared" si="34"/>
        <v>1926</v>
      </c>
      <c r="I309" s="9">
        <v>0</v>
      </c>
      <c r="J309" s="9">
        <f t="shared" si="32"/>
        <v>-615.35699999999997</v>
      </c>
      <c r="L309" s="433">
        <f t="shared" si="33"/>
        <v>1310.643</v>
      </c>
      <c r="N309" s="7"/>
      <c r="P309" s="11"/>
    </row>
    <row r="310" spans="1:16" outlineLevel="2">
      <c r="A310" s="7">
        <f t="shared" si="28"/>
        <v>305</v>
      </c>
      <c r="B310" s="7" t="s">
        <v>29</v>
      </c>
      <c r="C310" s="7" t="s">
        <v>671</v>
      </c>
      <c r="D310" s="13" t="s">
        <v>731</v>
      </c>
      <c r="E310" s="8" t="s">
        <v>732</v>
      </c>
      <c r="F310" s="28">
        <v>49630.13</v>
      </c>
      <c r="H310" s="10">
        <f t="shared" si="34"/>
        <v>49630.13</v>
      </c>
      <c r="I310" s="9">
        <v>0</v>
      </c>
      <c r="J310" s="9">
        <f t="shared" si="32"/>
        <v>-15856.826535</v>
      </c>
      <c r="L310" s="433">
        <f t="shared" si="33"/>
        <v>33773.303464999997</v>
      </c>
      <c r="N310" s="7"/>
      <c r="P310" s="11"/>
    </row>
    <row r="311" spans="1:16" outlineLevel="2">
      <c r="A311" s="7">
        <f t="shared" si="28"/>
        <v>306</v>
      </c>
      <c r="B311" s="7" t="s">
        <v>29</v>
      </c>
      <c r="C311" s="7" t="s">
        <v>671</v>
      </c>
      <c r="D311" s="13" t="s">
        <v>733</v>
      </c>
      <c r="E311" s="8" t="s">
        <v>734</v>
      </c>
      <c r="F311" s="28">
        <v>211206.48</v>
      </c>
      <c r="H311" s="10">
        <f t="shared" si="34"/>
        <v>211206.48</v>
      </c>
      <c r="I311" s="9">
        <v>0</v>
      </c>
      <c r="J311" s="9">
        <f t="shared" si="32"/>
        <v>-67480.470360000007</v>
      </c>
      <c r="L311" s="433">
        <f t="shared" si="33"/>
        <v>143726.00964</v>
      </c>
      <c r="N311" s="7"/>
      <c r="P311" s="11"/>
    </row>
    <row r="312" spans="1:16" outlineLevel="2">
      <c r="A312" s="7">
        <f t="shared" si="28"/>
        <v>307</v>
      </c>
      <c r="B312" s="7" t="s">
        <v>29</v>
      </c>
      <c r="C312" s="7" t="s">
        <v>671</v>
      </c>
      <c r="D312" s="13" t="s">
        <v>735</v>
      </c>
      <c r="E312" s="8" t="s">
        <v>736</v>
      </c>
      <c r="F312" s="28">
        <v>63659.87</v>
      </c>
      <c r="H312" s="10">
        <f t="shared" si="34"/>
        <v>63659.87</v>
      </c>
      <c r="I312" s="9">
        <v>0</v>
      </c>
      <c r="J312" s="9">
        <f t="shared" si="32"/>
        <v>-20339.328465000002</v>
      </c>
      <c r="L312" s="433">
        <f t="shared" si="33"/>
        <v>43320.541534999997</v>
      </c>
      <c r="N312" s="7"/>
      <c r="P312" s="11"/>
    </row>
    <row r="313" spans="1:16" outlineLevel="2">
      <c r="A313" s="7">
        <f t="shared" si="28"/>
        <v>308</v>
      </c>
      <c r="B313" s="7" t="s">
        <v>29</v>
      </c>
      <c r="C313" s="7" t="s">
        <v>671</v>
      </c>
      <c r="D313" s="13" t="s">
        <v>737</v>
      </c>
      <c r="E313" s="8" t="s">
        <v>738</v>
      </c>
      <c r="F313" s="28">
        <v>349741.52</v>
      </c>
      <c r="H313" s="10">
        <f t="shared" si="34"/>
        <v>349741.52</v>
      </c>
      <c r="I313" s="9">
        <v>0</v>
      </c>
      <c r="J313" s="9">
        <f t="shared" ref="J313:J344" si="35">-(F313*$M$284)</f>
        <v>-111742.41564000001</v>
      </c>
      <c r="L313" s="433">
        <f t="shared" ref="L313:L344" si="36">SUM(H313:K313)</f>
        <v>237999.10436</v>
      </c>
      <c r="N313" s="7"/>
      <c r="P313" s="11"/>
    </row>
    <row r="314" spans="1:16" outlineLevel="2">
      <c r="A314" s="7">
        <f t="shared" si="28"/>
        <v>309</v>
      </c>
      <c r="B314" s="7" t="s">
        <v>29</v>
      </c>
      <c r="C314" s="7" t="s">
        <v>671</v>
      </c>
      <c r="D314" s="13" t="s">
        <v>739</v>
      </c>
      <c r="E314" s="8" t="s">
        <v>740</v>
      </c>
      <c r="F314" s="28">
        <v>577021.82999999996</v>
      </c>
      <c r="H314" s="10">
        <f t="shared" si="34"/>
        <v>577021.82999999996</v>
      </c>
      <c r="I314" s="9">
        <v>0</v>
      </c>
      <c r="J314" s="9">
        <f t="shared" si="35"/>
        <v>-184358.47468499999</v>
      </c>
      <c r="L314" s="433">
        <f t="shared" si="36"/>
        <v>392663.35531499994</v>
      </c>
      <c r="N314" s="7"/>
      <c r="P314" s="11"/>
    </row>
    <row r="315" spans="1:16" outlineLevel="2">
      <c r="A315" s="7">
        <f t="shared" si="28"/>
        <v>310</v>
      </c>
      <c r="B315" s="7" t="s">
        <v>29</v>
      </c>
      <c r="C315" s="7" t="s">
        <v>671</v>
      </c>
      <c r="D315" s="13" t="s">
        <v>741</v>
      </c>
      <c r="E315" s="8" t="s">
        <v>742</v>
      </c>
      <c r="F315" s="28">
        <v>399031.96</v>
      </c>
      <c r="H315" s="10">
        <f t="shared" si="34"/>
        <v>399031.96</v>
      </c>
      <c r="I315" s="9">
        <v>0</v>
      </c>
      <c r="J315" s="9">
        <f t="shared" si="35"/>
        <v>-127490.71122000001</v>
      </c>
      <c r="L315" s="433">
        <f t="shared" si="36"/>
        <v>271541.24878000002</v>
      </c>
      <c r="N315" s="7"/>
      <c r="P315" s="11"/>
    </row>
    <row r="316" spans="1:16" outlineLevel="2">
      <c r="A316" s="7">
        <f t="shared" si="28"/>
        <v>311</v>
      </c>
      <c r="B316" s="7" t="s">
        <v>29</v>
      </c>
      <c r="C316" s="7" t="s">
        <v>671</v>
      </c>
      <c r="D316" s="13" t="s">
        <v>743</v>
      </c>
      <c r="E316" s="8" t="s">
        <v>744</v>
      </c>
      <c r="F316" s="28">
        <v>79113.22</v>
      </c>
      <c r="H316" s="10">
        <f t="shared" si="34"/>
        <v>79113.22</v>
      </c>
      <c r="I316" s="9">
        <v>0</v>
      </c>
      <c r="J316" s="9">
        <f t="shared" si="35"/>
        <v>-25276.673790000001</v>
      </c>
      <c r="L316" s="433">
        <f t="shared" si="36"/>
        <v>53836.54621</v>
      </c>
      <c r="N316" s="7"/>
      <c r="P316" s="11"/>
    </row>
    <row r="317" spans="1:16" outlineLevel="2">
      <c r="A317" s="7">
        <f t="shared" si="28"/>
        <v>312</v>
      </c>
      <c r="B317" s="7" t="s">
        <v>29</v>
      </c>
      <c r="C317" s="7" t="s">
        <v>671</v>
      </c>
      <c r="D317" s="13" t="s">
        <v>745</v>
      </c>
      <c r="E317" s="8" t="s">
        <v>746</v>
      </c>
      <c r="F317" s="28">
        <v>1821.43</v>
      </c>
      <c r="H317" s="10">
        <f t="shared" si="34"/>
        <v>1821.43</v>
      </c>
      <c r="I317" s="9">
        <v>0</v>
      </c>
      <c r="J317" s="9">
        <f t="shared" si="35"/>
        <v>-581.94688500000007</v>
      </c>
      <c r="L317" s="433">
        <f t="shared" si="36"/>
        <v>1239.483115</v>
      </c>
      <c r="N317" s="7"/>
      <c r="P317" s="11"/>
    </row>
    <row r="318" spans="1:16" outlineLevel="2">
      <c r="A318" s="7">
        <f t="shared" si="28"/>
        <v>313</v>
      </c>
      <c r="B318" s="7" t="s">
        <v>29</v>
      </c>
      <c r="C318" s="7" t="s">
        <v>671</v>
      </c>
      <c r="D318" s="13" t="s">
        <v>747</v>
      </c>
      <c r="E318" s="8" t="s">
        <v>748</v>
      </c>
      <c r="F318" s="28">
        <v>209856.93</v>
      </c>
      <c r="H318" s="10">
        <f t="shared" si="34"/>
        <v>209856.93</v>
      </c>
      <c r="I318" s="9">
        <v>0</v>
      </c>
      <c r="J318" s="9">
        <f t="shared" si="35"/>
        <v>-67049.289134999999</v>
      </c>
      <c r="L318" s="433">
        <f t="shared" si="36"/>
        <v>142807.64086499999</v>
      </c>
      <c r="N318" s="7"/>
      <c r="P318" s="11"/>
    </row>
    <row r="319" spans="1:16" outlineLevel="2">
      <c r="A319" s="7">
        <f t="shared" si="28"/>
        <v>314</v>
      </c>
      <c r="B319" s="7" t="s">
        <v>29</v>
      </c>
      <c r="C319" s="7" t="s">
        <v>671</v>
      </c>
      <c r="D319" s="13" t="s">
        <v>749</v>
      </c>
      <c r="E319" s="8" t="s">
        <v>750</v>
      </c>
      <c r="F319" s="28">
        <v>240323.88</v>
      </c>
      <c r="H319" s="10">
        <f t="shared" si="34"/>
        <v>240323.88</v>
      </c>
      <c r="I319" s="9">
        <v>0</v>
      </c>
      <c r="J319" s="9">
        <f t="shared" si="35"/>
        <v>-76783.479659999997</v>
      </c>
      <c r="L319" s="433">
        <f t="shared" si="36"/>
        <v>163540.40033999999</v>
      </c>
      <c r="N319" s="7"/>
      <c r="P319" s="11"/>
    </row>
    <row r="320" spans="1:16" outlineLevel="2">
      <c r="A320" s="7">
        <f t="shared" si="28"/>
        <v>315</v>
      </c>
      <c r="B320" s="7" t="s">
        <v>29</v>
      </c>
      <c r="C320" s="7" t="s">
        <v>671</v>
      </c>
      <c r="D320" s="13" t="s">
        <v>751</v>
      </c>
      <c r="E320" s="8" t="s">
        <v>752</v>
      </c>
      <c r="F320" s="28">
        <v>318946.86</v>
      </c>
      <c r="H320" s="10">
        <f t="shared" si="34"/>
        <v>318946.86</v>
      </c>
      <c r="I320" s="9">
        <v>0</v>
      </c>
      <c r="J320" s="9">
        <f t="shared" si="35"/>
        <v>-101903.52176999999</v>
      </c>
      <c r="L320" s="433">
        <f t="shared" si="36"/>
        <v>217043.33822999999</v>
      </c>
      <c r="N320" s="7"/>
      <c r="P320" s="11"/>
    </row>
    <row r="321" spans="1:16" outlineLevel="2">
      <c r="A321" s="7">
        <f t="shared" si="28"/>
        <v>316</v>
      </c>
      <c r="B321" s="7" t="s">
        <v>29</v>
      </c>
      <c r="C321" s="7" t="s">
        <v>671</v>
      </c>
      <c r="D321" s="13" t="s">
        <v>753</v>
      </c>
      <c r="E321" s="8" t="s">
        <v>754</v>
      </c>
      <c r="F321" s="28">
        <v>830244</v>
      </c>
      <c r="H321" s="10">
        <f t="shared" si="34"/>
        <v>830244</v>
      </c>
      <c r="I321" s="9">
        <v>0</v>
      </c>
      <c r="J321" s="9">
        <f t="shared" si="35"/>
        <v>-265262.95799999998</v>
      </c>
      <c r="L321" s="433">
        <f t="shared" si="36"/>
        <v>564981.04200000002</v>
      </c>
      <c r="N321" s="7"/>
      <c r="P321" s="11"/>
    </row>
    <row r="322" spans="1:16" outlineLevel="2">
      <c r="A322" s="7">
        <f t="shared" si="28"/>
        <v>317</v>
      </c>
      <c r="B322" s="7" t="s">
        <v>29</v>
      </c>
      <c r="C322" s="7" t="s">
        <v>671</v>
      </c>
      <c r="D322" s="13" t="s">
        <v>755</v>
      </c>
      <c r="E322" s="8" t="s">
        <v>756</v>
      </c>
      <c r="F322" s="28">
        <v>220206.21</v>
      </c>
      <c r="H322" s="10">
        <f t="shared" si="34"/>
        <v>220206.21</v>
      </c>
      <c r="I322" s="9">
        <v>0</v>
      </c>
      <c r="J322" s="9">
        <f t="shared" si="35"/>
        <v>-70355.884095000001</v>
      </c>
      <c r="L322" s="433">
        <f t="shared" si="36"/>
        <v>149850.32590499998</v>
      </c>
      <c r="N322" s="7"/>
      <c r="P322" s="11"/>
    </row>
    <row r="323" spans="1:16" outlineLevel="2">
      <c r="A323" s="7">
        <f t="shared" si="28"/>
        <v>318</v>
      </c>
      <c r="B323" s="7" t="s">
        <v>29</v>
      </c>
      <c r="C323" s="7" t="s">
        <v>671</v>
      </c>
      <c r="D323" s="13" t="s">
        <v>757</v>
      </c>
      <c r="E323" s="8" t="s">
        <v>758</v>
      </c>
      <c r="F323" s="28">
        <v>99569.22</v>
      </c>
      <c r="H323" s="10">
        <f t="shared" si="34"/>
        <v>99569.22</v>
      </c>
      <c r="I323" s="9">
        <v>0</v>
      </c>
      <c r="J323" s="9">
        <f t="shared" si="35"/>
        <v>-31812.36579</v>
      </c>
      <c r="L323" s="433">
        <f t="shared" si="36"/>
        <v>67756.854210000005</v>
      </c>
      <c r="N323" s="7"/>
      <c r="P323" s="11"/>
    </row>
    <row r="324" spans="1:16" outlineLevel="2">
      <c r="A324" s="7">
        <f t="shared" si="28"/>
        <v>319</v>
      </c>
      <c r="B324" s="7" t="s">
        <v>29</v>
      </c>
      <c r="C324" s="7" t="s">
        <v>671</v>
      </c>
      <c r="D324" s="13" t="s">
        <v>759</v>
      </c>
      <c r="E324" s="8" t="s">
        <v>760</v>
      </c>
      <c r="F324" s="28">
        <v>2527</v>
      </c>
      <c r="H324" s="10">
        <f t="shared" si="34"/>
        <v>2527</v>
      </c>
      <c r="I324" s="9">
        <v>0</v>
      </c>
      <c r="J324" s="9">
        <f t="shared" si="35"/>
        <v>-807.37649999999996</v>
      </c>
      <c r="L324" s="433">
        <f t="shared" si="36"/>
        <v>1719.6235000000001</v>
      </c>
      <c r="N324" s="7"/>
      <c r="P324" s="11"/>
    </row>
    <row r="325" spans="1:16" outlineLevel="2">
      <c r="A325" s="7">
        <f t="shared" si="28"/>
        <v>320</v>
      </c>
      <c r="B325" s="7" t="s">
        <v>29</v>
      </c>
      <c r="C325" s="7" t="s">
        <v>671</v>
      </c>
      <c r="D325" s="13" t="s">
        <v>761</v>
      </c>
      <c r="E325" s="8" t="s">
        <v>762</v>
      </c>
      <c r="F325" s="28">
        <v>101254.41</v>
      </c>
      <c r="H325" s="10">
        <f t="shared" si="34"/>
        <v>101254.41</v>
      </c>
      <c r="I325" s="9">
        <v>0</v>
      </c>
      <c r="J325" s="9">
        <f t="shared" si="35"/>
        <v>-32350.783995000002</v>
      </c>
      <c r="L325" s="433">
        <f t="shared" si="36"/>
        <v>68903.626004999998</v>
      </c>
      <c r="N325" s="7"/>
      <c r="P325" s="11"/>
    </row>
    <row r="326" spans="1:16" outlineLevel="2">
      <c r="A326" s="7">
        <f t="shared" si="28"/>
        <v>321</v>
      </c>
      <c r="B326" s="7" t="s">
        <v>29</v>
      </c>
      <c r="C326" s="7" t="s">
        <v>671</v>
      </c>
      <c r="D326" s="13" t="s">
        <v>763</v>
      </c>
      <c r="E326" s="8" t="s">
        <v>764</v>
      </c>
      <c r="F326" s="28">
        <v>206549.66</v>
      </c>
      <c r="H326" s="10">
        <f t="shared" si="34"/>
        <v>206549.66</v>
      </c>
      <c r="I326" s="9">
        <v>0</v>
      </c>
      <c r="J326" s="9">
        <f t="shared" si="35"/>
        <v>-65992.616370000003</v>
      </c>
      <c r="L326" s="433">
        <f t="shared" si="36"/>
        <v>140557.04363</v>
      </c>
      <c r="N326" s="7"/>
      <c r="P326" s="11"/>
    </row>
    <row r="327" spans="1:16" outlineLevel="2">
      <c r="A327" s="7">
        <f t="shared" si="28"/>
        <v>322</v>
      </c>
      <c r="B327" s="7" t="s">
        <v>29</v>
      </c>
      <c r="C327" s="7" t="s">
        <v>671</v>
      </c>
      <c r="D327" s="13" t="s">
        <v>765</v>
      </c>
      <c r="E327" s="8" t="s">
        <v>766</v>
      </c>
      <c r="F327" s="28">
        <v>328816.27</v>
      </c>
      <c r="H327" s="10">
        <f t="shared" si="34"/>
        <v>328816.27</v>
      </c>
      <c r="I327" s="9">
        <v>0</v>
      </c>
      <c r="J327" s="9">
        <f t="shared" si="35"/>
        <v>-105056.798265</v>
      </c>
      <c r="L327" s="433">
        <f t="shared" si="36"/>
        <v>223759.47173500003</v>
      </c>
      <c r="N327" s="7"/>
      <c r="P327" s="11"/>
    </row>
    <row r="328" spans="1:16" outlineLevel="2">
      <c r="A328" s="7">
        <f t="shared" si="28"/>
        <v>323</v>
      </c>
      <c r="B328" s="7" t="s">
        <v>29</v>
      </c>
      <c r="C328" s="7" t="s">
        <v>671</v>
      </c>
      <c r="D328" s="13" t="s">
        <v>767</v>
      </c>
      <c r="E328" s="8" t="s">
        <v>768</v>
      </c>
      <c r="F328" s="28">
        <v>154375.47</v>
      </c>
      <c r="H328" s="10">
        <f t="shared" si="34"/>
        <v>154375.47</v>
      </c>
      <c r="J328" s="9">
        <f t="shared" si="35"/>
        <v>-49322.962664999999</v>
      </c>
      <c r="L328" s="433">
        <f t="shared" si="36"/>
        <v>105052.507335</v>
      </c>
      <c r="N328" s="7"/>
      <c r="P328" s="11"/>
    </row>
    <row r="329" spans="1:16" outlineLevel="2">
      <c r="A329" s="7">
        <f t="shared" ref="A329:A392" si="37">A328+1</f>
        <v>324</v>
      </c>
      <c r="B329" s="7" t="s">
        <v>29</v>
      </c>
      <c r="C329" s="7" t="s">
        <v>671</v>
      </c>
      <c r="D329" s="13" t="s">
        <v>769</v>
      </c>
      <c r="E329" s="8" t="s">
        <v>770</v>
      </c>
      <c r="F329" s="28">
        <v>536646.14</v>
      </c>
      <c r="H329" s="10">
        <f t="shared" si="34"/>
        <v>536646.14</v>
      </c>
      <c r="I329" s="9">
        <v>0</v>
      </c>
      <c r="J329" s="9">
        <f t="shared" si="35"/>
        <v>-171458.44173000002</v>
      </c>
      <c r="L329" s="433">
        <f t="shared" si="36"/>
        <v>365187.69826999999</v>
      </c>
      <c r="N329" s="7"/>
      <c r="P329" s="11"/>
    </row>
    <row r="330" spans="1:16" outlineLevel="2">
      <c r="A330" s="7">
        <f t="shared" si="37"/>
        <v>325</v>
      </c>
      <c r="B330" s="7" t="s">
        <v>29</v>
      </c>
      <c r="C330" s="7" t="s">
        <v>671</v>
      </c>
      <c r="D330" s="13" t="s">
        <v>771</v>
      </c>
      <c r="E330" s="8" t="s">
        <v>772</v>
      </c>
      <c r="F330" s="28">
        <v>68763.06</v>
      </c>
      <c r="H330" s="10">
        <f t="shared" si="34"/>
        <v>68763.06</v>
      </c>
      <c r="I330" s="9">
        <v>0</v>
      </c>
      <c r="J330" s="9">
        <f t="shared" si="35"/>
        <v>-21969.79767</v>
      </c>
      <c r="L330" s="433">
        <f t="shared" si="36"/>
        <v>46793.262329999998</v>
      </c>
      <c r="N330" s="7"/>
      <c r="P330" s="11"/>
    </row>
    <row r="331" spans="1:16" outlineLevel="2">
      <c r="A331" s="7">
        <f t="shared" si="37"/>
        <v>326</v>
      </c>
      <c r="B331" s="7" t="s">
        <v>29</v>
      </c>
      <c r="C331" s="7" t="s">
        <v>671</v>
      </c>
      <c r="D331" s="13" t="s">
        <v>773</v>
      </c>
      <c r="E331" s="8" t="s">
        <v>774</v>
      </c>
      <c r="F331" s="28">
        <v>70574.899999999994</v>
      </c>
      <c r="H331" s="10">
        <f t="shared" si="34"/>
        <v>70574.899999999994</v>
      </c>
      <c r="I331" s="9">
        <v>0</v>
      </c>
      <c r="J331" s="9">
        <f t="shared" si="35"/>
        <v>-22548.680549999997</v>
      </c>
      <c r="L331" s="433">
        <f t="shared" si="36"/>
        <v>48026.219449999997</v>
      </c>
      <c r="N331" s="7"/>
      <c r="P331" s="11"/>
    </row>
    <row r="332" spans="1:16" outlineLevel="2">
      <c r="A332" s="7">
        <f t="shared" si="37"/>
        <v>327</v>
      </c>
      <c r="B332" s="7" t="s">
        <v>29</v>
      </c>
      <c r="C332" s="7" t="s">
        <v>671</v>
      </c>
      <c r="D332" s="13" t="s">
        <v>775</v>
      </c>
      <c r="E332" s="8" t="s">
        <v>776</v>
      </c>
      <c r="F332" s="28">
        <v>97511.52</v>
      </c>
      <c r="H332" s="10">
        <f t="shared" si="34"/>
        <v>97511.52</v>
      </c>
      <c r="I332" s="9">
        <v>0</v>
      </c>
      <c r="J332" s="9">
        <f t="shared" si="35"/>
        <v>-31154.930640000002</v>
      </c>
      <c r="L332" s="433">
        <f t="shared" si="36"/>
        <v>66356.589359999998</v>
      </c>
      <c r="N332" s="7"/>
      <c r="P332" s="11"/>
    </row>
    <row r="333" spans="1:16" outlineLevel="2">
      <c r="A333" s="7">
        <f t="shared" si="37"/>
        <v>328</v>
      </c>
      <c r="B333" s="7" t="s">
        <v>29</v>
      </c>
      <c r="C333" s="7" t="s">
        <v>671</v>
      </c>
      <c r="D333" s="13" t="s">
        <v>777</v>
      </c>
      <c r="E333" s="8" t="s">
        <v>778</v>
      </c>
      <c r="F333" s="28">
        <v>507498.02</v>
      </c>
      <c r="H333" s="10">
        <f t="shared" si="34"/>
        <v>507498.02</v>
      </c>
      <c r="I333" s="9">
        <v>0</v>
      </c>
      <c r="J333" s="9">
        <f t="shared" si="35"/>
        <v>-162145.61739</v>
      </c>
      <c r="L333" s="433">
        <f t="shared" si="36"/>
        <v>345352.40260999999</v>
      </c>
      <c r="N333" s="7"/>
      <c r="P333" s="11"/>
    </row>
    <row r="334" spans="1:16" outlineLevel="2">
      <c r="A334" s="7">
        <f t="shared" si="37"/>
        <v>329</v>
      </c>
      <c r="B334" s="7" t="s">
        <v>29</v>
      </c>
      <c r="C334" s="7" t="s">
        <v>671</v>
      </c>
      <c r="D334" s="13" t="s">
        <v>779</v>
      </c>
      <c r="E334" s="8" t="s">
        <v>780</v>
      </c>
      <c r="F334" s="28">
        <v>785698.39</v>
      </c>
      <c r="H334" s="10">
        <f t="shared" si="34"/>
        <v>785698.39</v>
      </c>
      <c r="J334" s="9">
        <f t="shared" si="35"/>
        <v>-251030.63560500002</v>
      </c>
      <c r="L334" s="433">
        <f t="shared" si="36"/>
        <v>534667.75439499994</v>
      </c>
      <c r="N334" s="7"/>
      <c r="P334" s="11"/>
    </row>
    <row r="335" spans="1:16" outlineLevel="2">
      <c r="A335" s="7">
        <f t="shared" si="37"/>
        <v>330</v>
      </c>
      <c r="B335" s="7" t="s">
        <v>29</v>
      </c>
      <c r="C335" s="7" t="s">
        <v>671</v>
      </c>
      <c r="D335" s="13" t="s">
        <v>781</v>
      </c>
      <c r="E335" s="8" t="s">
        <v>782</v>
      </c>
      <c r="F335" s="28">
        <v>99222.88</v>
      </c>
      <c r="H335" s="10">
        <f t="shared" si="34"/>
        <v>99222.88</v>
      </c>
      <c r="I335" s="9">
        <v>0</v>
      </c>
      <c r="J335" s="9">
        <f t="shared" si="35"/>
        <v>-31701.710160000002</v>
      </c>
      <c r="L335" s="433">
        <f t="shared" si="36"/>
        <v>67521.169840000002</v>
      </c>
      <c r="N335" s="7"/>
      <c r="P335" s="11"/>
    </row>
    <row r="336" spans="1:16" outlineLevel="2">
      <c r="A336" s="7">
        <f t="shared" si="37"/>
        <v>331</v>
      </c>
      <c r="B336" s="7" t="s">
        <v>29</v>
      </c>
      <c r="C336" s="7" t="s">
        <v>671</v>
      </c>
      <c r="D336" s="13" t="s">
        <v>783</v>
      </c>
      <c r="E336" s="8" t="s">
        <v>784</v>
      </c>
      <c r="F336" s="28">
        <v>301613.96999999997</v>
      </c>
      <c r="H336" s="10">
        <f t="shared" si="34"/>
        <v>301613.96999999997</v>
      </c>
      <c r="I336" s="9">
        <v>0</v>
      </c>
      <c r="J336" s="9">
        <f t="shared" si="35"/>
        <v>-96365.663414999988</v>
      </c>
      <c r="L336" s="433">
        <f t="shared" si="36"/>
        <v>205248.30658499998</v>
      </c>
      <c r="N336" s="7"/>
      <c r="P336" s="11"/>
    </row>
    <row r="337" spans="1:16" outlineLevel="2">
      <c r="A337" s="7">
        <f t="shared" si="37"/>
        <v>332</v>
      </c>
      <c r="B337" s="7" t="s">
        <v>29</v>
      </c>
      <c r="C337" s="7" t="s">
        <v>671</v>
      </c>
      <c r="D337" s="13" t="s">
        <v>785</v>
      </c>
      <c r="E337" s="8" t="s">
        <v>786</v>
      </c>
      <c r="F337" s="28">
        <v>174742.03</v>
      </c>
      <c r="H337" s="10">
        <f t="shared" si="34"/>
        <v>174742.03</v>
      </c>
      <c r="I337" s="9">
        <v>0</v>
      </c>
      <c r="J337" s="9">
        <f t="shared" si="35"/>
        <v>-55830.078585000003</v>
      </c>
      <c r="L337" s="433">
        <f t="shared" si="36"/>
        <v>118911.95141499999</v>
      </c>
      <c r="N337" s="7"/>
      <c r="P337" s="11"/>
    </row>
    <row r="338" spans="1:16" outlineLevel="2">
      <c r="A338" s="7">
        <f t="shared" si="37"/>
        <v>333</v>
      </c>
      <c r="B338" s="7" t="s">
        <v>29</v>
      </c>
      <c r="C338" s="7" t="s">
        <v>671</v>
      </c>
      <c r="D338" s="13" t="s">
        <v>787</v>
      </c>
      <c r="E338" s="8" t="s">
        <v>788</v>
      </c>
      <c r="F338" s="28">
        <v>331415.39</v>
      </c>
      <c r="H338" s="10">
        <f t="shared" si="34"/>
        <v>331415.39</v>
      </c>
      <c r="I338" s="9">
        <v>0</v>
      </c>
      <c r="J338" s="9">
        <f t="shared" si="35"/>
        <v>-105887.217105</v>
      </c>
      <c r="L338" s="433">
        <f t="shared" si="36"/>
        <v>225528.17289500003</v>
      </c>
      <c r="N338" s="7"/>
      <c r="P338" s="11"/>
    </row>
    <row r="339" spans="1:16" outlineLevel="2">
      <c r="A339" s="7">
        <f t="shared" si="37"/>
        <v>334</v>
      </c>
      <c r="B339" s="7" t="s">
        <v>29</v>
      </c>
      <c r="C339" s="7" t="s">
        <v>671</v>
      </c>
      <c r="D339" s="13" t="s">
        <v>789</v>
      </c>
      <c r="E339" s="8" t="s">
        <v>790</v>
      </c>
      <c r="F339" s="28">
        <v>26900.46</v>
      </c>
      <c r="H339" s="10">
        <f t="shared" si="34"/>
        <v>26900.46</v>
      </c>
      <c r="J339" s="9">
        <f t="shared" si="35"/>
        <v>-8594.6969699999991</v>
      </c>
      <c r="L339" s="433">
        <f t="shared" si="36"/>
        <v>18305.763030000002</v>
      </c>
      <c r="N339" s="7"/>
      <c r="P339" s="11"/>
    </row>
    <row r="340" spans="1:16" outlineLevel="2">
      <c r="A340" s="7">
        <f t="shared" si="37"/>
        <v>335</v>
      </c>
      <c r="B340" s="7" t="s">
        <v>29</v>
      </c>
      <c r="C340" s="7" t="s">
        <v>671</v>
      </c>
      <c r="D340" s="13" t="s">
        <v>791</v>
      </c>
      <c r="E340" s="8" t="s">
        <v>792</v>
      </c>
      <c r="F340" s="28">
        <v>80798.66</v>
      </c>
      <c r="H340" s="10">
        <f t="shared" si="34"/>
        <v>80798.66</v>
      </c>
      <c r="I340" s="9">
        <v>0</v>
      </c>
      <c r="J340" s="9">
        <f t="shared" si="35"/>
        <v>-25815.171870000002</v>
      </c>
      <c r="L340" s="433">
        <f t="shared" si="36"/>
        <v>54983.488129999998</v>
      </c>
      <c r="N340" s="7"/>
      <c r="P340" s="11"/>
    </row>
    <row r="341" spans="1:16" outlineLevel="2">
      <c r="A341" s="7">
        <f t="shared" si="37"/>
        <v>336</v>
      </c>
      <c r="B341" s="7" t="s">
        <v>29</v>
      </c>
      <c r="C341" s="7" t="s">
        <v>671</v>
      </c>
      <c r="D341" s="13" t="s">
        <v>793</v>
      </c>
      <c r="E341" s="8" t="s">
        <v>794</v>
      </c>
      <c r="F341" s="28">
        <v>148752.31</v>
      </c>
      <c r="H341" s="10">
        <f t="shared" si="34"/>
        <v>148752.31</v>
      </c>
      <c r="I341" s="9">
        <v>0</v>
      </c>
      <c r="J341" s="9">
        <f t="shared" si="35"/>
        <v>-47526.363044999998</v>
      </c>
      <c r="L341" s="433">
        <f t="shared" si="36"/>
        <v>101225.94695499999</v>
      </c>
      <c r="N341" s="7"/>
      <c r="P341" s="11"/>
    </row>
    <row r="342" spans="1:16" outlineLevel="2">
      <c r="A342" s="7">
        <f t="shared" si="37"/>
        <v>337</v>
      </c>
      <c r="B342" s="7" t="s">
        <v>29</v>
      </c>
      <c r="C342" s="7" t="s">
        <v>671</v>
      </c>
      <c r="D342" s="13" t="s">
        <v>795</v>
      </c>
      <c r="E342" s="8" t="s">
        <v>796</v>
      </c>
      <c r="F342" s="28">
        <v>325519.83</v>
      </c>
      <c r="H342" s="10">
        <f t="shared" si="34"/>
        <v>325519.83</v>
      </c>
      <c r="I342" s="9">
        <v>0</v>
      </c>
      <c r="J342" s="9">
        <f t="shared" si="35"/>
        <v>-104003.58568500001</v>
      </c>
      <c r="L342" s="433">
        <f t="shared" si="36"/>
        <v>221516.24431500002</v>
      </c>
      <c r="N342" s="7"/>
      <c r="P342" s="11"/>
    </row>
    <row r="343" spans="1:16" outlineLevel="2">
      <c r="A343" s="7">
        <f t="shared" si="37"/>
        <v>338</v>
      </c>
      <c r="B343" s="7" t="s">
        <v>29</v>
      </c>
      <c r="C343" s="7" t="s">
        <v>671</v>
      </c>
      <c r="D343" s="13" t="s">
        <v>797</v>
      </c>
      <c r="E343" s="8" t="s">
        <v>798</v>
      </c>
      <c r="F343" s="28">
        <v>378095.18</v>
      </c>
      <c r="H343" s="10">
        <f t="shared" si="34"/>
        <v>378095.18</v>
      </c>
      <c r="I343" s="9">
        <v>0</v>
      </c>
      <c r="J343" s="9">
        <f t="shared" si="35"/>
        <v>-120801.41001000001</v>
      </c>
      <c r="L343" s="433">
        <f t="shared" si="36"/>
        <v>257293.76999</v>
      </c>
      <c r="N343" s="7"/>
      <c r="P343" s="11"/>
    </row>
    <row r="344" spans="1:16" outlineLevel="2">
      <c r="A344" s="7">
        <f t="shared" si="37"/>
        <v>339</v>
      </c>
      <c r="B344" s="7" t="s">
        <v>29</v>
      </c>
      <c r="C344" s="7" t="s">
        <v>671</v>
      </c>
      <c r="D344" s="13" t="s">
        <v>799</v>
      </c>
      <c r="E344" s="8" t="s">
        <v>800</v>
      </c>
      <c r="F344" s="28">
        <v>386754.37</v>
      </c>
      <c r="H344" s="10">
        <f t="shared" si="34"/>
        <v>386754.37</v>
      </c>
      <c r="I344" s="9">
        <v>0</v>
      </c>
      <c r="J344" s="9">
        <f t="shared" si="35"/>
        <v>-123568.021215</v>
      </c>
      <c r="L344" s="433">
        <f t="shared" si="36"/>
        <v>263186.34878499998</v>
      </c>
      <c r="N344" s="7"/>
      <c r="P344" s="11"/>
    </row>
    <row r="345" spans="1:16" outlineLevel="2">
      <c r="A345" s="7">
        <f t="shared" si="37"/>
        <v>340</v>
      </c>
      <c r="B345" s="7" t="s">
        <v>29</v>
      </c>
      <c r="C345" s="7" t="s">
        <v>671</v>
      </c>
      <c r="D345" s="13" t="s">
        <v>801</v>
      </c>
      <c r="E345" s="8" t="s">
        <v>802</v>
      </c>
      <c r="F345" s="28">
        <v>0</v>
      </c>
      <c r="H345" s="10">
        <f t="shared" si="34"/>
        <v>0</v>
      </c>
      <c r="I345" s="9">
        <v>0</v>
      </c>
      <c r="J345" s="9">
        <f t="shared" ref="J345:J375" si="38">-(F345*$M$284)</f>
        <v>0</v>
      </c>
      <c r="L345" s="433">
        <f t="shared" ref="L345:L375" si="39">SUM(H345:K345)</f>
        <v>0</v>
      </c>
      <c r="N345" s="7"/>
      <c r="P345" s="11"/>
    </row>
    <row r="346" spans="1:16" outlineLevel="2">
      <c r="A346" s="7">
        <f t="shared" si="37"/>
        <v>341</v>
      </c>
      <c r="B346" s="7" t="s">
        <v>29</v>
      </c>
      <c r="C346" s="7" t="s">
        <v>671</v>
      </c>
      <c r="D346" s="13" t="s">
        <v>803</v>
      </c>
      <c r="E346" s="8" t="s">
        <v>804</v>
      </c>
      <c r="F346" s="28">
        <v>753821.26</v>
      </c>
      <c r="H346" s="10">
        <f t="shared" ref="H346:H408" si="40">F346+G346</f>
        <v>753821.26</v>
      </c>
      <c r="J346" s="9">
        <f t="shared" si="38"/>
        <v>-240845.89257</v>
      </c>
      <c r="L346" s="433">
        <f t="shared" si="39"/>
        <v>512975.36742999998</v>
      </c>
      <c r="N346" s="7"/>
      <c r="P346" s="11"/>
    </row>
    <row r="347" spans="1:16" outlineLevel="2">
      <c r="A347" s="7">
        <f t="shared" si="37"/>
        <v>342</v>
      </c>
      <c r="B347" s="7" t="s">
        <v>29</v>
      </c>
      <c r="C347" s="7" t="s">
        <v>671</v>
      </c>
      <c r="D347" s="13" t="s">
        <v>805</v>
      </c>
      <c r="E347" s="8" t="s">
        <v>806</v>
      </c>
      <c r="F347" s="28">
        <v>211146.16</v>
      </c>
      <c r="H347" s="10">
        <f t="shared" si="40"/>
        <v>211146.16</v>
      </c>
      <c r="I347" s="9">
        <v>0</v>
      </c>
      <c r="J347" s="9">
        <f t="shared" si="38"/>
        <v>-67461.198120000001</v>
      </c>
      <c r="L347" s="433">
        <f t="shared" si="39"/>
        <v>143684.96188000002</v>
      </c>
      <c r="N347" s="7"/>
      <c r="P347" s="11"/>
    </row>
    <row r="348" spans="1:16" outlineLevel="2">
      <c r="A348" s="7">
        <f t="shared" si="37"/>
        <v>343</v>
      </c>
      <c r="B348" s="7" t="s">
        <v>29</v>
      </c>
      <c r="C348" s="7" t="s">
        <v>671</v>
      </c>
      <c r="D348" s="13" t="s">
        <v>807</v>
      </c>
      <c r="E348" s="8" t="s">
        <v>808</v>
      </c>
      <c r="F348" s="28">
        <v>109706.08</v>
      </c>
      <c r="H348" s="10">
        <f t="shared" si="40"/>
        <v>109706.08</v>
      </c>
      <c r="I348" s="9">
        <v>0</v>
      </c>
      <c r="J348" s="9">
        <f t="shared" si="38"/>
        <v>-35051.092560000005</v>
      </c>
      <c r="L348" s="433">
        <f t="shared" si="39"/>
        <v>74654.987439999997</v>
      </c>
      <c r="N348" s="7"/>
      <c r="P348" s="11"/>
    </row>
    <row r="349" spans="1:16" outlineLevel="2">
      <c r="A349" s="7">
        <f t="shared" si="37"/>
        <v>344</v>
      </c>
      <c r="B349" s="7" t="s">
        <v>29</v>
      </c>
      <c r="C349" s="7" t="s">
        <v>671</v>
      </c>
      <c r="D349" s="13" t="s">
        <v>809</v>
      </c>
      <c r="E349" s="8" t="s">
        <v>810</v>
      </c>
      <c r="F349" s="28">
        <v>302700.90999999997</v>
      </c>
      <c r="H349" s="10">
        <f t="shared" si="40"/>
        <v>302700.90999999997</v>
      </c>
      <c r="I349" s="9">
        <v>0</v>
      </c>
      <c r="J349" s="9">
        <f t="shared" si="38"/>
        <v>-96712.940745</v>
      </c>
      <c r="L349" s="433">
        <f t="shared" si="39"/>
        <v>205987.96925499997</v>
      </c>
      <c r="N349" s="7"/>
      <c r="P349" s="11"/>
    </row>
    <row r="350" spans="1:16" outlineLevel="2">
      <c r="A350" s="7">
        <f t="shared" si="37"/>
        <v>345</v>
      </c>
      <c r="B350" s="7" t="s">
        <v>29</v>
      </c>
      <c r="C350" s="7" t="s">
        <v>671</v>
      </c>
      <c r="D350" s="13" t="s">
        <v>811</v>
      </c>
      <c r="E350" s="8" t="s">
        <v>812</v>
      </c>
      <c r="F350" s="28">
        <v>157601.32</v>
      </c>
      <c r="H350" s="10">
        <f t="shared" si="40"/>
        <v>157601.32</v>
      </c>
      <c r="I350" s="9">
        <v>0</v>
      </c>
      <c r="J350" s="9">
        <f t="shared" si="38"/>
        <v>-50353.621740000002</v>
      </c>
      <c r="L350" s="433">
        <f t="shared" si="39"/>
        <v>107247.69826</v>
      </c>
      <c r="N350" s="7"/>
      <c r="P350" s="11"/>
    </row>
    <row r="351" spans="1:16" outlineLevel="2">
      <c r="A351" s="7">
        <f t="shared" si="37"/>
        <v>346</v>
      </c>
      <c r="B351" s="7" t="s">
        <v>29</v>
      </c>
      <c r="C351" s="7" t="s">
        <v>671</v>
      </c>
      <c r="D351" s="13" t="s">
        <v>813</v>
      </c>
      <c r="E351" s="8" t="s">
        <v>814</v>
      </c>
      <c r="F351" s="28">
        <v>189110.58</v>
      </c>
      <c r="H351" s="10">
        <f t="shared" si="40"/>
        <v>189110.58</v>
      </c>
      <c r="I351" s="9">
        <v>0</v>
      </c>
      <c r="J351" s="9">
        <f t="shared" si="38"/>
        <v>-60420.830309999998</v>
      </c>
      <c r="L351" s="433">
        <f t="shared" si="39"/>
        <v>128689.74969</v>
      </c>
      <c r="N351" s="7"/>
      <c r="P351" s="11"/>
    </row>
    <row r="352" spans="1:16" outlineLevel="2">
      <c r="A352" s="7">
        <f t="shared" si="37"/>
        <v>347</v>
      </c>
      <c r="B352" s="7" t="s">
        <v>29</v>
      </c>
      <c r="C352" s="7" t="s">
        <v>671</v>
      </c>
      <c r="D352" s="13" t="s">
        <v>815</v>
      </c>
      <c r="E352" s="8" t="s">
        <v>816</v>
      </c>
      <c r="F352" s="28">
        <v>252965.54</v>
      </c>
      <c r="H352" s="10">
        <f t="shared" si="40"/>
        <v>252965.54</v>
      </c>
      <c r="I352" s="9">
        <v>0</v>
      </c>
      <c r="J352" s="9">
        <f t="shared" si="38"/>
        <v>-80822.490030000001</v>
      </c>
      <c r="L352" s="433">
        <f t="shared" si="39"/>
        <v>172143.04996999999</v>
      </c>
      <c r="N352" s="7"/>
      <c r="P352" s="11"/>
    </row>
    <row r="353" spans="1:16" outlineLevel="2">
      <c r="A353" s="7">
        <f t="shared" si="37"/>
        <v>348</v>
      </c>
      <c r="B353" s="7" t="s">
        <v>29</v>
      </c>
      <c r="C353" s="7" t="s">
        <v>671</v>
      </c>
      <c r="D353" s="13" t="s">
        <v>817</v>
      </c>
      <c r="E353" s="8" t="s">
        <v>818</v>
      </c>
      <c r="F353" s="28">
        <v>800963.96</v>
      </c>
      <c r="H353" s="10">
        <f t="shared" si="40"/>
        <v>800963.96</v>
      </c>
      <c r="I353" s="9">
        <v>0</v>
      </c>
      <c r="J353" s="9">
        <f t="shared" si="38"/>
        <v>-255907.98522</v>
      </c>
      <c r="L353" s="433">
        <f t="shared" si="39"/>
        <v>545055.97477999993</v>
      </c>
      <c r="N353" s="7"/>
      <c r="P353" s="11"/>
    </row>
    <row r="354" spans="1:16" outlineLevel="2">
      <c r="A354" s="7">
        <f t="shared" si="37"/>
        <v>349</v>
      </c>
      <c r="B354" s="7" t="s">
        <v>29</v>
      </c>
      <c r="C354" s="7" t="s">
        <v>671</v>
      </c>
      <c r="D354" s="13" t="s">
        <v>819</v>
      </c>
      <c r="E354" s="8" t="s">
        <v>820</v>
      </c>
      <c r="F354" s="28">
        <v>46981.39</v>
      </c>
      <c r="H354" s="10">
        <f t="shared" si="40"/>
        <v>46981.39</v>
      </c>
      <c r="I354" s="9">
        <v>0</v>
      </c>
      <c r="J354" s="9">
        <f t="shared" si="38"/>
        <v>-15010.554104999999</v>
      </c>
      <c r="L354" s="433">
        <f t="shared" si="39"/>
        <v>31970.835895</v>
      </c>
      <c r="N354" s="7"/>
      <c r="P354" s="11"/>
    </row>
    <row r="355" spans="1:16" outlineLevel="2">
      <c r="A355" s="7">
        <f t="shared" si="37"/>
        <v>350</v>
      </c>
      <c r="B355" s="7" t="s">
        <v>29</v>
      </c>
      <c r="C355" s="7" t="s">
        <v>671</v>
      </c>
      <c r="D355" s="13" t="s">
        <v>821</v>
      </c>
      <c r="E355" s="8" t="s">
        <v>822</v>
      </c>
      <c r="F355" s="28">
        <v>267394.71999999997</v>
      </c>
      <c r="H355" s="10">
        <f t="shared" si="40"/>
        <v>267394.71999999997</v>
      </c>
      <c r="I355" s="9">
        <v>0</v>
      </c>
      <c r="J355" s="9">
        <f t="shared" si="38"/>
        <v>-85432.613039999997</v>
      </c>
      <c r="L355" s="433">
        <f t="shared" si="39"/>
        <v>181962.10695999998</v>
      </c>
      <c r="N355" s="7"/>
      <c r="P355" s="11"/>
    </row>
    <row r="356" spans="1:16" outlineLevel="2">
      <c r="A356" s="7">
        <f t="shared" si="37"/>
        <v>351</v>
      </c>
      <c r="B356" s="7" t="s">
        <v>29</v>
      </c>
      <c r="C356" s="7" t="s">
        <v>671</v>
      </c>
      <c r="D356" s="13" t="s">
        <v>823</v>
      </c>
      <c r="E356" s="8" t="s">
        <v>824</v>
      </c>
      <c r="F356" s="28">
        <v>311695.15999999997</v>
      </c>
      <c r="H356" s="10">
        <f t="shared" si="40"/>
        <v>311695.15999999997</v>
      </c>
      <c r="I356" s="9">
        <v>0</v>
      </c>
      <c r="J356" s="9">
        <f t="shared" si="38"/>
        <v>-99586.603619999994</v>
      </c>
      <c r="L356" s="433">
        <f t="shared" si="39"/>
        <v>212108.55637999997</v>
      </c>
      <c r="N356" s="7"/>
      <c r="P356" s="11"/>
    </row>
    <row r="357" spans="1:16" outlineLevel="2">
      <c r="A357" s="7">
        <f t="shared" si="37"/>
        <v>352</v>
      </c>
      <c r="B357" s="7" t="s">
        <v>29</v>
      </c>
      <c r="C357" s="7" t="s">
        <v>671</v>
      </c>
      <c r="D357" s="13" t="s">
        <v>825</v>
      </c>
      <c r="E357" s="8" t="s">
        <v>826</v>
      </c>
      <c r="F357" s="28">
        <v>560595.11</v>
      </c>
      <c r="H357" s="10">
        <f t="shared" si="40"/>
        <v>560595.11</v>
      </c>
      <c r="I357" s="9">
        <v>0</v>
      </c>
      <c r="J357" s="9">
        <f t="shared" si="38"/>
        <v>-179110.13764500001</v>
      </c>
      <c r="L357" s="433">
        <f t="shared" si="39"/>
        <v>381484.97235499998</v>
      </c>
      <c r="N357" s="7"/>
      <c r="P357" s="11"/>
    </row>
    <row r="358" spans="1:16" outlineLevel="2">
      <c r="A358" s="7">
        <f t="shared" si="37"/>
        <v>353</v>
      </c>
      <c r="B358" s="7" t="s">
        <v>29</v>
      </c>
      <c r="C358" s="7" t="s">
        <v>671</v>
      </c>
      <c r="D358" s="13" t="s">
        <v>827</v>
      </c>
      <c r="E358" s="8" t="s">
        <v>828</v>
      </c>
      <c r="F358" s="28">
        <v>759357.31</v>
      </c>
      <c r="H358" s="10">
        <f t="shared" si="40"/>
        <v>759357.31</v>
      </c>
      <c r="I358" s="9">
        <v>0</v>
      </c>
      <c r="J358" s="9">
        <f t="shared" si="38"/>
        <v>-242614.66054500002</v>
      </c>
      <c r="L358" s="433">
        <f t="shared" si="39"/>
        <v>516742.64945500006</v>
      </c>
      <c r="N358" s="7"/>
      <c r="P358" s="11"/>
    </row>
    <row r="359" spans="1:16" outlineLevel="2">
      <c r="A359" s="7">
        <f t="shared" si="37"/>
        <v>354</v>
      </c>
      <c r="B359" s="7" t="s">
        <v>29</v>
      </c>
      <c r="C359" s="7" t="s">
        <v>671</v>
      </c>
      <c r="D359" s="13" t="s">
        <v>829</v>
      </c>
      <c r="E359" s="8" t="s">
        <v>830</v>
      </c>
      <c r="F359" s="28">
        <v>735971.03</v>
      </c>
      <c r="H359" s="10">
        <f t="shared" si="40"/>
        <v>735971.03</v>
      </c>
      <c r="I359" s="9">
        <v>0</v>
      </c>
      <c r="J359" s="9">
        <f t="shared" si="38"/>
        <v>-235142.74408500001</v>
      </c>
      <c r="L359" s="433">
        <f t="shared" si="39"/>
        <v>500828.28591500001</v>
      </c>
      <c r="N359" s="7"/>
      <c r="P359" s="11"/>
    </row>
    <row r="360" spans="1:16" outlineLevel="2">
      <c r="A360" s="7">
        <f t="shared" si="37"/>
        <v>355</v>
      </c>
      <c r="B360" s="7" t="s">
        <v>29</v>
      </c>
      <c r="C360" s="7" t="s">
        <v>671</v>
      </c>
      <c r="D360" s="13" t="s">
        <v>831</v>
      </c>
      <c r="E360" s="8" t="s">
        <v>832</v>
      </c>
      <c r="F360" s="28">
        <v>210945.2</v>
      </c>
      <c r="H360" s="10">
        <f t="shared" si="40"/>
        <v>210945.2</v>
      </c>
      <c r="I360" s="9">
        <v>0</v>
      </c>
      <c r="J360" s="9">
        <f t="shared" si="38"/>
        <v>-67396.991399999999</v>
      </c>
      <c r="L360" s="433">
        <f t="shared" si="39"/>
        <v>143548.20860000001</v>
      </c>
      <c r="N360" s="7"/>
      <c r="P360" s="11"/>
    </row>
    <row r="361" spans="1:16" outlineLevel="2">
      <c r="A361" s="7">
        <f t="shared" si="37"/>
        <v>356</v>
      </c>
      <c r="B361" s="7" t="s">
        <v>29</v>
      </c>
      <c r="C361" s="7" t="s">
        <v>671</v>
      </c>
      <c r="D361" s="13" t="s">
        <v>833</v>
      </c>
      <c r="E361" s="8" t="s">
        <v>834</v>
      </c>
      <c r="F361" s="28">
        <v>79461.56</v>
      </c>
      <c r="H361" s="10">
        <f t="shared" si="40"/>
        <v>79461.56</v>
      </c>
      <c r="I361" s="9">
        <v>0</v>
      </c>
      <c r="J361" s="9">
        <f t="shared" si="38"/>
        <v>-25387.968420000001</v>
      </c>
      <c r="L361" s="433">
        <f t="shared" si="39"/>
        <v>54073.591579999993</v>
      </c>
      <c r="N361" s="7"/>
      <c r="P361" s="11"/>
    </row>
    <row r="362" spans="1:16" outlineLevel="2">
      <c r="A362" s="7">
        <f t="shared" si="37"/>
        <v>357</v>
      </c>
      <c r="B362" s="7" t="s">
        <v>29</v>
      </c>
      <c r="C362" s="7" t="s">
        <v>671</v>
      </c>
      <c r="D362" s="13" t="s">
        <v>835</v>
      </c>
      <c r="E362" s="8" t="s">
        <v>836</v>
      </c>
      <c r="F362" s="28">
        <v>317735.57</v>
      </c>
      <c r="H362" s="10">
        <f t="shared" si="40"/>
        <v>317735.57</v>
      </c>
      <c r="J362" s="9">
        <f t="shared" si="38"/>
        <v>-101516.51461500001</v>
      </c>
      <c r="L362" s="433">
        <f t="shared" si="39"/>
        <v>216219.05538500001</v>
      </c>
      <c r="N362" s="7"/>
      <c r="P362" s="11"/>
    </row>
    <row r="363" spans="1:16" outlineLevel="2">
      <c r="A363" s="7">
        <f t="shared" si="37"/>
        <v>358</v>
      </c>
      <c r="B363" s="7" t="s">
        <v>29</v>
      </c>
      <c r="C363" s="7" t="s">
        <v>671</v>
      </c>
      <c r="D363" s="13" t="s">
        <v>837</v>
      </c>
      <c r="E363" s="8" t="s">
        <v>838</v>
      </c>
      <c r="F363" s="28">
        <v>88435.16</v>
      </c>
      <c r="H363" s="10">
        <f t="shared" si="40"/>
        <v>88435.16</v>
      </c>
      <c r="I363" s="9">
        <v>0</v>
      </c>
      <c r="J363" s="9">
        <f t="shared" si="38"/>
        <v>-28255.033620000002</v>
      </c>
      <c r="L363" s="433">
        <f t="shared" si="39"/>
        <v>60180.126380000002</v>
      </c>
      <c r="N363" s="7"/>
      <c r="P363" s="11"/>
    </row>
    <row r="364" spans="1:16" outlineLevel="2">
      <c r="A364" s="7">
        <f t="shared" si="37"/>
        <v>359</v>
      </c>
      <c r="B364" s="7" t="s">
        <v>29</v>
      </c>
      <c r="C364" s="7" t="s">
        <v>671</v>
      </c>
      <c r="D364" s="13" t="s">
        <v>839</v>
      </c>
      <c r="E364" s="8" t="s">
        <v>840</v>
      </c>
      <c r="F364" s="28">
        <v>69987.59</v>
      </c>
      <c r="H364" s="10">
        <f t="shared" si="40"/>
        <v>69987.59</v>
      </c>
      <c r="I364" s="9">
        <v>0</v>
      </c>
      <c r="J364" s="9">
        <f t="shared" si="38"/>
        <v>-22361.035004999998</v>
      </c>
      <c r="L364" s="433">
        <f t="shared" si="39"/>
        <v>47626.554994999999</v>
      </c>
      <c r="N364" s="7"/>
      <c r="P364" s="11"/>
    </row>
    <row r="365" spans="1:16" outlineLevel="2">
      <c r="A365" s="7">
        <f t="shared" si="37"/>
        <v>360</v>
      </c>
      <c r="B365" s="7" t="s">
        <v>29</v>
      </c>
      <c r="C365" s="7" t="s">
        <v>671</v>
      </c>
      <c r="D365" s="13" t="s">
        <v>841</v>
      </c>
      <c r="E365" s="8" t="s">
        <v>842</v>
      </c>
      <c r="F365" s="28">
        <v>172792.24</v>
      </c>
      <c r="H365" s="10">
        <f t="shared" si="40"/>
        <v>172792.24</v>
      </c>
      <c r="I365" s="9">
        <v>0</v>
      </c>
      <c r="J365" s="9">
        <f t="shared" si="38"/>
        <v>-55207.12068</v>
      </c>
      <c r="L365" s="433">
        <f t="shared" si="39"/>
        <v>117585.11932</v>
      </c>
      <c r="N365" s="7"/>
      <c r="P365" s="11"/>
    </row>
    <row r="366" spans="1:16" outlineLevel="2">
      <c r="A366" s="7">
        <f t="shared" si="37"/>
        <v>361</v>
      </c>
      <c r="B366" s="7" t="s">
        <v>29</v>
      </c>
      <c r="C366" s="7" t="s">
        <v>671</v>
      </c>
      <c r="D366" s="13" t="s">
        <v>843</v>
      </c>
      <c r="E366" s="8" t="s">
        <v>844</v>
      </c>
      <c r="F366" s="28">
        <v>308681.61</v>
      </c>
      <c r="H366" s="10">
        <f t="shared" si="40"/>
        <v>308681.61</v>
      </c>
      <c r="I366" s="9">
        <v>0</v>
      </c>
      <c r="J366" s="9">
        <f t="shared" si="38"/>
        <v>-98623.774395</v>
      </c>
      <c r="L366" s="433">
        <f t="shared" si="39"/>
        <v>210057.83560499997</v>
      </c>
      <c r="N366" s="7"/>
      <c r="P366" s="11"/>
    </row>
    <row r="367" spans="1:16" outlineLevel="2">
      <c r="A367" s="7">
        <f t="shared" si="37"/>
        <v>362</v>
      </c>
      <c r="B367" s="7" t="s">
        <v>29</v>
      </c>
      <c r="C367" s="7" t="s">
        <v>671</v>
      </c>
      <c r="D367" s="13" t="s">
        <v>845</v>
      </c>
      <c r="E367" s="8" t="s">
        <v>846</v>
      </c>
      <c r="F367" s="28">
        <v>239896.97</v>
      </c>
      <c r="H367" s="10">
        <f t="shared" si="40"/>
        <v>239896.97</v>
      </c>
      <c r="I367" s="9">
        <v>0</v>
      </c>
      <c r="J367" s="9">
        <f t="shared" si="38"/>
        <v>-76647.081915000002</v>
      </c>
      <c r="L367" s="433">
        <f t="shared" si="39"/>
        <v>163249.88808499998</v>
      </c>
      <c r="N367" s="7"/>
      <c r="P367" s="11"/>
    </row>
    <row r="368" spans="1:16" outlineLevel="2">
      <c r="A368" s="7">
        <f t="shared" si="37"/>
        <v>363</v>
      </c>
      <c r="B368" s="7" t="s">
        <v>29</v>
      </c>
      <c r="C368" s="7" t="s">
        <v>671</v>
      </c>
      <c r="D368" s="13" t="s">
        <v>847</v>
      </c>
      <c r="E368" s="8" t="s">
        <v>848</v>
      </c>
      <c r="F368" s="28">
        <v>550238.37</v>
      </c>
      <c r="H368" s="10">
        <f t="shared" si="40"/>
        <v>550238.37</v>
      </c>
      <c r="I368" s="9">
        <v>0</v>
      </c>
      <c r="J368" s="9">
        <f t="shared" si="38"/>
        <v>-175801.15921499999</v>
      </c>
      <c r="L368" s="433">
        <f t="shared" si="39"/>
        <v>374437.210785</v>
      </c>
      <c r="N368" s="7"/>
      <c r="P368" s="11"/>
    </row>
    <row r="369" spans="1:16" outlineLevel="2">
      <c r="A369" s="7">
        <f t="shared" si="37"/>
        <v>364</v>
      </c>
      <c r="B369" s="7" t="s">
        <v>29</v>
      </c>
      <c r="C369" s="7" t="s">
        <v>671</v>
      </c>
      <c r="D369" s="13" t="s">
        <v>849</v>
      </c>
      <c r="E369" s="8" t="s">
        <v>850</v>
      </c>
      <c r="F369" s="28">
        <v>15011.61</v>
      </c>
      <c r="H369" s="10">
        <f t="shared" si="40"/>
        <v>15011.61</v>
      </c>
      <c r="I369" s="9">
        <v>0</v>
      </c>
      <c r="J369" s="9">
        <f t="shared" si="38"/>
        <v>-4796.2093949999999</v>
      </c>
      <c r="L369" s="433">
        <f t="shared" si="39"/>
        <v>10215.400605000001</v>
      </c>
      <c r="N369" s="7"/>
      <c r="P369" s="11"/>
    </row>
    <row r="370" spans="1:16" outlineLevel="2">
      <c r="A370" s="7">
        <f t="shared" si="37"/>
        <v>365</v>
      </c>
      <c r="B370" s="7" t="s">
        <v>29</v>
      </c>
      <c r="C370" s="7" t="s">
        <v>671</v>
      </c>
      <c r="D370" s="13" t="s">
        <v>851</v>
      </c>
      <c r="E370" s="8" t="s">
        <v>852</v>
      </c>
      <c r="F370" s="28">
        <v>125057.06</v>
      </c>
      <c r="H370" s="10">
        <f t="shared" si="40"/>
        <v>125057.06</v>
      </c>
      <c r="I370" s="9">
        <v>0</v>
      </c>
      <c r="J370" s="9">
        <f t="shared" si="38"/>
        <v>-39955.730669999997</v>
      </c>
      <c r="L370" s="433">
        <f t="shared" si="39"/>
        <v>85101.329330000008</v>
      </c>
      <c r="N370" s="7"/>
      <c r="P370" s="11"/>
    </row>
    <row r="371" spans="1:16" outlineLevel="2">
      <c r="A371" s="7">
        <f t="shared" si="37"/>
        <v>366</v>
      </c>
      <c r="B371" s="7" t="s">
        <v>29</v>
      </c>
      <c r="C371" s="7" t="s">
        <v>671</v>
      </c>
      <c r="D371" s="13" t="s">
        <v>853</v>
      </c>
      <c r="E371" s="8" t="s">
        <v>854</v>
      </c>
      <c r="F371" s="28">
        <v>161994.26999999999</v>
      </c>
      <c r="H371" s="10">
        <f t="shared" si="40"/>
        <v>161994.26999999999</v>
      </c>
      <c r="I371" s="9">
        <v>0</v>
      </c>
      <c r="J371" s="9">
        <f t="shared" si="38"/>
        <v>-51757.169264999997</v>
      </c>
      <c r="L371" s="433">
        <f t="shared" si="39"/>
        <v>110237.10073499999</v>
      </c>
      <c r="N371" s="7"/>
      <c r="P371" s="11"/>
    </row>
    <row r="372" spans="1:16" outlineLevel="2">
      <c r="A372" s="7">
        <f t="shared" si="37"/>
        <v>367</v>
      </c>
      <c r="B372" s="7" t="s">
        <v>29</v>
      </c>
      <c r="C372" s="7" t="s">
        <v>671</v>
      </c>
      <c r="D372" s="13" t="s">
        <v>855</v>
      </c>
      <c r="E372" s="8" t="s">
        <v>856</v>
      </c>
      <c r="F372" s="28">
        <v>216330.02</v>
      </c>
      <c r="H372" s="10">
        <f t="shared" si="40"/>
        <v>216330.02</v>
      </c>
      <c r="I372" s="9">
        <v>0</v>
      </c>
      <c r="J372" s="9">
        <f t="shared" si="38"/>
        <v>-69117.441389999993</v>
      </c>
      <c r="L372" s="433">
        <f t="shared" si="39"/>
        <v>147212.57861</v>
      </c>
      <c r="N372" s="7"/>
      <c r="P372" s="11"/>
    </row>
    <row r="373" spans="1:16" outlineLevel="2">
      <c r="A373" s="7">
        <f t="shared" si="37"/>
        <v>368</v>
      </c>
      <c r="B373" s="7" t="s">
        <v>29</v>
      </c>
      <c r="C373" s="7" t="s">
        <v>671</v>
      </c>
      <c r="D373" s="13" t="s">
        <v>857</v>
      </c>
      <c r="E373" s="8" t="s">
        <v>858</v>
      </c>
      <c r="F373" s="28">
        <v>620745.66</v>
      </c>
      <c r="H373" s="10">
        <f t="shared" si="40"/>
        <v>620745.66</v>
      </c>
      <c r="I373" s="9">
        <v>0</v>
      </c>
      <c r="J373" s="9">
        <f t="shared" si="38"/>
        <v>-198328.23837000001</v>
      </c>
      <c r="L373" s="433">
        <f t="shared" si="39"/>
        <v>422417.42163</v>
      </c>
      <c r="N373" s="7"/>
      <c r="P373" s="11"/>
    </row>
    <row r="374" spans="1:16" outlineLevel="2">
      <c r="A374" s="7">
        <f t="shared" si="37"/>
        <v>369</v>
      </c>
      <c r="B374" s="7" t="s">
        <v>29</v>
      </c>
      <c r="C374" s="7" t="s">
        <v>671</v>
      </c>
      <c r="D374" s="13" t="s">
        <v>859</v>
      </c>
      <c r="E374" s="8" t="s">
        <v>860</v>
      </c>
      <c r="F374" s="28">
        <v>395868.44</v>
      </c>
      <c r="H374" s="10">
        <f t="shared" si="40"/>
        <v>395868.44</v>
      </c>
      <c r="I374" s="9">
        <v>0</v>
      </c>
      <c r="J374" s="9">
        <f t="shared" si="38"/>
        <v>-126479.96658000001</v>
      </c>
      <c r="L374" s="433">
        <f t="shared" si="39"/>
        <v>269388.47341999999</v>
      </c>
      <c r="N374" s="7"/>
      <c r="P374" s="11"/>
    </row>
    <row r="375" spans="1:16" outlineLevel="2">
      <c r="A375" s="7">
        <f t="shared" si="37"/>
        <v>370</v>
      </c>
      <c r="B375" s="7" t="s">
        <v>29</v>
      </c>
      <c r="C375" s="7" t="s">
        <v>671</v>
      </c>
      <c r="D375" s="13" t="s">
        <v>861</v>
      </c>
      <c r="E375" s="8" t="s">
        <v>862</v>
      </c>
      <c r="F375" s="28">
        <v>587441.64</v>
      </c>
      <c r="H375" s="10">
        <f t="shared" si="40"/>
        <v>587441.64</v>
      </c>
      <c r="I375" s="9">
        <v>0</v>
      </c>
      <c r="J375" s="9">
        <f t="shared" si="38"/>
        <v>-187687.60398000001</v>
      </c>
      <c r="L375" s="433">
        <f t="shared" si="39"/>
        <v>399754.03602</v>
      </c>
      <c r="N375" s="7"/>
      <c r="P375" s="11"/>
    </row>
    <row r="376" spans="1:16" outlineLevel="2">
      <c r="A376" s="7">
        <f t="shared" si="37"/>
        <v>371</v>
      </c>
      <c r="B376" s="7" t="s">
        <v>29</v>
      </c>
      <c r="C376" s="7" t="s">
        <v>671</v>
      </c>
      <c r="D376" s="13" t="s">
        <v>863</v>
      </c>
      <c r="E376" s="8" t="s">
        <v>864</v>
      </c>
      <c r="F376" s="28">
        <v>16445.21</v>
      </c>
      <c r="H376" s="10">
        <f t="shared" si="40"/>
        <v>16445.21</v>
      </c>
      <c r="I376" s="9">
        <v>0</v>
      </c>
      <c r="J376" s="9">
        <f t="shared" ref="J376:J407" si="41">-(F376*$M$284)</f>
        <v>-5254.2445950000001</v>
      </c>
      <c r="L376" s="433">
        <f t="shared" ref="L376:L407" si="42">SUM(H376:K376)</f>
        <v>11190.965404999999</v>
      </c>
      <c r="N376" s="7"/>
      <c r="P376" s="11"/>
    </row>
    <row r="377" spans="1:16" outlineLevel="2">
      <c r="A377" s="7">
        <f t="shared" si="37"/>
        <v>372</v>
      </c>
      <c r="B377" s="7" t="s">
        <v>29</v>
      </c>
      <c r="C377" s="7" t="s">
        <v>671</v>
      </c>
      <c r="D377" s="13" t="s">
        <v>865</v>
      </c>
      <c r="E377" s="8" t="s">
        <v>866</v>
      </c>
      <c r="F377" s="28">
        <v>7684.53</v>
      </c>
      <c r="H377" s="10">
        <f t="shared" si="40"/>
        <v>7684.53</v>
      </c>
      <c r="I377" s="9">
        <v>0</v>
      </c>
      <c r="J377" s="9">
        <f t="shared" si="41"/>
        <v>-2455.2073350000001</v>
      </c>
      <c r="L377" s="433">
        <f t="shared" si="42"/>
        <v>5229.3226649999997</v>
      </c>
      <c r="N377" s="7"/>
      <c r="P377" s="11"/>
    </row>
    <row r="378" spans="1:16" outlineLevel="2">
      <c r="A378" s="7">
        <f t="shared" si="37"/>
        <v>373</v>
      </c>
      <c r="B378" s="7" t="s">
        <v>29</v>
      </c>
      <c r="C378" s="7" t="s">
        <v>671</v>
      </c>
      <c r="D378" s="13" t="s">
        <v>867</v>
      </c>
      <c r="E378" s="8" t="s">
        <v>868</v>
      </c>
      <c r="F378" s="28">
        <v>1646</v>
      </c>
      <c r="H378" s="10">
        <f t="shared" si="40"/>
        <v>1646</v>
      </c>
      <c r="I378" s="9">
        <v>0</v>
      </c>
      <c r="J378" s="9">
        <f t="shared" si="41"/>
        <v>-525.89700000000005</v>
      </c>
      <c r="L378" s="433">
        <f t="shared" si="42"/>
        <v>1120.1030000000001</v>
      </c>
      <c r="N378" s="7"/>
      <c r="P378" s="11"/>
    </row>
    <row r="379" spans="1:16" outlineLevel="2">
      <c r="A379" s="7">
        <f t="shared" si="37"/>
        <v>374</v>
      </c>
      <c r="B379" s="7" t="s">
        <v>29</v>
      </c>
      <c r="C379" s="7" t="s">
        <v>671</v>
      </c>
      <c r="D379" s="13" t="s">
        <v>869</v>
      </c>
      <c r="E379" s="8" t="s">
        <v>870</v>
      </c>
      <c r="F379" s="28">
        <v>126804.56</v>
      </c>
      <c r="H379" s="10">
        <f t="shared" si="40"/>
        <v>126804.56</v>
      </c>
      <c r="I379" s="9">
        <v>0</v>
      </c>
      <c r="J379" s="9">
        <f t="shared" si="41"/>
        <v>-40514.056920000003</v>
      </c>
      <c r="L379" s="433">
        <f t="shared" si="42"/>
        <v>86290.503079999995</v>
      </c>
      <c r="N379" s="7"/>
      <c r="P379" s="11"/>
    </row>
    <row r="380" spans="1:16" outlineLevel="2">
      <c r="A380" s="7">
        <f t="shared" si="37"/>
        <v>375</v>
      </c>
      <c r="B380" s="7" t="s">
        <v>29</v>
      </c>
      <c r="C380" s="7" t="s">
        <v>671</v>
      </c>
      <c r="D380" s="13" t="s">
        <v>871</v>
      </c>
      <c r="E380" s="8" t="s">
        <v>872</v>
      </c>
      <c r="F380" s="28">
        <v>92751.41</v>
      </c>
      <c r="H380" s="10">
        <f t="shared" si="40"/>
        <v>92751.41</v>
      </c>
      <c r="I380" s="9">
        <v>0</v>
      </c>
      <c r="J380" s="9">
        <f t="shared" si="41"/>
        <v>-29634.075495000001</v>
      </c>
      <c r="L380" s="433">
        <f t="shared" si="42"/>
        <v>63117.334505000006</v>
      </c>
      <c r="N380" s="7"/>
      <c r="P380" s="11"/>
    </row>
    <row r="381" spans="1:16" outlineLevel="2">
      <c r="A381" s="7">
        <f t="shared" si="37"/>
        <v>376</v>
      </c>
      <c r="B381" s="7" t="s">
        <v>29</v>
      </c>
      <c r="C381" s="7" t="s">
        <v>671</v>
      </c>
      <c r="D381" s="13" t="s">
        <v>873</v>
      </c>
      <c r="E381" s="8" t="s">
        <v>874</v>
      </c>
      <c r="F381" s="28">
        <v>423117.12</v>
      </c>
      <c r="H381" s="10">
        <f t="shared" si="40"/>
        <v>423117.12</v>
      </c>
      <c r="I381" s="9">
        <v>0</v>
      </c>
      <c r="J381" s="9">
        <f t="shared" si="41"/>
        <v>-135185.91983999999</v>
      </c>
      <c r="L381" s="433">
        <f t="shared" si="42"/>
        <v>287931.20016000001</v>
      </c>
      <c r="N381" s="7"/>
      <c r="P381" s="11"/>
    </row>
    <row r="382" spans="1:16" outlineLevel="2">
      <c r="A382" s="7">
        <f t="shared" si="37"/>
        <v>377</v>
      </c>
      <c r="B382" s="7" t="s">
        <v>29</v>
      </c>
      <c r="C382" s="7" t="s">
        <v>671</v>
      </c>
      <c r="D382" s="13" t="s">
        <v>875</v>
      </c>
      <c r="E382" s="8" t="s">
        <v>876</v>
      </c>
      <c r="F382" s="28">
        <v>17849.39</v>
      </c>
      <c r="H382" s="10">
        <f t="shared" si="40"/>
        <v>17849.39</v>
      </c>
      <c r="I382" s="9">
        <v>0</v>
      </c>
      <c r="J382" s="9">
        <f t="shared" si="41"/>
        <v>-5702.8801050000002</v>
      </c>
      <c r="L382" s="433">
        <f t="shared" si="42"/>
        <v>12146.509894999999</v>
      </c>
      <c r="N382" s="7"/>
      <c r="P382" s="11"/>
    </row>
    <row r="383" spans="1:16" outlineLevel="2">
      <c r="A383" s="7">
        <f t="shared" si="37"/>
        <v>378</v>
      </c>
      <c r="B383" s="7" t="s">
        <v>29</v>
      </c>
      <c r="C383" s="7" t="s">
        <v>671</v>
      </c>
      <c r="D383" s="13" t="s">
        <v>877</v>
      </c>
      <c r="E383" s="8" t="s">
        <v>878</v>
      </c>
      <c r="F383" s="28">
        <v>465768.04</v>
      </c>
      <c r="H383" s="10">
        <f t="shared" si="40"/>
        <v>465768.04</v>
      </c>
      <c r="I383" s="9">
        <v>0</v>
      </c>
      <c r="J383" s="9">
        <f t="shared" si="41"/>
        <v>-148812.88878000001</v>
      </c>
      <c r="L383" s="433">
        <f t="shared" si="42"/>
        <v>316955.15122</v>
      </c>
      <c r="N383" s="7"/>
      <c r="P383" s="11"/>
    </row>
    <row r="384" spans="1:16" outlineLevel="2">
      <c r="A384" s="7">
        <f t="shared" si="37"/>
        <v>379</v>
      </c>
      <c r="B384" s="7" t="s">
        <v>29</v>
      </c>
      <c r="C384" s="7" t="s">
        <v>671</v>
      </c>
      <c r="D384" s="13" t="s">
        <v>879</v>
      </c>
      <c r="E384" s="8" t="s">
        <v>880</v>
      </c>
      <c r="F384" s="28">
        <v>37177.79</v>
      </c>
      <c r="H384" s="10">
        <f t="shared" si="40"/>
        <v>37177.79</v>
      </c>
      <c r="I384" s="9">
        <v>0</v>
      </c>
      <c r="J384" s="9">
        <f t="shared" si="41"/>
        <v>-11878.303905000001</v>
      </c>
      <c r="L384" s="433">
        <f t="shared" si="42"/>
        <v>25299.486095</v>
      </c>
      <c r="N384" s="7"/>
      <c r="P384" s="11"/>
    </row>
    <row r="385" spans="1:16" outlineLevel="2">
      <c r="A385" s="7">
        <f t="shared" si="37"/>
        <v>380</v>
      </c>
      <c r="B385" s="7" t="s">
        <v>29</v>
      </c>
      <c r="C385" s="7" t="s">
        <v>671</v>
      </c>
      <c r="D385" s="13" t="s">
        <v>881</v>
      </c>
      <c r="E385" s="8" t="s">
        <v>882</v>
      </c>
      <c r="F385" s="28">
        <v>4771.8900000000003</v>
      </c>
      <c r="H385" s="10">
        <f t="shared" si="40"/>
        <v>4771.8900000000003</v>
      </c>
      <c r="I385" s="9">
        <v>0</v>
      </c>
      <c r="J385" s="9">
        <f t="shared" si="41"/>
        <v>-1524.6188550000002</v>
      </c>
      <c r="L385" s="433">
        <f t="shared" si="42"/>
        <v>3247.2711450000002</v>
      </c>
      <c r="N385" s="7"/>
      <c r="P385" s="11"/>
    </row>
    <row r="386" spans="1:16" outlineLevel="2">
      <c r="A386" s="7">
        <f t="shared" si="37"/>
        <v>381</v>
      </c>
      <c r="B386" s="7" t="s">
        <v>29</v>
      </c>
      <c r="C386" s="7" t="s">
        <v>671</v>
      </c>
      <c r="D386" s="13" t="s">
        <v>883</v>
      </c>
      <c r="E386" s="8" t="s">
        <v>884</v>
      </c>
      <c r="F386" s="28">
        <v>419354.7</v>
      </c>
      <c r="H386" s="10">
        <f t="shared" si="40"/>
        <v>419354.7</v>
      </c>
      <c r="I386" s="9">
        <v>0</v>
      </c>
      <c r="J386" s="9">
        <f t="shared" si="41"/>
        <v>-133983.82665</v>
      </c>
      <c r="L386" s="433">
        <f t="shared" si="42"/>
        <v>285370.87335000001</v>
      </c>
      <c r="N386" s="7"/>
      <c r="P386" s="11"/>
    </row>
    <row r="387" spans="1:16" outlineLevel="2">
      <c r="A387" s="7">
        <f t="shared" si="37"/>
        <v>382</v>
      </c>
      <c r="B387" s="7" t="s">
        <v>29</v>
      </c>
      <c r="C387" s="7" t="s">
        <v>671</v>
      </c>
      <c r="D387" s="13" t="s">
        <v>885</v>
      </c>
      <c r="E387" s="8" t="s">
        <v>886</v>
      </c>
      <c r="F387" s="28">
        <v>27432.66</v>
      </c>
      <c r="H387" s="10">
        <f t="shared" si="40"/>
        <v>27432.66</v>
      </c>
      <c r="I387" s="9">
        <v>0</v>
      </c>
      <c r="J387" s="9">
        <f t="shared" si="41"/>
        <v>-8764.7348700000002</v>
      </c>
      <c r="L387" s="433">
        <f t="shared" si="42"/>
        <v>18667.92513</v>
      </c>
      <c r="N387" s="7"/>
      <c r="P387" s="11"/>
    </row>
    <row r="388" spans="1:16" outlineLevel="2">
      <c r="A388" s="7">
        <f t="shared" si="37"/>
        <v>383</v>
      </c>
      <c r="B388" s="7" t="s">
        <v>29</v>
      </c>
      <c r="C388" s="7" t="s">
        <v>671</v>
      </c>
      <c r="D388" s="13" t="s">
        <v>887</v>
      </c>
      <c r="E388" s="8" t="s">
        <v>888</v>
      </c>
      <c r="F388" s="28">
        <v>201973.19</v>
      </c>
      <c r="H388" s="10">
        <f t="shared" si="40"/>
        <v>201973.19</v>
      </c>
      <c r="I388" s="9">
        <v>0</v>
      </c>
      <c r="J388" s="9">
        <f t="shared" si="41"/>
        <v>-64530.434205000005</v>
      </c>
      <c r="L388" s="433">
        <f t="shared" si="42"/>
        <v>137442.755795</v>
      </c>
      <c r="N388" s="7"/>
      <c r="P388" s="11"/>
    </row>
    <row r="389" spans="1:16" outlineLevel="2">
      <c r="A389" s="7">
        <f t="shared" si="37"/>
        <v>384</v>
      </c>
      <c r="B389" s="7" t="s">
        <v>29</v>
      </c>
      <c r="C389" s="7" t="s">
        <v>671</v>
      </c>
      <c r="D389" s="13" t="s">
        <v>889</v>
      </c>
      <c r="E389" s="8" t="s">
        <v>890</v>
      </c>
      <c r="F389" s="28">
        <v>83269.600000000006</v>
      </c>
      <c r="H389" s="10">
        <f t="shared" si="40"/>
        <v>83269.600000000006</v>
      </c>
      <c r="I389" s="9">
        <v>0</v>
      </c>
      <c r="J389" s="9">
        <f t="shared" si="41"/>
        <v>-26604.637200000001</v>
      </c>
      <c r="L389" s="433">
        <f t="shared" si="42"/>
        <v>56664.962800000008</v>
      </c>
      <c r="N389" s="7"/>
      <c r="P389" s="11"/>
    </row>
    <row r="390" spans="1:16" outlineLevel="2">
      <c r="A390" s="7">
        <f t="shared" si="37"/>
        <v>385</v>
      </c>
      <c r="B390" s="7" t="s">
        <v>29</v>
      </c>
      <c r="C390" s="7" t="s">
        <v>671</v>
      </c>
      <c r="D390" s="13" t="s">
        <v>891</v>
      </c>
      <c r="E390" s="8" t="s">
        <v>892</v>
      </c>
      <c r="F390" s="28">
        <v>726426.71</v>
      </c>
      <c r="H390" s="10">
        <f t="shared" si="40"/>
        <v>726426.71</v>
      </c>
      <c r="I390" s="9">
        <v>0</v>
      </c>
      <c r="J390" s="9">
        <f t="shared" si="41"/>
        <v>-232093.33384499999</v>
      </c>
      <c r="L390" s="433">
        <f t="shared" si="42"/>
        <v>494333.37615499995</v>
      </c>
      <c r="N390" s="7"/>
      <c r="P390" s="11"/>
    </row>
    <row r="391" spans="1:16" outlineLevel="2">
      <c r="A391" s="7">
        <f t="shared" si="37"/>
        <v>386</v>
      </c>
      <c r="B391" s="7" t="s">
        <v>29</v>
      </c>
      <c r="C391" s="7" t="s">
        <v>671</v>
      </c>
      <c r="D391" s="13" t="s">
        <v>893</v>
      </c>
      <c r="E391" s="8" t="s">
        <v>894</v>
      </c>
      <c r="F391" s="28">
        <v>1142933.6100000001</v>
      </c>
      <c r="H391" s="10">
        <f t="shared" si="40"/>
        <v>1142933.6100000001</v>
      </c>
      <c r="I391" s="9">
        <v>0</v>
      </c>
      <c r="J391" s="9">
        <f t="shared" si="41"/>
        <v>-365167.28839500004</v>
      </c>
      <c r="L391" s="433">
        <f t="shared" si="42"/>
        <v>777766.32160500006</v>
      </c>
      <c r="N391" s="7"/>
      <c r="P391" s="11"/>
    </row>
    <row r="392" spans="1:16" outlineLevel="2">
      <c r="A392" s="7">
        <f t="shared" si="37"/>
        <v>387</v>
      </c>
      <c r="B392" s="7" t="s">
        <v>29</v>
      </c>
      <c r="C392" s="7" t="s">
        <v>671</v>
      </c>
      <c r="D392" s="13" t="s">
        <v>895</v>
      </c>
      <c r="E392" s="8" t="s">
        <v>896</v>
      </c>
      <c r="F392" s="28">
        <v>11533.35</v>
      </c>
      <c r="H392" s="10">
        <f t="shared" si="40"/>
        <v>11533.35</v>
      </c>
      <c r="I392" s="9">
        <v>0</v>
      </c>
      <c r="J392" s="9">
        <f t="shared" si="41"/>
        <v>-3684.9053250000002</v>
      </c>
      <c r="L392" s="433">
        <f t="shared" si="42"/>
        <v>7848.4446750000006</v>
      </c>
      <c r="N392" s="7"/>
      <c r="P392" s="11"/>
    </row>
    <row r="393" spans="1:16" outlineLevel="2">
      <c r="A393" s="7">
        <f t="shared" ref="A393:A456" si="43">A392+1</f>
        <v>388</v>
      </c>
      <c r="B393" s="7" t="s">
        <v>29</v>
      </c>
      <c r="C393" s="7" t="s">
        <v>671</v>
      </c>
      <c r="D393" s="13" t="s">
        <v>897</v>
      </c>
      <c r="E393" s="8" t="s">
        <v>898</v>
      </c>
      <c r="F393" s="28">
        <v>241334.2</v>
      </c>
      <c r="H393" s="10">
        <f t="shared" si="40"/>
        <v>241334.2</v>
      </c>
      <c r="I393" s="9">
        <v>0</v>
      </c>
      <c r="J393" s="9">
        <f t="shared" si="41"/>
        <v>-77106.276900000012</v>
      </c>
      <c r="L393" s="433">
        <f t="shared" si="42"/>
        <v>164227.92310000001</v>
      </c>
      <c r="N393" s="7"/>
      <c r="P393" s="11"/>
    </row>
    <row r="394" spans="1:16" outlineLevel="2">
      <c r="A394" s="7">
        <f t="shared" si="43"/>
        <v>389</v>
      </c>
      <c r="B394" s="7" t="s">
        <v>29</v>
      </c>
      <c r="C394" s="7" t="s">
        <v>671</v>
      </c>
      <c r="D394" s="13" t="s">
        <v>899</v>
      </c>
      <c r="E394" s="8" t="s">
        <v>900</v>
      </c>
      <c r="F394" s="28">
        <v>461145.92</v>
      </c>
      <c r="H394" s="10">
        <f t="shared" si="40"/>
        <v>461145.92</v>
      </c>
      <c r="I394" s="9">
        <v>0</v>
      </c>
      <c r="J394" s="9">
        <f t="shared" si="41"/>
        <v>-147336.12143999999</v>
      </c>
      <c r="L394" s="433">
        <f t="shared" si="42"/>
        <v>313809.79856000002</v>
      </c>
      <c r="N394" s="7"/>
      <c r="P394" s="11"/>
    </row>
    <row r="395" spans="1:16" outlineLevel="2">
      <c r="A395" s="7">
        <f t="shared" si="43"/>
        <v>390</v>
      </c>
      <c r="B395" s="7" t="s">
        <v>29</v>
      </c>
      <c r="C395" s="7" t="s">
        <v>671</v>
      </c>
      <c r="D395" s="13" t="s">
        <v>901</v>
      </c>
      <c r="E395" s="8" t="s">
        <v>902</v>
      </c>
      <c r="F395" s="28">
        <v>329859.56</v>
      </c>
      <c r="H395" s="10">
        <f t="shared" si="40"/>
        <v>329859.56</v>
      </c>
      <c r="I395" s="9">
        <v>0</v>
      </c>
      <c r="J395" s="9">
        <f t="shared" si="41"/>
        <v>-105390.12942</v>
      </c>
      <c r="L395" s="433">
        <f t="shared" si="42"/>
        <v>224469.43057999999</v>
      </c>
      <c r="M395" s="22"/>
      <c r="N395" s="7"/>
      <c r="P395" s="11"/>
    </row>
    <row r="396" spans="1:16" outlineLevel="2">
      <c r="A396" s="7">
        <f t="shared" si="43"/>
        <v>391</v>
      </c>
      <c r="B396" s="7" t="s">
        <v>29</v>
      </c>
      <c r="C396" s="7" t="s">
        <v>671</v>
      </c>
      <c r="D396" s="13" t="s">
        <v>903</v>
      </c>
      <c r="E396" s="8" t="s">
        <v>904</v>
      </c>
      <c r="F396" s="28">
        <v>1366</v>
      </c>
      <c r="H396" s="10">
        <f t="shared" si="40"/>
        <v>1366</v>
      </c>
      <c r="I396" s="9">
        <v>0</v>
      </c>
      <c r="J396" s="9">
        <f t="shared" si="41"/>
        <v>-436.43700000000001</v>
      </c>
      <c r="L396" s="433">
        <f t="shared" si="42"/>
        <v>929.56299999999999</v>
      </c>
      <c r="M396" s="22"/>
      <c r="N396" s="7"/>
      <c r="P396" s="11"/>
    </row>
    <row r="397" spans="1:16" outlineLevel="2">
      <c r="A397" s="7">
        <f t="shared" si="43"/>
        <v>392</v>
      </c>
      <c r="B397" s="7" t="s">
        <v>29</v>
      </c>
      <c r="C397" s="7" t="s">
        <v>671</v>
      </c>
      <c r="D397" s="13" t="s">
        <v>905</v>
      </c>
      <c r="E397" s="8" t="s">
        <v>906</v>
      </c>
      <c r="F397" s="28">
        <v>541759.02</v>
      </c>
      <c r="H397" s="10">
        <f t="shared" si="40"/>
        <v>541759.02</v>
      </c>
      <c r="I397" s="9">
        <v>0</v>
      </c>
      <c r="J397" s="9">
        <f t="shared" si="41"/>
        <v>-173092.00689000002</v>
      </c>
      <c r="L397" s="433">
        <f t="shared" si="42"/>
        <v>368667.01311</v>
      </c>
      <c r="M397" s="22"/>
      <c r="N397" s="7"/>
      <c r="P397" s="11"/>
    </row>
    <row r="398" spans="1:16" outlineLevel="2">
      <c r="A398" s="7">
        <f t="shared" si="43"/>
        <v>393</v>
      </c>
      <c r="B398" s="7" t="s">
        <v>29</v>
      </c>
      <c r="C398" s="7" t="s">
        <v>671</v>
      </c>
      <c r="D398" s="13" t="s">
        <v>907</v>
      </c>
      <c r="E398" s="8" t="s">
        <v>908</v>
      </c>
      <c r="F398" s="28">
        <v>534310.96</v>
      </c>
      <c r="H398" s="10">
        <f t="shared" si="40"/>
        <v>534310.96</v>
      </c>
      <c r="I398" s="9">
        <v>0</v>
      </c>
      <c r="J398" s="9">
        <f t="shared" si="41"/>
        <v>-170712.35171999998</v>
      </c>
      <c r="L398" s="433">
        <f t="shared" si="42"/>
        <v>363598.60827999999</v>
      </c>
      <c r="M398" s="22"/>
      <c r="N398" s="7"/>
      <c r="P398" s="11"/>
    </row>
    <row r="399" spans="1:16" outlineLevel="2">
      <c r="A399" s="7">
        <f t="shared" si="43"/>
        <v>394</v>
      </c>
      <c r="B399" s="7" t="s">
        <v>29</v>
      </c>
      <c r="C399" s="7" t="s">
        <v>671</v>
      </c>
      <c r="D399" s="13" t="s">
        <v>909</v>
      </c>
      <c r="E399" s="8" t="s">
        <v>910</v>
      </c>
      <c r="F399" s="28">
        <v>295982.49</v>
      </c>
      <c r="H399" s="10">
        <f t="shared" si="40"/>
        <v>295982.49</v>
      </c>
      <c r="I399" s="9">
        <v>0</v>
      </c>
      <c r="J399" s="9">
        <f t="shared" si="41"/>
        <v>-94566.405555000005</v>
      </c>
      <c r="L399" s="433">
        <f t="shared" si="42"/>
        <v>201416.08444499999</v>
      </c>
      <c r="M399" s="22"/>
      <c r="N399" s="7"/>
      <c r="P399" s="11"/>
    </row>
    <row r="400" spans="1:16" outlineLevel="2">
      <c r="A400" s="7">
        <f t="shared" si="43"/>
        <v>395</v>
      </c>
      <c r="B400" s="7" t="s">
        <v>29</v>
      </c>
      <c r="C400" s="7" t="s">
        <v>671</v>
      </c>
      <c r="D400" s="13" t="s">
        <v>911</v>
      </c>
      <c r="E400" s="8" t="s">
        <v>912</v>
      </c>
      <c r="F400" s="28">
        <v>1853</v>
      </c>
      <c r="H400" s="10">
        <f t="shared" si="40"/>
        <v>1853</v>
      </c>
      <c r="I400" s="9">
        <v>0</v>
      </c>
      <c r="J400" s="9">
        <f t="shared" si="41"/>
        <v>-592.0335</v>
      </c>
      <c r="L400" s="433">
        <f t="shared" si="42"/>
        <v>1260.9665</v>
      </c>
      <c r="M400" s="22"/>
      <c r="N400" s="7"/>
      <c r="P400" s="11"/>
    </row>
    <row r="401" spans="1:16" outlineLevel="2">
      <c r="A401" s="7">
        <f t="shared" si="43"/>
        <v>396</v>
      </c>
      <c r="B401" s="7" t="s">
        <v>29</v>
      </c>
      <c r="C401" s="7" t="s">
        <v>671</v>
      </c>
      <c r="D401" s="13" t="s">
        <v>913</v>
      </c>
      <c r="E401" s="8" t="s">
        <v>914</v>
      </c>
      <c r="F401" s="28">
        <v>50053.17</v>
      </c>
      <c r="H401" s="10">
        <f t="shared" si="40"/>
        <v>50053.17</v>
      </c>
      <c r="I401" s="9">
        <v>0</v>
      </c>
      <c r="J401" s="9">
        <f t="shared" si="41"/>
        <v>-15991.987815</v>
      </c>
      <c r="L401" s="433">
        <f t="shared" si="42"/>
        <v>34061.182184999998</v>
      </c>
      <c r="M401" s="22"/>
      <c r="N401" s="7"/>
      <c r="P401" s="11"/>
    </row>
    <row r="402" spans="1:16" outlineLevel="2">
      <c r="A402" s="7">
        <f t="shared" si="43"/>
        <v>397</v>
      </c>
      <c r="B402" s="7" t="s">
        <v>29</v>
      </c>
      <c r="C402" s="7" t="s">
        <v>671</v>
      </c>
      <c r="D402" s="13" t="s">
        <v>915</v>
      </c>
      <c r="E402" s="8" t="s">
        <v>916</v>
      </c>
      <c r="F402" s="28">
        <v>502057.27</v>
      </c>
      <c r="H402" s="10">
        <f t="shared" si="40"/>
        <v>502057.27</v>
      </c>
      <c r="I402" s="9">
        <v>0</v>
      </c>
      <c r="J402" s="9">
        <f t="shared" si="41"/>
        <v>-160407.297765</v>
      </c>
      <c r="L402" s="433">
        <f t="shared" si="42"/>
        <v>341649.97223499999</v>
      </c>
      <c r="M402" s="22"/>
      <c r="N402" s="7"/>
      <c r="P402" s="11"/>
    </row>
    <row r="403" spans="1:16" outlineLevel="2">
      <c r="A403" s="7">
        <f t="shared" si="43"/>
        <v>398</v>
      </c>
      <c r="B403" s="7" t="s">
        <v>29</v>
      </c>
      <c r="C403" s="7" t="s">
        <v>671</v>
      </c>
      <c r="D403" s="13" t="s">
        <v>917</v>
      </c>
      <c r="E403" s="8" t="s">
        <v>918</v>
      </c>
      <c r="F403" s="28">
        <v>474347.62</v>
      </c>
      <c r="H403" s="10">
        <f t="shared" si="40"/>
        <v>474347.62</v>
      </c>
      <c r="I403" s="9">
        <v>0</v>
      </c>
      <c r="J403" s="9">
        <f t="shared" si="41"/>
        <v>-151554.06458999999</v>
      </c>
      <c r="L403" s="433">
        <f t="shared" si="42"/>
        <v>322793.55541000003</v>
      </c>
      <c r="M403" s="22"/>
      <c r="N403" s="7"/>
      <c r="P403" s="11"/>
    </row>
    <row r="404" spans="1:16" outlineLevel="2">
      <c r="A404" s="7">
        <f t="shared" si="43"/>
        <v>399</v>
      </c>
      <c r="B404" s="7" t="s">
        <v>29</v>
      </c>
      <c r="C404" s="7" t="s">
        <v>671</v>
      </c>
      <c r="D404" s="13" t="s">
        <v>919</v>
      </c>
      <c r="E404" s="8" t="s">
        <v>920</v>
      </c>
      <c r="F404" s="28">
        <v>8781.5400000000009</v>
      </c>
      <c r="H404" s="10">
        <f t="shared" si="40"/>
        <v>8781.5400000000009</v>
      </c>
      <c r="I404" s="9">
        <v>0</v>
      </c>
      <c r="J404" s="9">
        <f t="shared" si="41"/>
        <v>-2805.7020300000004</v>
      </c>
      <c r="L404" s="433">
        <f t="shared" si="42"/>
        <v>5975.8379700000005</v>
      </c>
      <c r="M404" s="22"/>
      <c r="N404" s="7"/>
      <c r="P404" s="11"/>
    </row>
    <row r="405" spans="1:16" outlineLevel="2">
      <c r="A405" s="7">
        <f t="shared" si="43"/>
        <v>400</v>
      </c>
      <c r="B405" s="7" t="s">
        <v>29</v>
      </c>
      <c r="C405" s="7" t="s">
        <v>671</v>
      </c>
      <c r="D405" s="13" t="s">
        <v>921</v>
      </c>
      <c r="E405" s="8" t="s">
        <v>922</v>
      </c>
      <c r="F405" s="28">
        <v>106095.81</v>
      </c>
      <c r="H405" s="10">
        <f t="shared" si="40"/>
        <v>106095.81</v>
      </c>
      <c r="I405" s="9">
        <v>0</v>
      </c>
      <c r="J405" s="9">
        <f t="shared" si="41"/>
        <v>-33897.611295000002</v>
      </c>
      <c r="L405" s="433">
        <f t="shared" si="42"/>
        <v>72198.198704999988</v>
      </c>
      <c r="M405" s="22"/>
      <c r="N405" s="7"/>
      <c r="P405" s="11"/>
    </row>
    <row r="406" spans="1:16" outlineLevel="2">
      <c r="A406" s="7">
        <f t="shared" si="43"/>
        <v>401</v>
      </c>
      <c r="B406" s="7" t="s">
        <v>29</v>
      </c>
      <c r="C406" s="7" t="s">
        <v>671</v>
      </c>
      <c r="D406" s="13" t="s">
        <v>923</v>
      </c>
      <c r="E406" s="8" t="s">
        <v>924</v>
      </c>
      <c r="F406" s="28">
        <v>216887.19</v>
      </c>
      <c r="H406" s="10">
        <f t="shared" si="40"/>
        <v>216887.19</v>
      </c>
      <c r="I406" s="9">
        <v>0</v>
      </c>
      <c r="J406" s="9">
        <f t="shared" si="41"/>
        <v>-69295.457204999999</v>
      </c>
      <c r="L406" s="433">
        <f t="shared" si="42"/>
        <v>147591.73279500002</v>
      </c>
      <c r="M406" s="22"/>
      <c r="N406" s="7"/>
      <c r="P406" s="11"/>
    </row>
    <row r="407" spans="1:16" outlineLevel="2">
      <c r="A407" s="7">
        <f t="shared" si="43"/>
        <v>402</v>
      </c>
      <c r="B407" s="7" t="s">
        <v>29</v>
      </c>
      <c r="C407" s="7" t="s">
        <v>671</v>
      </c>
      <c r="D407" s="13" t="s">
        <v>925</v>
      </c>
      <c r="E407" s="8" t="s">
        <v>926</v>
      </c>
      <c r="F407" s="28">
        <v>628989.94999999995</v>
      </c>
      <c r="H407" s="10">
        <f t="shared" si="40"/>
        <v>628989.94999999995</v>
      </c>
      <c r="I407" s="9">
        <v>0</v>
      </c>
      <c r="J407" s="9">
        <f t="shared" si="41"/>
        <v>-200962.28902499998</v>
      </c>
      <c r="L407" s="433">
        <f t="shared" si="42"/>
        <v>428027.66097500001</v>
      </c>
      <c r="M407" s="22"/>
      <c r="N407" s="7"/>
      <c r="P407" s="11"/>
    </row>
    <row r="408" spans="1:16" outlineLevel="2">
      <c r="A408" s="7">
        <f t="shared" si="43"/>
        <v>403</v>
      </c>
      <c r="B408" s="7" t="s">
        <v>29</v>
      </c>
      <c r="C408" s="7" t="s">
        <v>671</v>
      </c>
      <c r="D408" s="13" t="s">
        <v>927</v>
      </c>
      <c r="E408" s="8" t="s">
        <v>928</v>
      </c>
      <c r="F408" s="28">
        <v>228059.18</v>
      </c>
      <c r="H408" s="10">
        <f t="shared" si="40"/>
        <v>228059.18</v>
      </c>
      <c r="I408" s="9">
        <v>0</v>
      </c>
      <c r="J408" s="9">
        <f t="shared" ref="J408:J419" si="44">-(F408*$M$284)</f>
        <v>-72864.908009999999</v>
      </c>
      <c r="L408" s="433">
        <f t="shared" ref="L408:L419" si="45">SUM(H408:K408)</f>
        <v>155194.27198999998</v>
      </c>
      <c r="M408" s="22"/>
      <c r="N408" s="7"/>
      <c r="P408" s="11"/>
    </row>
    <row r="409" spans="1:16" outlineLevel="2">
      <c r="A409" s="7">
        <f t="shared" si="43"/>
        <v>404</v>
      </c>
      <c r="B409" s="7" t="s">
        <v>29</v>
      </c>
      <c r="C409" s="7" t="s">
        <v>671</v>
      </c>
      <c r="D409" s="13" t="s">
        <v>929</v>
      </c>
      <c r="E409" s="8" t="s">
        <v>930</v>
      </c>
      <c r="F409" s="28">
        <v>117121.60000000001</v>
      </c>
      <c r="H409" s="10">
        <f t="shared" ref="H409:H419" si="46">F409+G409</f>
        <v>117121.60000000001</v>
      </c>
      <c r="I409" s="9">
        <v>0</v>
      </c>
      <c r="J409" s="9">
        <f t="shared" si="44"/>
        <v>-37420.351200000005</v>
      </c>
      <c r="L409" s="433">
        <f t="shared" si="45"/>
        <v>79701.248800000001</v>
      </c>
      <c r="M409" s="22"/>
      <c r="N409" s="7"/>
      <c r="P409" s="11"/>
    </row>
    <row r="410" spans="1:16" outlineLevel="2">
      <c r="A410" s="7">
        <f t="shared" si="43"/>
        <v>405</v>
      </c>
      <c r="B410" s="7" t="s">
        <v>29</v>
      </c>
      <c r="C410" s="7" t="s">
        <v>671</v>
      </c>
      <c r="D410" s="13" t="s">
        <v>931</v>
      </c>
      <c r="E410" s="8" t="s">
        <v>932</v>
      </c>
      <c r="F410" s="28">
        <v>579363.11</v>
      </c>
      <c r="H410" s="10">
        <f t="shared" si="46"/>
        <v>579363.11</v>
      </c>
      <c r="I410" s="9">
        <v>0</v>
      </c>
      <c r="J410" s="9">
        <f t="shared" si="44"/>
        <v>-185106.513645</v>
      </c>
      <c r="L410" s="433">
        <f t="shared" si="45"/>
        <v>394256.59635499999</v>
      </c>
      <c r="M410" s="22"/>
      <c r="N410" s="7"/>
      <c r="P410" s="11"/>
    </row>
    <row r="411" spans="1:16" outlineLevel="2">
      <c r="A411" s="7">
        <f t="shared" si="43"/>
        <v>406</v>
      </c>
      <c r="B411" s="7" t="s">
        <v>29</v>
      </c>
      <c r="C411" s="7" t="s">
        <v>671</v>
      </c>
      <c r="D411" s="13" t="s">
        <v>933</v>
      </c>
      <c r="E411" s="8" t="s">
        <v>934</v>
      </c>
      <c r="F411" s="28">
        <v>729388.88</v>
      </c>
      <c r="H411" s="10">
        <f t="shared" si="46"/>
        <v>729388.88</v>
      </c>
      <c r="I411" s="9">
        <v>0</v>
      </c>
      <c r="J411" s="9">
        <f t="shared" si="44"/>
        <v>-233039.74716</v>
      </c>
      <c r="L411" s="433">
        <f t="shared" si="45"/>
        <v>496349.13283999998</v>
      </c>
      <c r="M411" s="22"/>
      <c r="N411" s="7"/>
      <c r="P411" s="11"/>
    </row>
    <row r="412" spans="1:16" outlineLevel="2">
      <c r="A412" s="7">
        <f t="shared" si="43"/>
        <v>407</v>
      </c>
      <c r="B412" s="7" t="s">
        <v>29</v>
      </c>
      <c r="C412" s="7" t="s">
        <v>671</v>
      </c>
      <c r="D412" s="13" t="s">
        <v>935</v>
      </c>
      <c r="E412" s="8" t="s">
        <v>936</v>
      </c>
      <c r="F412" s="28">
        <v>54476.14</v>
      </c>
      <c r="H412" s="10">
        <f t="shared" si="46"/>
        <v>54476.14</v>
      </c>
      <c r="I412" s="9">
        <v>0</v>
      </c>
      <c r="J412" s="9">
        <f t="shared" si="44"/>
        <v>-17405.12673</v>
      </c>
      <c r="L412" s="433">
        <f t="shared" si="45"/>
        <v>37071.013269999996</v>
      </c>
      <c r="N412" s="7"/>
      <c r="P412" s="11"/>
    </row>
    <row r="413" spans="1:16" outlineLevel="2">
      <c r="A413" s="7">
        <f t="shared" si="43"/>
        <v>408</v>
      </c>
      <c r="B413" s="7" t="s">
        <v>29</v>
      </c>
      <c r="C413" s="7" t="s">
        <v>671</v>
      </c>
      <c r="D413" s="13" t="s">
        <v>937</v>
      </c>
      <c r="E413" s="8" t="s">
        <v>938</v>
      </c>
      <c r="F413" s="28">
        <v>929922.46</v>
      </c>
      <c r="H413" s="10">
        <f t="shared" si="46"/>
        <v>929922.46</v>
      </c>
      <c r="I413" s="9">
        <v>0</v>
      </c>
      <c r="J413" s="9">
        <f t="shared" si="44"/>
        <v>-297110.22596999997</v>
      </c>
      <c r="L413" s="433">
        <f t="shared" si="45"/>
        <v>632812.23402999993</v>
      </c>
      <c r="N413" s="7"/>
      <c r="P413" s="11"/>
    </row>
    <row r="414" spans="1:16" outlineLevel="2">
      <c r="A414" s="7">
        <f t="shared" si="43"/>
        <v>409</v>
      </c>
      <c r="B414" s="7" t="s">
        <v>29</v>
      </c>
      <c r="C414" s="7" t="s">
        <v>671</v>
      </c>
      <c r="D414" s="13" t="s">
        <v>939</v>
      </c>
      <c r="E414" s="8" t="s">
        <v>940</v>
      </c>
      <c r="F414" s="28">
        <v>25197.93</v>
      </c>
      <c r="H414" s="10">
        <f t="shared" si="46"/>
        <v>25197.93</v>
      </c>
      <c r="I414" s="9">
        <v>0</v>
      </c>
      <c r="J414" s="9">
        <f t="shared" si="44"/>
        <v>-8050.7386350000006</v>
      </c>
      <c r="L414" s="433">
        <f t="shared" si="45"/>
        <v>17147.191364999999</v>
      </c>
      <c r="N414" s="7"/>
      <c r="P414" s="11"/>
    </row>
    <row r="415" spans="1:16" outlineLevel="2">
      <c r="A415" s="7">
        <f t="shared" si="43"/>
        <v>410</v>
      </c>
      <c r="B415" s="7" t="s">
        <v>29</v>
      </c>
      <c r="C415" s="7" t="s">
        <v>671</v>
      </c>
      <c r="D415" s="13" t="s">
        <v>941</v>
      </c>
      <c r="E415" s="8" t="s">
        <v>942</v>
      </c>
      <c r="F415" s="28">
        <v>91987.25</v>
      </c>
      <c r="H415" s="10">
        <f t="shared" si="46"/>
        <v>91987.25</v>
      </c>
      <c r="I415" s="9">
        <v>0</v>
      </c>
      <c r="J415" s="9">
        <f t="shared" si="44"/>
        <v>-29389.926374999999</v>
      </c>
      <c r="L415" s="433">
        <f t="shared" si="45"/>
        <v>62597.323625000005</v>
      </c>
      <c r="M415" s="10"/>
      <c r="N415" s="7"/>
      <c r="O415" s="10"/>
      <c r="P415" s="10"/>
    </row>
    <row r="416" spans="1:16" outlineLevel="2">
      <c r="A416" s="7">
        <f t="shared" si="43"/>
        <v>411</v>
      </c>
      <c r="B416" s="7" t="s">
        <v>29</v>
      </c>
      <c r="C416" s="7" t="s">
        <v>671</v>
      </c>
      <c r="D416" s="13" t="s">
        <v>943</v>
      </c>
      <c r="E416" s="8" t="s">
        <v>944</v>
      </c>
      <c r="F416" s="28">
        <v>21499.883000000002</v>
      </c>
      <c r="H416" s="10">
        <f t="shared" si="46"/>
        <v>21499.883000000002</v>
      </c>
      <c r="I416" s="9">
        <v>0</v>
      </c>
      <c r="J416" s="9">
        <f t="shared" si="44"/>
        <v>-6869.2126185000006</v>
      </c>
      <c r="L416" s="433">
        <f t="shared" si="45"/>
        <v>14630.6703815</v>
      </c>
      <c r="M416" s="10"/>
      <c r="N416" s="7"/>
      <c r="O416" s="10"/>
      <c r="P416" s="10"/>
    </row>
    <row r="417" spans="1:16" outlineLevel="2">
      <c r="A417" s="7">
        <f t="shared" si="43"/>
        <v>412</v>
      </c>
      <c r="B417" s="7" t="s">
        <v>29</v>
      </c>
      <c r="C417" s="7" t="s">
        <v>671</v>
      </c>
      <c r="D417" s="13" t="s">
        <v>945</v>
      </c>
      <c r="E417" s="8" t="s">
        <v>946</v>
      </c>
      <c r="F417" s="28">
        <v>117921.59</v>
      </c>
      <c r="H417" s="10">
        <f t="shared" si="46"/>
        <v>117921.59</v>
      </c>
      <c r="I417" s="9">
        <v>0</v>
      </c>
      <c r="J417" s="9">
        <f t="shared" si="44"/>
        <v>-37675.948004999998</v>
      </c>
      <c r="L417" s="433">
        <f t="shared" si="45"/>
        <v>80245.641994999998</v>
      </c>
      <c r="M417" s="8"/>
      <c r="N417" s="7"/>
      <c r="P417" s="11"/>
    </row>
    <row r="418" spans="1:16" outlineLevel="2">
      <c r="A418" s="7">
        <f t="shared" si="43"/>
        <v>413</v>
      </c>
      <c r="B418" s="7" t="s">
        <v>29</v>
      </c>
      <c r="C418" s="7" t="s">
        <v>671</v>
      </c>
      <c r="D418" s="13" t="s">
        <v>947</v>
      </c>
      <c r="E418" s="8" t="s">
        <v>948</v>
      </c>
      <c r="F418" s="28">
        <v>36499.440000000002</v>
      </c>
      <c r="H418" s="10">
        <f t="shared" si="46"/>
        <v>36499.440000000002</v>
      </c>
      <c r="I418" s="9">
        <v>0</v>
      </c>
      <c r="J418" s="9">
        <f t="shared" si="44"/>
        <v>-11661.571080000002</v>
      </c>
      <c r="L418" s="433">
        <f t="shared" si="45"/>
        <v>24837.868920000001</v>
      </c>
      <c r="M418" s="8"/>
      <c r="N418" s="7"/>
      <c r="P418" s="11"/>
    </row>
    <row r="419" spans="1:16" outlineLevel="2">
      <c r="A419" s="7">
        <f t="shared" si="43"/>
        <v>414</v>
      </c>
      <c r="B419" s="7" t="s">
        <v>29</v>
      </c>
      <c r="C419" s="7" t="s">
        <v>671</v>
      </c>
      <c r="D419" s="13" t="s">
        <v>949</v>
      </c>
      <c r="E419" s="8" t="s">
        <v>950</v>
      </c>
      <c r="F419" s="28">
        <v>28279.89</v>
      </c>
      <c r="H419" s="10">
        <f t="shared" si="46"/>
        <v>28279.89</v>
      </c>
      <c r="I419" s="9">
        <v>0</v>
      </c>
      <c r="J419" s="9">
        <f t="shared" si="44"/>
        <v>-9035.4248549999993</v>
      </c>
      <c r="L419" s="433">
        <f t="shared" si="45"/>
        <v>19244.465145000002</v>
      </c>
      <c r="M419" s="8"/>
      <c r="N419" s="7"/>
    </row>
    <row r="420" spans="1:16" s="4" customFormat="1" ht="13.5" outlineLevel="1" thickBot="1">
      <c r="A420" s="7">
        <f t="shared" si="43"/>
        <v>415</v>
      </c>
      <c r="B420" s="3" t="s">
        <v>29</v>
      </c>
      <c r="C420" s="14" t="s">
        <v>951</v>
      </c>
      <c r="D420" s="16"/>
      <c r="E420" s="16" t="s">
        <v>952</v>
      </c>
      <c r="F420" s="26">
        <f t="shared" ref="F420:L420" si="47">SUM(F281:F419)</f>
        <v>35938329.09300001</v>
      </c>
      <c r="G420" s="26">
        <f t="shared" si="47"/>
        <v>0</v>
      </c>
      <c r="H420" s="26">
        <f t="shared" si="47"/>
        <v>35938329.09300001</v>
      </c>
      <c r="I420" s="26">
        <f t="shared" si="47"/>
        <v>0</v>
      </c>
      <c r="J420" s="26">
        <f t="shared" si="47"/>
        <v>-11482296.145213498</v>
      </c>
      <c r="K420" s="138">
        <f t="shared" si="47"/>
        <v>0</v>
      </c>
      <c r="L420" s="26">
        <f t="shared" si="47"/>
        <v>24456032.947786503</v>
      </c>
      <c r="N420" s="3"/>
      <c r="O420" s="3"/>
      <c r="P420" s="5"/>
    </row>
    <row r="421" spans="1:16" ht="13.5" outlineLevel="2" thickTop="1">
      <c r="A421" s="7">
        <f t="shared" si="43"/>
        <v>416</v>
      </c>
      <c r="B421" s="7" t="s">
        <v>29</v>
      </c>
      <c r="C421" s="7" t="s">
        <v>953</v>
      </c>
      <c r="D421" s="13" t="s">
        <v>954</v>
      </c>
      <c r="E421" s="8" t="s">
        <v>955</v>
      </c>
      <c r="F421" s="183">
        <v>650000.85</v>
      </c>
      <c r="G421" s="183"/>
      <c r="H421" s="10">
        <f>F421+G421</f>
        <v>650000.85</v>
      </c>
      <c r="I421" s="9">
        <v>-650000.85</v>
      </c>
      <c r="J421" s="9">
        <v>0</v>
      </c>
      <c r="L421" s="433">
        <f t="shared" ref="L421:L436" si="48">SUM(H421:K421)</f>
        <v>0</v>
      </c>
      <c r="M421" s="653"/>
      <c r="N421" s="7"/>
      <c r="P421" s="11"/>
    </row>
    <row r="422" spans="1:16" outlineLevel="2">
      <c r="A422" s="7">
        <f t="shared" si="43"/>
        <v>417</v>
      </c>
      <c r="B422" s="7" t="s">
        <v>29</v>
      </c>
      <c r="C422" s="7" t="s">
        <v>953</v>
      </c>
      <c r="D422" s="13" t="s">
        <v>956</v>
      </c>
      <c r="E422" s="8" t="s">
        <v>957</v>
      </c>
      <c r="F422" s="183">
        <v>184827.19</v>
      </c>
      <c r="G422" s="183"/>
      <c r="H422" s="10">
        <f t="shared" ref="H422:H436" si="49">F422+G422</f>
        <v>184827.19</v>
      </c>
      <c r="I422" s="9">
        <v>-184827.19</v>
      </c>
      <c r="J422" s="9">
        <v>0</v>
      </c>
      <c r="L422" s="433">
        <f t="shared" si="48"/>
        <v>0</v>
      </c>
      <c r="M422" s="654"/>
      <c r="N422" s="7"/>
      <c r="P422" s="11"/>
    </row>
    <row r="423" spans="1:16" outlineLevel="2">
      <c r="A423" s="7">
        <f t="shared" si="43"/>
        <v>418</v>
      </c>
      <c r="B423" s="7" t="s">
        <v>29</v>
      </c>
      <c r="C423" s="7" t="s">
        <v>953</v>
      </c>
      <c r="D423" s="13" t="s">
        <v>958</v>
      </c>
      <c r="E423" s="8" t="s">
        <v>959</v>
      </c>
      <c r="F423" s="183">
        <v>223594.2</v>
      </c>
      <c r="G423" s="183"/>
      <c r="H423" s="10">
        <f t="shared" si="49"/>
        <v>223594.2</v>
      </c>
      <c r="I423" s="9">
        <v>-223594.2</v>
      </c>
      <c r="J423" s="9">
        <v>0</v>
      </c>
      <c r="L423" s="433">
        <f t="shared" si="48"/>
        <v>0</v>
      </c>
      <c r="M423" s="654"/>
      <c r="N423" s="7"/>
      <c r="P423" s="11"/>
    </row>
    <row r="424" spans="1:16" outlineLevel="2">
      <c r="A424" s="7">
        <f t="shared" si="43"/>
        <v>419</v>
      </c>
      <c r="B424" s="7" t="s">
        <v>29</v>
      </c>
      <c r="C424" s="7" t="s">
        <v>953</v>
      </c>
      <c r="D424" s="13" t="s">
        <v>960</v>
      </c>
      <c r="E424" s="8" t="s">
        <v>961</v>
      </c>
      <c r="F424" s="183">
        <v>171256.71</v>
      </c>
      <c r="G424" s="183"/>
      <c r="H424" s="10">
        <f t="shared" si="49"/>
        <v>171256.71</v>
      </c>
      <c r="I424" s="9">
        <v>-171256.71</v>
      </c>
      <c r="J424" s="9">
        <v>0</v>
      </c>
      <c r="L424" s="433">
        <f t="shared" si="48"/>
        <v>0</v>
      </c>
      <c r="N424" s="7"/>
      <c r="P424" s="11"/>
    </row>
    <row r="425" spans="1:16" outlineLevel="2">
      <c r="A425" s="7">
        <f t="shared" si="43"/>
        <v>420</v>
      </c>
      <c r="B425" s="7" t="s">
        <v>29</v>
      </c>
      <c r="C425" s="7" t="s">
        <v>953</v>
      </c>
      <c r="D425" s="13" t="s">
        <v>962</v>
      </c>
      <c r="E425" s="8" t="s">
        <v>963</v>
      </c>
      <c r="F425" s="183">
        <v>25505.599999999999</v>
      </c>
      <c r="G425" s="183"/>
      <c r="H425" s="10">
        <f t="shared" si="49"/>
        <v>25505.599999999999</v>
      </c>
      <c r="I425" s="9">
        <v>-25505.599999999999</v>
      </c>
      <c r="J425" s="9">
        <v>0</v>
      </c>
      <c r="L425" s="433">
        <f t="shared" si="48"/>
        <v>0</v>
      </c>
      <c r="N425" s="7"/>
      <c r="P425" s="11"/>
    </row>
    <row r="426" spans="1:16" outlineLevel="2">
      <c r="A426" s="7">
        <f t="shared" si="43"/>
        <v>421</v>
      </c>
      <c r="B426" s="7" t="s">
        <v>29</v>
      </c>
      <c r="C426" s="7" t="s">
        <v>953</v>
      </c>
      <c r="D426" s="13" t="s">
        <v>964</v>
      </c>
      <c r="E426" s="8" t="s">
        <v>965</v>
      </c>
      <c r="F426" s="183">
        <v>526212.39</v>
      </c>
      <c r="G426" s="183"/>
      <c r="H426" s="10">
        <f t="shared" si="49"/>
        <v>526212.39</v>
      </c>
      <c r="I426" s="9">
        <v>-391368</v>
      </c>
      <c r="J426" s="9">
        <v>0</v>
      </c>
      <c r="L426" s="433">
        <f t="shared" si="48"/>
        <v>134844.39000000001</v>
      </c>
      <c r="N426" s="7"/>
      <c r="P426" s="11"/>
    </row>
    <row r="427" spans="1:16" outlineLevel="2">
      <c r="A427" s="7">
        <f t="shared" si="43"/>
        <v>422</v>
      </c>
      <c r="B427" s="7" t="s">
        <v>29</v>
      </c>
      <c r="C427" s="7" t="s">
        <v>953</v>
      </c>
      <c r="D427" s="13" t="s">
        <v>966</v>
      </c>
      <c r="E427" s="8" t="s">
        <v>967</v>
      </c>
      <c r="F427" s="183">
        <v>253597.44</v>
      </c>
      <c r="G427" s="183"/>
      <c r="H427" s="10">
        <f t="shared" si="49"/>
        <v>253597.44</v>
      </c>
      <c r="I427" s="9">
        <v>-253597.44</v>
      </c>
      <c r="J427" s="9">
        <v>0</v>
      </c>
      <c r="L427" s="433">
        <f t="shared" si="48"/>
        <v>0</v>
      </c>
      <c r="N427" s="7"/>
      <c r="P427" s="11"/>
    </row>
    <row r="428" spans="1:16" outlineLevel="2">
      <c r="A428" s="7">
        <f t="shared" si="43"/>
        <v>423</v>
      </c>
      <c r="B428" s="7" t="s">
        <v>29</v>
      </c>
      <c r="C428" s="7" t="s">
        <v>953</v>
      </c>
      <c r="D428" s="13" t="s">
        <v>968</v>
      </c>
      <c r="E428" s="8" t="s">
        <v>969</v>
      </c>
      <c r="F428" s="183">
        <v>1079091.51</v>
      </c>
      <c r="G428" s="183"/>
      <c r="H428" s="10">
        <f t="shared" si="49"/>
        <v>1079091.51</v>
      </c>
      <c r="I428" s="9">
        <v>-1079091.51</v>
      </c>
      <c r="J428" s="9">
        <v>0</v>
      </c>
      <c r="L428" s="433">
        <f t="shared" si="48"/>
        <v>0</v>
      </c>
      <c r="N428" s="7"/>
      <c r="P428" s="11"/>
    </row>
    <row r="429" spans="1:16" outlineLevel="2">
      <c r="A429" s="7">
        <f t="shared" si="43"/>
        <v>424</v>
      </c>
      <c r="B429" s="7" t="s">
        <v>29</v>
      </c>
      <c r="C429" s="7" t="s">
        <v>953</v>
      </c>
      <c r="D429" s="13" t="s">
        <v>970</v>
      </c>
      <c r="E429" s="8" t="s">
        <v>971</v>
      </c>
      <c r="F429" s="183">
        <v>425706.26</v>
      </c>
      <c r="G429" s="183"/>
      <c r="H429" s="10">
        <f t="shared" si="49"/>
        <v>425706.26</v>
      </c>
      <c r="I429" s="9">
        <v>-425706.26</v>
      </c>
      <c r="J429" s="9">
        <v>0</v>
      </c>
      <c r="L429" s="433">
        <f t="shared" si="48"/>
        <v>0</v>
      </c>
      <c r="N429" s="7"/>
      <c r="P429" s="11"/>
    </row>
    <row r="430" spans="1:16" outlineLevel="2">
      <c r="A430" s="7">
        <f t="shared" si="43"/>
        <v>425</v>
      </c>
      <c r="B430" s="7" t="s">
        <v>29</v>
      </c>
      <c r="C430" s="7" t="s">
        <v>953</v>
      </c>
      <c r="D430" s="13" t="s">
        <v>972</v>
      </c>
      <c r="E430" s="8" t="s">
        <v>973</v>
      </c>
      <c r="F430" s="183">
        <v>108040.31</v>
      </c>
      <c r="G430" s="183"/>
      <c r="H430" s="10">
        <f t="shared" si="49"/>
        <v>108040.31</v>
      </c>
      <c r="I430" s="9">
        <v>-108040.31</v>
      </c>
      <c r="J430" s="9">
        <v>0</v>
      </c>
      <c r="L430" s="433">
        <f t="shared" si="48"/>
        <v>0</v>
      </c>
      <c r="N430" s="7"/>
      <c r="P430" s="11"/>
    </row>
    <row r="431" spans="1:16" outlineLevel="2">
      <c r="A431" s="7">
        <f t="shared" si="43"/>
        <v>426</v>
      </c>
      <c r="B431" s="7" t="s">
        <v>29</v>
      </c>
      <c r="C431" s="7" t="s">
        <v>953</v>
      </c>
      <c r="D431" s="13" t="s">
        <v>974</v>
      </c>
      <c r="E431" s="8" t="s">
        <v>975</v>
      </c>
      <c r="F431" s="183">
        <v>6494</v>
      </c>
      <c r="G431" s="183"/>
      <c r="H431" s="10">
        <f t="shared" si="49"/>
        <v>6494</v>
      </c>
      <c r="I431" s="9">
        <v>-6494</v>
      </c>
      <c r="J431" s="9">
        <v>0</v>
      </c>
      <c r="L431" s="433">
        <f t="shared" si="48"/>
        <v>0</v>
      </c>
      <c r="N431" s="7"/>
      <c r="P431" s="11"/>
    </row>
    <row r="432" spans="1:16" outlineLevel="2">
      <c r="A432" s="7">
        <f t="shared" si="43"/>
        <v>427</v>
      </c>
      <c r="B432" s="7" t="s">
        <v>29</v>
      </c>
      <c r="C432" s="7" t="s">
        <v>953</v>
      </c>
      <c r="D432" s="13" t="s">
        <v>976</v>
      </c>
      <c r="E432" s="8" t="s">
        <v>977</v>
      </c>
      <c r="F432" s="183">
        <v>102282.9</v>
      </c>
      <c r="G432" s="183"/>
      <c r="H432" s="10">
        <f t="shared" si="49"/>
        <v>102282.9</v>
      </c>
      <c r="I432" s="9">
        <v>-102282.9</v>
      </c>
      <c r="J432" s="9">
        <v>0</v>
      </c>
      <c r="L432" s="433">
        <f t="shared" si="48"/>
        <v>0</v>
      </c>
      <c r="N432" s="7"/>
      <c r="P432" s="11"/>
    </row>
    <row r="433" spans="1:16" outlineLevel="2">
      <c r="A433" s="7">
        <f t="shared" si="43"/>
        <v>428</v>
      </c>
      <c r="B433" s="7" t="s">
        <v>29</v>
      </c>
      <c r="C433" s="7" t="s">
        <v>953</v>
      </c>
      <c r="D433" s="13" t="s">
        <v>978</v>
      </c>
      <c r="E433" s="8" t="s">
        <v>979</v>
      </c>
      <c r="F433" s="183">
        <v>1237730.0900000001</v>
      </c>
      <c r="G433" s="183"/>
      <c r="H433" s="10">
        <f t="shared" si="49"/>
        <v>1237730.0900000001</v>
      </c>
      <c r="I433" s="9">
        <v>-1237730.0900000001</v>
      </c>
      <c r="J433" s="9">
        <v>0</v>
      </c>
      <c r="L433" s="433">
        <f t="shared" si="48"/>
        <v>0</v>
      </c>
      <c r="N433" s="7"/>
      <c r="P433" s="11"/>
    </row>
    <row r="434" spans="1:16" outlineLevel="2">
      <c r="A434" s="7">
        <f t="shared" si="43"/>
        <v>429</v>
      </c>
      <c r="B434" s="7" t="s">
        <v>29</v>
      </c>
      <c r="C434" s="7" t="s">
        <v>953</v>
      </c>
      <c r="D434" s="13" t="s">
        <v>980</v>
      </c>
      <c r="E434" s="8" t="s">
        <v>981</v>
      </c>
      <c r="F434" s="183">
        <v>920941.25</v>
      </c>
      <c r="G434" s="183"/>
      <c r="H434" s="10">
        <f t="shared" si="49"/>
        <v>920941.25</v>
      </c>
      <c r="I434" s="9">
        <v>-920941.25</v>
      </c>
      <c r="J434" s="9">
        <v>0</v>
      </c>
      <c r="L434" s="433">
        <f t="shared" si="48"/>
        <v>0</v>
      </c>
      <c r="N434" s="7"/>
      <c r="P434" s="11"/>
    </row>
    <row r="435" spans="1:16" ht="12.75" customHeight="1" outlineLevel="2">
      <c r="A435" s="7">
        <f t="shared" si="43"/>
        <v>430</v>
      </c>
      <c r="B435" s="7" t="s">
        <v>29</v>
      </c>
      <c r="C435" s="7" t="s">
        <v>953</v>
      </c>
      <c r="D435" s="13" t="s">
        <v>982</v>
      </c>
      <c r="E435" s="8" t="s">
        <v>983</v>
      </c>
      <c r="F435" s="183">
        <v>474403.84000000003</v>
      </c>
      <c r="G435" s="183"/>
      <c r="H435" s="10">
        <f t="shared" si="49"/>
        <v>474403.84000000003</v>
      </c>
      <c r="I435" s="9">
        <v>-474403.84000000003</v>
      </c>
      <c r="J435" s="9">
        <v>0</v>
      </c>
      <c r="L435" s="433">
        <f t="shared" si="48"/>
        <v>0</v>
      </c>
      <c r="M435" s="8"/>
      <c r="N435" s="7"/>
      <c r="P435" s="11"/>
    </row>
    <row r="436" spans="1:16" outlineLevel="2">
      <c r="A436" s="7">
        <f t="shared" si="43"/>
        <v>431</v>
      </c>
      <c r="B436" s="7" t="s">
        <v>29</v>
      </c>
      <c r="C436" s="7" t="s">
        <v>953</v>
      </c>
      <c r="D436" s="8" t="s">
        <v>984</v>
      </c>
      <c r="E436" s="8" t="s">
        <v>985</v>
      </c>
      <c r="F436" s="183">
        <v>216162.68</v>
      </c>
      <c r="G436" s="183"/>
      <c r="H436" s="10">
        <f t="shared" si="49"/>
        <v>216162.68</v>
      </c>
      <c r="I436" s="9">
        <v>-216162.68</v>
      </c>
      <c r="J436" s="9">
        <v>0</v>
      </c>
      <c r="L436" s="433">
        <f t="shared" si="48"/>
        <v>0</v>
      </c>
      <c r="N436" s="7"/>
      <c r="P436" s="11"/>
    </row>
    <row r="437" spans="1:16" s="4" customFormat="1" ht="13.5" outlineLevel="1" thickBot="1">
      <c r="A437" s="7">
        <f t="shared" si="43"/>
        <v>432</v>
      </c>
      <c r="B437" s="3" t="s">
        <v>29</v>
      </c>
      <c r="C437" s="14" t="s">
        <v>986</v>
      </c>
      <c r="D437" s="16"/>
      <c r="E437" s="16" t="s">
        <v>987</v>
      </c>
      <c r="F437" s="26">
        <f>SUM(F421:F436)</f>
        <v>6605847.2199999988</v>
      </c>
      <c r="G437" s="26">
        <f>SUM(G421:G436)</f>
        <v>0</v>
      </c>
      <c r="H437" s="26">
        <f>SUM(H421:H436)</f>
        <v>6605847.2199999988</v>
      </c>
      <c r="I437" s="26">
        <f t="shared" ref="I437:L437" si="50">SUM(I421:I436)</f>
        <v>-6471002.8299999991</v>
      </c>
      <c r="J437" s="138">
        <f t="shared" si="50"/>
        <v>0</v>
      </c>
      <c r="K437" s="138">
        <f t="shared" si="50"/>
        <v>0</v>
      </c>
      <c r="L437" s="26">
        <f t="shared" si="50"/>
        <v>134844.39000000001</v>
      </c>
      <c r="M437" s="17"/>
      <c r="N437" s="3"/>
      <c r="O437" s="3"/>
      <c r="P437" s="5"/>
    </row>
    <row r="438" spans="1:16" s="3" customFormat="1" ht="14.25" thickTop="1" thickBot="1">
      <c r="A438" s="7">
        <f t="shared" si="43"/>
        <v>433</v>
      </c>
      <c r="B438" s="3" t="s">
        <v>29</v>
      </c>
      <c r="C438" s="81" t="s">
        <v>988</v>
      </c>
      <c r="D438" s="82"/>
      <c r="E438" s="82" t="s">
        <v>989</v>
      </c>
      <c r="F438" s="187">
        <f t="shared" ref="F438:L438" si="51">F111+F238+F257+F261+F275+F280+F420+F437</f>
        <v>1405568817.4630008</v>
      </c>
      <c r="G438" s="187">
        <f t="shared" si="51"/>
        <v>44279156</v>
      </c>
      <c r="H438" s="187">
        <f t="shared" si="51"/>
        <v>1449847973.4630008</v>
      </c>
      <c r="I438" s="187">
        <f t="shared" si="51"/>
        <v>-48382364.43999999</v>
      </c>
      <c r="J438" s="187">
        <f t="shared" si="51"/>
        <v>-13572976.7825535</v>
      </c>
      <c r="K438" s="187">
        <f t="shared" si="51"/>
        <v>-18563963</v>
      </c>
      <c r="L438" s="187">
        <f t="shared" si="51"/>
        <v>1369328669.240447</v>
      </c>
      <c r="M438" s="5"/>
    </row>
    <row r="439" spans="1:16" s="4" customFormat="1" ht="13.5" outlineLevel="1" thickTop="1">
      <c r="A439" s="7">
        <f t="shared" si="43"/>
        <v>434</v>
      </c>
      <c r="B439" s="7"/>
      <c r="C439" s="3"/>
      <c r="F439" s="182"/>
      <c r="G439" s="182"/>
      <c r="H439" s="118"/>
      <c r="I439" s="118"/>
      <c r="J439" s="118"/>
      <c r="K439" s="118"/>
      <c r="L439" s="434"/>
      <c r="M439" s="17"/>
      <c r="N439" s="3"/>
      <c r="O439" s="3"/>
      <c r="P439" s="5"/>
    </row>
    <row r="440" spans="1:16" outlineLevel="2">
      <c r="A440" s="7">
        <f t="shared" si="43"/>
        <v>435</v>
      </c>
      <c r="B440" s="7" t="s">
        <v>27</v>
      </c>
      <c r="C440" s="7" t="s">
        <v>80</v>
      </c>
      <c r="D440" s="13" t="s">
        <v>990</v>
      </c>
      <c r="E440" s="8" t="s">
        <v>991</v>
      </c>
      <c r="F440" s="183">
        <v>6735889.54</v>
      </c>
      <c r="G440" s="183"/>
      <c r="H440" s="10">
        <f>F440+G440</f>
        <v>6735889.54</v>
      </c>
      <c r="I440" s="10">
        <v>0</v>
      </c>
      <c r="J440" s="10">
        <v>0</v>
      </c>
      <c r="K440" s="10"/>
      <c r="L440" s="433">
        <f t="shared" ref="L440:L451" si="52">SUM(H440:K440)</f>
        <v>6735889.54</v>
      </c>
      <c r="N440" s="7"/>
      <c r="P440" s="11"/>
    </row>
    <row r="441" spans="1:16" outlineLevel="2">
      <c r="A441" s="7">
        <f t="shared" si="43"/>
        <v>436</v>
      </c>
      <c r="B441" s="7" t="s">
        <v>27</v>
      </c>
      <c r="C441" s="7" t="s">
        <v>80</v>
      </c>
      <c r="D441" s="13" t="s">
        <v>992</v>
      </c>
      <c r="E441" s="8" t="s">
        <v>993</v>
      </c>
      <c r="F441" s="28">
        <v>28806330.280000001</v>
      </c>
      <c r="H441" s="10">
        <f t="shared" ref="H441:H451" si="53">F441+G441</f>
        <v>28806330.280000001</v>
      </c>
      <c r="I441" s="10">
        <v>0</v>
      </c>
      <c r="J441" s="10">
        <v>0</v>
      </c>
      <c r="K441" s="10"/>
      <c r="L441" s="433">
        <f t="shared" si="52"/>
        <v>28806330.280000001</v>
      </c>
      <c r="N441" s="7"/>
      <c r="P441" s="11"/>
    </row>
    <row r="442" spans="1:16" outlineLevel="2">
      <c r="A442" s="7">
        <f t="shared" si="43"/>
        <v>437</v>
      </c>
      <c r="B442" s="7" t="s">
        <v>27</v>
      </c>
      <c r="C442" s="7" t="s">
        <v>80</v>
      </c>
      <c r="D442" s="13" t="s">
        <v>994</v>
      </c>
      <c r="E442" s="8" t="s">
        <v>995</v>
      </c>
      <c r="F442" s="28">
        <v>157876.32</v>
      </c>
      <c r="H442" s="10">
        <f t="shared" si="53"/>
        <v>157876.32</v>
      </c>
      <c r="I442" s="10">
        <v>0</v>
      </c>
      <c r="J442" s="10">
        <v>0</v>
      </c>
      <c r="K442" s="10"/>
      <c r="L442" s="433">
        <f t="shared" si="52"/>
        <v>157876.32</v>
      </c>
      <c r="N442" s="7"/>
      <c r="P442" s="11"/>
    </row>
    <row r="443" spans="1:16" outlineLevel="2">
      <c r="A443" s="7">
        <f t="shared" si="43"/>
        <v>438</v>
      </c>
      <c r="B443" s="7" t="s">
        <v>27</v>
      </c>
      <c r="C443" s="7" t="s">
        <v>80</v>
      </c>
      <c r="D443" s="13" t="s">
        <v>996</v>
      </c>
      <c r="E443" s="8" t="s">
        <v>997</v>
      </c>
      <c r="F443" s="28">
        <v>12744944.75</v>
      </c>
      <c r="H443" s="10">
        <f t="shared" si="53"/>
        <v>12744944.75</v>
      </c>
      <c r="I443" s="10">
        <v>0</v>
      </c>
      <c r="J443" s="10">
        <v>0</v>
      </c>
      <c r="K443" s="10"/>
      <c r="L443" s="433">
        <f t="shared" si="52"/>
        <v>12744944.75</v>
      </c>
      <c r="N443" s="7"/>
      <c r="P443" s="11"/>
    </row>
    <row r="444" spans="1:16" outlineLevel="2">
      <c r="A444" s="7">
        <f t="shared" si="43"/>
        <v>439</v>
      </c>
      <c r="B444" s="7" t="s">
        <v>27</v>
      </c>
      <c r="C444" s="7" t="s">
        <v>80</v>
      </c>
      <c r="D444" s="13" t="s">
        <v>998</v>
      </c>
      <c r="E444" s="8" t="s">
        <v>999</v>
      </c>
      <c r="F444" s="28">
        <v>8681331.6699999999</v>
      </c>
      <c r="H444" s="10">
        <f t="shared" si="53"/>
        <v>8681331.6699999999</v>
      </c>
      <c r="I444" s="10">
        <v>0</v>
      </c>
      <c r="J444" s="10">
        <v>0</v>
      </c>
      <c r="K444" s="10"/>
      <c r="L444" s="433">
        <f t="shared" si="52"/>
        <v>8681331.6699999999</v>
      </c>
      <c r="N444" s="7"/>
      <c r="P444" s="11"/>
    </row>
    <row r="445" spans="1:16" outlineLevel="2">
      <c r="A445" s="7">
        <f t="shared" si="43"/>
        <v>440</v>
      </c>
      <c r="B445" s="7" t="s">
        <v>27</v>
      </c>
      <c r="C445" s="7" t="s">
        <v>80</v>
      </c>
      <c r="D445" s="13" t="s">
        <v>1000</v>
      </c>
      <c r="E445" s="8" t="s">
        <v>1001</v>
      </c>
      <c r="F445" s="28">
        <v>5561904.6399999997</v>
      </c>
      <c r="H445" s="10">
        <f t="shared" si="53"/>
        <v>5561904.6399999997</v>
      </c>
      <c r="I445" s="10">
        <v>0</v>
      </c>
      <c r="J445" s="10">
        <v>0</v>
      </c>
      <c r="K445" s="10"/>
      <c r="L445" s="433">
        <f t="shared" si="52"/>
        <v>5561904.6399999997</v>
      </c>
      <c r="N445" s="7"/>
      <c r="P445" s="11"/>
    </row>
    <row r="446" spans="1:16" outlineLevel="2">
      <c r="A446" s="7">
        <f t="shared" si="43"/>
        <v>441</v>
      </c>
      <c r="B446" s="7" t="s">
        <v>27</v>
      </c>
      <c r="C446" s="7" t="s">
        <v>80</v>
      </c>
      <c r="D446" s="13" t="s">
        <v>1002</v>
      </c>
      <c r="E446" s="8" t="s">
        <v>1003</v>
      </c>
      <c r="F446" s="28">
        <v>619323.74</v>
      </c>
      <c r="H446" s="10">
        <f t="shared" si="53"/>
        <v>619323.74</v>
      </c>
      <c r="I446" s="10">
        <v>0</v>
      </c>
      <c r="J446" s="10">
        <v>0</v>
      </c>
      <c r="L446" s="433">
        <f t="shared" si="52"/>
        <v>619323.74</v>
      </c>
      <c r="M446" s="8"/>
      <c r="N446" s="7"/>
      <c r="P446" s="11"/>
    </row>
    <row r="447" spans="1:16" outlineLevel="2">
      <c r="A447" s="7">
        <f t="shared" si="43"/>
        <v>442</v>
      </c>
      <c r="B447" s="7" t="s">
        <v>27</v>
      </c>
      <c r="C447" s="7" t="s">
        <v>80</v>
      </c>
      <c r="D447" s="13" t="s">
        <v>1004</v>
      </c>
      <c r="E447" s="8" t="s">
        <v>1005</v>
      </c>
      <c r="F447" s="28">
        <v>3750704.04</v>
      </c>
      <c r="H447" s="10">
        <f t="shared" si="53"/>
        <v>3750704.04</v>
      </c>
      <c r="I447" s="10">
        <v>0</v>
      </c>
      <c r="J447" s="10">
        <v>0</v>
      </c>
      <c r="K447" s="10"/>
      <c r="L447" s="433">
        <f t="shared" si="52"/>
        <v>3750704.04</v>
      </c>
      <c r="N447" s="7"/>
      <c r="P447" s="11"/>
    </row>
    <row r="448" spans="1:16" outlineLevel="2">
      <c r="A448" s="7">
        <f t="shared" si="43"/>
        <v>443</v>
      </c>
      <c r="B448" s="7" t="s">
        <v>27</v>
      </c>
      <c r="C448" s="7" t="s">
        <v>80</v>
      </c>
      <c r="D448" s="13" t="s">
        <v>1006</v>
      </c>
      <c r="E448" s="8" t="s">
        <v>1007</v>
      </c>
      <c r="F448" s="28">
        <v>576089.67000000004</v>
      </c>
      <c r="H448" s="10">
        <f t="shared" si="53"/>
        <v>576089.67000000004</v>
      </c>
      <c r="I448" s="10">
        <v>-576089.67000000004</v>
      </c>
      <c r="J448" s="10">
        <v>0</v>
      </c>
      <c r="K448" s="10"/>
      <c r="L448" s="433">
        <f t="shared" si="52"/>
        <v>0</v>
      </c>
      <c r="N448" s="7"/>
      <c r="P448" s="11"/>
    </row>
    <row r="449" spans="1:19" outlineLevel="2">
      <c r="A449" s="7">
        <f t="shared" si="43"/>
        <v>444</v>
      </c>
      <c r="B449" s="7" t="s">
        <v>27</v>
      </c>
      <c r="C449" s="7" t="s">
        <v>80</v>
      </c>
      <c r="D449" s="13" t="s">
        <v>1008</v>
      </c>
      <c r="E449" s="8" t="s">
        <v>1009</v>
      </c>
      <c r="F449" s="28">
        <v>1084857.5</v>
      </c>
      <c r="H449" s="10">
        <f t="shared" si="53"/>
        <v>1084857.5</v>
      </c>
      <c r="I449" s="10">
        <v>0</v>
      </c>
      <c r="J449" s="10">
        <v>0</v>
      </c>
      <c r="K449" s="10"/>
      <c r="L449" s="433">
        <f t="shared" si="52"/>
        <v>1084857.5</v>
      </c>
      <c r="N449" s="7"/>
    </row>
    <row r="450" spans="1:19" ht="13.5" customHeight="1" outlineLevel="2">
      <c r="A450" s="7">
        <f t="shared" si="43"/>
        <v>445</v>
      </c>
      <c r="B450" s="7" t="s">
        <v>27</v>
      </c>
      <c r="C450" s="7" t="s">
        <v>80</v>
      </c>
      <c r="D450" s="13" t="s">
        <v>1010</v>
      </c>
      <c r="E450" s="8" t="s">
        <v>1011</v>
      </c>
      <c r="F450" s="28">
        <v>5110115.21</v>
      </c>
      <c r="G450" s="28">
        <v>5907129</v>
      </c>
      <c r="H450" s="10">
        <f t="shared" si="53"/>
        <v>11017244.210000001</v>
      </c>
      <c r="I450" s="10">
        <v>0</v>
      </c>
      <c r="J450" s="10">
        <v>0</v>
      </c>
      <c r="K450" s="10"/>
      <c r="L450" s="433">
        <f t="shared" si="52"/>
        <v>11017244.210000001</v>
      </c>
      <c r="N450" s="7"/>
      <c r="P450" s="11"/>
    </row>
    <row r="451" spans="1:19" outlineLevel="2">
      <c r="A451" s="7">
        <f t="shared" si="43"/>
        <v>446</v>
      </c>
      <c r="B451" s="7" t="s">
        <v>27</v>
      </c>
      <c r="C451" s="7" t="s">
        <v>80</v>
      </c>
      <c r="D451" s="13" t="s">
        <v>1012</v>
      </c>
      <c r="E451" s="8" t="s">
        <v>1013</v>
      </c>
      <c r="F451" s="28">
        <v>4195752.57</v>
      </c>
      <c r="H451" s="10">
        <f t="shared" si="53"/>
        <v>4195752.57</v>
      </c>
      <c r="I451" s="10">
        <v>0</v>
      </c>
      <c r="J451" s="10">
        <v>0</v>
      </c>
      <c r="K451" s="10"/>
      <c r="L451" s="433">
        <f t="shared" si="52"/>
        <v>4195752.57</v>
      </c>
      <c r="N451" s="7"/>
      <c r="P451" s="11"/>
    </row>
    <row r="452" spans="1:19" s="4" customFormat="1" ht="13.5" outlineLevel="1" thickBot="1">
      <c r="A452" s="7">
        <f t="shared" si="43"/>
        <v>447</v>
      </c>
      <c r="B452" s="3" t="s">
        <v>27</v>
      </c>
      <c r="C452" s="14" t="s">
        <v>326</v>
      </c>
      <c r="D452" s="15"/>
      <c r="E452" s="16" t="s">
        <v>327</v>
      </c>
      <c r="F452" s="26">
        <f t="shared" ref="F452:L452" si="54">SUM(F440:F451)</f>
        <v>78025119.930000007</v>
      </c>
      <c r="G452" s="26">
        <f t="shared" si="54"/>
        <v>5907129</v>
      </c>
      <c r="H452" s="26">
        <f>SUM(H440:H451)</f>
        <v>83932248.930000007</v>
      </c>
      <c r="I452" s="26">
        <f t="shared" si="54"/>
        <v>-576089.67000000004</v>
      </c>
      <c r="J452" s="138">
        <f t="shared" si="54"/>
        <v>0</v>
      </c>
      <c r="K452" s="138">
        <f t="shared" si="54"/>
        <v>0</v>
      </c>
      <c r="L452" s="26">
        <f t="shared" si="54"/>
        <v>83356159.25999999</v>
      </c>
      <c r="M452" s="17"/>
      <c r="N452" s="3"/>
      <c r="O452" s="3"/>
      <c r="P452" s="5"/>
    </row>
    <row r="453" spans="1:19" ht="13.5" outlineLevel="2" thickTop="1">
      <c r="A453" s="7">
        <f t="shared" si="43"/>
        <v>448</v>
      </c>
      <c r="B453" s="7" t="s">
        <v>27</v>
      </c>
      <c r="C453" s="7" t="s">
        <v>82</v>
      </c>
      <c r="D453" s="13" t="s">
        <v>1014</v>
      </c>
      <c r="E453" s="8" t="s">
        <v>1015</v>
      </c>
      <c r="F453" s="28">
        <v>35004.78</v>
      </c>
      <c r="H453" s="10">
        <f>F453+G453</f>
        <v>35004.78</v>
      </c>
      <c r="I453" s="9">
        <v>-35004.78</v>
      </c>
      <c r="J453" s="9">
        <v>0</v>
      </c>
      <c r="L453" s="433">
        <f t="shared" ref="L453:L471" si="55">SUM(H453:K453)</f>
        <v>0</v>
      </c>
      <c r="N453" s="7"/>
    </row>
    <row r="454" spans="1:19" outlineLevel="2">
      <c r="A454" s="7">
        <f t="shared" si="43"/>
        <v>449</v>
      </c>
      <c r="B454" s="7" t="s">
        <v>27</v>
      </c>
      <c r="C454" s="7" t="s">
        <v>82</v>
      </c>
      <c r="D454" s="13" t="s">
        <v>1016</v>
      </c>
      <c r="E454" s="8" t="s">
        <v>1017</v>
      </c>
      <c r="F454" s="183">
        <v>3077347.65</v>
      </c>
      <c r="G454" s="183"/>
      <c r="H454" s="10">
        <f t="shared" ref="H454:H471" si="56">F454+G454</f>
        <v>3077347.65</v>
      </c>
      <c r="I454" s="9">
        <v>-630455</v>
      </c>
      <c r="J454" s="9">
        <v>0</v>
      </c>
      <c r="L454" s="433">
        <f t="shared" si="55"/>
        <v>2446892.65</v>
      </c>
      <c r="M454" s="8"/>
      <c r="N454" s="7"/>
      <c r="P454" s="11"/>
    </row>
    <row r="455" spans="1:19" outlineLevel="2">
      <c r="A455" s="7">
        <f t="shared" si="43"/>
        <v>450</v>
      </c>
      <c r="B455" s="7" t="s">
        <v>27</v>
      </c>
      <c r="C455" s="7" t="s">
        <v>82</v>
      </c>
      <c r="D455" s="13" t="s">
        <v>1018</v>
      </c>
      <c r="E455" s="8" t="s">
        <v>1019</v>
      </c>
      <c r="F455" s="28">
        <v>193365.72</v>
      </c>
      <c r="H455" s="10">
        <f t="shared" si="56"/>
        <v>193365.72</v>
      </c>
      <c r="I455" s="9">
        <v>0</v>
      </c>
      <c r="J455" s="9">
        <v>0</v>
      </c>
      <c r="L455" s="433">
        <f t="shared" si="55"/>
        <v>193365.72</v>
      </c>
      <c r="N455" s="7"/>
      <c r="P455" s="11"/>
    </row>
    <row r="456" spans="1:19" outlineLevel="2">
      <c r="A456" s="7">
        <f t="shared" si="43"/>
        <v>451</v>
      </c>
      <c r="B456" s="7" t="s">
        <v>27</v>
      </c>
      <c r="C456" s="7" t="s">
        <v>82</v>
      </c>
      <c r="D456" s="13" t="s">
        <v>1020</v>
      </c>
      <c r="E456" s="8" t="s">
        <v>1021</v>
      </c>
      <c r="F456" s="183">
        <f>5303858.2+58916.37</f>
        <v>5362774.57</v>
      </c>
      <c r="G456" s="183"/>
      <c r="H456" s="10">
        <f t="shared" si="56"/>
        <v>5362774.57</v>
      </c>
      <c r="I456" s="9">
        <v>-151625.18</v>
      </c>
      <c r="J456" s="9">
        <v>0</v>
      </c>
      <c r="L456" s="433">
        <f t="shared" si="55"/>
        <v>5211149.3900000006</v>
      </c>
      <c r="M456" s="8"/>
      <c r="N456" s="7"/>
      <c r="P456" s="11"/>
    </row>
    <row r="457" spans="1:19" outlineLevel="2">
      <c r="A457" s="7">
        <f t="shared" ref="A457:A520" si="57">A456+1</f>
        <v>452</v>
      </c>
      <c r="B457" s="7" t="s">
        <v>27</v>
      </c>
      <c r="C457" s="7" t="s">
        <v>82</v>
      </c>
      <c r="D457" s="13" t="s">
        <v>1022</v>
      </c>
      <c r="E457" s="8" t="s">
        <v>1023</v>
      </c>
      <c r="F457" s="183">
        <v>13357070.869999999</v>
      </c>
      <c r="G457" s="183"/>
      <c r="H457" s="10">
        <f t="shared" si="56"/>
        <v>13357070.869999999</v>
      </c>
      <c r="I457" s="9">
        <v>0</v>
      </c>
      <c r="J457" s="9">
        <v>0</v>
      </c>
      <c r="L457" s="433">
        <f t="shared" si="55"/>
        <v>13357070.869999999</v>
      </c>
      <c r="N457" s="7"/>
      <c r="P457" s="11"/>
    </row>
    <row r="458" spans="1:19" outlineLevel="2">
      <c r="A458" s="7">
        <f t="shared" si="57"/>
        <v>453</v>
      </c>
      <c r="B458" s="7" t="s">
        <v>27</v>
      </c>
      <c r="C458" s="7" t="s">
        <v>82</v>
      </c>
      <c r="D458" s="13" t="s">
        <v>1024</v>
      </c>
      <c r="E458" s="8" t="s">
        <v>1025</v>
      </c>
      <c r="F458" s="183">
        <v>4826391.43</v>
      </c>
      <c r="G458" s="183"/>
      <c r="H458" s="10">
        <f t="shared" si="56"/>
        <v>4826391.43</v>
      </c>
      <c r="I458" s="9">
        <v>-346142</v>
      </c>
      <c r="J458" s="9">
        <v>0</v>
      </c>
      <c r="L458" s="433">
        <f t="shared" si="55"/>
        <v>4480249.43</v>
      </c>
      <c r="M458" s="8"/>
      <c r="N458" s="7"/>
      <c r="P458" s="11"/>
      <c r="S458" s="19"/>
    </row>
    <row r="459" spans="1:19" outlineLevel="2">
      <c r="A459" s="7">
        <f t="shared" si="57"/>
        <v>454</v>
      </c>
      <c r="B459" s="7" t="s">
        <v>27</v>
      </c>
      <c r="C459" s="7" t="s">
        <v>82</v>
      </c>
      <c r="D459" s="13" t="s">
        <v>1026</v>
      </c>
      <c r="E459" s="8" t="s">
        <v>1027</v>
      </c>
      <c r="F459" s="183">
        <v>8470403.9499999993</v>
      </c>
      <c r="G459" s="183"/>
      <c r="H459" s="10">
        <f t="shared" si="56"/>
        <v>8470403.9499999993</v>
      </c>
      <c r="I459" s="9">
        <v>0</v>
      </c>
      <c r="J459" s="9">
        <v>0</v>
      </c>
      <c r="L459" s="433">
        <f t="shared" si="55"/>
        <v>8470403.9499999993</v>
      </c>
      <c r="N459" s="7"/>
      <c r="P459" s="11"/>
    </row>
    <row r="460" spans="1:19" outlineLevel="2">
      <c r="A460" s="7">
        <f t="shared" si="57"/>
        <v>455</v>
      </c>
      <c r="B460" s="7" t="s">
        <v>27</v>
      </c>
      <c r="C460" s="7" t="s">
        <v>82</v>
      </c>
      <c r="D460" s="13" t="s">
        <v>1028</v>
      </c>
      <c r="E460" s="8" t="s">
        <v>1029</v>
      </c>
      <c r="F460" s="183">
        <v>120922.23</v>
      </c>
      <c r="G460" s="183"/>
      <c r="H460" s="10">
        <f t="shared" si="56"/>
        <v>120922.23</v>
      </c>
      <c r="I460" s="9">
        <v>0</v>
      </c>
      <c r="J460" s="9">
        <v>0</v>
      </c>
      <c r="L460" s="433">
        <f t="shared" si="55"/>
        <v>120922.23</v>
      </c>
      <c r="M460" s="8"/>
      <c r="N460" s="7"/>
      <c r="P460" s="11"/>
    </row>
    <row r="461" spans="1:19" outlineLevel="2">
      <c r="A461" s="7">
        <f t="shared" si="57"/>
        <v>456</v>
      </c>
      <c r="B461" s="7" t="s">
        <v>27</v>
      </c>
      <c r="C461" s="7" t="s">
        <v>82</v>
      </c>
      <c r="D461" s="13" t="s">
        <v>1030</v>
      </c>
      <c r="E461" s="8" t="s">
        <v>1031</v>
      </c>
      <c r="F461" s="183">
        <v>12264623.49</v>
      </c>
      <c r="G461" s="183"/>
      <c r="H461" s="10">
        <f t="shared" si="56"/>
        <v>12264623.49</v>
      </c>
      <c r="I461" s="9">
        <v>-62475.4</v>
      </c>
      <c r="J461" s="9">
        <v>0</v>
      </c>
      <c r="L461" s="433">
        <f t="shared" si="55"/>
        <v>12202148.09</v>
      </c>
      <c r="M461" s="8"/>
      <c r="N461" s="7"/>
      <c r="P461" s="11"/>
    </row>
    <row r="462" spans="1:19" outlineLevel="2">
      <c r="A462" s="7">
        <f t="shared" si="57"/>
        <v>457</v>
      </c>
      <c r="B462" s="7" t="s">
        <v>27</v>
      </c>
      <c r="C462" s="7" t="s">
        <v>82</v>
      </c>
      <c r="D462" s="13" t="s">
        <v>1032</v>
      </c>
      <c r="E462" s="8" t="s">
        <v>1033</v>
      </c>
      <c r="F462" s="183">
        <v>364666.79</v>
      </c>
      <c r="G462" s="183"/>
      <c r="H462" s="10">
        <f t="shared" si="56"/>
        <v>364666.79</v>
      </c>
      <c r="I462" s="9">
        <v>0</v>
      </c>
      <c r="J462" s="9">
        <v>0</v>
      </c>
      <c r="L462" s="433">
        <f t="shared" si="55"/>
        <v>364666.79</v>
      </c>
      <c r="M462" s="8"/>
      <c r="N462" s="7"/>
      <c r="P462" s="11"/>
    </row>
    <row r="463" spans="1:19" outlineLevel="2">
      <c r="A463" s="7">
        <f t="shared" si="57"/>
        <v>458</v>
      </c>
      <c r="B463" s="7" t="s">
        <v>27</v>
      </c>
      <c r="C463" s="7" t="s">
        <v>82</v>
      </c>
      <c r="D463" s="13" t="s">
        <v>1034</v>
      </c>
      <c r="E463" s="8" t="s">
        <v>1035</v>
      </c>
      <c r="F463" s="183">
        <v>1895701.8</v>
      </c>
      <c r="G463" s="183"/>
      <c r="H463" s="10">
        <f t="shared" si="56"/>
        <v>1895701.8</v>
      </c>
      <c r="I463" s="9">
        <v>0</v>
      </c>
      <c r="J463" s="9">
        <v>0</v>
      </c>
      <c r="L463" s="433">
        <f t="shared" si="55"/>
        <v>1895701.8</v>
      </c>
      <c r="N463" s="7"/>
      <c r="P463" s="11"/>
    </row>
    <row r="464" spans="1:19" outlineLevel="2">
      <c r="A464" s="7">
        <f t="shared" si="57"/>
        <v>459</v>
      </c>
      <c r="B464" s="7" t="s">
        <v>27</v>
      </c>
      <c r="C464" s="7" t="s">
        <v>82</v>
      </c>
      <c r="D464" s="13" t="s">
        <v>1036</v>
      </c>
      <c r="E464" s="8" t="s">
        <v>1037</v>
      </c>
      <c r="F464" s="183">
        <v>250628.78</v>
      </c>
      <c r="G464" s="183"/>
      <c r="H464" s="10">
        <f t="shared" si="56"/>
        <v>250628.78</v>
      </c>
      <c r="I464" s="9">
        <v>-250628.78</v>
      </c>
      <c r="J464" s="9">
        <v>0</v>
      </c>
      <c r="L464" s="433">
        <f t="shared" si="55"/>
        <v>0</v>
      </c>
      <c r="M464" s="8"/>
      <c r="N464" s="7"/>
      <c r="P464" s="11"/>
    </row>
    <row r="465" spans="1:16" outlineLevel="2">
      <c r="A465" s="7">
        <f t="shared" si="57"/>
        <v>460</v>
      </c>
      <c r="B465" s="7" t="s">
        <v>27</v>
      </c>
      <c r="C465" s="7" t="s">
        <v>82</v>
      </c>
      <c r="D465" s="13" t="s">
        <v>1038</v>
      </c>
      <c r="E465" s="8" t="s">
        <v>1039</v>
      </c>
      <c r="F465" s="183">
        <v>3439326.98</v>
      </c>
      <c r="G465" s="183"/>
      <c r="H465" s="10">
        <f t="shared" si="56"/>
        <v>3439326.98</v>
      </c>
      <c r="I465" s="9">
        <v>-1380449</v>
      </c>
      <c r="J465" s="9">
        <v>0</v>
      </c>
      <c r="L465" s="433">
        <f t="shared" si="55"/>
        <v>2058877.98</v>
      </c>
      <c r="M465" s="8"/>
      <c r="N465" s="7"/>
      <c r="P465" s="11"/>
    </row>
    <row r="466" spans="1:16" outlineLevel="2">
      <c r="A466" s="7">
        <f t="shared" si="57"/>
        <v>461</v>
      </c>
      <c r="B466" s="7" t="s">
        <v>27</v>
      </c>
      <c r="C466" s="7" t="s">
        <v>82</v>
      </c>
      <c r="D466" s="13" t="s">
        <v>1040</v>
      </c>
      <c r="E466" s="8" t="s">
        <v>1041</v>
      </c>
      <c r="F466" s="183">
        <v>4043804.21</v>
      </c>
      <c r="G466" s="183"/>
      <c r="H466" s="10">
        <f>F466+G466</f>
        <v>4043804.21</v>
      </c>
      <c r="I466" s="9">
        <v>-4043804.41</v>
      </c>
      <c r="J466" s="9">
        <v>0</v>
      </c>
      <c r="L466" s="433">
        <f t="shared" si="55"/>
        <v>-0.20000000018626451</v>
      </c>
      <c r="M466" s="8"/>
      <c r="N466" s="7"/>
      <c r="P466" s="11"/>
    </row>
    <row r="467" spans="1:16" outlineLevel="2">
      <c r="A467" s="7">
        <f t="shared" si="57"/>
        <v>462</v>
      </c>
      <c r="B467" s="7" t="s">
        <v>27</v>
      </c>
      <c r="C467" s="7" t="s">
        <v>82</v>
      </c>
      <c r="D467" s="13" t="s">
        <v>1042</v>
      </c>
      <c r="E467" s="8" t="s">
        <v>1043</v>
      </c>
      <c r="F467" s="183">
        <v>5673892.7999999998</v>
      </c>
      <c r="G467" s="183"/>
      <c r="H467" s="10">
        <f t="shared" si="56"/>
        <v>5673892.7999999998</v>
      </c>
      <c r="I467" s="9">
        <v>-169696</v>
      </c>
      <c r="J467" s="9">
        <v>0</v>
      </c>
      <c r="L467" s="433">
        <f t="shared" si="55"/>
        <v>5504196.7999999998</v>
      </c>
      <c r="M467" s="8"/>
      <c r="N467" s="7"/>
      <c r="P467" s="11"/>
    </row>
    <row r="468" spans="1:16" outlineLevel="2">
      <c r="A468" s="7">
        <f t="shared" si="57"/>
        <v>463</v>
      </c>
      <c r="B468" s="7" t="s">
        <v>27</v>
      </c>
      <c r="C468" s="7" t="s">
        <v>82</v>
      </c>
      <c r="D468" s="13" t="s">
        <v>1044</v>
      </c>
      <c r="E468" s="8" t="s">
        <v>1045</v>
      </c>
      <c r="F468" s="183">
        <v>166305.57999999999</v>
      </c>
      <c r="G468" s="183"/>
      <c r="H468" s="10">
        <f t="shared" si="56"/>
        <v>166305.57999999999</v>
      </c>
      <c r="I468" s="9">
        <v>0</v>
      </c>
      <c r="J468" s="9">
        <v>0</v>
      </c>
      <c r="L468" s="433">
        <f t="shared" si="55"/>
        <v>166305.57999999999</v>
      </c>
      <c r="N468" s="7"/>
      <c r="P468" s="11"/>
    </row>
    <row r="469" spans="1:16" outlineLevel="2">
      <c r="A469" s="7">
        <f t="shared" si="57"/>
        <v>464</v>
      </c>
      <c r="B469" s="7" t="s">
        <v>27</v>
      </c>
      <c r="C469" s="7" t="s">
        <v>82</v>
      </c>
      <c r="D469" s="13" t="s">
        <v>1046</v>
      </c>
      <c r="E469" s="8" t="s">
        <v>1047</v>
      </c>
      <c r="F469" s="183">
        <v>50120.56</v>
      </c>
      <c r="G469" s="183"/>
      <c r="H469" s="10">
        <f t="shared" si="56"/>
        <v>50120.56</v>
      </c>
      <c r="I469" s="9">
        <v>0</v>
      </c>
      <c r="J469" s="9">
        <v>0</v>
      </c>
      <c r="L469" s="433">
        <f t="shared" si="55"/>
        <v>50120.56</v>
      </c>
      <c r="N469" s="7"/>
      <c r="P469" s="11"/>
    </row>
    <row r="470" spans="1:16" outlineLevel="2">
      <c r="A470" s="7">
        <f t="shared" si="57"/>
        <v>465</v>
      </c>
      <c r="B470" s="7" t="s">
        <v>27</v>
      </c>
      <c r="C470" s="7" t="s">
        <v>82</v>
      </c>
      <c r="D470" s="13" t="s">
        <v>1048</v>
      </c>
      <c r="E470" s="8" t="s">
        <v>1049</v>
      </c>
      <c r="F470" s="183">
        <v>40859.629999999997</v>
      </c>
      <c r="G470" s="183"/>
      <c r="H470" s="10">
        <f t="shared" si="56"/>
        <v>40859.629999999997</v>
      </c>
      <c r="I470" s="9">
        <v>0</v>
      </c>
      <c r="J470" s="9">
        <v>0</v>
      </c>
      <c r="L470" s="433">
        <f t="shared" si="55"/>
        <v>40859.629999999997</v>
      </c>
      <c r="N470" s="7"/>
      <c r="P470" s="11"/>
    </row>
    <row r="471" spans="1:16" outlineLevel="2">
      <c r="A471" s="7">
        <f t="shared" si="57"/>
        <v>466</v>
      </c>
      <c r="B471" s="7" t="s">
        <v>27</v>
      </c>
      <c r="C471" s="7" t="s">
        <v>82</v>
      </c>
      <c r="D471" s="13" t="s">
        <v>1050</v>
      </c>
      <c r="E471" s="8" t="s">
        <v>1051</v>
      </c>
      <c r="F471" s="183">
        <v>109910.18</v>
      </c>
      <c r="G471" s="183"/>
      <c r="H471" s="10">
        <f t="shared" si="56"/>
        <v>109910.18</v>
      </c>
      <c r="I471" s="9">
        <v>-54082.99</v>
      </c>
      <c r="J471" s="9">
        <v>0</v>
      </c>
      <c r="L471" s="433">
        <f t="shared" si="55"/>
        <v>55827.189999999995</v>
      </c>
      <c r="M471" s="8"/>
      <c r="N471" s="7"/>
      <c r="P471" s="11"/>
    </row>
    <row r="472" spans="1:16" s="4" customFormat="1" ht="13.5" outlineLevel="1" thickBot="1">
      <c r="A472" s="7">
        <f t="shared" si="57"/>
        <v>467</v>
      </c>
      <c r="B472" s="3" t="s">
        <v>27</v>
      </c>
      <c r="C472" s="14" t="s">
        <v>580</v>
      </c>
      <c r="D472" s="15"/>
      <c r="E472" s="16" t="s">
        <v>581</v>
      </c>
      <c r="F472" s="186">
        <f t="shared" ref="F472:L472" si="58">SUM(F453:F471)</f>
        <v>63743121.999999993</v>
      </c>
      <c r="G472" s="186">
        <f t="shared" si="58"/>
        <v>0</v>
      </c>
      <c r="H472" s="186">
        <f>SUM(H453:H471)</f>
        <v>63743121.999999993</v>
      </c>
      <c r="I472" s="186">
        <f>SUM(I453:I471)</f>
        <v>-7124363.54</v>
      </c>
      <c r="J472" s="139">
        <f t="shared" si="58"/>
        <v>0</v>
      </c>
      <c r="K472" s="139">
        <f t="shared" si="58"/>
        <v>0</v>
      </c>
      <c r="L472" s="186">
        <f t="shared" si="58"/>
        <v>56618758.459999986</v>
      </c>
      <c r="M472" s="17"/>
      <c r="N472" s="3"/>
      <c r="O472" s="3"/>
      <c r="P472" s="5"/>
    </row>
    <row r="473" spans="1:16" ht="13.5" outlineLevel="2" thickTop="1">
      <c r="A473" s="7">
        <f t="shared" si="57"/>
        <v>468</v>
      </c>
      <c r="B473" s="7" t="s">
        <v>595</v>
      </c>
      <c r="C473" s="7" t="s">
        <v>582</v>
      </c>
      <c r="D473" s="13" t="s">
        <v>596</v>
      </c>
      <c r="E473" s="8" t="s">
        <v>597</v>
      </c>
      <c r="F473" s="183">
        <f>8407258.68*0.5</f>
        <v>4203629.34</v>
      </c>
      <c r="G473" s="183"/>
      <c r="H473" s="10">
        <f>F473+G473</f>
        <v>4203629.34</v>
      </c>
      <c r="I473" s="9">
        <v>0</v>
      </c>
      <c r="J473" s="9">
        <v>0</v>
      </c>
      <c r="L473" s="433">
        <f>SUM(H473:K473)</f>
        <v>4203629.34</v>
      </c>
      <c r="N473" s="7"/>
      <c r="P473" s="11"/>
    </row>
    <row r="474" spans="1:16" outlineLevel="2">
      <c r="A474" s="7">
        <f t="shared" si="57"/>
        <v>469</v>
      </c>
      <c r="B474" s="7" t="s">
        <v>27</v>
      </c>
      <c r="C474" s="7" t="s">
        <v>582</v>
      </c>
      <c r="D474" s="13" t="s">
        <v>1052</v>
      </c>
      <c r="E474" s="8" t="s">
        <v>1053</v>
      </c>
      <c r="F474" s="183">
        <v>493999.14</v>
      </c>
      <c r="G474" s="183"/>
      <c r="H474" s="10">
        <f t="shared" ref="H474:H475" si="59">F474+G474</f>
        <v>493999.14</v>
      </c>
      <c r="I474" s="9">
        <v>0</v>
      </c>
      <c r="J474" s="9">
        <v>0</v>
      </c>
      <c r="L474" s="433">
        <f>SUM(H474:K474)</f>
        <v>493999.14</v>
      </c>
      <c r="N474" s="7"/>
      <c r="P474" s="11"/>
    </row>
    <row r="475" spans="1:16" outlineLevel="2">
      <c r="A475" s="7">
        <f t="shared" si="57"/>
        <v>470</v>
      </c>
      <c r="B475" s="7" t="s">
        <v>27</v>
      </c>
      <c r="C475" s="7" t="s">
        <v>582</v>
      </c>
      <c r="D475" s="13" t="s">
        <v>1054</v>
      </c>
      <c r="E475" s="8" t="s">
        <v>1055</v>
      </c>
      <c r="F475" s="183">
        <v>1328277.6599999999</v>
      </c>
      <c r="G475" s="183"/>
      <c r="H475" s="10">
        <f t="shared" si="59"/>
        <v>1328277.6599999999</v>
      </c>
      <c r="I475" s="9">
        <v>0</v>
      </c>
      <c r="J475" s="9">
        <v>0</v>
      </c>
      <c r="L475" s="433">
        <f>SUM(H475:K475)</f>
        <v>1328277.6599999999</v>
      </c>
      <c r="N475" s="7"/>
      <c r="P475" s="11"/>
    </row>
    <row r="476" spans="1:16" s="4" customFormat="1" ht="13.5" outlineLevel="1" thickBot="1">
      <c r="A476" s="7">
        <f t="shared" si="57"/>
        <v>471</v>
      </c>
      <c r="B476" s="3" t="s">
        <v>27</v>
      </c>
      <c r="C476" s="14" t="s">
        <v>620</v>
      </c>
      <c r="D476" s="15"/>
      <c r="E476" s="16" t="s">
        <v>621</v>
      </c>
      <c r="F476" s="26">
        <f>SUM(F473:F475)</f>
        <v>6025906.1399999997</v>
      </c>
      <c r="G476" s="26">
        <f>SUM(G473:G475)</f>
        <v>0</v>
      </c>
      <c r="H476" s="26">
        <f>SUM(H473:H475)</f>
        <v>6025906.1399999997</v>
      </c>
      <c r="I476" s="26">
        <f t="shared" ref="I476:L476" si="60">SUM(I473:I475)</f>
        <v>0</v>
      </c>
      <c r="J476" s="138">
        <f t="shared" si="60"/>
        <v>0</v>
      </c>
      <c r="K476" s="138">
        <f t="shared" si="60"/>
        <v>0</v>
      </c>
      <c r="L476" s="26">
        <f t="shared" si="60"/>
        <v>6025906.1399999997</v>
      </c>
      <c r="M476" s="17"/>
      <c r="N476" s="3"/>
      <c r="O476" s="3"/>
      <c r="P476" s="5"/>
    </row>
    <row r="477" spans="1:16" ht="13.5" outlineLevel="2" thickTop="1">
      <c r="A477" s="7">
        <f t="shared" si="57"/>
        <v>472</v>
      </c>
      <c r="B477" s="7" t="s">
        <v>27</v>
      </c>
      <c r="C477" s="7" t="s">
        <v>631</v>
      </c>
      <c r="D477" s="13" t="s">
        <v>1056</v>
      </c>
      <c r="E477" s="8" t="s">
        <v>1057</v>
      </c>
      <c r="F477" s="28">
        <v>814665.16</v>
      </c>
      <c r="H477" s="10">
        <f>F477+G477</f>
        <v>814665.16</v>
      </c>
      <c r="I477" s="9">
        <v>0</v>
      </c>
      <c r="J477" s="9">
        <v>0</v>
      </c>
      <c r="L477" s="433">
        <f>SUM(H477:K477)</f>
        <v>814665.16</v>
      </c>
      <c r="N477" s="7"/>
      <c r="P477" s="11"/>
    </row>
    <row r="478" spans="1:16" s="4" customFormat="1" ht="13.5" outlineLevel="1" thickBot="1">
      <c r="A478" s="7">
        <f t="shared" si="57"/>
        <v>473</v>
      </c>
      <c r="B478" s="3" t="s">
        <v>27</v>
      </c>
      <c r="C478" s="14" t="s">
        <v>1058</v>
      </c>
      <c r="D478" s="15"/>
      <c r="E478" s="16" t="s">
        <v>659</v>
      </c>
      <c r="F478" s="26">
        <f>SUM(F477)</f>
        <v>814665.16</v>
      </c>
      <c r="G478" s="26">
        <f>SUM(G477)</f>
        <v>0</v>
      </c>
      <c r="H478" s="26">
        <f>SUM(H477)</f>
        <v>814665.16</v>
      </c>
      <c r="I478" s="26">
        <f>SUM(I477)</f>
        <v>0</v>
      </c>
      <c r="J478" s="26">
        <f t="shared" ref="J478:K478" si="61">SUM(J477)</f>
        <v>0</v>
      </c>
      <c r="K478" s="26">
        <f t="shared" si="61"/>
        <v>0</v>
      </c>
      <c r="L478" s="26">
        <f>SUM(L477)</f>
        <v>814665.16</v>
      </c>
      <c r="M478" s="17"/>
      <c r="N478" s="3"/>
      <c r="O478" s="3"/>
      <c r="P478" s="5"/>
    </row>
    <row r="479" spans="1:16" ht="13.5" outlineLevel="2" thickTop="1">
      <c r="A479" s="7">
        <f t="shared" si="57"/>
        <v>474</v>
      </c>
      <c r="B479" s="7" t="s">
        <v>27</v>
      </c>
      <c r="C479" s="7" t="s">
        <v>671</v>
      </c>
      <c r="D479" s="13" t="s">
        <v>1059</v>
      </c>
      <c r="E479" s="8" t="s">
        <v>1060</v>
      </c>
      <c r="F479" s="28">
        <v>175877.16</v>
      </c>
      <c r="H479" s="10">
        <f t="shared" ref="H479:H505" si="62">F479+G479</f>
        <v>175877.16</v>
      </c>
      <c r="I479" s="9">
        <v>0</v>
      </c>
      <c r="J479" s="9">
        <f t="shared" ref="J479:J505" si="63">-(F479*$M$284)</f>
        <v>-56192.752619999999</v>
      </c>
      <c r="L479" s="433">
        <f t="shared" ref="L479:L505" si="64">SUM(H479:K479)</f>
        <v>119684.40738</v>
      </c>
      <c r="N479" s="7"/>
      <c r="P479" s="11"/>
    </row>
    <row r="480" spans="1:16" outlineLevel="2">
      <c r="A480" s="7">
        <f t="shared" si="57"/>
        <v>475</v>
      </c>
      <c r="B480" s="7" t="s">
        <v>27</v>
      </c>
      <c r="C480" s="7" t="s">
        <v>671</v>
      </c>
      <c r="D480" s="13" t="s">
        <v>1061</v>
      </c>
      <c r="E480" s="8" t="s">
        <v>1062</v>
      </c>
      <c r="F480" s="28">
        <v>149227.87</v>
      </c>
      <c r="H480" s="10">
        <f t="shared" si="62"/>
        <v>149227.87</v>
      </c>
      <c r="I480" s="9">
        <v>0</v>
      </c>
      <c r="J480" s="9">
        <f t="shared" si="63"/>
        <v>-47678.304465000001</v>
      </c>
      <c r="L480" s="433">
        <f t="shared" si="64"/>
        <v>101549.565535</v>
      </c>
      <c r="N480" s="7"/>
      <c r="P480" s="11"/>
    </row>
    <row r="481" spans="1:16" outlineLevel="2">
      <c r="A481" s="7">
        <f t="shared" si="57"/>
        <v>476</v>
      </c>
      <c r="B481" s="7" t="s">
        <v>27</v>
      </c>
      <c r="C481" s="7" t="s">
        <v>671</v>
      </c>
      <c r="D481" s="13" t="s">
        <v>1063</v>
      </c>
      <c r="E481" s="8" t="s">
        <v>1064</v>
      </c>
      <c r="F481" s="28">
        <v>284048.28000000003</v>
      </c>
      <c r="H481" s="10">
        <f t="shared" si="62"/>
        <v>284048.28000000003</v>
      </c>
      <c r="I481" s="9">
        <v>0</v>
      </c>
      <c r="J481" s="9">
        <f t="shared" si="63"/>
        <v>-90753.425460000013</v>
      </c>
      <c r="L481" s="433">
        <f t="shared" si="64"/>
        <v>193294.85454000003</v>
      </c>
      <c r="N481" s="7"/>
      <c r="P481" s="11"/>
    </row>
    <row r="482" spans="1:16" outlineLevel="2">
      <c r="A482" s="7">
        <f t="shared" si="57"/>
        <v>477</v>
      </c>
      <c r="B482" s="7" t="s">
        <v>27</v>
      </c>
      <c r="C482" s="7" t="s">
        <v>671</v>
      </c>
      <c r="D482" s="13" t="s">
        <v>1065</v>
      </c>
      <c r="E482" s="8" t="s">
        <v>1066</v>
      </c>
      <c r="F482" s="28">
        <v>118577.43</v>
      </c>
      <c r="H482" s="10">
        <f t="shared" si="62"/>
        <v>118577.43</v>
      </c>
      <c r="I482" s="9">
        <v>0</v>
      </c>
      <c r="J482" s="9">
        <f t="shared" si="63"/>
        <v>-37885.488884999999</v>
      </c>
      <c r="L482" s="433">
        <f t="shared" si="64"/>
        <v>80691.941114999994</v>
      </c>
      <c r="N482" s="7"/>
      <c r="P482" s="11"/>
    </row>
    <row r="483" spans="1:16" outlineLevel="2">
      <c r="A483" s="7">
        <f t="shared" si="57"/>
        <v>478</v>
      </c>
      <c r="B483" s="7" t="s">
        <v>27</v>
      </c>
      <c r="C483" s="7" t="s">
        <v>671</v>
      </c>
      <c r="D483" s="13" t="s">
        <v>1067</v>
      </c>
      <c r="E483" s="8" t="s">
        <v>1068</v>
      </c>
      <c r="F483" s="28">
        <v>809166.16</v>
      </c>
      <c r="H483" s="10">
        <f t="shared" si="62"/>
        <v>809166.16</v>
      </c>
      <c r="I483" s="9">
        <v>0</v>
      </c>
      <c r="J483" s="9">
        <f t="shared" si="63"/>
        <v>-258528.58812000003</v>
      </c>
      <c r="L483" s="433">
        <f t="shared" si="64"/>
        <v>550637.57187999994</v>
      </c>
      <c r="N483" s="7"/>
      <c r="P483" s="11"/>
    </row>
    <row r="484" spans="1:16" outlineLevel="2">
      <c r="A484" s="7">
        <f t="shared" si="57"/>
        <v>479</v>
      </c>
      <c r="B484" s="7" t="s">
        <v>27</v>
      </c>
      <c r="C484" s="7" t="s">
        <v>671</v>
      </c>
      <c r="D484" s="13" t="s">
        <v>1069</v>
      </c>
      <c r="E484" s="8" t="s">
        <v>1070</v>
      </c>
      <c r="F484" s="28">
        <v>1399.06</v>
      </c>
      <c r="H484" s="10">
        <f t="shared" si="62"/>
        <v>1399.06</v>
      </c>
      <c r="I484" s="9">
        <v>0</v>
      </c>
      <c r="J484" s="9">
        <f t="shared" si="63"/>
        <v>-446.99966999999998</v>
      </c>
      <c r="L484" s="433">
        <f t="shared" si="64"/>
        <v>952.06033000000002</v>
      </c>
      <c r="N484" s="7"/>
    </row>
    <row r="485" spans="1:16" outlineLevel="2">
      <c r="A485" s="7">
        <f t="shared" si="57"/>
        <v>480</v>
      </c>
      <c r="B485" s="7" t="s">
        <v>27</v>
      </c>
      <c r="C485" s="7" t="s">
        <v>671</v>
      </c>
      <c r="D485" s="13" t="s">
        <v>1071</v>
      </c>
      <c r="E485" s="8" t="s">
        <v>1072</v>
      </c>
      <c r="F485" s="28">
        <v>975067.01</v>
      </c>
      <c r="H485" s="10">
        <f t="shared" si="62"/>
        <v>975067.01</v>
      </c>
      <c r="I485" s="9">
        <v>0</v>
      </c>
      <c r="J485" s="9">
        <f t="shared" si="63"/>
        <v>-311533.90969499998</v>
      </c>
      <c r="L485" s="433">
        <f t="shared" si="64"/>
        <v>663533.10030500009</v>
      </c>
      <c r="N485" s="7"/>
      <c r="P485" s="11"/>
    </row>
    <row r="486" spans="1:16" outlineLevel="2">
      <c r="A486" s="7">
        <f t="shared" si="57"/>
        <v>481</v>
      </c>
      <c r="B486" s="7" t="s">
        <v>27</v>
      </c>
      <c r="C486" s="7" t="s">
        <v>671</v>
      </c>
      <c r="D486" s="13" t="s">
        <v>1073</v>
      </c>
      <c r="E486" s="8" t="s">
        <v>1074</v>
      </c>
      <c r="F486" s="28">
        <v>147652.66</v>
      </c>
      <c r="H486" s="10">
        <f t="shared" si="62"/>
        <v>147652.66</v>
      </c>
      <c r="I486" s="9">
        <v>0</v>
      </c>
      <c r="J486" s="9">
        <f t="shared" si="63"/>
        <v>-47175.024870000001</v>
      </c>
      <c r="L486" s="433">
        <f t="shared" si="64"/>
        <v>100477.63513000001</v>
      </c>
      <c r="N486" s="7"/>
      <c r="P486" s="11"/>
    </row>
    <row r="487" spans="1:16" outlineLevel="2">
      <c r="A487" s="7">
        <f t="shared" si="57"/>
        <v>482</v>
      </c>
      <c r="B487" s="7" t="s">
        <v>27</v>
      </c>
      <c r="C487" s="7" t="s">
        <v>671</v>
      </c>
      <c r="D487" s="13" t="s">
        <v>1075</v>
      </c>
      <c r="E487" s="8" t="s">
        <v>1076</v>
      </c>
      <c r="F487" s="28">
        <v>228192.25</v>
      </c>
      <c r="H487" s="10">
        <f t="shared" si="62"/>
        <v>228192.25</v>
      </c>
      <c r="I487" s="9">
        <v>0</v>
      </c>
      <c r="J487" s="9">
        <f t="shared" si="63"/>
        <v>-72907.423875000008</v>
      </c>
      <c r="L487" s="433">
        <f t="shared" si="64"/>
        <v>155284.82612499999</v>
      </c>
      <c r="N487" s="7"/>
      <c r="P487" s="11"/>
    </row>
    <row r="488" spans="1:16" outlineLevel="2">
      <c r="A488" s="7">
        <f t="shared" si="57"/>
        <v>483</v>
      </c>
      <c r="B488" s="7" t="s">
        <v>27</v>
      </c>
      <c r="C488" s="7" t="s">
        <v>671</v>
      </c>
      <c r="D488" s="13" t="s">
        <v>1077</v>
      </c>
      <c r="E488" s="8" t="s">
        <v>1078</v>
      </c>
      <c r="F488" s="28">
        <v>118978.23</v>
      </c>
      <c r="H488" s="10">
        <f t="shared" si="62"/>
        <v>118978.23</v>
      </c>
      <c r="I488" s="9">
        <v>0</v>
      </c>
      <c r="J488" s="9">
        <f t="shared" si="63"/>
        <v>-38013.544484999999</v>
      </c>
      <c r="L488" s="433">
        <f t="shared" si="64"/>
        <v>80964.68551499999</v>
      </c>
      <c r="N488" s="7"/>
      <c r="P488" s="11"/>
    </row>
    <row r="489" spans="1:16" outlineLevel="2">
      <c r="A489" s="7">
        <f t="shared" si="57"/>
        <v>484</v>
      </c>
      <c r="B489" s="7" t="s">
        <v>27</v>
      </c>
      <c r="C489" s="7" t="s">
        <v>671</v>
      </c>
      <c r="D489" s="13" t="s">
        <v>1079</v>
      </c>
      <c r="E489" s="8" t="s">
        <v>1080</v>
      </c>
      <c r="F489" s="28">
        <v>441926.2</v>
      </c>
      <c r="H489" s="10">
        <f t="shared" si="62"/>
        <v>441926.2</v>
      </c>
      <c r="I489" s="9">
        <v>0</v>
      </c>
      <c r="J489" s="9">
        <f t="shared" si="63"/>
        <v>-141195.4209</v>
      </c>
      <c r="L489" s="433">
        <f t="shared" si="64"/>
        <v>300730.77910000004</v>
      </c>
      <c r="N489" s="7"/>
      <c r="P489" s="11"/>
    </row>
    <row r="490" spans="1:16" outlineLevel="2">
      <c r="A490" s="7">
        <f t="shared" si="57"/>
        <v>485</v>
      </c>
      <c r="B490" s="7" t="s">
        <v>27</v>
      </c>
      <c r="C490" s="7" t="s">
        <v>671</v>
      </c>
      <c r="D490" s="13" t="s">
        <v>1081</v>
      </c>
      <c r="E490" s="8" t="s">
        <v>1082</v>
      </c>
      <c r="F490" s="28">
        <v>971803.07</v>
      </c>
      <c r="H490" s="10">
        <f t="shared" si="62"/>
        <v>971803.07</v>
      </c>
      <c r="I490" s="9">
        <v>0</v>
      </c>
      <c r="J490" s="9">
        <f t="shared" si="63"/>
        <v>-310491.08086499997</v>
      </c>
      <c r="L490" s="433">
        <f t="shared" si="64"/>
        <v>661311.98913499992</v>
      </c>
      <c r="N490" s="7"/>
      <c r="P490" s="11"/>
    </row>
    <row r="491" spans="1:16" outlineLevel="2">
      <c r="A491" s="7">
        <f t="shared" si="57"/>
        <v>486</v>
      </c>
      <c r="B491" s="7" t="s">
        <v>27</v>
      </c>
      <c r="C491" s="7" t="s">
        <v>671</v>
      </c>
      <c r="D491" s="13" t="s">
        <v>1083</v>
      </c>
      <c r="E491" s="8" t="s">
        <v>1084</v>
      </c>
      <c r="F491" s="28">
        <v>174925.28</v>
      </c>
      <c r="H491" s="10">
        <f t="shared" si="62"/>
        <v>174925.28</v>
      </c>
      <c r="I491" s="9">
        <v>0</v>
      </c>
      <c r="J491" s="9">
        <f t="shared" si="63"/>
        <v>-55888.626960000001</v>
      </c>
      <c r="L491" s="433">
        <f t="shared" si="64"/>
        <v>119036.65304</v>
      </c>
      <c r="N491" s="7"/>
      <c r="P491" s="11"/>
    </row>
    <row r="492" spans="1:16" outlineLevel="2">
      <c r="A492" s="7">
        <f t="shared" si="57"/>
        <v>487</v>
      </c>
      <c r="B492" s="7" t="s">
        <v>27</v>
      </c>
      <c r="C492" s="7" t="s">
        <v>671</v>
      </c>
      <c r="D492" s="13" t="s">
        <v>1085</v>
      </c>
      <c r="E492" s="8" t="s">
        <v>1086</v>
      </c>
      <c r="F492" s="28">
        <v>22896.21</v>
      </c>
      <c r="H492" s="10">
        <f t="shared" si="62"/>
        <v>22896.21</v>
      </c>
      <c r="I492" s="9">
        <v>0</v>
      </c>
      <c r="J492" s="9">
        <f t="shared" si="63"/>
        <v>-7315.3390950000003</v>
      </c>
      <c r="L492" s="433">
        <f t="shared" si="64"/>
        <v>15580.870905</v>
      </c>
      <c r="N492" s="7"/>
      <c r="P492" s="11"/>
    </row>
    <row r="493" spans="1:16" outlineLevel="2">
      <c r="A493" s="7">
        <f t="shared" si="57"/>
        <v>488</v>
      </c>
      <c r="B493" s="7" t="s">
        <v>27</v>
      </c>
      <c r="C493" s="7" t="s">
        <v>671</v>
      </c>
      <c r="D493" s="13" t="s">
        <v>1087</v>
      </c>
      <c r="E493" s="8" t="s">
        <v>1088</v>
      </c>
      <c r="F493" s="28">
        <v>201837.42</v>
      </c>
      <c r="H493" s="10">
        <f>F493+G493</f>
        <v>201837.42</v>
      </c>
      <c r="I493" s="9">
        <v>0</v>
      </c>
      <c r="J493" s="9">
        <f>-(F493*$M$284)</f>
        <v>-64487.055690000008</v>
      </c>
      <c r="L493" s="433">
        <f>SUM(H493:K493)</f>
        <v>137350.36431</v>
      </c>
      <c r="N493" s="7"/>
      <c r="P493" s="11"/>
    </row>
    <row r="494" spans="1:16" outlineLevel="2">
      <c r="A494" s="7">
        <f t="shared" si="57"/>
        <v>489</v>
      </c>
      <c r="B494" s="7" t="s">
        <v>27</v>
      </c>
      <c r="C494" s="7" t="s">
        <v>671</v>
      </c>
      <c r="D494" s="13" t="s">
        <v>1089</v>
      </c>
      <c r="E494" s="8" t="s">
        <v>1090</v>
      </c>
      <c r="F494" s="28">
        <v>191015.28</v>
      </c>
      <c r="H494" s="10">
        <f t="shared" si="62"/>
        <v>191015.28</v>
      </c>
      <c r="I494" s="9">
        <v>0</v>
      </c>
      <c r="J494" s="9">
        <f t="shared" si="63"/>
        <v>-61029.381959999999</v>
      </c>
      <c r="L494" s="433">
        <f t="shared" si="64"/>
        <v>129985.89804</v>
      </c>
      <c r="N494" s="7"/>
      <c r="P494" s="11"/>
    </row>
    <row r="495" spans="1:16" outlineLevel="2">
      <c r="A495" s="7">
        <f t="shared" si="57"/>
        <v>490</v>
      </c>
      <c r="B495" s="7" t="s">
        <v>27</v>
      </c>
      <c r="C495" s="7" t="s">
        <v>671</v>
      </c>
      <c r="D495" s="13" t="s">
        <v>1091</v>
      </c>
      <c r="E495" s="8" t="s">
        <v>1092</v>
      </c>
      <c r="F495" s="28">
        <v>240471.92</v>
      </c>
      <c r="H495" s="10">
        <f>F495+G495</f>
        <v>240471.92</v>
      </c>
      <c r="I495" s="9">
        <v>0</v>
      </c>
      <c r="J495" s="9">
        <f t="shared" si="63"/>
        <v>-76830.778440000009</v>
      </c>
      <c r="L495" s="433">
        <f t="shared" si="64"/>
        <v>163641.14156000002</v>
      </c>
      <c r="N495" s="7"/>
      <c r="P495" s="11"/>
    </row>
    <row r="496" spans="1:16" outlineLevel="2">
      <c r="A496" s="7">
        <f t="shared" si="57"/>
        <v>491</v>
      </c>
      <c r="B496" s="7" t="s">
        <v>27</v>
      </c>
      <c r="C496" s="7" t="s">
        <v>671</v>
      </c>
      <c r="D496" s="13" t="s">
        <v>1093</v>
      </c>
      <c r="E496" s="8" t="s">
        <v>1094</v>
      </c>
      <c r="F496" s="28">
        <v>888813.02</v>
      </c>
      <c r="H496" s="10">
        <f t="shared" si="62"/>
        <v>888813.02</v>
      </c>
      <c r="I496" s="9">
        <v>0</v>
      </c>
      <c r="J496" s="9">
        <f t="shared" si="63"/>
        <v>-283975.75988999999</v>
      </c>
      <c r="L496" s="433">
        <f t="shared" si="64"/>
        <v>604837.26011000003</v>
      </c>
      <c r="N496" s="7"/>
      <c r="P496" s="11"/>
    </row>
    <row r="497" spans="1:16" outlineLevel="2">
      <c r="A497" s="7">
        <f t="shared" si="57"/>
        <v>492</v>
      </c>
      <c r="B497" s="7" t="s">
        <v>27</v>
      </c>
      <c r="C497" s="7" t="s">
        <v>671</v>
      </c>
      <c r="D497" s="13" t="s">
        <v>1095</v>
      </c>
      <c r="E497" s="8" t="s">
        <v>1096</v>
      </c>
      <c r="F497" s="28">
        <v>899120.94</v>
      </c>
      <c r="H497" s="10">
        <f t="shared" si="62"/>
        <v>899120.94</v>
      </c>
      <c r="I497" s="9">
        <v>0</v>
      </c>
      <c r="J497" s="9">
        <f t="shared" si="63"/>
        <v>-287269.14032999997</v>
      </c>
      <c r="L497" s="433">
        <f t="shared" si="64"/>
        <v>611851.79966999998</v>
      </c>
      <c r="N497" s="7"/>
      <c r="P497" s="11"/>
    </row>
    <row r="498" spans="1:16" outlineLevel="2">
      <c r="A498" s="7">
        <f t="shared" si="57"/>
        <v>493</v>
      </c>
      <c r="B498" s="7" t="s">
        <v>27</v>
      </c>
      <c r="C498" s="7" t="s">
        <v>671</v>
      </c>
      <c r="D498" s="13" t="s">
        <v>1097</v>
      </c>
      <c r="E498" s="8" t="s">
        <v>1098</v>
      </c>
      <c r="F498" s="28">
        <v>303017.27</v>
      </c>
      <c r="H498" s="10">
        <f t="shared" si="62"/>
        <v>303017.27</v>
      </c>
      <c r="I498" s="9">
        <v>0</v>
      </c>
      <c r="J498" s="9">
        <f t="shared" si="63"/>
        <v>-96814.017765000011</v>
      </c>
      <c r="L498" s="433">
        <f t="shared" si="64"/>
        <v>206203.25223500002</v>
      </c>
      <c r="N498" s="7"/>
      <c r="P498" s="11"/>
    </row>
    <row r="499" spans="1:16" outlineLevel="2">
      <c r="A499" s="7">
        <f t="shared" si="57"/>
        <v>494</v>
      </c>
      <c r="B499" s="7" t="s">
        <v>27</v>
      </c>
      <c r="C499" s="7" t="s">
        <v>671</v>
      </c>
      <c r="D499" s="13" t="s">
        <v>1099</v>
      </c>
      <c r="E499" s="8" t="s">
        <v>1100</v>
      </c>
      <c r="F499" s="28">
        <v>192485.98</v>
      </c>
      <c r="H499" s="10">
        <f t="shared" si="62"/>
        <v>192485.98</v>
      </c>
      <c r="I499" s="9">
        <v>0</v>
      </c>
      <c r="J499" s="9">
        <f t="shared" si="63"/>
        <v>-61499.270610000007</v>
      </c>
      <c r="L499" s="433">
        <f t="shared" si="64"/>
        <v>130986.70939</v>
      </c>
      <c r="N499" s="7"/>
      <c r="P499" s="11"/>
    </row>
    <row r="500" spans="1:16" outlineLevel="2">
      <c r="A500" s="7">
        <f t="shared" si="57"/>
        <v>495</v>
      </c>
      <c r="B500" s="7" t="s">
        <v>27</v>
      </c>
      <c r="C500" s="7" t="s">
        <v>671</v>
      </c>
      <c r="D500" s="13" t="s">
        <v>1101</v>
      </c>
      <c r="E500" s="8" t="s">
        <v>1102</v>
      </c>
      <c r="F500" s="28">
        <v>256817.3</v>
      </c>
      <c r="H500" s="10">
        <f t="shared" si="62"/>
        <v>256817.3</v>
      </c>
      <c r="I500" s="9">
        <v>0</v>
      </c>
      <c r="J500" s="9">
        <f t="shared" si="63"/>
        <v>-82053.127349999995</v>
      </c>
      <c r="L500" s="433">
        <f t="shared" si="64"/>
        <v>174764.17264999999</v>
      </c>
      <c r="N500" s="7"/>
      <c r="P500" s="11"/>
    </row>
    <row r="501" spans="1:16" outlineLevel="2">
      <c r="A501" s="7">
        <f t="shared" si="57"/>
        <v>496</v>
      </c>
      <c r="B501" s="7" t="s">
        <v>27</v>
      </c>
      <c r="C501" s="7" t="s">
        <v>671</v>
      </c>
      <c r="D501" s="13" t="s">
        <v>1103</v>
      </c>
      <c r="E501" s="8" t="s">
        <v>1104</v>
      </c>
      <c r="F501" s="28">
        <v>235572.83</v>
      </c>
      <c r="H501" s="10">
        <f t="shared" si="62"/>
        <v>235572.83</v>
      </c>
      <c r="I501" s="9">
        <v>0</v>
      </c>
      <c r="J501" s="9">
        <f t="shared" si="63"/>
        <v>-75265.519184999997</v>
      </c>
      <c r="L501" s="433">
        <f t="shared" si="64"/>
        <v>160307.31081499998</v>
      </c>
      <c r="N501" s="7"/>
      <c r="P501" s="11"/>
    </row>
    <row r="502" spans="1:16" outlineLevel="2">
      <c r="A502" s="7">
        <f t="shared" si="57"/>
        <v>497</v>
      </c>
      <c r="B502" s="7" t="s">
        <v>27</v>
      </c>
      <c r="C502" s="7" t="s">
        <v>671</v>
      </c>
      <c r="D502" s="13" t="s">
        <v>1105</v>
      </c>
      <c r="E502" s="8" t="s">
        <v>1106</v>
      </c>
      <c r="F502" s="28">
        <v>1237</v>
      </c>
      <c r="H502" s="10">
        <f t="shared" si="62"/>
        <v>1237</v>
      </c>
      <c r="I502" s="9">
        <v>0</v>
      </c>
      <c r="J502" s="9">
        <f t="shared" si="63"/>
        <v>-395.22149999999999</v>
      </c>
      <c r="L502" s="433">
        <f t="shared" si="64"/>
        <v>841.77850000000001</v>
      </c>
      <c r="N502" s="7"/>
      <c r="P502" s="11"/>
    </row>
    <row r="503" spans="1:16" outlineLevel="2">
      <c r="A503" s="7">
        <f t="shared" si="57"/>
        <v>498</v>
      </c>
      <c r="B503" s="7" t="s">
        <v>27</v>
      </c>
      <c r="C503" s="7" t="s">
        <v>671</v>
      </c>
      <c r="D503" s="13" t="s">
        <v>1107</v>
      </c>
      <c r="E503" s="8" t="s">
        <v>1108</v>
      </c>
      <c r="F503" s="28">
        <v>853380.37</v>
      </c>
      <c r="H503" s="10">
        <f t="shared" si="62"/>
        <v>853380.37</v>
      </c>
      <c r="I503" s="9">
        <v>0</v>
      </c>
      <c r="J503" s="9">
        <f t="shared" si="63"/>
        <v>-272655.028215</v>
      </c>
      <c r="L503" s="433">
        <f t="shared" si="64"/>
        <v>580725.34178499994</v>
      </c>
      <c r="N503" s="7"/>
      <c r="P503" s="11"/>
    </row>
    <row r="504" spans="1:16" outlineLevel="2">
      <c r="A504" s="7">
        <f t="shared" si="57"/>
        <v>499</v>
      </c>
      <c r="B504" s="7" t="s">
        <v>27</v>
      </c>
      <c r="C504" s="7" t="s">
        <v>671</v>
      </c>
      <c r="D504" s="13" t="s">
        <v>1109</v>
      </c>
      <c r="E504" s="8" t="s">
        <v>1110</v>
      </c>
      <c r="F504" s="28">
        <v>1144166.56</v>
      </c>
      <c r="H504" s="10">
        <f t="shared" si="62"/>
        <v>1144166.56</v>
      </c>
      <c r="I504" s="9">
        <v>0</v>
      </c>
      <c r="J504" s="9">
        <f t="shared" si="63"/>
        <v>-365561.21592000005</v>
      </c>
      <c r="L504" s="433">
        <f t="shared" si="64"/>
        <v>778605.34407999995</v>
      </c>
      <c r="M504" s="22"/>
      <c r="N504" s="7"/>
      <c r="P504" s="11"/>
    </row>
    <row r="505" spans="1:16" outlineLevel="2">
      <c r="A505" s="7">
        <f t="shared" si="57"/>
        <v>500</v>
      </c>
      <c r="B505" s="7" t="s">
        <v>27</v>
      </c>
      <c r="C505" s="7" t="s">
        <v>671</v>
      </c>
      <c r="D505" s="8" t="s">
        <v>1111</v>
      </c>
      <c r="E505" s="8" t="s">
        <v>1112</v>
      </c>
      <c r="F505" s="28">
        <v>319929.37</v>
      </c>
      <c r="H505" s="10">
        <f t="shared" si="62"/>
        <v>319929.37</v>
      </c>
      <c r="I505" s="9">
        <v>0</v>
      </c>
      <c r="J505" s="9">
        <f t="shared" si="63"/>
        <v>-102217.43371500001</v>
      </c>
      <c r="L505" s="433">
        <f t="shared" si="64"/>
        <v>217711.936285</v>
      </c>
      <c r="M505" s="8"/>
      <c r="N505" s="7"/>
      <c r="P505" s="11"/>
    </row>
    <row r="506" spans="1:16" s="4" customFormat="1" ht="13.5" outlineLevel="1" thickBot="1">
      <c r="A506" s="7">
        <f t="shared" si="57"/>
        <v>501</v>
      </c>
      <c r="B506" s="3" t="s">
        <v>27</v>
      </c>
      <c r="C506" s="14" t="s">
        <v>951</v>
      </c>
      <c r="D506" s="16"/>
      <c r="E506" s="16" t="s">
        <v>952</v>
      </c>
      <c r="F506" s="26">
        <f>SUM(F479:F505)</f>
        <v>10347602.129999999</v>
      </c>
      <c r="G506" s="26">
        <f t="shared" ref="G506:L506" si="65">SUM(G479:G505)</f>
        <v>0</v>
      </c>
      <c r="H506" s="26">
        <f t="shared" si="65"/>
        <v>10347602.129999999</v>
      </c>
      <c r="I506" s="26">
        <f t="shared" si="65"/>
        <v>0</v>
      </c>
      <c r="J506" s="26">
        <f t="shared" si="65"/>
        <v>-3306058.8805349995</v>
      </c>
      <c r="K506" s="26">
        <f t="shared" si="65"/>
        <v>0</v>
      </c>
      <c r="L506" s="26">
        <f t="shared" si="65"/>
        <v>7041543.2494649999</v>
      </c>
      <c r="N506" s="3"/>
      <c r="O506" s="3"/>
      <c r="P506" s="5"/>
    </row>
    <row r="507" spans="1:16" ht="13.5" outlineLevel="2" thickTop="1">
      <c r="A507" s="7">
        <f t="shared" si="57"/>
        <v>502</v>
      </c>
      <c r="B507" s="7" t="s">
        <v>27</v>
      </c>
      <c r="C507" s="7" t="s">
        <v>953</v>
      </c>
      <c r="D507" s="13" t="s">
        <v>1113</v>
      </c>
      <c r="E507" s="8" t="s">
        <v>1114</v>
      </c>
      <c r="F507" s="183">
        <v>681601.56</v>
      </c>
      <c r="G507" s="183"/>
      <c r="H507" s="10">
        <f>F507+G507</f>
        <v>681601.56</v>
      </c>
      <c r="I507" s="9">
        <v>-681601.56</v>
      </c>
      <c r="J507" s="9">
        <v>0</v>
      </c>
      <c r="L507" s="433">
        <f>SUM(H507:K507)</f>
        <v>0</v>
      </c>
      <c r="M507" s="548"/>
      <c r="N507" s="7"/>
      <c r="P507" s="11"/>
    </row>
    <row r="508" spans="1:16" s="4" customFormat="1" ht="13.5" outlineLevel="1" thickBot="1">
      <c r="A508" s="7">
        <f t="shared" si="57"/>
        <v>503</v>
      </c>
      <c r="B508" s="3" t="s">
        <v>27</v>
      </c>
      <c r="C508" s="14" t="s">
        <v>986</v>
      </c>
      <c r="D508" s="16"/>
      <c r="E508" s="16" t="s">
        <v>987</v>
      </c>
      <c r="F508" s="26">
        <f>SUM(F507)</f>
        <v>681601.56</v>
      </c>
      <c r="G508" s="26">
        <f>SUM(G507)</f>
        <v>0</v>
      </c>
      <c r="H508" s="26">
        <f>SUM(H507)</f>
        <v>681601.56</v>
      </c>
      <c r="I508" s="26">
        <f t="shared" ref="I508:L508" si="66">SUM(I507)</f>
        <v>-681601.56</v>
      </c>
      <c r="J508" s="138">
        <f t="shared" si="66"/>
        <v>0</v>
      </c>
      <c r="K508" s="138">
        <f t="shared" si="66"/>
        <v>0</v>
      </c>
      <c r="L508" s="138">
        <f t="shared" si="66"/>
        <v>0</v>
      </c>
      <c r="M508" s="17"/>
      <c r="N508" s="3"/>
      <c r="O508" s="3"/>
      <c r="P508" s="5"/>
    </row>
    <row r="509" spans="1:16" s="3" customFormat="1" ht="14.25" thickTop="1" thickBot="1">
      <c r="A509" s="7">
        <f t="shared" si="57"/>
        <v>504</v>
      </c>
      <c r="B509" s="3" t="s">
        <v>27</v>
      </c>
      <c r="C509" s="81" t="s">
        <v>988</v>
      </c>
      <c r="D509" s="82"/>
      <c r="E509" s="82" t="s">
        <v>1115</v>
      </c>
      <c r="F509" s="187">
        <f>F452+F472+F476+F478+F506+F508</f>
        <v>159638016.91999999</v>
      </c>
      <c r="G509" s="187">
        <f t="shared" ref="G509:L509" si="67">G452+G472+G476+G478+G506+G508</f>
        <v>5907129</v>
      </c>
      <c r="H509" s="187">
        <f t="shared" si="67"/>
        <v>165545145.91999999</v>
      </c>
      <c r="I509" s="187">
        <f t="shared" si="67"/>
        <v>-8382054.7699999996</v>
      </c>
      <c r="J509" s="187">
        <f t="shared" si="67"/>
        <v>-3306058.8805349995</v>
      </c>
      <c r="K509" s="187">
        <f t="shared" si="67"/>
        <v>0</v>
      </c>
      <c r="L509" s="187">
        <f t="shared" si="67"/>
        <v>153857032.26946494</v>
      </c>
      <c r="M509" s="5"/>
    </row>
    <row r="510" spans="1:16" ht="13.5" outlineLevel="2" thickTop="1">
      <c r="A510" s="7">
        <f t="shared" si="57"/>
        <v>505</v>
      </c>
      <c r="B510" s="7" t="s">
        <v>29</v>
      </c>
      <c r="C510" s="7" t="s">
        <v>1116</v>
      </c>
      <c r="D510" s="13" t="s">
        <v>1117</v>
      </c>
      <c r="E510" s="8" t="s">
        <v>1118</v>
      </c>
      <c r="F510" s="28">
        <v>19890751.77</v>
      </c>
      <c r="H510" s="10">
        <f>F510+G510</f>
        <v>19890751.77</v>
      </c>
      <c r="I510" s="9">
        <v>0</v>
      </c>
      <c r="J510" s="9">
        <v>0</v>
      </c>
      <c r="L510" s="433">
        <f>SUM(H510:K510)</f>
        <v>19890751.77</v>
      </c>
      <c r="M510" s="8"/>
      <c r="N510" s="7"/>
      <c r="P510" s="11"/>
    </row>
    <row r="511" spans="1:16" outlineLevel="2">
      <c r="A511" s="7">
        <f t="shared" si="57"/>
        <v>506</v>
      </c>
      <c r="B511" s="7" t="s">
        <v>29</v>
      </c>
      <c r="C511" s="7" t="s">
        <v>1116</v>
      </c>
      <c r="D511" s="548" t="s">
        <v>1117</v>
      </c>
      <c r="E511" s="8" t="s">
        <v>1119</v>
      </c>
      <c r="F511" s="28">
        <v>3832627.63</v>
      </c>
      <c r="H511" s="10">
        <f>F511+G511</f>
        <v>3832627.63</v>
      </c>
      <c r="I511" s="9">
        <v>0</v>
      </c>
      <c r="J511" s="9">
        <v>0</v>
      </c>
      <c r="L511" s="433">
        <f>SUM(H511:K511)</f>
        <v>3832627.63</v>
      </c>
      <c r="M511" s="8"/>
      <c r="N511" s="7"/>
      <c r="P511" s="11"/>
    </row>
    <row r="512" spans="1:16" s="4" customFormat="1" ht="13.5" outlineLevel="1" thickBot="1">
      <c r="A512" s="7">
        <f t="shared" si="57"/>
        <v>507</v>
      </c>
      <c r="B512" s="3" t="s">
        <v>29</v>
      </c>
      <c r="C512" s="14" t="s">
        <v>1120</v>
      </c>
      <c r="D512" s="23"/>
      <c r="E512" s="16" t="s">
        <v>1121</v>
      </c>
      <c r="F512" s="26">
        <f>SUM(F510:F511)</f>
        <v>23723379.399999999</v>
      </c>
      <c r="G512" s="26">
        <f>SUM(G510:G511)</f>
        <v>0</v>
      </c>
      <c r="H512" s="26">
        <f>SUM(H510:H511)</f>
        <v>23723379.399999999</v>
      </c>
      <c r="I512" s="26">
        <f t="shared" ref="I512:L512" si="68">SUM(I510:I511)</f>
        <v>0</v>
      </c>
      <c r="J512" s="138">
        <f t="shared" si="68"/>
        <v>0</v>
      </c>
      <c r="K512" s="138">
        <f t="shared" si="68"/>
        <v>0</v>
      </c>
      <c r="L512" s="26">
        <f t="shared" si="68"/>
        <v>23723379.399999999</v>
      </c>
      <c r="N512" s="3"/>
      <c r="O512" s="3"/>
      <c r="P512" s="5"/>
    </row>
    <row r="513" spans="1:16" s="3" customFormat="1" ht="14.25" thickTop="1" thickBot="1">
      <c r="A513" s="7">
        <f t="shared" si="57"/>
        <v>508</v>
      </c>
      <c r="B513" s="7"/>
      <c r="C513" s="81" t="s">
        <v>89</v>
      </c>
      <c r="D513" s="82"/>
      <c r="E513" s="82" t="s">
        <v>1122</v>
      </c>
      <c r="F513" s="187">
        <f t="shared" ref="F513:L513" si="69">F438+F509+F512</f>
        <v>1588930213.7830009</v>
      </c>
      <c r="G513" s="187">
        <f t="shared" si="69"/>
        <v>50186285</v>
      </c>
      <c r="H513" s="187">
        <f>H438+H509+H512</f>
        <v>1639116498.7830009</v>
      </c>
      <c r="I513" s="188">
        <f t="shared" si="69"/>
        <v>-56764419.209999993</v>
      </c>
      <c r="J513" s="140">
        <f t="shared" si="69"/>
        <v>-16879035.6630885</v>
      </c>
      <c r="K513" s="140">
        <f t="shared" si="69"/>
        <v>-18563963</v>
      </c>
      <c r="L513" s="187">
        <f t="shared" si="69"/>
        <v>1546909080.9099121</v>
      </c>
      <c r="M513" s="5"/>
    </row>
    <row r="514" spans="1:16" s="3" customFormat="1" ht="32.450000000000003" customHeight="1" thickTop="1">
      <c r="A514" s="7">
        <f t="shared" si="57"/>
        <v>509</v>
      </c>
      <c r="D514" s="5" t="s">
        <v>106</v>
      </c>
      <c r="E514" s="6" t="s">
        <v>107</v>
      </c>
      <c r="F514" s="120" t="s">
        <v>1123</v>
      </c>
      <c r="G514" s="120"/>
      <c r="H514" s="120" t="s">
        <v>1124</v>
      </c>
      <c r="I514" s="120" t="s">
        <v>1125</v>
      </c>
      <c r="J514" s="120" t="s">
        <v>112</v>
      </c>
      <c r="K514" s="120" t="s">
        <v>113</v>
      </c>
      <c r="L514" s="432" t="s">
        <v>1126</v>
      </c>
      <c r="M514" s="5" t="s">
        <v>115</v>
      </c>
      <c r="P514" s="5"/>
    </row>
    <row r="515" spans="1:16" ht="13.5" customHeight="1" outlineLevel="2">
      <c r="A515" s="7">
        <f t="shared" si="57"/>
        <v>510</v>
      </c>
      <c r="B515" s="7" t="s">
        <v>29</v>
      </c>
      <c r="C515" s="7" t="s">
        <v>74</v>
      </c>
      <c r="D515" s="13" t="s">
        <v>1127</v>
      </c>
      <c r="E515" s="1" t="s">
        <v>1128</v>
      </c>
      <c r="F515" s="28">
        <v>287835.39</v>
      </c>
      <c r="H515" s="10">
        <f>F515+G515</f>
        <v>287835.39</v>
      </c>
      <c r="I515" s="9">
        <v>0</v>
      </c>
      <c r="J515" s="9">
        <v>0</v>
      </c>
      <c r="L515" s="433">
        <f>SUM(H515:K515)</f>
        <v>287835.39</v>
      </c>
      <c r="M515" s="655"/>
      <c r="N515" s="7"/>
      <c r="P515" s="11"/>
    </row>
    <row r="516" spans="1:16" s="7" customFormat="1" ht="13.5" customHeight="1" outlineLevel="2">
      <c r="A516" s="7">
        <f t="shared" si="57"/>
        <v>511</v>
      </c>
      <c r="B516" s="7" t="s">
        <v>29</v>
      </c>
      <c r="C516" s="7" t="s">
        <v>74</v>
      </c>
      <c r="D516" s="76" t="s">
        <v>1129</v>
      </c>
      <c r="E516" s="8" t="s">
        <v>1130</v>
      </c>
      <c r="F516" s="28">
        <v>12414412.949999999</v>
      </c>
      <c r="G516" s="28"/>
      <c r="H516" s="10">
        <f t="shared" ref="H516:H519" si="70">F516+G516</f>
        <v>12414412.949999999</v>
      </c>
      <c r="I516" s="9">
        <v>-12111804</v>
      </c>
      <c r="J516" s="9">
        <v>0</v>
      </c>
      <c r="K516" s="9"/>
      <c r="L516" s="433">
        <f>SUM(H516:K516)</f>
        <v>302608.94999999925</v>
      </c>
      <c r="M516" s="656"/>
      <c r="P516" s="11"/>
    </row>
    <row r="517" spans="1:16" s="7" customFormat="1" ht="13.5" customHeight="1" outlineLevel="2">
      <c r="A517" s="7">
        <f t="shared" si="57"/>
        <v>512</v>
      </c>
      <c r="B517" s="7" t="s">
        <v>29</v>
      </c>
      <c r="C517" s="7" t="s">
        <v>74</v>
      </c>
      <c r="D517" s="76" t="s">
        <v>1129</v>
      </c>
      <c r="E517" s="8" t="s">
        <v>1130</v>
      </c>
      <c r="F517" s="28">
        <v>220814.25</v>
      </c>
      <c r="G517" s="28"/>
      <c r="H517" s="10">
        <f t="shared" si="70"/>
        <v>220814.25</v>
      </c>
      <c r="I517" s="9">
        <v>-220814.25</v>
      </c>
      <c r="J517" s="9">
        <v>0</v>
      </c>
      <c r="K517" s="9"/>
      <c r="L517" s="433">
        <f>SUM(H517:K517)</f>
        <v>0</v>
      </c>
      <c r="M517" s="656"/>
      <c r="P517" s="11"/>
    </row>
    <row r="518" spans="1:16" s="7" customFormat="1" outlineLevel="2">
      <c r="A518" s="7">
        <f t="shared" si="57"/>
        <v>513</v>
      </c>
      <c r="B518" s="7" t="s">
        <v>29</v>
      </c>
      <c r="C518" s="7" t="s">
        <v>74</v>
      </c>
      <c r="D518" s="76" t="s">
        <v>1131</v>
      </c>
      <c r="E518" s="8" t="s">
        <v>1132</v>
      </c>
      <c r="F518" s="28">
        <f>2978205.36+1602462.32</f>
        <v>4580667.68</v>
      </c>
      <c r="G518" s="28"/>
      <c r="H518" s="10">
        <f t="shared" si="70"/>
        <v>4580667.68</v>
      </c>
      <c r="I518" s="9">
        <v>0</v>
      </c>
      <c r="J518" s="9">
        <v>0</v>
      </c>
      <c r="K518" s="9"/>
      <c r="L518" s="433">
        <f>SUM(H518:K518)</f>
        <v>4580667.68</v>
      </c>
      <c r="M518" s="656"/>
      <c r="P518" s="11"/>
    </row>
    <row r="519" spans="1:16" s="7" customFormat="1" outlineLevel="2">
      <c r="A519" s="7">
        <f t="shared" si="57"/>
        <v>514</v>
      </c>
      <c r="B519" s="7" t="s">
        <v>29</v>
      </c>
      <c r="C519" s="7" t="s">
        <v>74</v>
      </c>
      <c r="D519" s="76" t="s">
        <v>935</v>
      </c>
      <c r="E519" s="8" t="s">
        <v>936</v>
      </c>
      <c r="F519" s="28">
        <v>237295.95</v>
      </c>
      <c r="G519" s="28"/>
      <c r="H519" s="10">
        <f t="shared" si="70"/>
        <v>237295.95</v>
      </c>
      <c r="I519" s="9">
        <v>0</v>
      </c>
      <c r="J519" s="9">
        <v>0</v>
      </c>
      <c r="K519" s="9"/>
      <c r="L519" s="433">
        <f>SUM(H519:K519)</f>
        <v>237295.95</v>
      </c>
      <c r="M519" s="656"/>
      <c r="P519" s="11"/>
    </row>
    <row r="520" spans="1:16" s="3" customFormat="1" ht="13.5" thickBot="1">
      <c r="A520" s="7">
        <f t="shared" si="57"/>
        <v>515</v>
      </c>
      <c r="B520" s="3" t="s">
        <v>29</v>
      </c>
      <c r="C520" s="14" t="s">
        <v>988</v>
      </c>
      <c r="D520" s="16"/>
      <c r="E520" s="16" t="s">
        <v>1133</v>
      </c>
      <c r="F520" s="26">
        <f>SUM(F515:F519)</f>
        <v>17741026.219999999</v>
      </c>
      <c r="G520" s="26">
        <f>SUM(G515:G519)</f>
        <v>0</v>
      </c>
      <c r="H520" s="26">
        <f>SUM(H515:H519)</f>
        <v>17741026.219999999</v>
      </c>
      <c r="I520" s="26">
        <f t="shared" ref="I520:L520" si="71">SUM(I515:I519)</f>
        <v>-12332618.25</v>
      </c>
      <c r="J520" s="138">
        <f t="shared" si="71"/>
        <v>0</v>
      </c>
      <c r="K520" s="138">
        <f t="shared" si="71"/>
        <v>0</v>
      </c>
      <c r="L520" s="26">
        <f t="shared" si="71"/>
        <v>5408407.9699999988</v>
      </c>
      <c r="M520" s="656"/>
    </row>
    <row r="521" spans="1:16" s="7" customFormat="1" ht="13.5" outlineLevel="2" thickTop="1">
      <c r="A521" s="7">
        <f t="shared" ref="A521:A540" si="72">A520+1</f>
        <v>516</v>
      </c>
      <c r="B521" s="7" t="s">
        <v>27</v>
      </c>
      <c r="C521" s="7" t="s">
        <v>74</v>
      </c>
      <c r="D521" s="76" t="s">
        <v>1134</v>
      </c>
      <c r="E521" s="8" t="s">
        <v>1135</v>
      </c>
      <c r="F521" s="28">
        <v>121494.9</v>
      </c>
      <c r="G521" s="28"/>
      <c r="H521" s="10">
        <f>F521+G521</f>
        <v>121494.9</v>
      </c>
      <c r="I521" s="9">
        <f>-(F521*0.75)</f>
        <v>-91121.174999999988</v>
      </c>
      <c r="J521" s="9"/>
      <c r="K521" s="9"/>
      <c r="L521" s="433">
        <f>SUM(H521:K521)</f>
        <v>30373.725000000006</v>
      </c>
      <c r="M521" s="656"/>
      <c r="P521" s="11"/>
    </row>
    <row r="522" spans="1:16" s="7" customFormat="1" outlineLevel="2">
      <c r="A522" s="7">
        <f t="shared" si="72"/>
        <v>517</v>
      </c>
      <c r="B522" s="7" t="s">
        <v>27</v>
      </c>
      <c r="C522" s="7" t="s">
        <v>74</v>
      </c>
      <c r="D522" s="76" t="s">
        <v>1136</v>
      </c>
      <c r="E522" s="8" t="s">
        <v>1137</v>
      </c>
      <c r="F522" s="28">
        <f>475783.06+216551.65</f>
        <v>692334.71</v>
      </c>
      <c r="G522" s="28"/>
      <c r="H522" s="10">
        <f t="shared" ref="H522:H523" si="73">F522+G522</f>
        <v>692334.71</v>
      </c>
      <c r="I522" s="9">
        <f>-(F522*0.75)</f>
        <v>-519251.03249999997</v>
      </c>
      <c r="J522" s="9"/>
      <c r="K522" s="9"/>
      <c r="L522" s="433">
        <f>SUM(H522:K522)</f>
        <v>173083.67749999999</v>
      </c>
      <c r="M522" s="656"/>
      <c r="P522" s="11"/>
    </row>
    <row r="523" spans="1:16" s="7" customFormat="1" outlineLevel="2">
      <c r="A523" s="7">
        <f t="shared" si="72"/>
        <v>518</v>
      </c>
      <c r="B523" s="7" t="s">
        <v>27</v>
      </c>
      <c r="C523" s="7" t="s">
        <v>74</v>
      </c>
      <c r="D523" s="76" t="s">
        <v>1138</v>
      </c>
      <c r="E523" s="8" t="s">
        <v>1139</v>
      </c>
      <c r="F523" s="28">
        <f>13323920.72+619631.54</f>
        <v>13943552.260000002</v>
      </c>
      <c r="G523" s="28"/>
      <c r="H523" s="10">
        <f t="shared" si="73"/>
        <v>13943552.260000002</v>
      </c>
      <c r="I523" s="9">
        <f>(-(F523-55070)*0.75)-55070</f>
        <v>-10471431.695</v>
      </c>
      <c r="J523" s="9"/>
      <c r="K523" s="9"/>
      <c r="L523" s="433">
        <f>SUM(H523:K523)</f>
        <v>3472120.5650000013</v>
      </c>
      <c r="M523" s="656"/>
      <c r="P523" s="11"/>
    </row>
    <row r="524" spans="1:16" s="3" customFormat="1" ht="13.5" outlineLevel="1" thickBot="1">
      <c r="A524" s="7">
        <f t="shared" si="72"/>
        <v>519</v>
      </c>
      <c r="B524" s="3" t="s">
        <v>27</v>
      </c>
      <c r="C524" s="14" t="s">
        <v>1140</v>
      </c>
      <c r="D524" s="24"/>
      <c r="E524" s="16" t="s">
        <v>1141</v>
      </c>
      <c r="F524" s="26">
        <f>SUM(F521:F523)</f>
        <v>14757381.870000001</v>
      </c>
      <c r="G524" s="26">
        <f>SUM(G521:G523)</f>
        <v>0</v>
      </c>
      <c r="H524" s="26">
        <f>SUM(H521:H523)</f>
        <v>14757381.870000001</v>
      </c>
      <c r="I524" s="26">
        <f t="shared" ref="I524:L524" si="74">SUM(I521:I523)</f>
        <v>-11081803.9025</v>
      </c>
      <c r="J524" s="138">
        <f t="shared" si="74"/>
        <v>0</v>
      </c>
      <c r="K524" s="138">
        <f t="shared" si="74"/>
        <v>0</v>
      </c>
      <c r="L524" s="26">
        <f t="shared" si="74"/>
        <v>3675577.9675000012</v>
      </c>
      <c r="M524" s="25"/>
      <c r="P524" s="5"/>
    </row>
    <row r="525" spans="1:16" s="3" customFormat="1" ht="14.25" outlineLevel="1" thickTop="1" thickBot="1">
      <c r="A525" s="7">
        <f t="shared" si="72"/>
        <v>520</v>
      </c>
      <c r="B525" s="7"/>
      <c r="C525" s="14" t="s">
        <v>1142</v>
      </c>
      <c r="D525" s="24"/>
      <c r="E525" s="16" t="s">
        <v>1141</v>
      </c>
      <c r="F525" s="26">
        <f>F520+F524</f>
        <v>32498408.09</v>
      </c>
      <c r="G525" s="26">
        <f>G520+G524</f>
        <v>0</v>
      </c>
      <c r="H525" s="26">
        <f>H520+H524</f>
        <v>32498408.09</v>
      </c>
      <c r="I525" s="26">
        <f t="shared" ref="I525:L525" si="75">I520+I524</f>
        <v>-23414422.1525</v>
      </c>
      <c r="J525" s="138">
        <f t="shared" si="75"/>
        <v>0</v>
      </c>
      <c r="K525" s="138">
        <f t="shared" si="75"/>
        <v>0</v>
      </c>
      <c r="L525" s="26">
        <f t="shared" si="75"/>
        <v>9083985.9375</v>
      </c>
      <c r="M525" s="25"/>
      <c r="P525" s="5"/>
    </row>
    <row r="526" spans="1:16" s="3" customFormat="1" ht="51.75" thickTop="1">
      <c r="A526" s="7">
        <f t="shared" si="72"/>
        <v>521</v>
      </c>
      <c r="D526" s="5" t="s">
        <v>106</v>
      </c>
      <c r="E526" s="6" t="s">
        <v>107</v>
      </c>
      <c r="F526" s="120" t="s">
        <v>108</v>
      </c>
      <c r="G526" s="120"/>
      <c r="H526" s="120" t="s">
        <v>1124</v>
      </c>
      <c r="I526" s="120" t="s">
        <v>1143</v>
      </c>
      <c r="J526" s="120" t="s">
        <v>112</v>
      </c>
      <c r="K526" s="120" t="s">
        <v>113</v>
      </c>
      <c r="L526" s="432" t="s">
        <v>1126</v>
      </c>
      <c r="M526" s="5" t="s">
        <v>115</v>
      </c>
      <c r="P526" s="5"/>
    </row>
    <row r="527" spans="1:16" s="7" customFormat="1" outlineLevel="2">
      <c r="A527" s="7">
        <f t="shared" si="72"/>
        <v>522</v>
      </c>
      <c r="B527" s="7" t="s">
        <v>29</v>
      </c>
      <c r="C527" s="7" t="s">
        <v>76</v>
      </c>
      <c r="D527" s="11"/>
      <c r="E527" s="8" t="s">
        <v>690</v>
      </c>
      <c r="F527" s="28">
        <v>2370872.7999999998</v>
      </c>
      <c r="G527" s="28"/>
      <c r="H527" s="10">
        <f>F527+G527</f>
        <v>2370872.7999999998</v>
      </c>
      <c r="I527" s="9">
        <v>-1772523.45</v>
      </c>
      <c r="J527" s="9"/>
      <c r="K527" s="9"/>
      <c r="L527" s="433">
        <f t="shared" ref="L527:L532" si="76">SUM(H527:K527)</f>
        <v>598349.34999999986</v>
      </c>
      <c r="P527" s="11"/>
    </row>
    <row r="528" spans="1:16" s="7" customFormat="1" outlineLevel="2">
      <c r="A528" s="7">
        <f t="shared" si="72"/>
        <v>523</v>
      </c>
      <c r="B528" s="7" t="s">
        <v>595</v>
      </c>
      <c r="C528" s="7" t="s">
        <v>76</v>
      </c>
      <c r="D528" s="11"/>
      <c r="E528" s="8" t="s">
        <v>1144</v>
      </c>
      <c r="F528" s="28">
        <f>16339603.3*0.5</f>
        <v>8169801.6500000004</v>
      </c>
      <c r="G528" s="28"/>
      <c r="H528" s="10">
        <f t="shared" ref="H528:H532" si="77">F528+G528</f>
        <v>8169801.6500000004</v>
      </c>
      <c r="I528" s="9">
        <f>-11130874.82*0.5</f>
        <v>-5565437.4100000001</v>
      </c>
      <c r="J528" s="9"/>
      <c r="K528" s="9"/>
      <c r="L528" s="433">
        <f t="shared" si="76"/>
        <v>2604364.2400000002</v>
      </c>
      <c r="P528" s="11"/>
    </row>
    <row r="529" spans="1:19" s="7" customFormat="1" outlineLevel="2">
      <c r="A529" s="7">
        <f t="shared" si="72"/>
        <v>524</v>
      </c>
      <c r="B529" s="7" t="s">
        <v>29</v>
      </c>
      <c r="C529" s="7" t="s">
        <v>76</v>
      </c>
      <c r="D529" s="11"/>
      <c r="E529" s="8" t="s">
        <v>415</v>
      </c>
      <c r="F529" s="28">
        <v>34494082.079999998</v>
      </c>
      <c r="G529" s="28"/>
      <c r="H529" s="10">
        <f t="shared" si="77"/>
        <v>34494082.079999998</v>
      </c>
      <c r="I529" s="9">
        <v>-5266583.5599999996</v>
      </c>
      <c r="J529" s="9"/>
      <c r="K529" s="9"/>
      <c r="L529" s="433">
        <f t="shared" si="76"/>
        <v>29227498.52</v>
      </c>
      <c r="P529" s="11"/>
    </row>
    <row r="530" spans="1:19" s="7" customFormat="1" outlineLevel="2">
      <c r="A530" s="7">
        <f t="shared" si="72"/>
        <v>525</v>
      </c>
      <c r="B530" s="7" t="s">
        <v>29</v>
      </c>
      <c r="C530" s="7" t="s">
        <v>76</v>
      </c>
      <c r="D530" s="11"/>
      <c r="E530" s="8" t="s">
        <v>788</v>
      </c>
      <c r="F530" s="28">
        <v>55665574.350000001</v>
      </c>
      <c r="G530" s="28"/>
      <c r="H530" s="10">
        <f t="shared" si="77"/>
        <v>55665574.350000001</v>
      </c>
      <c r="I530" s="9">
        <v>-14103135.460000001</v>
      </c>
      <c r="J530" s="9"/>
      <c r="K530" s="9"/>
      <c r="L530" s="433">
        <f t="shared" si="76"/>
        <v>41562438.890000001</v>
      </c>
      <c r="P530" s="11"/>
    </row>
    <row r="531" spans="1:19" s="7" customFormat="1" outlineLevel="2">
      <c r="A531" s="7">
        <f t="shared" si="72"/>
        <v>526</v>
      </c>
      <c r="B531" s="7" t="s">
        <v>29</v>
      </c>
      <c r="C531" s="7" t="s">
        <v>76</v>
      </c>
      <c r="D531" s="11"/>
      <c r="E531" s="8" t="s">
        <v>1145</v>
      </c>
      <c r="F531" s="28">
        <v>9392149.0399999991</v>
      </c>
      <c r="G531" s="28"/>
      <c r="H531" s="10">
        <f t="shared" si="77"/>
        <v>9392149.0399999991</v>
      </c>
      <c r="I531" s="9">
        <v>-7097566.8899999997</v>
      </c>
      <c r="J531" s="9"/>
      <c r="K531" s="9"/>
      <c r="L531" s="433">
        <f>SUM(H531:K531)</f>
        <v>2294582.1499999994</v>
      </c>
      <c r="P531" s="11"/>
    </row>
    <row r="532" spans="1:19" s="7" customFormat="1" outlineLevel="2">
      <c r="A532" s="7">
        <f t="shared" si="72"/>
        <v>527</v>
      </c>
      <c r="B532" s="7" t="s">
        <v>29</v>
      </c>
      <c r="C532" s="7" t="s">
        <v>76</v>
      </c>
      <c r="D532" s="11"/>
      <c r="E532" s="8" t="s">
        <v>858</v>
      </c>
      <c r="F532" s="28">
        <v>22135174.539999999</v>
      </c>
      <c r="G532" s="28"/>
      <c r="H532" s="10">
        <f t="shared" si="77"/>
        <v>22135174.539999999</v>
      </c>
      <c r="I532" s="9">
        <v>-1824650.92</v>
      </c>
      <c r="J532" s="9"/>
      <c r="K532" s="9"/>
      <c r="L532" s="433">
        <f t="shared" si="76"/>
        <v>20310523.619999997</v>
      </c>
      <c r="P532" s="11"/>
    </row>
    <row r="533" spans="1:19" s="3" customFormat="1" ht="13.5" outlineLevel="1" thickBot="1">
      <c r="A533" s="7">
        <f t="shared" si="72"/>
        <v>528</v>
      </c>
      <c r="B533" s="3" t="s">
        <v>29</v>
      </c>
      <c r="C533" s="14" t="s">
        <v>1146</v>
      </c>
      <c r="D533" s="16"/>
      <c r="E533" s="16" t="s">
        <v>1147</v>
      </c>
      <c r="F533" s="26">
        <f>SUM(F527:F532)</f>
        <v>132227654.45999998</v>
      </c>
      <c r="G533" s="26">
        <f>SUM(G527:G532)</f>
        <v>0</v>
      </c>
      <c r="H533" s="26">
        <f>SUM(H527:H532)</f>
        <v>132227654.45999998</v>
      </c>
      <c r="I533" s="26">
        <f t="shared" ref="I533:L533" si="78">SUM(I527:I532)</f>
        <v>-35629897.690000005</v>
      </c>
      <c r="J533" s="26">
        <f t="shared" si="78"/>
        <v>0</v>
      </c>
      <c r="K533" s="26">
        <f t="shared" si="78"/>
        <v>0</v>
      </c>
      <c r="L533" s="435">
        <f t="shared" si="78"/>
        <v>96597756.770000011</v>
      </c>
      <c r="M533" s="5"/>
    </row>
    <row r="534" spans="1:19" s="7" customFormat="1" ht="13.5" outlineLevel="2" thickTop="1">
      <c r="A534" s="7">
        <f t="shared" si="72"/>
        <v>529</v>
      </c>
      <c r="B534" s="7" t="s">
        <v>595</v>
      </c>
      <c r="C534" s="7" t="s">
        <v>76</v>
      </c>
      <c r="D534" s="11"/>
      <c r="E534" s="8" t="s">
        <v>1144</v>
      </c>
      <c r="F534" s="28">
        <f>16339603.3*0.5</f>
        <v>8169801.6500000004</v>
      </c>
      <c r="G534" s="28"/>
      <c r="H534" s="10">
        <f>F534+G534</f>
        <v>8169801.6500000004</v>
      </c>
      <c r="I534" s="9">
        <f>-11130874.82*0.5</f>
        <v>-5565437.4100000001</v>
      </c>
      <c r="J534" s="9"/>
      <c r="K534" s="9"/>
      <c r="L534" s="433">
        <f>SUM(H534:K534)</f>
        <v>2604364.2400000002</v>
      </c>
      <c r="P534" s="11"/>
    </row>
    <row r="535" spans="1:19" s="3" customFormat="1" ht="13.5" outlineLevel="1" thickBot="1">
      <c r="A535" s="7">
        <f t="shared" si="72"/>
        <v>530</v>
      </c>
      <c r="B535" s="3" t="s">
        <v>27</v>
      </c>
      <c r="C535" s="14" t="s">
        <v>1146</v>
      </c>
      <c r="D535" s="16"/>
      <c r="E535" s="16" t="s">
        <v>1148</v>
      </c>
      <c r="F535" s="26">
        <f>SUM(F534)</f>
        <v>8169801.6500000004</v>
      </c>
      <c r="G535" s="26">
        <f>SUM(G534)</f>
        <v>0</v>
      </c>
      <c r="H535" s="26">
        <f>SUM(H534)</f>
        <v>8169801.6500000004</v>
      </c>
      <c r="I535" s="26">
        <f t="shared" ref="I535:L535" si="79">SUM(I534)</f>
        <v>-5565437.4100000001</v>
      </c>
      <c r="J535" s="138">
        <f t="shared" si="79"/>
        <v>0</v>
      </c>
      <c r="K535" s="138">
        <f t="shared" si="79"/>
        <v>0</v>
      </c>
      <c r="L535" s="26">
        <f t="shared" si="79"/>
        <v>2604364.2400000002</v>
      </c>
      <c r="M535" s="5"/>
    </row>
    <row r="536" spans="1:19" s="3" customFormat="1" ht="13.5" thickTop="1">
      <c r="A536" s="7">
        <f t="shared" si="72"/>
        <v>531</v>
      </c>
      <c r="B536" s="7"/>
      <c r="C536" s="3" t="s">
        <v>1149</v>
      </c>
      <c r="D536" s="4"/>
      <c r="E536" s="4" t="s">
        <v>1150</v>
      </c>
      <c r="F536" s="182">
        <f>F533+F535</f>
        <v>140397456.10999998</v>
      </c>
      <c r="G536" s="182">
        <f>G533+G535</f>
        <v>0</v>
      </c>
      <c r="H536" s="182">
        <f>H533+H535</f>
        <v>140397456.10999998</v>
      </c>
      <c r="I536" s="182">
        <f t="shared" ref="I536:K536" si="80">I533+I535</f>
        <v>-41195335.100000009</v>
      </c>
      <c r="J536" s="436">
        <f t="shared" si="80"/>
        <v>0</v>
      </c>
      <c r="K536" s="436">
        <f t="shared" si="80"/>
        <v>0</v>
      </c>
      <c r="L536" s="182">
        <f>L533+L535</f>
        <v>99202121.010000005</v>
      </c>
      <c r="M536" s="5"/>
    </row>
    <row r="537" spans="1:19" s="7" customFormat="1">
      <c r="A537" s="7">
        <f t="shared" si="72"/>
        <v>532</v>
      </c>
      <c r="D537" s="11"/>
      <c r="E537" s="1"/>
      <c r="F537" s="28"/>
      <c r="G537" s="28"/>
      <c r="H537" s="28"/>
      <c r="I537" s="28"/>
      <c r="J537" s="137"/>
      <c r="K537" s="137"/>
      <c r="L537" s="137"/>
      <c r="M537" s="8"/>
      <c r="Q537" s="8"/>
      <c r="R537" s="8"/>
      <c r="S537" s="8"/>
    </row>
    <row r="538" spans="1:19" s="7" customFormat="1">
      <c r="A538" s="7">
        <f t="shared" si="72"/>
        <v>533</v>
      </c>
      <c r="D538" s="11"/>
      <c r="E538" s="1" t="s">
        <v>987</v>
      </c>
      <c r="F538" s="28"/>
      <c r="G538" s="28"/>
      <c r="H538" s="27"/>
      <c r="I538" s="27">
        <f>-(I536+I513)</f>
        <v>97959754.310000002</v>
      </c>
      <c r="J538" s="27"/>
      <c r="K538" s="27"/>
      <c r="L538" s="27">
        <f>(L536+L513)</f>
        <v>1646111201.9199121</v>
      </c>
      <c r="M538" s="8"/>
      <c r="Q538" s="8"/>
      <c r="R538" s="8"/>
      <c r="S538" s="8"/>
    </row>
    <row r="539" spans="1:19" s="7" customFormat="1">
      <c r="A539" s="7">
        <f t="shared" si="72"/>
        <v>534</v>
      </c>
      <c r="C539" s="100" t="s">
        <v>1151</v>
      </c>
      <c r="D539" s="11"/>
      <c r="F539" s="28"/>
      <c r="G539" s="28"/>
      <c r="H539" s="27"/>
      <c r="I539" s="27"/>
      <c r="J539" s="28"/>
      <c r="K539" s="28"/>
      <c r="L539" s="433"/>
      <c r="M539" s="8"/>
      <c r="Q539" s="8"/>
      <c r="R539" s="8"/>
      <c r="S539" s="8"/>
    </row>
    <row r="540" spans="1:19" s="7" customFormat="1">
      <c r="A540" s="7">
        <f t="shared" si="72"/>
        <v>535</v>
      </c>
      <c r="C540" s="100" t="s">
        <v>1152</v>
      </c>
      <c r="D540" s="11"/>
      <c r="E540" s="1"/>
      <c r="F540" s="28"/>
      <c r="G540" s="28"/>
      <c r="H540" s="27"/>
      <c r="I540" s="27"/>
      <c r="J540" s="28"/>
      <c r="K540" s="28"/>
      <c r="L540" s="433"/>
      <c r="M540" s="8"/>
      <c r="Q540" s="8"/>
      <c r="R540" s="8"/>
      <c r="S540" s="8"/>
    </row>
    <row r="541" spans="1:19" s="7" customFormat="1">
      <c r="D541" s="11"/>
      <c r="E541" s="1"/>
      <c r="F541" s="28"/>
      <c r="G541" s="28"/>
      <c r="H541" s="27"/>
      <c r="I541" s="27"/>
      <c r="J541" s="27"/>
      <c r="K541" s="27"/>
      <c r="L541" s="433"/>
      <c r="M541" s="8"/>
      <c r="Q541" s="8"/>
      <c r="R541" s="8"/>
      <c r="S541" s="8"/>
    </row>
    <row r="542" spans="1:19" s="7" customFormat="1">
      <c r="D542" s="11"/>
      <c r="E542" s="1"/>
      <c r="F542" s="28"/>
      <c r="G542" s="28"/>
      <c r="H542" s="27"/>
      <c r="I542" s="27"/>
      <c r="J542" s="27"/>
      <c r="K542" s="27"/>
      <c r="L542" s="10"/>
      <c r="M542" s="8"/>
      <c r="Q542" s="8"/>
      <c r="R542" s="8"/>
      <c r="S542" s="8"/>
    </row>
    <row r="543" spans="1:19">
      <c r="D543" s="8"/>
      <c r="E543" s="1"/>
      <c r="F543" s="189"/>
      <c r="G543" s="189"/>
      <c r="H543" s="27"/>
      <c r="I543" s="27"/>
      <c r="M543" s="8"/>
      <c r="N543" s="27"/>
    </row>
    <row r="544" spans="1:19">
      <c r="D544" s="8"/>
      <c r="E544" s="1"/>
      <c r="F544" s="189"/>
      <c r="G544" s="189"/>
      <c r="H544" s="83"/>
      <c r="I544" s="83"/>
      <c r="J544" s="83"/>
      <c r="K544" s="83"/>
      <c r="L544" s="9"/>
      <c r="M544" s="8"/>
      <c r="N544" s="27"/>
    </row>
    <row r="545" spans="4:20">
      <c r="D545" s="8"/>
      <c r="E545" s="75"/>
      <c r="F545" s="189"/>
      <c r="G545" s="189"/>
      <c r="H545" s="83"/>
      <c r="I545" s="83"/>
      <c r="J545" s="83"/>
      <c r="K545" s="83"/>
      <c r="L545" s="83"/>
      <c r="M545" s="8"/>
      <c r="N545" s="27"/>
    </row>
    <row r="546" spans="4:20">
      <c r="D546" s="8"/>
      <c r="E546" s="75"/>
      <c r="F546" s="189"/>
      <c r="G546" s="189"/>
      <c r="H546" s="10"/>
      <c r="I546" s="10"/>
      <c r="J546" s="10"/>
      <c r="K546" s="10"/>
      <c r="M546" s="8"/>
      <c r="N546" s="7"/>
    </row>
    <row r="547" spans="4:20">
      <c r="D547" s="8"/>
      <c r="E547" s="75"/>
      <c r="F547" s="189"/>
      <c r="G547" s="189"/>
      <c r="H547" s="10"/>
      <c r="I547" s="10"/>
      <c r="J547" s="10"/>
      <c r="K547" s="10"/>
      <c r="M547" s="75"/>
      <c r="N547" s="7"/>
    </row>
    <row r="548" spans="4:20">
      <c r="D548" s="8"/>
      <c r="E548" s="75"/>
      <c r="F548" s="189"/>
      <c r="G548" s="189"/>
      <c r="H548" s="10"/>
      <c r="I548" s="10"/>
      <c r="J548" s="10"/>
      <c r="K548" s="10"/>
      <c r="M548" s="8"/>
      <c r="N548" s="7"/>
    </row>
    <row r="549" spans="4:20">
      <c r="D549" s="8"/>
      <c r="E549" s="75"/>
      <c r="F549" s="189"/>
      <c r="G549" s="189"/>
      <c r="H549" s="10"/>
      <c r="I549" s="10"/>
      <c r="J549" s="10"/>
      <c r="K549" s="10"/>
      <c r="M549" s="10"/>
      <c r="N549" s="7"/>
    </row>
    <row r="550" spans="4:20">
      <c r="D550" s="8"/>
      <c r="F550" s="189"/>
      <c r="G550" s="189"/>
      <c r="H550" s="10"/>
      <c r="I550" s="10"/>
      <c r="J550" s="10"/>
      <c r="K550" s="10"/>
      <c r="M550" s="10"/>
      <c r="N550" s="7"/>
    </row>
    <row r="551" spans="4:20" s="7" customFormat="1">
      <c r="D551" s="8"/>
      <c r="E551" s="8"/>
      <c r="F551" s="189"/>
      <c r="G551" s="189"/>
      <c r="H551" s="10"/>
      <c r="I551" s="10"/>
      <c r="J551" s="10"/>
      <c r="K551" s="10"/>
      <c r="L551" s="10"/>
      <c r="M551" s="10"/>
      <c r="Q551" s="8"/>
      <c r="R551" s="8"/>
      <c r="S551" s="8"/>
      <c r="T551" s="8"/>
    </row>
    <row r="552" spans="4:20" s="7" customFormat="1">
      <c r="D552" s="8"/>
      <c r="E552" s="8"/>
      <c r="F552" s="189"/>
      <c r="G552" s="189"/>
      <c r="H552" s="10"/>
      <c r="I552" s="10"/>
      <c r="J552" s="10"/>
      <c r="K552" s="10"/>
      <c r="L552" s="10"/>
      <c r="M552" s="10"/>
      <c r="Q552" s="8"/>
      <c r="R552" s="8"/>
      <c r="S552" s="8"/>
      <c r="T552" s="8"/>
    </row>
    <row r="553" spans="4:20" s="7" customFormat="1">
      <c r="D553" s="8"/>
      <c r="E553" s="8"/>
      <c r="F553" s="189"/>
      <c r="G553" s="189"/>
      <c r="H553" s="10"/>
      <c r="I553" s="10"/>
      <c r="J553" s="10"/>
      <c r="K553" s="10"/>
      <c r="L553" s="10"/>
      <c r="M553" s="10"/>
      <c r="N553" s="27"/>
      <c r="Q553" s="8"/>
      <c r="R553" s="8"/>
      <c r="S553" s="8"/>
      <c r="T553" s="8"/>
    </row>
    <row r="554" spans="4:20" s="7" customFormat="1">
      <c r="D554" s="8"/>
      <c r="E554" s="8"/>
      <c r="F554" s="189"/>
      <c r="G554" s="189"/>
      <c r="H554" s="10"/>
      <c r="I554" s="10"/>
      <c r="J554" s="10"/>
      <c r="K554" s="10"/>
      <c r="L554" s="10"/>
      <c r="M554" s="10"/>
      <c r="Q554" s="8"/>
      <c r="R554" s="8"/>
      <c r="S554" s="8"/>
      <c r="T554" s="8"/>
    </row>
    <row r="555" spans="4:20" s="7" customFormat="1">
      <c r="D555" s="8"/>
      <c r="E555" s="8"/>
      <c r="F555" s="189"/>
      <c r="G555" s="189"/>
      <c r="H555" s="10"/>
      <c r="I555" s="10"/>
      <c r="J555" s="10"/>
      <c r="K555" s="10"/>
      <c r="L555" s="10"/>
      <c r="M555" s="8"/>
      <c r="Q555" s="8"/>
      <c r="R555" s="8"/>
      <c r="S555" s="8"/>
      <c r="T555" s="8"/>
    </row>
    <row r="556" spans="4:20" s="7" customFormat="1">
      <c r="D556" s="8"/>
      <c r="E556" s="8"/>
      <c r="F556" s="189"/>
      <c r="G556" s="189"/>
      <c r="H556" s="10"/>
      <c r="I556" s="10"/>
      <c r="J556" s="10"/>
      <c r="K556" s="10"/>
      <c r="L556" s="10"/>
      <c r="M556" s="8"/>
      <c r="Q556" s="8"/>
      <c r="R556" s="8"/>
      <c r="S556" s="8"/>
      <c r="T556" s="8"/>
    </row>
    <row r="557" spans="4:20" s="7" customFormat="1">
      <c r="D557" s="8"/>
      <c r="E557" s="8"/>
      <c r="F557" s="189"/>
      <c r="G557" s="189"/>
      <c r="H557" s="9"/>
      <c r="I557" s="9"/>
      <c r="J557" s="9"/>
      <c r="K557" s="9"/>
      <c r="L557" s="10"/>
      <c r="M557" s="8"/>
      <c r="Q557" s="8"/>
      <c r="R557" s="8"/>
      <c r="S557" s="8"/>
      <c r="T557" s="8"/>
    </row>
    <row r="558" spans="4:20" s="7" customFormat="1">
      <c r="D558" s="8"/>
      <c r="E558" s="8"/>
      <c r="F558" s="28"/>
      <c r="G558" s="28"/>
      <c r="H558" s="9"/>
      <c r="I558" s="9"/>
      <c r="J558" s="9"/>
      <c r="K558" s="9"/>
      <c r="L558" s="10"/>
      <c r="M558" s="8"/>
      <c r="Q558" s="8"/>
      <c r="R558" s="8"/>
      <c r="S558" s="8"/>
      <c r="T558" s="8"/>
    </row>
    <row r="559" spans="4:20" s="7" customFormat="1">
      <c r="D559" s="8"/>
      <c r="E559" s="8"/>
      <c r="F559" s="28"/>
      <c r="G559" s="28"/>
      <c r="H559" s="9"/>
      <c r="I559" s="9"/>
      <c r="J559" s="9"/>
      <c r="K559" s="9"/>
      <c r="L559" s="10"/>
      <c r="M559" s="8"/>
      <c r="Q559" s="8"/>
      <c r="R559" s="8"/>
      <c r="S559" s="8"/>
      <c r="T559" s="8"/>
    </row>
    <row r="560" spans="4:20" s="7" customFormat="1">
      <c r="D560" s="8"/>
      <c r="E560" s="8"/>
      <c r="F560" s="28"/>
      <c r="G560" s="28"/>
      <c r="H560" s="9"/>
      <c r="I560" s="9"/>
      <c r="J560" s="9"/>
      <c r="K560" s="9"/>
      <c r="L560" s="10"/>
      <c r="M560" s="8"/>
      <c r="Q560" s="8"/>
      <c r="R560" s="8"/>
      <c r="S560" s="8"/>
      <c r="T560" s="8"/>
    </row>
    <row r="561" spans="4:20" s="7" customFormat="1">
      <c r="D561" s="8"/>
      <c r="E561" s="8"/>
      <c r="F561" s="28"/>
      <c r="G561" s="28"/>
      <c r="H561" s="9"/>
      <c r="I561" s="9"/>
      <c r="J561" s="9"/>
      <c r="K561" s="9"/>
      <c r="L561" s="10"/>
      <c r="M561" s="8"/>
      <c r="Q561" s="8"/>
      <c r="R561" s="8"/>
      <c r="S561" s="8"/>
      <c r="T561" s="8"/>
    </row>
    <row r="562" spans="4:20" s="7" customFormat="1">
      <c r="D562" s="8"/>
      <c r="E562" s="8"/>
      <c r="F562" s="28"/>
      <c r="G562" s="28"/>
      <c r="H562" s="9"/>
      <c r="I562" s="9"/>
      <c r="J562" s="9"/>
      <c r="K562" s="9"/>
      <c r="L562" s="10"/>
      <c r="M562" s="8"/>
      <c r="Q562" s="8"/>
      <c r="R562" s="8"/>
      <c r="S562" s="8"/>
      <c r="T562" s="8"/>
    </row>
    <row r="563" spans="4:20" s="7" customFormat="1">
      <c r="D563" s="8"/>
      <c r="E563" s="8"/>
      <c r="F563" s="28"/>
      <c r="G563" s="28"/>
      <c r="H563" s="9"/>
      <c r="I563" s="9"/>
      <c r="J563" s="9"/>
      <c r="K563" s="9"/>
      <c r="L563" s="10"/>
      <c r="M563" s="8"/>
      <c r="Q563" s="8"/>
      <c r="R563" s="8"/>
      <c r="S563" s="8"/>
      <c r="T563" s="8"/>
    </row>
    <row r="564" spans="4:20" s="7" customFormat="1">
      <c r="D564" s="8"/>
      <c r="E564" s="8"/>
      <c r="F564" s="28"/>
      <c r="G564" s="28"/>
      <c r="H564" s="9"/>
      <c r="I564" s="9"/>
      <c r="J564" s="9"/>
      <c r="K564" s="9"/>
      <c r="L564" s="10"/>
      <c r="M564" s="8"/>
      <c r="Q564" s="8"/>
      <c r="R564" s="8"/>
      <c r="S564" s="8"/>
      <c r="T564" s="8"/>
    </row>
    <row r="565" spans="4:20" s="7" customFormat="1">
      <c r="D565" s="8"/>
      <c r="E565" s="8"/>
      <c r="F565" s="28"/>
      <c r="G565" s="28"/>
      <c r="H565" s="9"/>
      <c r="I565" s="9"/>
      <c r="J565" s="9"/>
      <c r="K565" s="9"/>
      <c r="L565" s="10"/>
      <c r="M565" s="8"/>
      <c r="Q565" s="8"/>
      <c r="R565" s="8"/>
      <c r="S565" s="8"/>
      <c r="T565" s="8"/>
    </row>
    <row r="566" spans="4:20" s="7" customFormat="1">
      <c r="D566" s="8"/>
      <c r="E566" s="8"/>
      <c r="F566" s="28"/>
      <c r="G566" s="28"/>
      <c r="H566" s="9"/>
      <c r="I566" s="9"/>
      <c r="J566" s="9"/>
      <c r="K566" s="9"/>
      <c r="L566" s="10"/>
      <c r="M566" s="8"/>
      <c r="Q566" s="8"/>
      <c r="R566" s="8"/>
      <c r="S566" s="8"/>
      <c r="T566" s="8"/>
    </row>
    <row r="567" spans="4:20" s="7" customFormat="1">
      <c r="D567" s="8"/>
      <c r="E567" s="8"/>
      <c r="F567" s="28"/>
      <c r="G567" s="28"/>
      <c r="H567" s="9"/>
      <c r="I567" s="9"/>
      <c r="J567" s="9"/>
      <c r="K567" s="9"/>
      <c r="L567" s="10"/>
      <c r="M567" s="8"/>
      <c r="Q567" s="8"/>
      <c r="R567" s="8"/>
      <c r="S567" s="8"/>
      <c r="T567" s="8"/>
    </row>
    <row r="568" spans="4:20" s="7" customFormat="1">
      <c r="D568" s="8"/>
      <c r="E568" s="8"/>
      <c r="F568" s="28"/>
      <c r="G568" s="28"/>
      <c r="H568" s="9"/>
      <c r="I568" s="9"/>
      <c r="J568" s="9"/>
      <c r="K568" s="9"/>
      <c r="L568" s="10"/>
      <c r="M568" s="8"/>
      <c r="Q568" s="8"/>
      <c r="R568" s="8"/>
      <c r="S568" s="8"/>
      <c r="T568" s="8"/>
    </row>
    <row r="569" spans="4:20" s="7" customFormat="1">
      <c r="D569" s="8"/>
      <c r="E569" s="8"/>
      <c r="F569" s="28"/>
      <c r="G569" s="28"/>
      <c r="H569" s="9"/>
      <c r="I569" s="9"/>
      <c r="J569" s="9"/>
      <c r="K569" s="9"/>
      <c r="L569" s="10"/>
      <c r="M569" s="8"/>
      <c r="Q569" s="8"/>
      <c r="R569" s="8"/>
      <c r="S569" s="8"/>
      <c r="T569" s="8"/>
    </row>
    <row r="570" spans="4:20" s="7" customFormat="1">
      <c r="D570" s="8"/>
      <c r="E570" s="8"/>
      <c r="F570" s="28"/>
      <c r="G570" s="28"/>
      <c r="H570" s="9"/>
      <c r="I570" s="9"/>
      <c r="J570" s="9"/>
      <c r="K570" s="9"/>
      <c r="L570" s="10"/>
      <c r="M570" s="8"/>
      <c r="Q570" s="8"/>
      <c r="R570" s="8"/>
      <c r="S570" s="8"/>
      <c r="T570" s="8"/>
    </row>
    <row r="571" spans="4:20" s="7" customFormat="1">
      <c r="D571" s="8"/>
      <c r="E571" s="8"/>
      <c r="F571" s="28"/>
      <c r="G571" s="28"/>
      <c r="H571" s="9"/>
      <c r="I571" s="9"/>
      <c r="J571" s="9"/>
      <c r="K571" s="9"/>
      <c r="L571" s="10"/>
      <c r="M571" s="8"/>
      <c r="Q571" s="8"/>
      <c r="R571" s="8"/>
      <c r="S571" s="8"/>
      <c r="T571" s="8"/>
    </row>
    <row r="572" spans="4:20" s="7" customFormat="1">
      <c r="D572" s="8"/>
      <c r="E572" s="8"/>
      <c r="F572" s="28"/>
      <c r="G572" s="28"/>
      <c r="H572" s="9"/>
      <c r="I572" s="9"/>
      <c r="J572" s="9"/>
      <c r="K572" s="9"/>
      <c r="L572" s="10"/>
      <c r="M572" s="8"/>
      <c r="Q572" s="8"/>
      <c r="R572" s="8"/>
      <c r="S572" s="8"/>
      <c r="T572" s="8"/>
    </row>
    <row r="573" spans="4:20" s="7" customFormat="1">
      <c r="D573" s="8"/>
      <c r="E573" s="8"/>
      <c r="F573" s="28"/>
      <c r="G573" s="28"/>
      <c r="H573" s="9"/>
      <c r="I573" s="9"/>
      <c r="J573" s="9"/>
      <c r="K573" s="9"/>
      <c r="L573" s="10"/>
      <c r="M573" s="8"/>
      <c r="Q573" s="8"/>
      <c r="R573" s="8"/>
      <c r="S573" s="8"/>
      <c r="T573" s="8"/>
    </row>
    <row r="574" spans="4:20" s="7" customFormat="1">
      <c r="D574" s="8"/>
      <c r="E574" s="8"/>
      <c r="F574" s="28"/>
      <c r="G574" s="28"/>
      <c r="H574" s="9"/>
      <c r="I574" s="9"/>
      <c r="J574" s="9"/>
      <c r="K574" s="9"/>
      <c r="L574" s="10"/>
      <c r="M574" s="8"/>
      <c r="Q574" s="8"/>
      <c r="R574" s="8"/>
      <c r="S574" s="8"/>
      <c r="T574" s="8"/>
    </row>
    <row r="575" spans="4:20" s="7" customFormat="1">
      <c r="D575" s="8"/>
      <c r="E575" s="8"/>
      <c r="F575" s="28"/>
      <c r="G575" s="28"/>
      <c r="H575" s="9"/>
      <c r="I575" s="9"/>
      <c r="J575" s="9"/>
      <c r="K575" s="9"/>
      <c r="L575" s="10"/>
      <c r="M575" s="8"/>
      <c r="Q575" s="8"/>
      <c r="R575" s="8"/>
      <c r="S575" s="8"/>
      <c r="T575" s="8"/>
    </row>
    <row r="576" spans="4:20" s="7" customFormat="1">
      <c r="D576" s="8"/>
      <c r="E576" s="8"/>
      <c r="F576" s="28"/>
      <c r="G576" s="28"/>
      <c r="H576" s="9"/>
      <c r="I576" s="9"/>
      <c r="J576" s="9"/>
      <c r="K576" s="9"/>
      <c r="L576" s="10"/>
      <c r="M576" s="8"/>
      <c r="Q576" s="8"/>
      <c r="R576" s="8"/>
      <c r="S576" s="8"/>
      <c r="T576" s="8"/>
    </row>
    <row r="577" spans="4:20" s="7" customFormat="1">
      <c r="D577" s="8"/>
      <c r="E577" s="8"/>
      <c r="F577" s="28"/>
      <c r="G577" s="28"/>
      <c r="H577" s="9"/>
      <c r="I577" s="9"/>
      <c r="J577" s="9"/>
      <c r="K577" s="9"/>
      <c r="L577" s="10"/>
      <c r="M577" s="8"/>
      <c r="Q577" s="8"/>
      <c r="R577" s="8"/>
      <c r="S577" s="8"/>
      <c r="T577" s="8"/>
    </row>
    <row r="578" spans="4:20" s="7" customFormat="1">
      <c r="D578" s="8"/>
      <c r="E578" s="8"/>
      <c r="F578" s="28"/>
      <c r="G578" s="28"/>
      <c r="H578" s="9"/>
      <c r="I578" s="9"/>
      <c r="J578" s="9"/>
      <c r="K578" s="9"/>
      <c r="L578" s="10"/>
      <c r="M578" s="8"/>
      <c r="Q578" s="8"/>
      <c r="R578" s="8"/>
      <c r="S578" s="8"/>
      <c r="T578" s="8"/>
    </row>
    <row r="579" spans="4:20" s="7" customFormat="1">
      <c r="D579" s="8"/>
      <c r="E579" s="8"/>
      <c r="F579" s="28"/>
      <c r="G579" s="28"/>
      <c r="H579" s="9"/>
      <c r="I579" s="9"/>
      <c r="J579" s="9"/>
      <c r="K579" s="9"/>
      <c r="L579" s="10"/>
      <c r="M579" s="8"/>
      <c r="Q579" s="8"/>
      <c r="R579" s="8"/>
      <c r="S579" s="8"/>
      <c r="T579" s="8"/>
    </row>
    <row r="580" spans="4:20" s="7" customFormat="1">
      <c r="D580" s="8"/>
      <c r="E580" s="8"/>
      <c r="F580" s="28"/>
      <c r="G580" s="28"/>
      <c r="H580" s="9"/>
      <c r="I580" s="9"/>
      <c r="J580" s="9"/>
      <c r="K580" s="9"/>
      <c r="L580" s="10"/>
      <c r="M580" s="8"/>
      <c r="Q580" s="8"/>
      <c r="R580" s="8"/>
      <c r="S580" s="8"/>
      <c r="T580" s="8"/>
    </row>
    <row r="581" spans="4:20" s="7" customFormat="1">
      <c r="D581" s="8"/>
      <c r="E581" s="8"/>
      <c r="F581" s="28"/>
      <c r="G581" s="28"/>
      <c r="H581" s="9"/>
      <c r="I581" s="9"/>
      <c r="J581" s="9"/>
      <c r="K581" s="9"/>
      <c r="L581" s="10"/>
      <c r="M581" s="8"/>
      <c r="Q581" s="8"/>
      <c r="R581" s="8"/>
      <c r="S581" s="8"/>
      <c r="T581" s="8"/>
    </row>
    <row r="582" spans="4:20" s="7" customFormat="1">
      <c r="D582" s="8"/>
      <c r="E582" s="8"/>
      <c r="F582" s="28"/>
      <c r="G582" s="28"/>
      <c r="H582" s="9"/>
      <c r="I582" s="9"/>
      <c r="J582" s="9"/>
      <c r="K582" s="9"/>
      <c r="L582" s="10"/>
      <c r="M582" s="8"/>
      <c r="Q582" s="8"/>
      <c r="R582" s="8"/>
      <c r="S582" s="8"/>
      <c r="T582" s="8"/>
    </row>
    <row r="583" spans="4:20" s="7" customFormat="1">
      <c r="D583" s="8"/>
      <c r="E583" s="8"/>
      <c r="F583" s="28"/>
      <c r="G583" s="28"/>
      <c r="H583" s="9"/>
      <c r="I583" s="9"/>
      <c r="J583" s="9"/>
      <c r="K583" s="9"/>
      <c r="L583" s="10"/>
      <c r="M583" s="8"/>
      <c r="Q583" s="8"/>
      <c r="R583" s="8"/>
      <c r="S583" s="8"/>
      <c r="T583" s="8"/>
    </row>
    <row r="584" spans="4:20" s="7" customFormat="1">
      <c r="D584" s="8"/>
      <c r="E584" s="8"/>
      <c r="F584" s="28"/>
      <c r="G584" s="28"/>
      <c r="H584" s="9"/>
      <c r="I584" s="9"/>
      <c r="J584" s="9"/>
      <c r="K584" s="9"/>
      <c r="L584" s="10"/>
      <c r="M584" s="8"/>
      <c r="Q584" s="8"/>
      <c r="R584" s="8"/>
      <c r="S584" s="8"/>
      <c r="T584" s="8"/>
    </row>
    <row r="585" spans="4:20" s="7" customFormat="1">
      <c r="D585" s="8"/>
      <c r="E585" s="8"/>
      <c r="F585" s="28"/>
      <c r="G585" s="28"/>
      <c r="H585" s="9"/>
      <c r="I585" s="9"/>
      <c r="J585" s="9"/>
      <c r="K585" s="9"/>
      <c r="L585" s="10"/>
      <c r="M585" s="8"/>
      <c r="Q585" s="8"/>
      <c r="R585" s="8"/>
      <c r="S585" s="8"/>
      <c r="T585" s="8"/>
    </row>
    <row r="586" spans="4:20" s="7" customFormat="1">
      <c r="D586" s="8"/>
      <c r="E586" s="8"/>
      <c r="F586" s="28"/>
      <c r="G586" s="28"/>
      <c r="H586" s="9"/>
      <c r="I586" s="9"/>
      <c r="J586" s="9"/>
      <c r="K586" s="9"/>
      <c r="L586" s="10"/>
      <c r="M586" s="8"/>
      <c r="Q586" s="8"/>
      <c r="R586" s="8"/>
      <c r="S586" s="8"/>
      <c r="T586" s="8"/>
    </row>
    <row r="587" spans="4:20" s="7" customFormat="1">
      <c r="D587" s="8"/>
      <c r="E587" s="8"/>
      <c r="F587" s="28"/>
      <c r="G587" s="28"/>
      <c r="H587" s="9"/>
      <c r="I587" s="9"/>
      <c r="J587" s="9"/>
      <c r="K587" s="9"/>
      <c r="L587" s="10"/>
      <c r="M587" s="8"/>
      <c r="Q587" s="8"/>
      <c r="R587" s="8"/>
      <c r="S587" s="8"/>
      <c r="T587" s="8"/>
    </row>
    <row r="588" spans="4:20" s="7" customFormat="1">
      <c r="D588" s="8"/>
      <c r="E588" s="8"/>
      <c r="F588" s="28"/>
      <c r="G588" s="28"/>
      <c r="H588" s="9"/>
      <c r="I588" s="9"/>
      <c r="J588" s="9"/>
      <c r="K588" s="9"/>
      <c r="L588" s="10"/>
      <c r="M588" s="8"/>
      <c r="Q588" s="8"/>
      <c r="R588" s="8"/>
      <c r="S588" s="8"/>
      <c r="T588" s="8"/>
    </row>
    <row r="589" spans="4:20" s="7" customFormat="1">
      <c r="D589" s="8"/>
      <c r="E589" s="8"/>
      <c r="F589" s="28"/>
      <c r="G589" s="28"/>
      <c r="H589" s="9"/>
      <c r="I589" s="9"/>
      <c r="J589" s="9"/>
      <c r="K589" s="9"/>
      <c r="L589" s="10"/>
      <c r="M589" s="8"/>
      <c r="Q589" s="8"/>
      <c r="R589" s="8"/>
      <c r="S589" s="8"/>
      <c r="T589" s="8"/>
    </row>
    <row r="590" spans="4:20" s="7" customFormat="1">
      <c r="D590" s="8"/>
      <c r="E590" s="8"/>
      <c r="F590" s="28"/>
      <c r="G590" s="28"/>
      <c r="H590" s="9"/>
      <c r="I590" s="9"/>
      <c r="J590" s="9"/>
      <c r="K590" s="9"/>
      <c r="L590" s="10"/>
      <c r="M590" s="8"/>
      <c r="Q590" s="8"/>
      <c r="R590" s="8"/>
      <c r="S590" s="8"/>
      <c r="T590" s="8"/>
    </row>
    <row r="591" spans="4:20" s="7" customFormat="1">
      <c r="D591" s="8"/>
      <c r="E591" s="8"/>
      <c r="F591" s="28"/>
      <c r="G591" s="28"/>
      <c r="H591" s="9"/>
      <c r="I591" s="9"/>
      <c r="J591" s="9"/>
      <c r="K591" s="9"/>
      <c r="L591" s="10"/>
      <c r="M591" s="8"/>
      <c r="Q591" s="8"/>
      <c r="R591" s="8"/>
      <c r="S591" s="8"/>
      <c r="T591" s="8"/>
    </row>
    <row r="592" spans="4:20" s="7" customFormat="1">
      <c r="D592" s="8"/>
      <c r="E592" s="8"/>
      <c r="F592" s="28"/>
      <c r="G592" s="28"/>
      <c r="H592" s="9"/>
      <c r="I592" s="9"/>
      <c r="J592" s="9"/>
      <c r="K592" s="9"/>
      <c r="L592" s="10"/>
      <c r="M592" s="8"/>
      <c r="Q592" s="8"/>
      <c r="R592" s="8"/>
      <c r="S592" s="8"/>
      <c r="T592" s="8"/>
    </row>
    <row r="593" spans="4:20" s="7" customFormat="1">
      <c r="D593" s="8"/>
      <c r="E593" s="8"/>
      <c r="F593" s="28"/>
      <c r="G593" s="28"/>
      <c r="H593" s="9"/>
      <c r="I593" s="9"/>
      <c r="J593" s="9"/>
      <c r="K593" s="9"/>
      <c r="L593" s="10"/>
      <c r="M593" s="8"/>
      <c r="Q593" s="8"/>
      <c r="R593" s="8"/>
      <c r="S593" s="8"/>
      <c r="T593" s="8"/>
    </row>
    <row r="594" spans="4:20" s="7" customFormat="1">
      <c r="D594" s="8"/>
      <c r="E594" s="8"/>
      <c r="F594" s="28"/>
      <c r="G594" s="28"/>
      <c r="H594" s="9"/>
      <c r="I594" s="9"/>
      <c r="J594" s="9"/>
      <c r="K594" s="9"/>
      <c r="L594" s="10"/>
      <c r="M594" s="8"/>
      <c r="Q594" s="8"/>
      <c r="R594" s="8"/>
      <c r="S594" s="8"/>
      <c r="T594" s="8"/>
    </row>
    <row r="595" spans="4:20" s="7" customFormat="1">
      <c r="D595" s="8"/>
      <c r="E595" s="8"/>
      <c r="F595" s="28"/>
      <c r="G595" s="28"/>
      <c r="H595" s="9"/>
      <c r="I595" s="9"/>
      <c r="J595" s="9"/>
      <c r="K595" s="9"/>
      <c r="L595" s="10"/>
      <c r="M595" s="8"/>
      <c r="Q595" s="8"/>
      <c r="R595" s="8"/>
      <c r="S595" s="8"/>
      <c r="T595" s="8"/>
    </row>
    <row r="596" spans="4:20" s="7" customFormat="1">
      <c r="D596" s="8"/>
      <c r="E596" s="8"/>
      <c r="F596" s="28"/>
      <c r="G596" s="28"/>
      <c r="H596" s="9"/>
      <c r="I596" s="9"/>
      <c r="J596" s="9"/>
      <c r="K596" s="9"/>
      <c r="L596" s="10"/>
      <c r="M596" s="8"/>
      <c r="Q596" s="8"/>
      <c r="R596" s="8"/>
      <c r="S596" s="8"/>
      <c r="T596" s="8"/>
    </row>
    <row r="597" spans="4:20" s="7" customFormat="1">
      <c r="D597" s="8"/>
      <c r="E597" s="8"/>
      <c r="F597" s="28"/>
      <c r="G597" s="28"/>
      <c r="H597" s="9"/>
      <c r="I597" s="9"/>
      <c r="J597" s="9"/>
      <c r="K597" s="9"/>
      <c r="L597" s="10"/>
      <c r="M597" s="8"/>
      <c r="Q597" s="8"/>
      <c r="R597" s="8"/>
      <c r="S597" s="8"/>
      <c r="T597" s="8"/>
    </row>
    <row r="598" spans="4:20" s="7" customFormat="1">
      <c r="D598" s="8"/>
      <c r="E598" s="8"/>
      <c r="F598" s="28"/>
      <c r="G598" s="28"/>
      <c r="H598" s="9"/>
      <c r="I598" s="9"/>
      <c r="J598" s="9"/>
      <c r="K598" s="9"/>
      <c r="L598" s="10"/>
      <c r="M598" s="8"/>
      <c r="Q598" s="8"/>
      <c r="R598" s="8"/>
      <c r="S598" s="8"/>
      <c r="T598" s="8"/>
    </row>
    <row r="599" spans="4:20" s="7" customFormat="1">
      <c r="D599" s="8"/>
      <c r="E599" s="8"/>
      <c r="F599" s="28"/>
      <c r="G599" s="28"/>
      <c r="H599" s="9"/>
      <c r="I599" s="9"/>
      <c r="J599" s="9"/>
      <c r="K599" s="9"/>
      <c r="L599" s="10"/>
      <c r="M599" s="8"/>
      <c r="Q599" s="8"/>
      <c r="R599" s="8"/>
      <c r="S599" s="8"/>
      <c r="T599" s="8"/>
    </row>
    <row r="600" spans="4:20" s="7" customFormat="1">
      <c r="D600" s="8"/>
      <c r="E600" s="8"/>
      <c r="F600" s="28"/>
      <c r="G600" s="28"/>
      <c r="H600" s="9"/>
      <c r="I600" s="9"/>
      <c r="J600" s="9"/>
      <c r="K600" s="9"/>
      <c r="L600" s="10"/>
      <c r="M600" s="8"/>
      <c r="Q600" s="8"/>
      <c r="R600" s="8"/>
      <c r="S600" s="8"/>
      <c r="T600" s="8"/>
    </row>
    <row r="601" spans="4:20" s="7" customFormat="1">
      <c r="D601" s="8"/>
      <c r="E601" s="8"/>
      <c r="F601" s="28"/>
      <c r="G601" s="28"/>
      <c r="H601" s="9"/>
      <c r="I601" s="9"/>
      <c r="J601" s="9"/>
      <c r="K601" s="9"/>
      <c r="L601" s="10"/>
      <c r="M601" s="8"/>
      <c r="Q601" s="8"/>
      <c r="R601" s="8"/>
      <c r="S601" s="8"/>
      <c r="T601" s="8"/>
    </row>
    <row r="602" spans="4:20" s="7" customFormat="1">
      <c r="D602" s="8"/>
      <c r="E602" s="8"/>
      <c r="F602" s="28"/>
      <c r="G602" s="28"/>
      <c r="H602" s="9"/>
      <c r="I602" s="9"/>
      <c r="J602" s="9"/>
      <c r="K602" s="9"/>
      <c r="L602" s="10"/>
      <c r="M602" s="8"/>
      <c r="Q602" s="8"/>
      <c r="R602" s="8"/>
      <c r="S602" s="8"/>
      <c r="T602" s="8"/>
    </row>
    <row r="603" spans="4:20" s="7" customFormat="1">
      <c r="D603" s="8"/>
      <c r="E603" s="8"/>
      <c r="F603" s="28"/>
      <c r="G603" s="28"/>
      <c r="H603" s="9"/>
      <c r="I603" s="9"/>
      <c r="J603" s="9"/>
      <c r="K603" s="9"/>
      <c r="L603" s="10"/>
      <c r="M603" s="8"/>
      <c r="Q603" s="8"/>
      <c r="R603" s="8"/>
      <c r="S603" s="8"/>
      <c r="T603" s="8"/>
    </row>
    <row r="604" spans="4:20" s="7" customFormat="1">
      <c r="D604" s="8"/>
      <c r="E604" s="8"/>
      <c r="F604" s="28"/>
      <c r="G604" s="28"/>
      <c r="H604" s="9"/>
      <c r="I604" s="9"/>
      <c r="J604" s="9"/>
      <c r="K604" s="9"/>
      <c r="L604" s="10"/>
      <c r="M604" s="8"/>
      <c r="Q604" s="8"/>
      <c r="R604" s="8"/>
      <c r="S604" s="8"/>
      <c r="T604" s="8"/>
    </row>
    <row r="605" spans="4:20" s="7" customFormat="1">
      <c r="D605" s="8"/>
      <c r="E605" s="8"/>
      <c r="F605" s="28"/>
      <c r="G605" s="28"/>
      <c r="H605" s="9"/>
      <c r="I605" s="9"/>
      <c r="J605" s="9"/>
      <c r="K605" s="9"/>
      <c r="L605" s="10"/>
      <c r="M605" s="8"/>
      <c r="Q605" s="8"/>
      <c r="R605" s="8"/>
      <c r="S605" s="8"/>
      <c r="T605" s="8"/>
    </row>
    <row r="606" spans="4:20" s="7" customFormat="1">
      <c r="D606" s="8"/>
      <c r="E606" s="8"/>
      <c r="F606" s="28"/>
      <c r="G606" s="28"/>
      <c r="H606" s="9"/>
      <c r="I606" s="9"/>
      <c r="J606" s="9"/>
      <c r="K606" s="9"/>
      <c r="L606" s="10"/>
      <c r="M606" s="8"/>
      <c r="Q606" s="8"/>
      <c r="R606" s="8"/>
      <c r="S606" s="8"/>
      <c r="T606" s="8"/>
    </row>
    <row r="607" spans="4:20" s="7" customFormat="1">
      <c r="D607" s="8"/>
      <c r="E607" s="8"/>
      <c r="F607" s="28"/>
      <c r="G607" s="28"/>
      <c r="H607" s="9"/>
      <c r="I607" s="9"/>
      <c r="J607" s="9"/>
      <c r="K607" s="9"/>
      <c r="L607" s="10"/>
      <c r="M607" s="8"/>
      <c r="Q607" s="8"/>
      <c r="R607" s="8"/>
      <c r="S607" s="8"/>
      <c r="T607" s="8"/>
    </row>
    <row r="608" spans="4:20" s="7" customFormat="1">
      <c r="D608" s="8"/>
      <c r="E608" s="8"/>
      <c r="F608" s="28"/>
      <c r="G608" s="28"/>
      <c r="H608" s="9"/>
      <c r="I608" s="9"/>
      <c r="J608" s="9"/>
      <c r="K608" s="9"/>
      <c r="L608" s="10"/>
      <c r="M608" s="8"/>
      <c r="Q608" s="8"/>
      <c r="R608" s="8"/>
      <c r="S608" s="8"/>
      <c r="T608" s="8"/>
    </row>
    <row r="609" spans="4:20" s="7" customFormat="1">
      <c r="D609" s="8"/>
      <c r="E609" s="8"/>
      <c r="F609" s="28"/>
      <c r="G609" s="28"/>
      <c r="H609" s="9"/>
      <c r="I609" s="9"/>
      <c r="J609" s="9"/>
      <c r="K609" s="9"/>
      <c r="L609" s="10"/>
      <c r="M609" s="8"/>
      <c r="Q609" s="8"/>
      <c r="R609" s="8"/>
      <c r="S609" s="8"/>
      <c r="T609" s="8"/>
    </row>
    <row r="610" spans="4:20" s="7" customFormat="1">
      <c r="D610" s="8"/>
      <c r="E610" s="8"/>
      <c r="F610" s="28"/>
      <c r="G610" s="28"/>
      <c r="H610" s="9"/>
      <c r="I610" s="9"/>
      <c r="J610" s="9"/>
      <c r="K610" s="9"/>
      <c r="L610" s="10"/>
      <c r="M610" s="8"/>
      <c r="Q610" s="8"/>
      <c r="R610" s="8"/>
      <c r="S610" s="8"/>
      <c r="T610" s="8"/>
    </row>
    <row r="611" spans="4:20" s="7" customFormat="1">
      <c r="D611" s="8"/>
      <c r="E611" s="8"/>
      <c r="F611" s="28"/>
      <c r="G611" s="28"/>
      <c r="H611" s="9"/>
      <c r="I611" s="9"/>
      <c r="J611" s="9"/>
      <c r="K611" s="9"/>
      <c r="L611" s="10"/>
      <c r="M611" s="8"/>
      <c r="Q611" s="8"/>
      <c r="R611" s="8"/>
      <c r="S611" s="8"/>
      <c r="T611" s="8"/>
    </row>
    <row r="612" spans="4:20" s="7" customFormat="1">
      <c r="D612" s="8"/>
      <c r="E612" s="8"/>
      <c r="F612" s="28"/>
      <c r="G612" s="28"/>
      <c r="H612" s="9"/>
      <c r="I612" s="9"/>
      <c r="J612" s="9"/>
      <c r="K612" s="9"/>
      <c r="L612" s="10"/>
      <c r="M612" s="8"/>
      <c r="Q612" s="8"/>
      <c r="R612" s="8"/>
      <c r="S612" s="8"/>
      <c r="T612" s="8"/>
    </row>
    <row r="613" spans="4:20" s="7" customFormat="1">
      <c r="D613" s="8"/>
      <c r="E613" s="8"/>
      <c r="F613" s="28"/>
      <c r="G613" s="28"/>
      <c r="H613" s="9"/>
      <c r="I613" s="9"/>
      <c r="J613" s="9"/>
      <c r="K613" s="9"/>
      <c r="L613" s="10"/>
      <c r="M613" s="8"/>
      <c r="Q613" s="8"/>
      <c r="R613" s="8"/>
      <c r="S613" s="8"/>
      <c r="T613" s="8"/>
    </row>
    <row r="614" spans="4:20" s="7" customFormat="1">
      <c r="D614" s="8"/>
      <c r="E614" s="8"/>
      <c r="F614" s="28"/>
      <c r="G614" s="28"/>
      <c r="H614" s="9"/>
      <c r="I614" s="9"/>
      <c r="J614" s="9"/>
      <c r="K614" s="9"/>
      <c r="L614" s="10"/>
      <c r="M614" s="13"/>
      <c r="Q614" s="8"/>
      <c r="R614" s="8"/>
      <c r="S614" s="8"/>
      <c r="T614" s="8"/>
    </row>
    <row r="615" spans="4:20" s="7" customFormat="1">
      <c r="D615" s="8"/>
      <c r="E615" s="8"/>
      <c r="F615" s="28"/>
      <c r="G615" s="28"/>
      <c r="H615" s="9"/>
      <c r="I615" s="9"/>
      <c r="J615" s="9"/>
      <c r="K615" s="9"/>
      <c r="L615" s="10"/>
      <c r="M615" s="13"/>
      <c r="Q615" s="8"/>
      <c r="R615" s="8"/>
      <c r="S615" s="8"/>
      <c r="T615" s="8"/>
    </row>
    <row r="616" spans="4:20" s="7" customFormat="1">
      <c r="D616" s="8"/>
      <c r="E616" s="8"/>
      <c r="F616" s="28"/>
      <c r="G616" s="28"/>
      <c r="H616" s="9"/>
      <c r="I616" s="9"/>
      <c r="J616" s="9"/>
      <c r="K616" s="9"/>
      <c r="L616" s="10"/>
      <c r="M616" s="13"/>
      <c r="Q616" s="8"/>
      <c r="R616" s="8"/>
      <c r="S616" s="8"/>
      <c r="T616" s="8"/>
    </row>
    <row r="617" spans="4:20" s="7" customFormat="1">
      <c r="D617" s="8"/>
      <c r="E617" s="8"/>
      <c r="F617" s="28"/>
      <c r="G617" s="28"/>
      <c r="H617" s="9"/>
      <c r="I617" s="9"/>
      <c r="J617" s="9"/>
      <c r="K617" s="9"/>
      <c r="L617" s="10"/>
      <c r="M617" s="13"/>
      <c r="Q617" s="8"/>
      <c r="R617" s="8"/>
      <c r="S617" s="8"/>
      <c r="T617" s="8"/>
    </row>
    <row r="618" spans="4:20" s="7" customFormat="1">
      <c r="D618" s="13"/>
      <c r="E618" s="8"/>
      <c r="F618" s="28"/>
      <c r="G618" s="28"/>
      <c r="H618" s="9"/>
      <c r="I618" s="9"/>
      <c r="J618" s="9"/>
      <c r="K618" s="9"/>
      <c r="L618" s="10"/>
      <c r="M618" s="13"/>
      <c r="Q618" s="8"/>
      <c r="R618" s="8"/>
      <c r="S618" s="8"/>
      <c r="T618" s="8"/>
    </row>
  </sheetData>
  <mergeCells count="4">
    <mergeCell ref="M258:M260"/>
    <mergeCell ref="M281:M283"/>
    <mergeCell ref="M421:M423"/>
    <mergeCell ref="M515:M523"/>
  </mergeCells>
  <hyperlinks>
    <hyperlink ref="F1" location="'Cover Sheets'!A18" display="(Back to Worksheet Links)" xr:uid="{00000000-0004-0000-0900-000000000000}"/>
  </hyperlinks>
  <printOptions horizontalCentered="1"/>
  <pageMargins left="0.75" right="0.75" top="0.75" bottom="0.65" header="0.5" footer="0.5"/>
  <pageSetup paperSize="17" scale="92" fitToHeight="0"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95"/>
  <sheetViews>
    <sheetView view="pageBreakPreview" topLeftCell="A8" zoomScale="90" zoomScaleNormal="100" zoomScaleSheetLayoutView="90" workbookViewId="0">
      <selection activeCell="G24" sqref="G24"/>
    </sheetView>
  </sheetViews>
  <sheetFormatPr defaultColWidth="9.140625" defaultRowHeight="12.75"/>
  <cols>
    <col min="1" max="3" width="10.42578125" style="30" customWidth="1"/>
    <col min="4" max="4" width="22.42578125" style="30" customWidth="1"/>
    <col min="5" max="5" width="42.5703125" style="30" customWidth="1"/>
    <col min="6" max="6" width="27.85546875" style="30" customWidth="1"/>
    <col min="7" max="7" width="22.5703125" style="216" bestFit="1" customWidth="1"/>
    <col min="8" max="8" width="16.5703125" style="30" customWidth="1"/>
    <col min="9" max="9" width="15" style="217" customWidth="1"/>
    <col min="10" max="10" width="22.5703125" style="30" customWidth="1"/>
    <col min="11" max="11" width="17.5703125" style="218" customWidth="1"/>
    <col min="12" max="12" width="12.5703125" style="30" bestFit="1" customWidth="1"/>
    <col min="13" max="13" width="11.5703125" style="30" bestFit="1" customWidth="1"/>
    <col min="14" max="16384" width="9.140625" style="30"/>
  </cols>
  <sheetData>
    <row r="1" spans="1:16" ht="15">
      <c r="A1" s="597" t="str">
        <f>'Cover Sheets'!A10:D10</f>
        <v>WAPA-UGP 2025 Rate Estimate Calculation</v>
      </c>
      <c r="B1" s="116"/>
      <c r="C1" s="116"/>
      <c r="D1" s="35"/>
      <c r="E1" s="94" t="s">
        <v>53</v>
      </c>
      <c r="F1" s="35"/>
      <c r="G1" s="141"/>
      <c r="H1" s="35"/>
      <c r="I1" s="77"/>
      <c r="J1" s="35"/>
      <c r="K1" s="210"/>
    </row>
    <row r="2" spans="1:16">
      <c r="A2" s="597" t="s">
        <v>2390</v>
      </c>
      <c r="B2" s="116"/>
      <c r="C2" s="116"/>
      <c r="D2" s="35"/>
      <c r="E2" s="35"/>
      <c r="F2" s="35"/>
      <c r="G2" s="141"/>
      <c r="H2" s="35"/>
      <c r="I2" s="77"/>
      <c r="J2" s="35"/>
      <c r="K2" s="210"/>
    </row>
    <row r="3" spans="1:16">
      <c r="A3" s="35" t="str">
        <f>'Summary-Est'!A3</f>
        <v>12 Months Ending 09/30/2025 Estimate</v>
      </c>
      <c r="B3" s="35"/>
      <c r="C3" s="35"/>
      <c r="D3" s="35"/>
      <c r="E3" s="112"/>
      <c r="F3" s="112"/>
      <c r="G3" s="112"/>
      <c r="H3" s="112"/>
      <c r="I3" s="112"/>
      <c r="J3" s="112"/>
      <c r="K3" s="211"/>
    </row>
    <row r="4" spans="1:16">
      <c r="A4" s="35"/>
      <c r="B4" s="209">
        <v>-1</v>
      </c>
      <c r="C4" s="209">
        <v>-2</v>
      </c>
      <c r="D4" s="209">
        <v>-3</v>
      </c>
      <c r="E4" s="209">
        <v>-4</v>
      </c>
      <c r="F4" s="209">
        <v>-5</v>
      </c>
      <c r="G4" s="209">
        <v>-6</v>
      </c>
      <c r="H4" s="209">
        <v>-7</v>
      </c>
      <c r="I4" s="209">
        <v>-8</v>
      </c>
      <c r="J4" s="209">
        <v>-9</v>
      </c>
      <c r="K4" s="209">
        <v>-10</v>
      </c>
    </row>
    <row r="5" spans="1:16" ht="38.25">
      <c r="A5" s="225" t="s">
        <v>68</v>
      </c>
      <c r="B5" s="225" t="s">
        <v>1289</v>
      </c>
      <c r="C5" s="225" t="s">
        <v>56</v>
      </c>
      <c r="D5" s="547" t="s">
        <v>106</v>
      </c>
      <c r="E5" s="226" t="s">
        <v>2444</v>
      </c>
      <c r="F5" s="227"/>
      <c r="G5" s="228" t="s">
        <v>1290</v>
      </c>
      <c r="H5" s="227"/>
      <c r="I5" s="229" t="s">
        <v>1291</v>
      </c>
      <c r="J5" s="229"/>
      <c r="K5" s="228" t="s">
        <v>2445</v>
      </c>
    </row>
    <row r="6" spans="1:16">
      <c r="A6" s="206">
        <v>1</v>
      </c>
      <c r="B6" s="206" t="s">
        <v>29</v>
      </c>
      <c r="C6" s="206" t="s">
        <v>79</v>
      </c>
      <c r="D6" s="212" t="s">
        <v>1292</v>
      </c>
      <c r="E6" s="213" t="s">
        <v>30</v>
      </c>
      <c r="F6" s="112"/>
      <c r="G6" s="98">
        <v>51813.31</v>
      </c>
      <c r="H6" s="112"/>
      <c r="I6" s="224"/>
      <c r="J6" s="112"/>
      <c r="K6" s="214">
        <f>SUM(G6:J6)</f>
        <v>51813.31</v>
      </c>
    </row>
    <row r="7" spans="1:16">
      <c r="A7" s="207">
        <f>A6+1</f>
        <v>2</v>
      </c>
      <c r="B7" s="207" t="s">
        <v>29</v>
      </c>
      <c r="C7" s="207" t="s">
        <v>79</v>
      </c>
      <c r="D7" s="212" t="s">
        <v>500</v>
      </c>
      <c r="E7" s="80" t="s">
        <v>31</v>
      </c>
      <c r="F7" s="112"/>
      <c r="G7" s="98">
        <f>(1840648+1461978.4)*0.67</f>
        <v>2212759.6880000001</v>
      </c>
      <c r="H7" s="112"/>
      <c r="I7" s="224"/>
      <c r="J7" s="112"/>
      <c r="K7" s="214">
        <f t="shared" ref="K7:K13" si="0">SUM(G7:J7)</f>
        <v>2212759.6880000001</v>
      </c>
    </row>
    <row r="8" spans="1:16">
      <c r="A8" s="207">
        <f>A7+1</f>
        <v>3</v>
      </c>
      <c r="B8" s="207" t="s">
        <v>29</v>
      </c>
      <c r="C8" s="207" t="s">
        <v>79</v>
      </c>
      <c r="D8" s="212" t="s">
        <v>500</v>
      </c>
      <c r="E8" s="80" t="s">
        <v>32</v>
      </c>
      <c r="F8" s="112"/>
      <c r="G8" s="98">
        <f>2827344+2245680.4</f>
        <v>5073024.4000000004</v>
      </c>
      <c r="H8" s="112"/>
      <c r="I8" s="224"/>
      <c r="J8" s="112"/>
      <c r="K8" s="214">
        <f t="shared" si="0"/>
        <v>5073024.4000000004</v>
      </c>
    </row>
    <row r="9" spans="1:16">
      <c r="A9" s="207">
        <f t="shared" ref="A9:A77" si="1">A8+1</f>
        <v>4</v>
      </c>
      <c r="B9" s="207" t="s">
        <v>29</v>
      </c>
      <c r="C9" s="207" t="s">
        <v>79</v>
      </c>
      <c r="D9" s="212" t="s">
        <v>566</v>
      </c>
      <c r="E9" s="80" t="s">
        <v>33</v>
      </c>
      <c r="F9" s="112"/>
      <c r="G9" s="40">
        <v>403</v>
      </c>
      <c r="H9" s="112"/>
      <c r="I9" s="224"/>
      <c r="J9" s="112"/>
      <c r="K9" s="214">
        <f t="shared" si="0"/>
        <v>403</v>
      </c>
    </row>
    <row r="10" spans="1:16">
      <c r="A10" s="207">
        <f t="shared" si="1"/>
        <v>5</v>
      </c>
      <c r="B10" s="207" t="s">
        <v>29</v>
      </c>
      <c r="C10" s="207" t="s">
        <v>79</v>
      </c>
      <c r="D10" s="212" t="s">
        <v>350</v>
      </c>
      <c r="E10" s="80" t="s">
        <v>34</v>
      </c>
      <c r="F10" s="112"/>
      <c r="G10" s="40"/>
      <c r="H10" s="112"/>
      <c r="I10" s="224">
        <f>(2600000)*0.67</f>
        <v>1742000</v>
      </c>
      <c r="J10" s="112"/>
      <c r="K10" s="214">
        <f t="shared" si="0"/>
        <v>1742000</v>
      </c>
    </row>
    <row r="11" spans="1:16">
      <c r="A11" s="207">
        <f t="shared" si="1"/>
        <v>6</v>
      </c>
      <c r="B11" s="207" t="s">
        <v>29</v>
      </c>
      <c r="C11" s="207" t="s">
        <v>79</v>
      </c>
      <c r="D11" s="212" t="s">
        <v>1293</v>
      </c>
      <c r="E11" s="80" t="s">
        <v>35</v>
      </c>
      <c r="F11" s="112"/>
      <c r="G11" s="40"/>
      <c r="H11" s="112"/>
      <c r="I11" s="224">
        <f>(1681807)*0.67</f>
        <v>1126810.6900000002</v>
      </c>
      <c r="J11" s="112"/>
      <c r="K11" s="214">
        <f t="shared" si="0"/>
        <v>1126810.6900000002</v>
      </c>
    </row>
    <row r="12" spans="1:16">
      <c r="A12" s="207">
        <f t="shared" si="1"/>
        <v>7</v>
      </c>
      <c r="B12" s="207" t="s">
        <v>29</v>
      </c>
      <c r="C12" s="207" t="s">
        <v>79</v>
      </c>
      <c r="D12" s="212" t="s">
        <v>1293</v>
      </c>
      <c r="E12" s="80" t="s">
        <v>36</v>
      </c>
      <c r="F12" s="112"/>
      <c r="G12" s="40"/>
      <c r="H12" s="112"/>
      <c r="I12" s="224">
        <f>(998449)*0.67</f>
        <v>668960.83000000007</v>
      </c>
      <c r="J12" s="112"/>
      <c r="K12" s="214">
        <f t="shared" si="0"/>
        <v>668960.83000000007</v>
      </c>
    </row>
    <row r="13" spans="1:16">
      <c r="A13" s="207">
        <f t="shared" si="1"/>
        <v>8</v>
      </c>
      <c r="B13" s="207" t="s">
        <v>29</v>
      </c>
      <c r="C13" s="207" t="s">
        <v>79</v>
      </c>
      <c r="D13" s="212" t="s">
        <v>1293</v>
      </c>
      <c r="E13" s="80" t="s">
        <v>37</v>
      </c>
      <c r="F13" s="112"/>
      <c r="G13" s="40"/>
      <c r="H13" s="112"/>
      <c r="I13" s="224">
        <f>(4855841)*0.67</f>
        <v>3253413.47</v>
      </c>
      <c r="J13" s="112"/>
      <c r="K13" s="214">
        <f t="shared" si="0"/>
        <v>3253413.47</v>
      </c>
    </row>
    <row r="14" spans="1:16" ht="13.5" thickBot="1">
      <c r="A14" s="207">
        <f t="shared" si="1"/>
        <v>9</v>
      </c>
      <c r="B14" s="207"/>
      <c r="C14" s="207"/>
      <c r="D14" s="39"/>
      <c r="E14" s="235" t="s">
        <v>89</v>
      </c>
      <c r="F14" s="219"/>
      <c r="G14" s="142">
        <f>SUM(G6:G13)</f>
        <v>7338000.398</v>
      </c>
      <c r="H14" s="142">
        <f t="shared" ref="H14:J14" si="2">SUM(H6:H13)</f>
        <v>0</v>
      </c>
      <c r="I14" s="142">
        <f t="shared" si="2"/>
        <v>6791184.9900000002</v>
      </c>
      <c r="J14" s="142">
        <f t="shared" si="2"/>
        <v>0</v>
      </c>
      <c r="K14" s="223">
        <f>SUM(K6:K13)</f>
        <v>14129185.388</v>
      </c>
      <c r="L14" s="10"/>
      <c r="M14" s="549"/>
      <c r="N14" s="7"/>
      <c r="O14" s="7"/>
      <c r="P14" s="11"/>
    </row>
    <row r="15" spans="1:16" ht="13.5" thickTop="1">
      <c r="A15" s="207">
        <f t="shared" si="1"/>
        <v>10</v>
      </c>
      <c r="B15" s="207" t="s">
        <v>27</v>
      </c>
      <c r="C15" s="207" t="s">
        <v>79</v>
      </c>
      <c r="D15" s="39"/>
      <c r="E15" s="633" t="s">
        <v>2442</v>
      </c>
      <c r="F15" s="37"/>
      <c r="G15" s="122">
        <v>1.0000000000000001E-5</v>
      </c>
      <c r="H15" s="122"/>
      <c r="I15" s="122">
        <v>0</v>
      </c>
      <c r="J15" s="122"/>
      <c r="K15" s="632">
        <f>SUM(G15:J15)</f>
        <v>1.0000000000000001E-5</v>
      </c>
      <c r="L15" s="10"/>
      <c r="M15" s="629"/>
      <c r="N15" s="7"/>
      <c r="O15" s="7"/>
      <c r="P15" s="11"/>
    </row>
    <row r="16" spans="1:16" ht="13.5" thickBot="1">
      <c r="A16" s="207">
        <f t="shared" si="1"/>
        <v>11</v>
      </c>
      <c r="B16" s="207"/>
      <c r="C16" s="207"/>
      <c r="D16" s="39"/>
      <c r="E16" s="235" t="s">
        <v>89</v>
      </c>
      <c r="F16" s="219"/>
      <c r="G16" s="142">
        <f>SUM(G15:G15)</f>
        <v>1.0000000000000001E-5</v>
      </c>
      <c r="H16" s="142">
        <f>SUM(H15:H15)</f>
        <v>0</v>
      </c>
      <c r="I16" s="142">
        <f>SUM(I15:I15)</f>
        <v>0</v>
      </c>
      <c r="J16" s="142">
        <f>SUM(J15:J15)</f>
        <v>0</v>
      </c>
      <c r="K16" s="223">
        <f>SUM(K15:K15)</f>
        <v>1.0000000000000001E-5</v>
      </c>
      <c r="L16" s="10"/>
      <c r="M16" s="629"/>
      <c r="N16" s="7"/>
      <c r="O16" s="7"/>
      <c r="P16" s="11"/>
    </row>
    <row r="17" spans="1:16" ht="13.5" thickTop="1">
      <c r="A17" s="207">
        <f t="shared" si="1"/>
        <v>12</v>
      </c>
      <c r="B17" s="207" t="s">
        <v>29</v>
      </c>
      <c r="C17" s="207" t="s">
        <v>83</v>
      </c>
      <c r="D17" s="212" t="s">
        <v>500</v>
      </c>
      <c r="E17" s="80" t="s">
        <v>31</v>
      </c>
      <c r="F17" s="112"/>
      <c r="G17" s="40">
        <f>(1840648+1461978.4)*0.33</f>
        <v>1089866.7120000001</v>
      </c>
      <c r="H17" s="112"/>
      <c r="I17" s="224"/>
      <c r="J17" s="112"/>
      <c r="K17" s="214">
        <f t="shared" ref="K17:K21" si="3">SUM(G17:J17)</f>
        <v>1089866.7120000001</v>
      </c>
    </row>
    <row r="18" spans="1:16">
      <c r="A18" s="207">
        <f t="shared" si="1"/>
        <v>13</v>
      </c>
      <c r="B18" s="207" t="s">
        <v>29</v>
      </c>
      <c r="C18" s="207" t="s">
        <v>83</v>
      </c>
      <c r="D18" s="212" t="s">
        <v>350</v>
      </c>
      <c r="E18" s="80" t="s">
        <v>34</v>
      </c>
      <c r="F18" s="112"/>
      <c r="G18" s="40"/>
      <c r="H18" s="112"/>
      <c r="I18" s="224">
        <f>(2600000)*0.33</f>
        <v>858000</v>
      </c>
      <c r="J18" s="112"/>
      <c r="K18" s="214">
        <f t="shared" si="3"/>
        <v>858000</v>
      </c>
    </row>
    <row r="19" spans="1:16">
      <c r="A19" s="207">
        <f t="shared" si="1"/>
        <v>14</v>
      </c>
      <c r="B19" s="207" t="s">
        <v>29</v>
      </c>
      <c r="C19" s="207" t="s">
        <v>83</v>
      </c>
      <c r="D19" s="212" t="s">
        <v>1293</v>
      </c>
      <c r="E19" s="80" t="s">
        <v>35</v>
      </c>
      <c r="F19" s="112"/>
      <c r="G19" s="40"/>
      <c r="H19" s="112"/>
      <c r="I19" s="224">
        <f>(1681807*0.33)</f>
        <v>554996.31000000006</v>
      </c>
      <c r="J19" s="112"/>
      <c r="K19" s="214">
        <f t="shared" si="3"/>
        <v>554996.31000000006</v>
      </c>
    </row>
    <row r="20" spans="1:16">
      <c r="A20" s="207">
        <f t="shared" si="1"/>
        <v>15</v>
      </c>
      <c r="B20" s="207" t="s">
        <v>29</v>
      </c>
      <c r="C20" s="207" t="s">
        <v>83</v>
      </c>
      <c r="D20" s="212" t="s">
        <v>1293</v>
      </c>
      <c r="E20" s="80" t="s">
        <v>36</v>
      </c>
      <c r="F20" s="112"/>
      <c r="G20" s="40"/>
      <c r="H20" s="112"/>
      <c r="I20" s="224">
        <f>(998449)*0.33</f>
        <v>329488.17000000004</v>
      </c>
      <c r="J20" s="112"/>
      <c r="K20" s="214">
        <f t="shared" si="3"/>
        <v>329488.17000000004</v>
      </c>
    </row>
    <row r="21" spans="1:16">
      <c r="A21" s="207">
        <f t="shared" si="1"/>
        <v>16</v>
      </c>
      <c r="B21" s="207" t="s">
        <v>29</v>
      </c>
      <c r="C21" s="207" t="s">
        <v>83</v>
      </c>
      <c r="D21" s="212" t="s">
        <v>1293</v>
      </c>
      <c r="E21" s="80" t="s">
        <v>37</v>
      </c>
      <c r="F21" s="112"/>
      <c r="G21" s="40"/>
      <c r="H21" s="112"/>
      <c r="I21" s="224">
        <f>(4855841)*0.33</f>
        <v>1602427.53</v>
      </c>
      <c r="J21" s="112"/>
      <c r="K21" s="214">
        <f t="shared" si="3"/>
        <v>1602427.53</v>
      </c>
    </row>
    <row r="22" spans="1:16" ht="13.5" thickBot="1">
      <c r="A22" s="207">
        <f t="shared" si="1"/>
        <v>17</v>
      </c>
      <c r="B22" s="207"/>
      <c r="C22" s="207"/>
      <c r="D22" s="39"/>
      <c r="E22" s="235" t="s">
        <v>89</v>
      </c>
      <c r="F22" s="219"/>
      <c r="G22" s="142">
        <f>SUM(G17:G21)</f>
        <v>1089866.7120000001</v>
      </c>
      <c r="H22" s="142">
        <f t="shared" ref="H22:J22" si="4">SUM(H17:H21)</f>
        <v>0</v>
      </c>
      <c r="I22" s="142">
        <f t="shared" si="4"/>
        <v>3344912.01</v>
      </c>
      <c r="J22" s="142">
        <f t="shared" si="4"/>
        <v>0</v>
      </c>
      <c r="K22" s="223">
        <f>SUM(K17:K21)</f>
        <v>4434778.7220000001</v>
      </c>
      <c r="L22" s="10"/>
      <c r="M22" s="549"/>
      <c r="N22" s="7"/>
      <c r="O22" s="7"/>
      <c r="P22" s="11"/>
    </row>
    <row r="23" spans="1:16" ht="13.5" thickTop="1">
      <c r="A23" s="207">
        <f t="shared" si="1"/>
        <v>18</v>
      </c>
      <c r="B23" s="207" t="s">
        <v>27</v>
      </c>
      <c r="C23" s="207" t="s">
        <v>83</v>
      </c>
      <c r="D23" s="39"/>
      <c r="E23" s="633" t="s">
        <v>2442</v>
      </c>
      <c r="F23" s="37"/>
      <c r="G23" s="122">
        <v>1.0000000000000001E-5</v>
      </c>
      <c r="H23" s="122"/>
      <c r="I23" s="122">
        <v>0</v>
      </c>
      <c r="J23" s="122"/>
      <c r="K23" s="632">
        <f>SUM(G23:J23)</f>
        <v>1.0000000000000001E-5</v>
      </c>
      <c r="L23" s="10"/>
      <c r="M23" s="629"/>
      <c r="N23" s="7"/>
      <c r="O23" s="7"/>
      <c r="P23" s="11"/>
    </row>
    <row r="24" spans="1:16" ht="13.5" thickBot="1">
      <c r="A24" s="207">
        <f t="shared" si="1"/>
        <v>19</v>
      </c>
      <c r="B24" s="207"/>
      <c r="C24" s="207"/>
      <c r="D24" s="39"/>
      <c r="E24" s="235" t="s">
        <v>89</v>
      </c>
      <c r="F24" s="219"/>
      <c r="G24" s="142">
        <f>SUM(G23:G23)</f>
        <v>1.0000000000000001E-5</v>
      </c>
      <c r="H24" s="142">
        <f>SUM(H23:H23)</f>
        <v>0</v>
      </c>
      <c r="I24" s="142">
        <f>SUM(I23:I23)</f>
        <v>0</v>
      </c>
      <c r="J24" s="142">
        <f>SUM(J23:J23)</f>
        <v>0</v>
      </c>
      <c r="K24" s="223">
        <f>SUM(K23:K23)</f>
        <v>1.0000000000000001E-5</v>
      </c>
      <c r="L24" s="10"/>
      <c r="M24" s="629"/>
      <c r="N24" s="7"/>
      <c r="O24" s="7"/>
      <c r="P24" s="11"/>
    </row>
    <row r="25" spans="1:16" ht="26.25" thickTop="1">
      <c r="A25" s="207">
        <f t="shared" si="1"/>
        <v>20</v>
      </c>
      <c r="B25" s="207"/>
      <c r="C25" s="207"/>
      <c r="D25" s="39"/>
      <c r="E25" s="415" t="s">
        <v>107</v>
      </c>
      <c r="F25" s="37"/>
      <c r="G25" s="415" t="s">
        <v>1290</v>
      </c>
      <c r="H25" s="122"/>
      <c r="I25" s="122"/>
      <c r="J25" s="415" t="s">
        <v>2443</v>
      </c>
      <c r="K25" s="415" t="s">
        <v>2446</v>
      </c>
      <c r="L25" s="10"/>
      <c r="M25" s="629"/>
      <c r="N25" s="7"/>
      <c r="O25" s="7"/>
      <c r="P25" s="11"/>
    </row>
    <row r="26" spans="1:16" ht="15" customHeight="1">
      <c r="A26" s="207">
        <f t="shared" si="1"/>
        <v>21</v>
      </c>
      <c r="B26" s="207" t="s">
        <v>2381</v>
      </c>
      <c r="C26" s="207" t="s">
        <v>87</v>
      </c>
      <c r="D26" s="236" t="s">
        <v>622</v>
      </c>
      <c r="E26" s="80" t="s">
        <v>623</v>
      </c>
      <c r="F26" s="111"/>
      <c r="G26" s="122">
        <f>G73</f>
        <v>7134157.3499999996</v>
      </c>
      <c r="H26" s="38"/>
      <c r="I26" s="39"/>
      <c r="J26" s="136">
        <f>K26-G26</f>
        <v>0</v>
      </c>
      <c r="K26" s="122">
        <f>K73</f>
        <v>7134157.3499999996</v>
      </c>
      <c r="L26" s="548"/>
      <c r="N26" s="7"/>
      <c r="O26" s="7"/>
      <c r="P26" s="7"/>
    </row>
    <row r="27" spans="1:16">
      <c r="A27" s="207">
        <f t="shared" si="1"/>
        <v>22</v>
      </c>
      <c r="B27" s="207" t="s">
        <v>2381</v>
      </c>
      <c r="C27" s="207" t="s">
        <v>87</v>
      </c>
      <c r="D27" s="236" t="s">
        <v>625</v>
      </c>
      <c r="E27" s="37" t="s">
        <v>1294</v>
      </c>
      <c r="F27" s="111"/>
      <c r="G27" s="122">
        <f>G79+G90</f>
        <v>1785957.7100000002</v>
      </c>
      <c r="H27" s="40"/>
      <c r="I27" s="39"/>
      <c r="J27" s="136">
        <f>K27-G27</f>
        <v>-355271.20799000026</v>
      </c>
      <c r="K27" s="122">
        <f>K79+K90</f>
        <v>1430686.5020099999</v>
      </c>
      <c r="L27" s="549"/>
      <c r="N27" s="7"/>
      <c r="O27" s="7"/>
      <c r="P27" s="11"/>
    </row>
    <row r="28" spans="1:16">
      <c r="A28" s="207">
        <f t="shared" si="1"/>
        <v>23</v>
      </c>
      <c r="B28" s="206" t="s">
        <v>2381</v>
      </c>
      <c r="C28" s="206" t="s">
        <v>87</v>
      </c>
      <c r="D28" s="236" t="s">
        <v>627</v>
      </c>
      <c r="E28" s="37" t="s">
        <v>1295</v>
      </c>
      <c r="F28" s="111"/>
      <c r="G28" s="122">
        <f>G145+G164</f>
        <v>12261115.650000002</v>
      </c>
      <c r="H28" s="40"/>
      <c r="I28" s="39"/>
      <c r="J28" s="136">
        <f>K28-G28</f>
        <v>-1588854.0393500011</v>
      </c>
      <c r="K28" s="122">
        <f>K145+K164</f>
        <v>10672261.610650001</v>
      </c>
      <c r="L28" s="549"/>
      <c r="N28" s="7"/>
      <c r="O28" s="7"/>
      <c r="P28" s="11"/>
    </row>
    <row r="29" spans="1:16" ht="13.5" thickBot="1">
      <c r="A29" s="207">
        <f t="shared" si="1"/>
        <v>24</v>
      </c>
      <c r="B29" s="207"/>
      <c r="C29" s="207"/>
      <c r="D29" s="39"/>
      <c r="E29" s="235" t="s">
        <v>89</v>
      </c>
      <c r="F29" s="219"/>
      <c r="G29" s="142">
        <f>SUM(G26:G28)</f>
        <v>21181230.710000001</v>
      </c>
      <c r="H29" s="220"/>
      <c r="I29" s="221"/>
      <c r="J29" s="222">
        <f>SUM(J26:J28)</f>
        <v>-1944125.2473400014</v>
      </c>
      <c r="K29" s="223">
        <f>SUM(K26:K28)</f>
        <v>19237105.46266</v>
      </c>
      <c r="L29" s="10"/>
      <c r="M29" s="549"/>
      <c r="N29" s="7"/>
      <c r="O29" s="7"/>
      <c r="P29" s="11"/>
    </row>
    <row r="30" spans="1:16" ht="33.6" customHeight="1" thickTop="1">
      <c r="A30" s="207">
        <f t="shared" si="1"/>
        <v>25</v>
      </c>
      <c r="B30" s="207"/>
      <c r="C30" s="207"/>
      <c r="D30" s="230" t="s">
        <v>106</v>
      </c>
      <c r="E30" s="226" t="s">
        <v>2477</v>
      </c>
      <c r="F30" s="231"/>
      <c r="G30" s="232" t="s">
        <v>1296</v>
      </c>
      <c r="H30" s="233" t="s">
        <v>1297</v>
      </c>
      <c r="I30" s="234" t="s">
        <v>1298</v>
      </c>
      <c r="J30" s="547" t="s">
        <v>1299</v>
      </c>
      <c r="K30" s="317" t="s">
        <v>1300</v>
      </c>
    </row>
    <row r="31" spans="1:16">
      <c r="A31" s="207">
        <f t="shared" si="1"/>
        <v>26</v>
      </c>
      <c r="B31" s="207" t="s">
        <v>2381</v>
      </c>
      <c r="C31" s="207"/>
      <c r="D31" s="224" t="s">
        <v>1301</v>
      </c>
      <c r="E31" s="79" t="s">
        <v>1302</v>
      </c>
      <c r="F31" s="37"/>
      <c r="G31" s="122">
        <f>298.8</f>
        <v>298.8</v>
      </c>
      <c r="H31" s="95">
        <v>1</v>
      </c>
      <c r="I31" s="77">
        <f t="shared" ref="I31:I72" si="5">H31*G31</f>
        <v>298.8</v>
      </c>
      <c r="J31" s="95">
        <v>1</v>
      </c>
      <c r="K31" s="215">
        <f>G31*J31</f>
        <v>298.8</v>
      </c>
    </row>
    <row r="32" spans="1:16">
      <c r="A32" s="207">
        <f t="shared" si="1"/>
        <v>27</v>
      </c>
      <c r="B32" s="207" t="s">
        <v>2381</v>
      </c>
      <c r="C32" s="207"/>
      <c r="D32" s="224" t="s">
        <v>1301</v>
      </c>
      <c r="E32" s="79" t="s">
        <v>1303</v>
      </c>
      <c r="F32" s="37"/>
      <c r="G32" s="122">
        <f>9789.59</f>
        <v>9789.59</v>
      </c>
      <c r="H32" s="95">
        <v>1</v>
      </c>
      <c r="I32" s="77">
        <f t="shared" si="5"/>
        <v>9789.59</v>
      </c>
      <c r="J32" s="95">
        <v>1</v>
      </c>
      <c r="K32" s="215">
        <f t="shared" ref="K32:K72" si="6">G32*J32</f>
        <v>9789.59</v>
      </c>
    </row>
    <row r="33" spans="1:11">
      <c r="A33" s="207">
        <f t="shared" si="1"/>
        <v>28</v>
      </c>
      <c r="B33" s="207" t="s">
        <v>2381</v>
      </c>
      <c r="C33" s="207"/>
      <c r="D33" s="224" t="s">
        <v>1301</v>
      </c>
      <c r="E33" s="79" t="s">
        <v>1304</v>
      </c>
      <c r="F33" s="37"/>
      <c r="G33" s="122">
        <f>1538.62</f>
        <v>1538.62</v>
      </c>
      <c r="H33" s="95">
        <v>1</v>
      </c>
      <c r="I33" s="77">
        <f t="shared" si="5"/>
        <v>1538.62</v>
      </c>
      <c r="J33" s="95">
        <v>1</v>
      </c>
      <c r="K33" s="215">
        <f t="shared" si="6"/>
        <v>1538.62</v>
      </c>
    </row>
    <row r="34" spans="1:11">
      <c r="A34" s="207">
        <f t="shared" si="1"/>
        <v>29</v>
      </c>
      <c r="B34" s="207" t="s">
        <v>2381</v>
      </c>
      <c r="C34" s="207"/>
      <c r="D34" s="224" t="s">
        <v>1301</v>
      </c>
      <c r="E34" s="79" t="s">
        <v>1305</v>
      </c>
      <c r="F34" s="37"/>
      <c r="G34" s="122">
        <f>295485.92</f>
        <v>295485.92</v>
      </c>
      <c r="H34" s="95">
        <v>1</v>
      </c>
      <c r="I34" s="77">
        <f t="shared" si="5"/>
        <v>295485.92</v>
      </c>
      <c r="J34" s="95">
        <v>1</v>
      </c>
      <c r="K34" s="215">
        <f t="shared" si="6"/>
        <v>295485.92</v>
      </c>
    </row>
    <row r="35" spans="1:11">
      <c r="A35" s="207">
        <f t="shared" si="1"/>
        <v>30</v>
      </c>
      <c r="B35" s="207" t="s">
        <v>2381</v>
      </c>
      <c r="C35" s="207"/>
      <c r="D35" s="224" t="s">
        <v>1301</v>
      </c>
      <c r="E35" s="79" t="s">
        <v>1306</v>
      </c>
      <c r="F35" s="37"/>
      <c r="G35" s="122">
        <f>57816.18</f>
        <v>57816.18</v>
      </c>
      <c r="H35" s="95">
        <v>1</v>
      </c>
      <c r="I35" s="77">
        <f t="shared" si="5"/>
        <v>57816.18</v>
      </c>
      <c r="J35" s="95">
        <v>1</v>
      </c>
      <c r="K35" s="215">
        <f t="shared" si="6"/>
        <v>57816.18</v>
      </c>
    </row>
    <row r="36" spans="1:11">
      <c r="A36" s="207">
        <f t="shared" si="1"/>
        <v>31</v>
      </c>
      <c r="B36" s="207" t="s">
        <v>2381</v>
      </c>
      <c r="C36" s="207"/>
      <c r="D36" s="224" t="s">
        <v>1301</v>
      </c>
      <c r="E36" s="79" t="s">
        <v>1306</v>
      </c>
      <c r="F36" s="37"/>
      <c r="G36" s="122">
        <f>5246.19</f>
        <v>5246.19</v>
      </c>
      <c r="H36" s="95">
        <v>1</v>
      </c>
      <c r="I36" s="77">
        <f t="shared" si="5"/>
        <v>5246.19</v>
      </c>
      <c r="J36" s="95">
        <v>1</v>
      </c>
      <c r="K36" s="215">
        <f t="shared" si="6"/>
        <v>5246.19</v>
      </c>
    </row>
    <row r="37" spans="1:11">
      <c r="A37" s="207">
        <f t="shared" si="1"/>
        <v>32</v>
      </c>
      <c r="B37" s="207" t="s">
        <v>2381</v>
      </c>
      <c r="C37" s="207"/>
      <c r="D37" s="224" t="s">
        <v>1301</v>
      </c>
      <c r="E37" s="79" t="s">
        <v>1307</v>
      </c>
      <c r="F37" s="37"/>
      <c r="G37" s="122">
        <f>17479.6</f>
        <v>17479.599999999999</v>
      </c>
      <c r="H37" s="95">
        <v>1</v>
      </c>
      <c r="I37" s="77">
        <f t="shared" si="5"/>
        <v>17479.599999999999</v>
      </c>
      <c r="J37" s="95">
        <v>1</v>
      </c>
      <c r="K37" s="215">
        <f t="shared" si="6"/>
        <v>17479.599999999999</v>
      </c>
    </row>
    <row r="38" spans="1:11">
      <c r="A38" s="207">
        <f t="shared" si="1"/>
        <v>33</v>
      </c>
      <c r="B38" s="207" t="s">
        <v>2381</v>
      </c>
      <c r="C38" s="207"/>
      <c r="D38" s="224" t="s">
        <v>1301</v>
      </c>
      <c r="E38" s="79" t="s">
        <v>1308</v>
      </c>
      <c r="F38" s="37"/>
      <c r="G38" s="122">
        <f>122582.16</f>
        <v>122582.16</v>
      </c>
      <c r="H38" s="95">
        <v>1</v>
      </c>
      <c r="I38" s="77">
        <f t="shared" si="5"/>
        <v>122582.16</v>
      </c>
      <c r="J38" s="95">
        <v>1</v>
      </c>
      <c r="K38" s="215">
        <f t="shared" si="6"/>
        <v>122582.16</v>
      </c>
    </row>
    <row r="39" spans="1:11">
      <c r="A39" s="207">
        <f t="shared" si="1"/>
        <v>34</v>
      </c>
      <c r="B39" s="207" t="s">
        <v>2381</v>
      </c>
      <c r="C39" s="207"/>
      <c r="D39" s="224" t="s">
        <v>1301</v>
      </c>
      <c r="E39" s="79" t="s">
        <v>1308</v>
      </c>
      <c r="F39" s="37"/>
      <c r="G39" s="122">
        <f>12407.04</f>
        <v>12407.04</v>
      </c>
      <c r="H39" s="95">
        <v>1</v>
      </c>
      <c r="I39" s="77">
        <f t="shared" si="5"/>
        <v>12407.04</v>
      </c>
      <c r="J39" s="95">
        <v>1</v>
      </c>
      <c r="K39" s="215">
        <f t="shared" si="6"/>
        <v>12407.04</v>
      </c>
    </row>
    <row r="40" spans="1:11">
      <c r="A40" s="207">
        <f t="shared" si="1"/>
        <v>35</v>
      </c>
      <c r="B40" s="207" t="s">
        <v>2381</v>
      </c>
      <c r="C40" s="207"/>
      <c r="D40" s="224" t="s">
        <v>1301</v>
      </c>
      <c r="E40" s="79" t="s">
        <v>1309</v>
      </c>
      <c r="F40" s="37"/>
      <c r="G40" s="122">
        <f>20216.81</f>
        <v>20216.810000000001</v>
      </c>
      <c r="H40" s="95">
        <v>1</v>
      </c>
      <c r="I40" s="77">
        <f t="shared" si="5"/>
        <v>20216.810000000001</v>
      </c>
      <c r="J40" s="95">
        <v>1</v>
      </c>
      <c r="K40" s="215">
        <f t="shared" si="6"/>
        <v>20216.810000000001</v>
      </c>
    </row>
    <row r="41" spans="1:11">
      <c r="A41" s="207">
        <f t="shared" si="1"/>
        <v>36</v>
      </c>
      <c r="B41" s="207" t="s">
        <v>2381</v>
      </c>
      <c r="C41" s="207"/>
      <c r="D41" s="224" t="s">
        <v>1301</v>
      </c>
      <c r="E41" s="79" t="s">
        <v>1306</v>
      </c>
      <c r="F41" s="37"/>
      <c r="G41" s="122">
        <v>2474.7800000000002</v>
      </c>
      <c r="H41" s="95">
        <v>1</v>
      </c>
      <c r="I41" s="77">
        <f t="shared" si="5"/>
        <v>2474.7800000000002</v>
      </c>
      <c r="J41" s="95">
        <v>1</v>
      </c>
      <c r="K41" s="215">
        <f t="shared" si="6"/>
        <v>2474.7800000000002</v>
      </c>
    </row>
    <row r="42" spans="1:11">
      <c r="A42" s="207">
        <f t="shared" si="1"/>
        <v>37</v>
      </c>
      <c r="B42" s="207" t="s">
        <v>2381</v>
      </c>
      <c r="C42" s="207"/>
      <c r="D42" s="224" t="s">
        <v>1301</v>
      </c>
      <c r="E42" s="79" t="s">
        <v>1310</v>
      </c>
      <c r="F42" s="37"/>
      <c r="G42" s="122">
        <v>43699.33</v>
      </c>
      <c r="H42" s="95">
        <v>1</v>
      </c>
      <c r="I42" s="77">
        <f t="shared" si="5"/>
        <v>43699.33</v>
      </c>
      <c r="J42" s="95">
        <v>1</v>
      </c>
      <c r="K42" s="215">
        <f t="shared" si="6"/>
        <v>43699.33</v>
      </c>
    </row>
    <row r="43" spans="1:11">
      <c r="A43" s="207">
        <f t="shared" si="1"/>
        <v>38</v>
      </c>
      <c r="B43" s="207" t="s">
        <v>2381</v>
      </c>
      <c r="C43" s="207"/>
      <c r="D43" s="224" t="s">
        <v>1301</v>
      </c>
      <c r="E43" s="79" t="s">
        <v>1303</v>
      </c>
      <c r="F43" s="37"/>
      <c r="G43" s="122">
        <f>54137.52</f>
        <v>54137.52</v>
      </c>
      <c r="H43" s="95">
        <v>1</v>
      </c>
      <c r="I43" s="77">
        <f t="shared" si="5"/>
        <v>54137.52</v>
      </c>
      <c r="J43" s="95">
        <v>1</v>
      </c>
      <c r="K43" s="215">
        <f t="shared" si="6"/>
        <v>54137.52</v>
      </c>
    </row>
    <row r="44" spans="1:11">
      <c r="A44" s="207">
        <f t="shared" si="1"/>
        <v>39</v>
      </c>
      <c r="B44" s="207" t="s">
        <v>2381</v>
      </c>
      <c r="C44" s="207"/>
      <c r="D44" s="224" t="s">
        <v>1301</v>
      </c>
      <c r="E44" s="79" t="s">
        <v>1311</v>
      </c>
      <c r="F44" s="37"/>
      <c r="G44" s="122">
        <f>531049.1</f>
        <v>531049.1</v>
      </c>
      <c r="H44" s="95">
        <v>1</v>
      </c>
      <c r="I44" s="77">
        <f t="shared" si="5"/>
        <v>531049.1</v>
      </c>
      <c r="J44" s="95">
        <v>1</v>
      </c>
      <c r="K44" s="215">
        <f t="shared" si="6"/>
        <v>531049.1</v>
      </c>
    </row>
    <row r="45" spans="1:11">
      <c r="A45" s="207">
        <f t="shared" si="1"/>
        <v>40</v>
      </c>
      <c r="B45" s="207" t="s">
        <v>2381</v>
      </c>
      <c r="C45" s="207"/>
      <c r="D45" s="224" t="s">
        <v>1301</v>
      </c>
      <c r="E45" s="79" t="s">
        <v>1311</v>
      </c>
      <c r="F45" s="37"/>
      <c r="G45" s="122">
        <f>90309.47</f>
        <v>90309.47</v>
      </c>
      <c r="H45" s="95">
        <v>1</v>
      </c>
      <c r="I45" s="77">
        <f t="shared" si="5"/>
        <v>90309.47</v>
      </c>
      <c r="J45" s="95">
        <v>1</v>
      </c>
      <c r="K45" s="215">
        <f t="shared" si="6"/>
        <v>90309.47</v>
      </c>
    </row>
    <row r="46" spans="1:11">
      <c r="A46" s="207">
        <f t="shared" si="1"/>
        <v>41</v>
      </c>
      <c r="B46" s="207" t="s">
        <v>2381</v>
      </c>
      <c r="C46" s="207"/>
      <c r="D46" s="224" t="s">
        <v>1301</v>
      </c>
      <c r="E46" s="79" t="s">
        <v>1312</v>
      </c>
      <c r="F46" s="37"/>
      <c r="G46" s="122">
        <f>54257.11</f>
        <v>54257.11</v>
      </c>
      <c r="H46" s="95">
        <v>1</v>
      </c>
      <c r="I46" s="77">
        <f t="shared" si="5"/>
        <v>54257.11</v>
      </c>
      <c r="J46" s="95">
        <v>1</v>
      </c>
      <c r="K46" s="215">
        <f t="shared" si="6"/>
        <v>54257.11</v>
      </c>
    </row>
    <row r="47" spans="1:11">
      <c r="A47" s="207">
        <f t="shared" si="1"/>
        <v>42</v>
      </c>
      <c r="B47" s="207" t="s">
        <v>2381</v>
      </c>
      <c r="C47" s="207"/>
      <c r="D47" s="224" t="s">
        <v>1301</v>
      </c>
      <c r="E47" s="79" t="s">
        <v>1312</v>
      </c>
      <c r="F47" s="37"/>
      <c r="G47" s="122">
        <f>475745.99</f>
        <v>475745.99</v>
      </c>
      <c r="H47" s="95">
        <v>1</v>
      </c>
      <c r="I47" s="77">
        <f t="shared" si="5"/>
        <v>475745.99</v>
      </c>
      <c r="J47" s="95">
        <v>1</v>
      </c>
      <c r="K47" s="215">
        <f t="shared" si="6"/>
        <v>475745.99</v>
      </c>
    </row>
    <row r="48" spans="1:11">
      <c r="A48" s="207">
        <f t="shared" si="1"/>
        <v>43</v>
      </c>
      <c r="B48" s="207" t="s">
        <v>2381</v>
      </c>
      <c r="C48" s="207"/>
      <c r="D48" s="224" t="s">
        <v>1301</v>
      </c>
      <c r="E48" s="79" t="s">
        <v>1313</v>
      </c>
      <c r="F48" s="37"/>
      <c r="G48" s="122">
        <f>95962.39</f>
        <v>95962.39</v>
      </c>
      <c r="H48" s="95">
        <v>1</v>
      </c>
      <c r="I48" s="77">
        <f t="shared" si="5"/>
        <v>95962.39</v>
      </c>
      <c r="J48" s="95">
        <v>1</v>
      </c>
      <c r="K48" s="215">
        <f t="shared" si="6"/>
        <v>95962.39</v>
      </c>
    </row>
    <row r="49" spans="1:11">
      <c r="A49" s="207">
        <f t="shared" si="1"/>
        <v>44</v>
      </c>
      <c r="B49" s="207" t="s">
        <v>2381</v>
      </c>
      <c r="C49" s="207"/>
      <c r="D49" s="224" t="s">
        <v>1301</v>
      </c>
      <c r="E49" s="79" t="s">
        <v>1309</v>
      </c>
      <c r="F49" s="37"/>
      <c r="G49" s="122">
        <f>12679.49</f>
        <v>12679.49</v>
      </c>
      <c r="H49" s="95">
        <v>1</v>
      </c>
      <c r="I49" s="77">
        <f t="shared" si="5"/>
        <v>12679.49</v>
      </c>
      <c r="J49" s="95">
        <v>1</v>
      </c>
      <c r="K49" s="215">
        <f t="shared" si="6"/>
        <v>12679.49</v>
      </c>
    </row>
    <row r="50" spans="1:11">
      <c r="A50" s="207">
        <f t="shared" si="1"/>
        <v>45</v>
      </c>
      <c r="B50" s="207" t="s">
        <v>2381</v>
      </c>
      <c r="C50" s="207"/>
      <c r="D50" s="224" t="s">
        <v>1301</v>
      </c>
      <c r="E50" s="79" t="s">
        <v>1309</v>
      </c>
      <c r="F50" s="37"/>
      <c r="G50" s="122">
        <f>1022154.12</f>
        <v>1022154.12</v>
      </c>
      <c r="H50" s="95">
        <v>1</v>
      </c>
      <c r="I50" s="77">
        <f t="shared" si="5"/>
        <v>1022154.12</v>
      </c>
      <c r="J50" s="95">
        <v>1</v>
      </c>
      <c r="K50" s="215">
        <f t="shared" si="6"/>
        <v>1022154.12</v>
      </c>
    </row>
    <row r="51" spans="1:11">
      <c r="A51" s="207">
        <f t="shared" si="1"/>
        <v>46</v>
      </c>
      <c r="B51" s="207" t="s">
        <v>2381</v>
      </c>
      <c r="C51" s="207"/>
      <c r="D51" s="224" t="s">
        <v>1301</v>
      </c>
      <c r="E51" s="79" t="s">
        <v>1309</v>
      </c>
      <c r="F51" s="37"/>
      <c r="G51" s="122">
        <f>122476.25</f>
        <v>122476.25</v>
      </c>
      <c r="H51" s="95">
        <v>1</v>
      </c>
      <c r="I51" s="77">
        <f t="shared" si="5"/>
        <v>122476.25</v>
      </c>
      <c r="J51" s="95">
        <v>1</v>
      </c>
      <c r="K51" s="215">
        <f t="shared" si="6"/>
        <v>122476.25</v>
      </c>
    </row>
    <row r="52" spans="1:11">
      <c r="A52" s="207">
        <f t="shared" si="1"/>
        <v>47</v>
      </c>
      <c r="B52" s="207" t="s">
        <v>2381</v>
      </c>
      <c r="C52" s="207"/>
      <c r="D52" s="224" t="s">
        <v>1301</v>
      </c>
      <c r="E52" s="79" t="s">
        <v>1314</v>
      </c>
      <c r="F52" s="37"/>
      <c r="G52" s="122">
        <f>733679.47</f>
        <v>733679.47</v>
      </c>
      <c r="H52" s="95">
        <v>1</v>
      </c>
      <c r="I52" s="77">
        <f t="shared" si="5"/>
        <v>733679.47</v>
      </c>
      <c r="J52" s="95">
        <v>1</v>
      </c>
      <c r="K52" s="215">
        <f t="shared" si="6"/>
        <v>733679.47</v>
      </c>
    </row>
    <row r="53" spans="1:11">
      <c r="A53" s="207">
        <f t="shared" si="1"/>
        <v>48</v>
      </c>
      <c r="B53" s="207" t="s">
        <v>2381</v>
      </c>
      <c r="C53" s="207"/>
      <c r="D53" s="224" t="s">
        <v>1301</v>
      </c>
      <c r="E53" s="79" t="s">
        <v>1314</v>
      </c>
      <c r="F53" s="37"/>
      <c r="G53" s="122">
        <f>35291.83</f>
        <v>35291.83</v>
      </c>
      <c r="H53" s="95">
        <v>1</v>
      </c>
      <c r="I53" s="77">
        <f t="shared" si="5"/>
        <v>35291.83</v>
      </c>
      <c r="J53" s="95">
        <v>1</v>
      </c>
      <c r="K53" s="215">
        <f t="shared" si="6"/>
        <v>35291.83</v>
      </c>
    </row>
    <row r="54" spans="1:11">
      <c r="A54" s="207">
        <f t="shared" si="1"/>
        <v>49</v>
      </c>
      <c r="B54" s="207" t="s">
        <v>2381</v>
      </c>
      <c r="C54" s="207"/>
      <c r="D54" s="224" t="s">
        <v>1301</v>
      </c>
      <c r="E54" s="79" t="s">
        <v>1314</v>
      </c>
      <c r="F54" s="37"/>
      <c r="G54" s="122">
        <f>13959.4</f>
        <v>13959.4</v>
      </c>
      <c r="H54" s="95">
        <v>1</v>
      </c>
      <c r="I54" s="77">
        <f t="shared" si="5"/>
        <v>13959.4</v>
      </c>
      <c r="J54" s="95">
        <v>1</v>
      </c>
      <c r="K54" s="215">
        <f t="shared" si="6"/>
        <v>13959.4</v>
      </c>
    </row>
    <row r="55" spans="1:11">
      <c r="A55" s="207">
        <f t="shared" si="1"/>
        <v>50</v>
      </c>
      <c r="B55" s="207" t="s">
        <v>2381</v>
      </c>
      <c r="C55" s="207"/>
      <c r="D55" s="224" t="s">
        <v>1301</v>
      </c>
      <c r="E55" s="79" t="s">
        <v>1314</v>
      </c>
      <c r="F55" s="37"/>
      <c r="G55" s="122">
        <v>69225.740000000005</v>
      </c>
      <c r="H55" s="95">
        <v>1</v>
      </c>
      <c r="I55" s="77">
        <f t="shared" si="5"/>
        <v>69225.740000000005</v>
      </c>
      <c r="J55" s="95">
        <v>1</v>
      </c>
      <c r="K55" s="215">
        <f t="shared" si="6"/>
        <v>69225.740000000005</v>
      </c>
    </row>
    <row r="56" spans="1:11">
      <c r="A56" s="207">
        <f t="shared" si="1"/>
        <v>51</v>
      </c>
      <c r="B56" s="207" t="s">
        <v>2381</v>
      </c>
      <c r="C56" s="207"/>
      <c r="D56" s="224" t="s">
        <v>1301</v>
      </c>
      <c r="E56" s="79" t="s">
        <v>1306</v>
      </c>
      <c r="F56" s="37"/>
      <c r="G56" s="122">
        <v>924.04</v>
      </c>
      <c r="H56" s="95">
        <v>1</v>
      </c>
      <c r="I56" s="77">
        <f t="shared" si="5"/>
        <v>924.04</v>
      </c>
      <c r="J56" s="95">
        <v>1</v>
      </c>
      <c r="K56" s="215">
        <f t="shared" si="6"/>
        <v>924.04</v>
      </c>
    </row>
    <row r="57" spans="1:11">
      <c r="A57" s="207">
        <f t="shared" si="1"/>
        <v>52</v>
      </c>
      <c r="B57" s="207" t="s">
        <v>2381</v>
      </c>
      <c r="C57" s="207"/>
      <c r="D57" s="224" t="s">
        <v>1301</v>
      </c>
      <c r="E57" s="79" t="s">
        <v>1315</v>
      </c>
      <c r="F57" s="37"/>
      <c r="G57" s="122">
        <f>53112.38</f>
        <v>53112.38</v>
      </c>
      <c r="H57" s="95">
        <v>1</v>
      </c>
      <c r="I57" s="77">
        <f t="shared" si="5"/>
        <v>53112.38</v>
      </c>
      <c r="J57" s="95">
        <v>1</v>
      </c>
      <c r="K57" s="215">
        <f t="shared" si="6"/>
        <v>53112.38</v>
      </c>
    </row>
    <row r="58" spans="1:11">
      <c r="A58" s="207">
        <f t="shared" si="1"/>
        <v>53</v>
      </c>
      <c r="B58" s="207" t="s">
        <v>2381</v>
      </c>
      <c r="C58" s="207"/>
      <c r="D58" s="224" t="s">
        <v>1301</v>
      </c>
      <c r="E58" s="79" t="s">
        <v>1316</v>
      </c>
      <c r="F58" s="37"/>
      <c r="G58" s="122">
        <f>184306.99</f>
        <v>184306.99</v>
      </c>
      <c r="H58" s="95">
        <v>1</v>
      </c>
      <c r="I58" s="77">
        <f t="shared" si="5"/>
        <v>184306.99</v>
      </c>
      <c r="J58" s="95">
        <v>1</v>
      </c>
      <c r="K58" s="215">
        <f t="shared" si="6"/>
        <v>184306.99</v>
      </c>
    </row>
    <row r="59" spans="1:11">
      <c r="A59" s="207">
        <f t="shared" si="1"/>
        <v>54</v>
      </c>
      <c r="B59" s="207" t="s">
        <v>2381</v>
      </c>
      <c r="C59" s="207"/>
      <c r="D59" s="224" t="s">
        <v>1301</v>
      </c>
      <c r="E59" s="79" t="s">
        <v>1309</v>
      </c>
      <c r="F59" s="37"/>
      <c r="G59" s="122">
        <v>37201.019999999997</v>
      </c>
      <c r="H59" s="95">
        <v>1</v>
      </c>
      <c r="I59" s="77">
        <f t="shared" si="5"/>
        <v>37201.019999999997</v>
      </c>
      <c r="J59" s="95">
        <v>1</v>
      </c>
      <c r="K59" s="215">
        <f t="shared" si="6"/>
        <v>37201.019999999997</v>
      </c>
    </row>
    <row r="60" spans="1:11">
      <c r="A60" s="207">
        <f t="shared" si="1"/>
        <v>55</v>
      </c>
      <c r="B60" s="207" t="s">
        <v>2381</v>
      </c>
      <c r="C60" s="207"/>
      <c r="D60" s="224" t="s">
        <v>1301</v>
      </c>
      <c r="E60" s="79" t="s">
        <v>1306</v>
      </c>
      <c r="F60" s="37"/>
      <c r="G60" s="122">
        <v>1064.76</v>
      </c>
      <c r="H60" s="95">
        <v>1</v>
      </c>
      <c r="I60" s="77">
        <f t="shared" si="5"/>
        <v>1064.76</v>
      </c>
      <c r="J60" s="95">
        <v>1</v>
      </c>
      <c r="K60" s="215">
        <f t="shared" si="6"/>
        <v>1064.76</v>
      </c>
    </row>
    <row r="61" spans="1:11">
      <c r="A61" s="207">
        <f t="shared" si="1"/>
        <v>56</v>
      </c>
      <c r="B61" s="207" t="s">
        <v>2381</v>
      </c>
      <c r="C61" s="207"/>
      <c r="D61" s="224" t="s">
        <v>1301</v>
      </c>
      <c r="E61" s="79" t="s">
        <v>1316</v>
      </c>
      <c r="F61" s="37"/>
      <c r="G61" s="122">
        <f>28884.55</f>
        <v>28884.55</v>
      </c>
      <c r="H61" s="95">
        <v>1</v>
      </c>
      <c r="I61" s="77">
        <f t="shared" si="5"/>
        <v>28884.55</v>
      </c>
      <c r="J61" s="95">
        <v>1</v>
      </c>
      <c r="K61" s="215">
        <f t="shared" si="6"/>
        <v>28884.55</v>
      </c>
    </row>
    <row r="62" spans="1:11">
      <c r="A62" s="207">
        <f t="shared" si="1"/>
        <v>57</v>
      </c>
      <c r="B62" s="207" t="s">
        <v>2381</v>
      </c>
      <c r="C62" s="207"/>
      <c r="D62" s="224" t="s">
        <v>1301</v>
      </c>
      <c r="E62" s="79" t="s">
        <v>1316</v>
      </c>
      <c r="F62" s="37"/>
      <c r="G62" s="122">
        <f>41065.94</f>
        <v>41065.94</v>
      </c>
      <c r="H62" s="95">
        <v>1</v>
      </c>
      <c r="I62" s="77">
        <f t="shared" si="5"/>
        <v>41065.94</v>
      </c>
      <c r="J62" s="95">
        <v>1</v>
      </c>
      <c r="K62" s="215">
        <f t="shared" si="6"/>
        <v>41065.94</v>
      </c>
    </row>
    <row r="63" spans="1:11">
      <c r="A63" s="207">
        <f t="shared" si="1"/>
        <v>58</v>
      </c>
      <c r="B63" s="207" t="s">
        <v>2381</v>
      </c>
      <c r="C63" s="207"/>
      <c r="D63" s="224" t="s">
        <v>1301</v>
      </c>
      <c r="E63" s="79" t="s">
        <v>1316</v>
      </c>
      <c r="F63" s="37"/>
      <c r="G63" s="122">
        <v>93750.14</v>
      </c>
      <c r="H63" s="95">
        <v>1</v>
      </c>
      <c r="I63" s="77">
        <f t="shared" si="5"/>
        <v>93750.14</v>
      </c>
      <c r="J63" s="95">
        <v>1</v>
      </c>
      <c r="K63" s="215">
        <f t="shared" si="6"/>
        <v>93750.14</v>
      </c>
    </row>
    <row r="64" spans="1:11">
      <c r="A64" s="207">
        <f t="shared" si="1"/>
        <v>59</v>
      </c>
      <c r="B64" s="207" t="s">
        <v>2381</v>
      </c>
      <c r="C64" s="207"/>
      <c r="D64" s="224" t="s">
        <v>1301</v>
      </c>
      <c r="E64" s="79" t="s">
        <v>1306</v>
      </c>
      <c r="F64" s="37"/>
      <c r="G64" s="122">
        <v>2600.2199999999998</v>
      </c>
      <c r="H64" s="95">
        <v>1</v>
      </c>
      <c r="I64" s="77">
        <f t="shared" si="5"/>
        <v>2600.2199999999998</v>
      </c>
      <c r="J64" s="95">
        <v>1</v>
      </c>
      <c r="K64" s="215">
        <f t="shared" si="6"/>
        <v>2600.2199999999998</v>
      </c>
    </row>
    <row r="65" spans="1:11">
      <c r="A65" s="207">
        <f t="shared" si="1"/>
        <v>60</v>
      </c>
      <c r="B65" s="207" t="s">
        <v>2381</v>
      </c>
      <c r="C65" s="207"/>
      <c r="D65" s="224" t="s">
        <v>1301</v>
      </c>
      <c r="E65" s="79" t="s">
        <v>1311</v>
      </c>
      <c r="F65" s="37"/>
      <c r="G65" s="122">
        <f>1320912.96</f>
        <v>1320912.96</v>
      </c>
      <c r="H65" s="95">
        <v>1</v>
      </c>
      <c r="I65" s="77">
        <f t="shared" si="5"/>
        <v>1320912.96</v>
      </c>
      <c r="J65" s="95">
        <v>1</v>
      </c>
      <c r="K65" s="215">
        <f t="shared" si="6"/>
        <v>1320912.96</v>
      </c>
    </row>
    <row r="66" spans="1:11">
      <c r="A66" s="207">
        <f t="shared" si="1"/>
        <v>61</v>
      </c>
      <c r="B66" s="207" t="s">
        <v>2381</v>
      </c>
      <c r="C66" s="207"/>
      <c r="D66" s="224" t="s">
        <v>1301</v>
      </c>
      <c r="E66" s="79" t="s">
        <v>1306</v>
      </c>
      <c r="F66" s="37"/>
      <c r="G66" s="122">
        <v>445914.6</v>
      </c>
      <c r="H66" s="95">
        <v>1</v>
      </c>
      <c r="I66" s="77">
        <f t="shared" si="5"/>
        <v>445914.6</v>
      </c>
      <c r="J66" s="95">
        <v>1</v>
      </c>
      <c r="K66" s="215">
        <f t="shared" si="6"/>
        <v>445914.6</v>
      </c>
    </row>
    <row r="67" spans="1:11">
      <c r="A67" s="207">
        <f t="shared" si="1"/>
        <v>62</v>
      </c>
      <c r="B67" s="207" t="s">
        <v>2381</v>
      </c>
      <c r="C67" s="207"/>
      <c r="D67" s="224" t="s">
        <v>622</v>
      </c>
      <c r="E67" s="79" t="s">
        <v>1310</v>
      </c>
      <c r="F67" s="37"/>
      <c r="G67" s="122">
        <f>40641.57</f>
        <v>40641.57</v>
      </c>
      <c r="H67" s="95">
        <v>1</v>
      </c>
      <c r="I67" s="77">
        <f t="shared" si="5"/>
        <v>40641.57</v>
      </c>
      <c r="J67" s="95">
        <v>1</v>
      </c>
      <c r="K67" s="215">
        <f t="shared" si="6"/>
        <v>40641.57</v>
      </c>
    </row>
    <row r="68" spans="1:11">
      <c r="A68" s="207">
        <f t="shared" si="1"/>
        <v>63</v>
      </c>
      <c r="B68" s="207" t="s">
        <v>2381</v>
      </c>
      <c r="C68" s="207"/>
      <c r="D68" s="224" t="s">
        <v>622</v>
      </c>
      <c r="E68" s="79" t="s">
        <v>1306</v>
      </c>
      <c r="F68" s="37"/>
      <c r="G68" s="122">
        <f>577.47</f>
        <v>577.47</v>
      </c>
      <c r="H68" s="95">
        <v>1</v>
      </c>
      <c r="I68" s="77">
        <f t="shared" si="5"/>
        <v>577.47</v>
      </c>
      <c r="J68" s="95">
        <v>1</v>
      </c>
      <c r="K68" s="215">
        <f t="shared" si="6"/>
        <v>577.47</v>
      </c>
    </row>
    <row r="69" spans="1:11">
      <c r="A69" s="207">
        <f t="shared" si="1"/>
        <v>64</v>
      </c>
      <c r="B69" s="207" t="s">
        <v>2381</v>
      </c>
      <c r="C69" s="207"/>
      <c r="D69" s="224" t="s">
        <v>622</v>
      </c>
      <c r="E69" s="79" t="s">
        <v>1309</v>
      </c>
      <c r="F69" s="37"/>
      <c r="G69" s="122">
        <v>65248.99</v>
      </c>
      <c r="H69" s="95">
        <v>1</v>
      </c>
      <c r="I69" s="77">
        <f t="shared" si="5"/>
        <v>65248.99</v>
      </c>
      <c r="J69" s="95">
        <v>1</v>
      </c>
      <c r="K69" s="215">
        <f t="shared" si="6"/>
        <v>65248.99</v>
      </c>
    </row>
    <row r="70" spans="1:11">
      <c r="A70" s="207">
        <f t="shared" si="1"/>
        <v>65</v>
      </c>
      <c r="B70" s="207" t="s">
        <v>2381</v>
      </c>
      <c r="C70" s="207"/>
      <c r="D70" s="224" t="s">
        <v>622</v>
      </c>
      <c r="E70" s="79" t="s">
        <v>1306</v>
      </c>
      <c r="F70" s="37"/>
      <c r="G70" s="122">
        <v>2363.0300000000002</v>
      </c>
      <c r="H70" s="95">
        <v>1</v>
      </c>
      <c r="I70" s="77">
        <f t="shared" si="5"/>
        <v>2363.0300000000002</v>
      </c>
      <c r="J70" s="95">
        <v>1</v>
      </c>
      <c r="K70" s="215">
        <f t="shared" si="6"/>
        <v>2363.0300000000002</v>
      </c>
    </row>
    <row r="71" spans="1:11">
      <c r="A71" s="207">
        <f t="shared" si="1"/>
        <v>66</v>
      </c>
      <c r="B71" s="207" t="s">
        <v>2381</v>
      </c>
      <c r="C71" s="207"/>
      <c r="D71" s="224" t="s">
        <v>622</v>
      </c>
      <c r="E71" s="79" t="s">
        <v>1313</v>
      </c>
      <c r="F71" s="37"/>
      <c r="G71" s="122">
        <v>884802.54</v>
      </c>
      <c r="H71" s="95">
        <v>1</v>
      </c>
      <c r="I71" s="77">
        <f t="shared" si="5"/>
        <v>884802.54</v>
      </c>
      <c r="J71" s="95">
        <v>1</v>
      </c>
      <c r="K71" s="215">
        <f t="shared" si="6"/>
        <v>884802.54</v>
      </c>
    </row>
    <row r="72" spans="1:11">
      <c r="A72" s="207">
        <f t="shared" si="1"/>
        <v>67</v>
      </c>
      <c r="B72" s="207" t="s">
        <v>2381</v>
      </c>
      <c r="C72" s="207"/>
      <c r="D72" s="224" t="s">
        <v>622</v>
      </c>
      <c r="E72" s="79" t="s">
        <v>1306</v>
      </c>
      <c r="F72" s="37"/>
      <c r="G72" s="122">
        <v>30823.25</v>
      </c>
      <c r="H72" s="95">
        <v>1</v>
      </c>
      <c r="I72" s="77">
        <f t="shared" si="5"/>
        <v>30823.25</v>
      </c>
      <c r="J72" s="95">
        <v>1</v>
      </c>
      <c r="K72" s="215">
        <f t="shared" si="6"/>
        <v>30823.25</v>
      </c>
    </row>
    <row r="73" spans="1:11" ht="13.5" thickBot="1">
      <c r="A73" s="207">
        <f t="shared" si="1"/>
        <v>68</v>
      </c>
      <c r="B73" s="207"/>
      <c r="C73" s="207"/>
      <c r="D73" s="224"/>
      <c r="E73" s="235" t="s">
        <v>89</v>
      </c>
      <c r="F73" s="78"/>
      <c r="G73" s="142">
        <f>SUM(G31:G72)</f>
        <v>7134157.3499999996</v>
      </c>
      <c r="H73" s="237"/>
      <c r="I73" s="221">
        <f>SUM(I31:I72)</f>
        <v>7134157.3499999996</v>
      </c>
      <c r="J73" s="237"/>
      <c r="K73" s="223">
        <f>SUM(K31:K72)</f>
        <v>7134157.3499999996</v>
      </c>
    </row>
    <row r="74" spans="1:11" ht="13.5" thickTop="1">
      <c r="A74" s="207">
        <f t="shared" si="1"/>
        <v>69</v>
      </c>
      <c r="B74" s="207" t="s">
        <v>2381</v>
      </c>
      <c r="C74" s="207"/>
      <c r="D74" s="224" t="s">
        <v>625</v>
      </c>
      <c r="E74" s="79" t="s">
        <v>1317</v>
      </c>
      <c r="F74" s="37"/>
      <c r="G74" s="122">
        <v>146013.4</v>
      </c>
      <c r="H74" s="96">
        <v>0.66300000000000003</v>
      </c>
      <c r="I74" s="77">
        <f t="shared" ref="I74:I78" si="7">H74*G74</f>
        <v>96806.8842</v>
      </c>
      <c r="J74" s="96">
        <v>0.75900000000000001</v>
      </c>
      <c r="K74" s="215">
        <f t="shared" ref="K74:K78" si="8">G74*J74</f>
        <v>110824.1706</v>
      </c>
    </row>
    <row r="75" spans="1:11">
      <c r="A75" s="207">
        <f t="shared" si="1"/>
        <v>70</v>
      </c>
      <c r="B75" s="207" t="s">
        <v>2381</v>
      </c>
      <c r="C75" s="207"/>
      <c r="D75" s="224" t="s">
        <v>625</v>
      </c>
      <c r="E75" s="79" t="s">
        <v>1306</v>
      </c>
      <c r="F75" s="37"/>
      <c r="G75" s="122">
        <v>10941.32</v>
      </c>
      <c r="H75" s="96">
        <v>0.66300000000000003</v>
      </c>
      <c r="I75" s="77">
        <f t="shared" si="7"/>
        <v>7254.0951599999999</v>
      </c>
      <c r="J75" s="96">
        <v>0.75900000000000001</v>
      </c>
      <c r="K75" s="215">
        <f t="shared" si="8"/>
        <v>8304.4618800000007</v>
      </c>
    </row>
    <row r="76" spans="1:11">
      <c r="A76" s="207">
        <f t="shared" si="1"/>
        <v>71</v>
      </c>
      <c r="B76" s="207" t="s">
        <v>2381</v>
      </c>
      <c r="C76" s="207"/>
      <c r="D76" s="224" t="s">
        <v>625</v>
      </c>
      <c r="E76" s="79" t="s">
        <v>1318</v>
      </c>
      <c r="F76" s="37"/>
      <c r="G76" s="122">
        <v>676146.99</v>
      </c>
      <c r="H76" s="96">
        <v>0.66300000000000003</v>
      </c>
      <c r="I76" s="77">
        <f t="shared" si="7"/>
        <v>448285.45436999999</v>
      </c>
      <c r="J76" s="96">
        <v>0.75900000000000001</v>
      </c>
      <c r="K76" s="215">
        <f t="shared" si="8"/>
        <v>513195.56540999998</v>
      </c>
    </row>
    <row r="77" spans="1:11">
      <c r="A77" s="207">
        <f t="shared" si="1"/>
        <v>72</v>
      </c>
      <c r="B77" s="207" t="s">
        <v>2381</v>
      </c>
      <c r="C77" s="207"/>
      <c r="D77" s="224" t="s">
        <v>625</v>
      </c>
      <c r="E77" s="79" t="s">
        <v>1319</v>
      </c>
      <c r="F77" s="37"/>
      <c r="G77" s="122">
        <v>67520.789999999994</v>
      </c>
      <c r="H77" s="96">
        <v>0.66300000000000003</v>
      </c>
      <c r="I77" s="77">
        <f t="shared" si="7"/>
        <v>44766.283769999995</v>
      </c>
      <c r="J77" s="96">
        <v>0.75900000000000001</v>
      </c>
      <c r="K77" s="215">
        <f t="shared" si="8"/>
        <v>51248.279609999998</v>
      </c>
    </row>
    <row r="78" spans="1:11">
      <c r="A78" s="207">
        <f t="shared" ref="A78:A141" si="9">A77+1</f>
        <v>73</v>
      </c>
      <c r="B78" s="207" t="s">
        <v>2381</v>
      </c>
      <c r="C78" s="207"/>
      <c r="D78" s="224" t="s">
        <v>625</v>
      </c>
      <c r="E78" s="79" t="s">
        <v>1320</v>
      </c>
      <c r="F78" s="37"/>
      <c r="G78" s="122">
        <v>573531.89</v>
      </c>
      <c r="H78" s="96">
        <v>0.66300000000000003</v>
      </c>
      <c r="I78" s="77">
        <f t="shared" si="7"/>
        <v>380251.64307000005</v>
      </c>
      <c r="J78" s="96">
        <v>0.75900000000000001</v>
      </c>
      <c r="K78" s="215">
        <f t="shared" si="8"/>
        <v>435310.70451000001</v>
      </c>
    </row>
    <row r="79" spans="1:11" ht="13.5" thickBot="1">
      <c r="A79" s="207">
        <f t="shared" si="9"/>
        <v>74</v>
      </c>
      <c r="B79" s="207"/>
      <c r="C79" s="207"/>
      <c r="D79" s="224"/>
      <c r="E79" s="235" t="s">
        <v>89</v>
      </c>
      <c r="F79" s="78"/>
      <c r="G79" s="142">
        <f>SUM(G74:G78)</f>
        <v>1474154.3900000001</v>
      </c>
      <c r="H79" s="237"/>
      <c r="I79" s="221">
        <f>SUM(I74:I78)</f>
        <v>977364.36057000002</v>
      </c>
      <c r="J79" s="237"/>
      <c r="K79" s="223">
        <f>SUM(K74:K78)</f>
        <v>1118883.1820099999</v>
      </c>
    </row>
    <row r="80" spans="1:11" ht="13.5" thickTop="1">
      <c r="A80" s="207">
        <f t="shared" si="9"/>
        <v>75</v>
      </c>
      <c r="B80" s="207" t="s">
        <v>2381</v>
      </c>
      <c r="C80" s="207"/>
      <c r="D80" s="224" t="s">
        <v>625</v>
      </c>
      <c r="E80" s="79" t="s">
        <v>1321</v>
      </c>
      <c r="F80" s="37"/>
      <c r="G80" s="122">
        <v>54316.73</v>
      </c>
      <c r="H80" s="95">
        <v>1</v>
      </c>
      <c r="I80" s="77">
        <f t="shared" ref="I80:I89" si="10">H80*G80</f>
        <v>54316.73</v>
      </c>
      <c r="J80" s="95">
        <v>1</v>
      </c>
      <c r="K80" s="215">
        <f t="shared" ref="K80:K89" si="11">G80*J80</f>
        <v>54316.73</v>
      </c>
    </row>
    <row r="81" spans="1:11">
      <c r="A81" s="207">
        <f t="shared" si="9"/>
        <v>76</v>
      </c>
      <c r="B81" s="207" t="s">
        <v>2381</v>
      </c>
      <c r="C81" s="207"/>
      <c r="D81" s="224" t="s">
        <v>625</v>
      </c>
      <c r="E81" s="79" t="s">
        <v>1306</v>
      </c>
      <c r="F81" s="37"/>
      <c r="G81" s="122">
        <v>20639.32</v>
      </c>
      <c r="H81" s="95">
        <v>1</v>
      </c>
      <c r="I81" s="77">
        <f t="shared" si="10"/>
        <v>20639.32</v>
      </c>
      <c r="J81" s="95">
        <v>1</v>
      </c>
      <c r="K81" s="215">
        <f t="shared" si="11"/>
        <v>20639.32</v>
      </c>
    </row>
    <row r="82" spans="1:11">
      <c r="A82" s="207">
        <f t="shared" si="9"/>
        <v>77</v>
      </c>
      <c r="B82" s="207" t="s">
        <v>2381</v>
      </c>
      <c r="C82" s="207"/>
      <c r="D82" s="224" t="s">
        <v>625</v>
      </c>
      <c r="E82" s="79" t="s">
        <v>1321</v>
      </c>
      <c r="F82" s="37"/>
      <c r="G82" s="122">
        <v>141933.62</v>
      </c>
      <c r="H82" s="95">
        <v>1</v>
      </c>
      <c r="I82" s="77">
        <f t="shared" si="10"/>
        <v>141933.62</v>
      </c>
      <c r="J82" s="95">
        <v>1</v>
      </c>
      <c r="K82" s="215">
        <f t="shared" si="11"/>
        <v>141933.62</v>
      </c>
    </row>
    <row r="83" spans="1:11">
      <c r="A83" s="207">
        <f t="shared" si="9"/>
        <v>78</v>
      </c>
      <c r="B83" s="207" t="s">
        <v>2381</v>
      </c>
      <c r="C83" s="207"/>
      <c r="D83" s="224" t="s">
        <v>625</v>
      </c>
      <c r="E83" s="79" t="s">
        <v>1306</v>
      </c>
      <c r="F83" s="37"/>
      <c r="G83" s="122">
        <v>3902.43</v>
      </c>
      <c r="H83" s="95">
        <v>1</v>
      </c>
      <c r="I83" s="77">
        <f t="shared" si="10"/>
        <v>3902.43</v>
      </c>
      <c r="J83" s="95">
        <v>1</v>
      </c>
      <c r="K83" s="215">
        <f t="shared" si="11"/>
        <v>3902.43</v>
      </c>
    </row>
    <row r="84" spans="1:11">
      <c r="A84" s="207">
        <f t="shared" si="9"/>
        <v>79</v>
      </c>
      <c r="B84" s="207" t="s">
        <v>2381</v>
      </c>
      <c r="C84" s="207"/>
      <c r="D84" s="224" t="s">
        <v>625</v>
      </c>
      <c r="E84" s="79" t="s">
        <v>1309</v>
      </c>
      <c r="F84" s="37"/>
      <c r="G84" s="122">
        <v>61037.2</v>
      </c>
      <c r="H84" s="95">
        <v>1</v>
      </c>
      <c r="I84" s="77">
        <f t="shared" si="10"/>
        <v>61037.2</v>
      </c>
      <c r="J84" s="95">
        <v>1</v>
      </c>
      <c r="K84" s="215">
        <f t="shared" si="11"/>
        <v>61037.2</v>
      </c>
    </row>
    <row r="85" spans="1:11">
      <c r="A85" s="207">
        <f t="shared" si="9"/>
        <v>80</v>
      </c>
      <c r="B85" s="207" t="s">
        <v>2381</v>
      </c>
      <c r="C85" s="207"/>
      <c r="D85" s="224" t="s">
        <v>625</v>
      </c>
      <c r="E85" s="79" t="s">
        <v>1306</v>
      </c>
      <c r="F85" s="37"/>
      <c r="G85" s="122">
        <v>770.9</v>
      </c>
      <c r="H85" s="95">
        <v>1</v>
      </c>
      <c r="I85" s="77">
        <f t="shared" si="10"/>
        <v>770.9</v>
      </c>
      <c r="J85" s="95">
        <v>1</v>
      </c>
      <c r="K85" s="215">
        <f t="shared" si="11"/>
        <v>770.9</v>
      </c>
    </row>
    <row r="86" spans="1:11">
      <c r="A86" s="207">
        <f t="shared" si="9"/>
        <v>81</v>
      </c>
      <c r="B86" s="207" t="s">
        <v>2381</v>
      </c>
      <c r="C86" s="207"/>
      <c r="D86" s="224" t="s">
        <v>625</v>
      </c>
      <c r="E86" s="79" t="s">
        <v>1306</v>
      </c>
      <c r="F86" s="37"/>
      <c r="G86" s="122">
        <v>2877.74</v>
      </c>
      <c r="H86" s="95">
        <v>1</v>
      </c>
      <c r="I86" s="77">
        <f t="shared" si="10"/>
        <v>2877.74</v>
      </c>
      <c r="J86" s="95">
        <v>1</v>
      </c>
      <c r="K86" s="215">
        <f t="shared" si="11"/>
        <v>2877.74</v>
      </c>
    </row>
    <row r="87" spans="1:11">
      <c r="A87" s="207">
        <f t="shared" si="9"/>
        <v>82</v>
      </c>
      <c r="B87" s="207" t="s">
        <v>2381</v>
      </c>
      <c r="C87" s="207"/>
      <c r="D87" s="224" t="s">
        <v>625</v>
      </c>
      <c r="E87" s="79" t="s">
        <v>1322</v>
      </c>
      <c r="F87" s="37"/>
      <c r="G87" s="122">
        <v>16160.95</v>
      </c>
      <c r="H87" s="95">
        <v>1</v>
      </c>
      <c r="I87" s="77">
        <f t="shared" si="10"/>
        <v>16160.95</v>
      </c>
      <c r="J87" s="95">
        <v>1</v>
      </c>
      <c r="K87" s="215">
        <f t="shared" si="11"/>
        <v>16160.95</v>
      </c>
    </row>
    <row r="88" spans="1:11">
      <c r="A88" s="207">
        <f t="shared" si="9"/>
        <v>83</v>
      </c>
      <c r="B88" s="207" t="s">
        <v>2381</v>
      </c>
      <c r="C88" s="207"/>
      <c r="D88" s="224" t="s">
        <v>625</v>
      </c>
      <c r="E88" s="79" t="s">
        <v>1309</v>
      </c>
      <c r="F88" s="37"/>
      <c r="G88" s="122">
        <v>8952.5300000000007</v>
      </c>
      <c r="H88" s="95">
        <v>1</v>
      </c>
      <c r="I88" s="77">
        <f t="shared" si="10"/>
        <v>8952.5300000000007</v>
      </c>
      <c r="J88" s="95">
        <v>1</v>
      </c>
      <c r="K88" s="215">
        <f t="shared" si="11"/>
        <v>8952.5300000000007</v>
      </c>
    </row>
    <row r="89" spans="1:11">
      <c r="A89" s="207">
        <f t="shared" si="9"/>
        <v>84</v>
      </c>
      <c r="B89" s="207" t="s">
        <v>2381</v>
      </c>
      <c r="C89" s="207"/>
      <c r="D89" s="224" t="s">
        <v>625</v>
      </c>
      <c r="E89" s="79" t="s">
        <v>1306</v>
      </c>
      <c r="F89" s="37"/>
      <c r="G89" s="122">
        <v>1211.9000000000001</v>
      </c>
      <c r="H89" s="95">
        <v>1</v>
      </c>
      <c r="I89" s="77">
        <f t="shared" si="10"/>
        <v>1211.9000000000001</v>
      </c>
      <c r="J89" s="95">
        <v>1</v>
      </c>
      <c r="K89" s="215">
        <f t="shared" si="11"/>
        <v>1211.9000000000001</v>
      </c>
    </row>
    <row r="90" spans="1:11" ht="13.5" thickBot="1">
      <c r="A90" s="207">
        <f t="shared" si="9"/>
        <v>85</v>
      </c>
      <c r="B90" s="207"/>
      <c r="C90" s="207"/>
      <c r="D90" s="224"/>
      <c r="E90" s="235" t="s">
        <v>89</v>
      </c>
      <c r="F90" s="78"/>
      <c r="G90" s="142">
        <f>SUM(G80:G89)</f>
        <v>311803.32000000007</v>
      </c>
      <c r="H90" s="237"/>
      <c r="I90" s="221">
        <f>SUM(I80:I89)</f>
        <v>311803.32000000007</v>
      </c>
      <c r="J90" s="78"/>
      <c r="K90" s="223">
        <f>SUM(K80:K89)</f>
        <v>311803.32000000007</v>
      </c>
    </row>
    <row r="91" spans="1:11" ht="13.5" thickTop="1">
      <c r="A91" s="207">
        <f t="shared" si="9"/>
        <v>86</v>
      </c>
      <c r="B91" s="207" t="s">
        <v>2381</v>
      </c>
      <c r="C91" s="207"/>
      <c r="D91" s="224" t="s">
        <v>627</v>
      </c>
      <c r="E91" s="84" t="s">
        <v>1323</v>
      </c>
      <c r="F91" s="37"/>
      <c r="G91" s="122">
        <f>134174.04</f>
        <v>134174.04</v>
      </c>
      <c r="H91" s="95">
        <v>1</v>
      </c>
      <c r="I91" s="77">
        <f>G91*H91</f>
        <v>134174.04</v>
      </c>
      <c r="J91" s="95">
        <v>1</v>
      </c>
      <c r="K91" s="215">
        <f>G91*J91</f>
        <v>134174.04</v>
      </c>
    </row>
    <row r="92" spans="1:11">
      <c r="A92" s="207">
        <f t="shared" si="9"/>
        <v>87</v>
      </c>
      <c r="B92" s="207" t="s">
        <v>2381</v>
      </c>
      <c r="C92" s="207"/>
      <c r="D92" s="224" t="s">
        <v>627</v>
      </c>
      <c r="E92" s="84" t="s">
        <v>1324</v>
      </c>
      <c r="F92" s="37"/>
      <c r="G92" s="122">
        <f>59005.31</f>
        <v>59005.31</v>
      </c>
      <c r="H92" s="95">
        <v>1</v>
      </c>
      <c r="I92" s="77">
        <f t="shared" ref="I92:I144" si="12">G92*H92</f>
        <v>59005.31</v>
      </c>
      <c r="J92" s="95">
        <v>1</v>
      </c>
      <c r="K92" s="215">
        <f t="shared" ref="K92:K144" si="13">G92*J92</f>
        <v>59005.31</v>
      </c>
    </row>
    <row r="93" spans="1:11">
      <c r="A93" s="207">
        <f t="shared" si="9"/>
        <v>88</v>
      </c>
      <c r="B93" s="207" t="s">
        <v>2381</v>
      </c>
      <c r="C93" s="207"/>
      <c r="D93" s="224" t="s">
        <v>627</v>
      </c>
      <c r="E93" s="84" t="s">
        <v>1325</v>
      </c>
      <c r="F93" s="37"/>
      <c r="G93" s="122">
        <f>119667.35</f>
        <v>119667.35</v>
      </c>
      <c r="H93" s="95">
        <v>1</v>
      </c>
      <c r="I93" s="77">
        <f t="shared" si="12"/>
        <v>119667.35</v>
      </c>
      <c r="J93" s="95">
        <v>1</v>
      </c>
      <c r="K93" s="215">
        <f t="shared" si="13"/>
        <v>119667.35</v>
      </c>
    </row>
    <row r="94" spans="1:11">
      <c r="A94" s="207">
        <f t="shared" si="9"/>
        <v>89</v>
      </c>
      <c r="B94" s="207" t="s">
        <v>2381</v>
      </c>
      <c r="C94" s="207"/>
      <c r="D94" s="224" t="s">
        <v>627</v>
      </c>
      <c r="E94" s="84" t="s">
        <v>1322</v>
      </c>
      <c r="F94" s="37"/>
      <c r="G94" s="122">
        <v>39790.21</v>
      </c>
      <c r="H94" s="95">
        <v>1</v>
      </c>
      <c r="I94" s="77">
        <f t="shared" si="12"/>
        <v>39790.21</v>
      </c>
      <c r="J94" s="95">
        <v>1</v>
      </c>
      <c r="K94" s="215">
        <f t="shared" si="13"/>
        <v>39790.21</v>
      </c>
    </row>
    <row r="95" spans="1:11">
      <c r="A95" s="207">
        <f t="shared" si="9"/>
        <v>90</v>
      </c>
      <c r="B95" s="207" t="s">
        <v>2381</v>
      </c>
      <c r="C95" s="207"/>
      <c r="D95" s="224" t="s">
        <v>627</v>
      </c>
      <c r="E95" s="84" t="s">
        <v>1302</v>
      </c>
      <c r="F95" s="37"/>
      <c r="G95" s="122">
        <v>1601.37</v>
      </c>
      <c r="H95" s="95">
        <v>1</v>
      </c>
      <c r="I95" s="77">
        <f t="shared" si="12"/>
        <v>1601.37</v>
      </c>
      <c r="J95" s="95">
        <v>1</v>
      </c>
      <c r="K95" s="215">
        <f t="shared" si="13"/>
        <v>1601.37</v>
      </c>
    </row>
    <row r="96" spans="1:11">
      <c r="A96" s="207">
        <f t="shared" si="9"/>
        <v>91</v>
      </c>
      <c r="B96" s="207" t="s">
        <v>2381</v>
      </c>
      <c r="C96" s="207"/>
      <c r="D96" s="224" t="s">
        <v>627</v>
      </c>
      <c r="E96" s="84" t="s">
        <v>1316</v>
      </c>
      <c r="F96" s="37"/>
      <c r="G96" s="122">
        <f>53164.52</f>
        <v>53164.52</v>
      </c>
      <c r="H96" s="95">
        <v>1</v>
      </c>
      <c r="I96" s="77">
        <f t="shared" si="12"/>
        <v>53164.52</v>
      </c>
      <c r="J96" s="95">
        <v>1</v>
      </c>
      <c r="K96" s="215">
        <f t="shared" si="13"/>
        <v>53164.52</v>
      </c>
    </row>
    <row r="97" spans="1:11">
      <c r="A97" s="207">
        <f t="shared" si="9"/>
        <v>92</v>
      </c>
      <c r="B97" s="207" t="s">
        <v>2381</v>
      </c>
      <c r="C97" s="207"/>
      <c r="D97" s="224" t="s">
        <v>627</v>
      </c>
      <c r="E97" s="84" t="s">
        <v>1316</v>
      </c>
      <c r="F97" s="37"/>
      <c r="G97" s="122">
        <f>307465.42</f>
        <v>307465.42</v>
      </c>
      <c r="H97" s="95">
        <v>1</v>
      </c>
      <c r="I97" s="77">
        <f t="shared" si="12"/>
        <v>307465.42</v>
      </c>
      <c r="J97" s="95">
        <v>1</v>
      </c>
      <c r="K97" s="215">
        <f t="shared" si="13"/>
        <v>307465.42</v>
      </c>
    </row>
    <row r="98" spans="1:11">
      <c r="A98" s="207">
        <f t="shared" si="9"/>
        <v>93</v>
      </c>
      <c r="B98" s="207" t="s">
        <v>2381</v>
      </c>
      <c r="C98" s="207"/>
      <c r="D98" s="224" t="s">
        <v>627</v>
      </c>
      <c r="E98" s="84" t="s">
        <v>1316</v>
      </c>
      <c r="F98" s="37"/>
      <c r="G98" s="122">
        <f>12819.56</f>
        <v>12819.56</v>
      </c>
      <c r="H98" s="95">
        <v>1</v>
      </c>
      <c r="I98" s="77">
        <f t="shared" si="12"/>
        <v>12819.56</v>
      </c>
      <c r="J98" s="95">
        <v>1</v>
      </c>
      <c r="K98" s="215">
        <f t="shared" si="13"/>
        <v>12819.56</v>
      </c>
    </row>
    <row r="99" spans="1:11">
      <c r="A99" s="207">
        <f t="shared" si="9"/>
        <v>94</v>
      </c>
      <c r="B99" s="207" t="s">
        <v>2381</v>
      </c>
      <c r="C99" s="207"/>
      <c r="D99" s="224" t="s">
        <v>627</v>
      </c>
      <c r="E99" s="84" t="s">
        <v>1316</v>
      </c>
      <c r="F99" s="37"/>
      <c r="G99" s="122">
        <f>415983</f>
        <v>415983</v>
      </c>
      <c r="H99" s="95">
        <v>1</v>
      </c>
      <c r="I99" s="77">
        <f t="shared" si="12"/>
        <v>415983</v>
      </c>
      <c r="J99" s="95">
        <v>1</v>
      </c>
      <c r="K99" s="215">
        <f t="shared" si="13"/>
        <v>415983</v>
      </c>
    </row>
    <row r="100" spans="1:11">
      <c r="A100" s="207">
        <f t="shared" si="9"/>
        <v>95</v>
      </c>
      <c r="B100" s="207" t="s">
        <v>2381</v>
      </c>
      <c r="C100" s="207"/>
      <c r="D100" s="224" t="s">
        <v>627</v>
      </c>
      <c r="E100" s="84" t="s">
        <v>1302</v>
      </c>
      <c r="F100" s="37"/>
      <c r="G100" s="122">
        <v>146434.79999999999</v>
      </c>
      <c r="H100" s="95">
        <v>1</v>
      </c>
      <c r="I100" s="77">
        <f t="shared" si="12"/>
        <v>146434.79999999999</v>
      </c>
      <c r="J100" s="95">
        <v>1</v>
      </c>
      <c r="K100" s="215">
        <f t="shared" si="13"/>
        <v>146434.79999999999</v>
      </c>
    </row>
    <row r="101" spans="1:11">
      <c r="A101" s="207">
        <f t="shared" si="9"/>
        <v>96</v>
      </c>
      <c r="B101" s="207" t="s">
        <v>2381</v>
      </c>
      <c r="C101" s="207"/>
      <c r="D101" s="224" t="s">
        <v>627</v>
      </c>
      <c r="E101" s="84" t="s">
        <v>1302</v>
      </c>
      <c r="F101" s="37"/>
      <c r="G101" s="122">
        <f>2533.43</f>
        <v>2533.4299999999998</v>
      </c>
      <c r="H101" s="95">
        <v>1</v>
      </c>
      <c r="I101" s="77">
        <f t="shared" si="12"/>
        <v>2533.4299999999998</v>
      </c>
      <c r="J101" s="95">
        <v>1</v>
      </c>
      <c r="K101" s="215">
        <f t="shared" si="13"/>
        <v>2533.4299999999998</v>
      </c>
    </row>
    <row r="102" spans="1:11">
      <c r="A102" s="207">
        <f t="shared" si="9"/>
        <v>97</v>
      </c>
      <c r="B102" s="207" t="s">
        <v>2381</v>
      </c>
      <c r="C102" s="207"/>
      <c r="D102" s="224" t="s">
        <v>627</v>
      </c>
      <c r="E102" s="84" t="s">
        <v>1315</v>
      </c>
      <c r="F102" s="37"/>
      <c r="G102" s="122">
        <f>31657.69</f>
        <v>31657.69</v>
      </c>
      <c r="H102" s="95">
        <v>1</v>
      </c>
      <c r="I102" s="77">
        <f t="shared" si="12"/>
        <v>31657.69</v>
      </c>
      <c r="J102" s="95">
        <v>1</v>
      </c>
      <c r="K102" s="215">
        <f t="shared" si="13"/>
        <v>31657.69</v>
      </c>
    </row>
    <row r="103" spans="1:11">
      <c r="A103" s="207">
        <f t="shared" si="9"/>
        <v>98</v>
      </c>
      <c r="B103" s="207" t="s">
        <v>2381</v>
      </c>
      <c r="C103" s="207"/>
      <c r="D103" s="224" t="s">
        <v>627</v>
      </c>
      <c r="E103" s="84" t="s">
        <v>1314</v>
      </c>
      <c r="F103" s="37"/>
      <c r="G103" s="122">
        <f>85009.25</f>
        <v>85009.25</v>
      </c>
      <c r="H103" s="95">
        <v>1</v>
      </c>
      <c r="I103" s="77">
        <f t="shared" si="12"/>
        <v>85009.25</v>
      </c>
      <c r="J103" s="95">
        <v>1</v>
      </c>
      <c r="K103" s="215">
        <f t="shared" si="13"/>
        <v>85009.25</v>
      </c>
    </row>
    <row r="104" spans="1:11">
      <c r="A104" s="207">
        <f t="shared" si="9"/>
        <v>99</v>
      </c>
      <c r="B104" s="207" t="s">
        <v>2381</v>
      </c>
      <c r="C104" s="207"/>
      <c r="D104" s="224" t="s">
        <v>627</v>
      </c>
      <c r="E104" s="84" t="s">
        <v>1321</v>
      </c>
      <c r="F104" s="37"/>
      <c r="G104" s="122">
        <f>108684.58</f>
        <v>108684.58</v>
      </c>
      <c r="H104" s="95">
        <v>1</v>
      </c>
      <c r="I104" s="77">
        <f t="shared" si="12"/>
        <v>108684.58</v>
      </c>
      <c r="J104" s="95">
        <v>1</v>
      </c>
      <c r="K104" s="215">
        <f t="shared" si="13"/>
        <v>108684.58</v>
      </c>
    </row>
    <row r="105" spans="1:11">
      <c r="A105" s="207">
        <f t="shared" si="9"/>
        <v>100</v>
      </c>
      <c r="B105" s="207" t="s">
        <v>2381</v>
      </c>
      <c r="C105" s="207"/>
      <c r="D105" s="224" t="s">
        <v>627</v>
      </c>
      <c r="E105" s="84" t="s">
        <v>1321</v>
      </c>
      <c r="F105" s="37"/>
      <c r="G105" s="122">
        <f>1933.73</f>
        <v>1933.73</v>
      </c>
      <c r="H105" s="95">
        <v>1</v>
      </c>
      <c r="I105" s="77">
        <f t="shared" si="12"/>
        <v>1933.73</v>
      </c>
      <c r="J105" s="95">
        <v>1</v>
      </c>
      <c r="K105" s="215">
        <f t="shared" si="13"/>
        <v>1933.73</v>
      </c>
    </row>
    <row r="106" spans="1:11">
      <c r="A106" s="207">
        <f t="shared" si="9"/>
        <v>101</v>
      </c>
      <c r="B106" s="207" t="s">
        <v>2381</v>
      </c>
      <c r="C106" s="207"/>
      <c r="D106" s="224" t="s">
        <v>627</v>
      </c>
      <c r="E106" s="84" t="s">
        <v>1321</v>
      </c>
      <c r="F106" s="37"/>
      <c r="G106" s="122">
        <f>38122.92</f>
        <v>38122.92</v>
      </c>
      <c r="H106" s="95">
        <v>1</v>
      </c>
      <c r="I106" s="77">
        <f t="shared" si="12"/>
        <v>38122.92</v>
      </c>
      <c r="J106" s="95">
        <v>1</v>
      </c>
      <c r="K106" s="215">
        <f t="shared" si="13"/>
        <v>38122.92</v>
      </c>
    </row>
    <row r="107" spans="1:11">
      <c r="A107" s="207">
        <f t="shared" si="9"/>
        <v>102</v>
      </c>
      <c r="B107" s="207" t="s">
        <v>2381</v>
      </c>
      <c r="C107" s="207"/>
      <c r="D107" s="224" t="s">
        <v>627</v>
      </c>
      <c r="E107" s="84" t="s">
        <v>1302</v>
      </c>
      <c r="F107" s="37"/>
      <c r="G107" s="122">
        <f>23485.53</f>
        <v>23485.53</v>
      </c>
      <c r="H107" s="95">
        <v>1</v>
      </c>
      <c r="I107" s="77">
        <f t="shared" si="12"/>
        <v>23485.53</v>
      </c>
      <c r="J107" s="95">
        <v>1</v>
      </c>
      <c r="K107" s="215">
        <f t="shared" si="13"/>
        <v>23485.53</v>
      </c>
    </row>
    <row r="108" spans="1:11">
      <c r="A108" s="207">
        <f t="shared" si="9"/>
        <v>103</v>
      </c>
      <c r="B108" s="207" t="s">
        <v>2381</v>
      </c>
      <c r="C108" s="207"/>
      <c r="D108" s="224" t="s">
        <v>627</v>
      </c>
      <c r="E108" s="84" t="s">
        <v>1326</v>
      </c>
      <c r="F108" s="37"/>
      <c r="G108" s="122">
        <f>25031.95</f>
        <v>25031.95</v>
      </c>
      <c r="H108" s="95">
        <v>1</v>
      </c>
      <c r="I108" s="77">
        <f t="shared" si="12"/>
        <v>25031.95</v>
      </c>
      <c r="J108" s="95">
        <v>1</v>
      </c>
      <c r="K108" s="215">
        <f t="shared" si="13"/>
        <v>25031.95</v>
      </c>
    </row>
    <row r="109" spans="1:11">
      <c r="A109" s="207">
        <f t="shared" si="9"/>
        <v>104</v>
      </c>
      <c r="B109" s="207" t="s">
        <v>2381</v>
      </c>
      <c r="C109" s="207"/>
      <c r="D109" s="224" t="s">
        <v>627</v>
      </c>
      <c r="E109" s="84" t="s">
        <v>1327</v>
      </c>
      <c r="F109" s="37"/>
      <c r="G109" s="122">
        <f>513.75</f>
        <v>513.75</v>
      </c>
      <c r="H109" s="95">
        <v>1</v>
      </c>
      <c r="I109" s="77">
        <f t="shared" si="12"/>
        <v>513.75</v>
      </c>
      <c r="J109" s="95">
        <v>1</v>
      </c>
      <c r="K109" s="215">
        <f t="shared" si="13"/>
        <v>513.75</v>
      </c>
    </row>
    <row r="110" spans="1:11">
      <c r="A110" s="207">
        <f t="shared" si="9"/>
        <v>105</v>
      </c>
      <c r="B110" s="207" t="s">
        <v>2381</v>
      </c>
      <c r="C110" s="207"/>
      <c r="D110" s="224" t="s">
        <v>627</v>
      </c>
      <c r="E110" s="84" t="s">
        <v>1302</v>
      </c>
      <c r="F110" s="37"/>
      <c r="G110" s="122">
        <f>18649.85</f>
        <v>18649.849999999999</v>
      </c>
      <c r="H110" s="95">
        <v>1</v>
      </c>
      <c r="I110" s="77">
        <f t="shared" si="12"/>
        <v>18649.849999999999</v>
      </c>
      <c r="J110" s="95">
        <v>1</v>
      </c>
      <c r="K110" s="215">
        <f t="shared" si="13"/>
        <v>18649.849999999999</v>
      </c>
    </row>
    <row r="111" spans="1:11">
      <c r="A111" s="207">
        <f t="shared" si="9"/>
        <v>106</v>
      </c>
      <c r="B111" s="207" t="s">
        <v>2381</v>
      </c>
      <c r="C111" s="207"/>
      <c r="D111" s="224" t="s">
        <v>627</v>
      </c>
      <c r="E111" s="84" t="s">
        <v>1328</v>
      </c>
      <c r="F111" s="37"/>
      <c r="G111" s="122">
        <f>2849.9</f>
        <v>2849.9</v>
      </c>
      <c r="H111" s="95">
        <v>1</v>
      </c>
      <c r="I111" s="77">
        <f t="shared" si="12"/>
        <v>2849.9</v>
      </c>
      <c r="J111" s="95">
        <v>1</v>
      </c>
      <c r="K111" s="215">
        <f t="shared" si="13"/>
        <v>2849.9</v>
      </c>
    </row>
    <row r="112" spans="1:11">
      <c r="A112" s="207">
        <f t="shared" si="9"/>
        <v>107</v>
      </c>
      <c r="B112" s="207" t="s">
        <v>2381</v>
      </c>
      <c r="C112" s="207"/>
      <c r="D112" s="224" t="s">
        <v>627</v>
      </c>
      <c r="E112" s="84" t="s">
        <v>1329</v>
      </c>
      <c r="F112" s="37"/>
      <c r="G112" s="122">
        <f>6624.56</f>
        <v>6624.56</v>
      </c>
      <c r="H112" s="95">
        <v>1</v>
      </c>
      <c r="I112" s="77">
        <f t="shared" si="12"/>
        <v>6624.56</v>
      </c>
      <c r="J112" s="95">
        <v>1</v>
      </c>
      <c r="K112" s="215">
        <f t="shared" si="13"/>
        <v>6624.56</v>
      </c>
    </row>
    <row r="113" spans="1:11">
      <c r="A113" s="207">
        <f t="shared" si="9"/>
        <v>108</v>
      </c>
      <c r="B113" s="207" t="s">
        <v>2381</v>
      </c>
      <c r="C113" s="207"/>
      <c r="D113" s="224" t="s">
        <v>627</v>
      </c>
      <c r="E113" s="84" t="s">
        <v>1309</v>
      </c>
      <c r="F113" s="37"/>
      <c r="G113" s="122">
        <v>-8952.5300000000007</v>
      </c>
      <c r="H113" s="95">
        <v>1</v>
      </c>
      <c r="I113" s="135">
        <f t="shared" si="12"/>
        <v>-8952.5300000000007</v>
      </c>
      <c r="J113" s="95">
        <v>1</v>
      </c>
      <c r="K113" s="215">
        <f t="shared" si="13"/>
        <v>-8952.5300000000007</v>
      </c>
    </row>
    <row r="114" spans="1:11">
      <c r="A114" s="207">
        <f t="shared" si="9"/>
        <v>109</v>
      </c>
      <c r="B114" s="207" t="s">
        <v>2381</v>
      </c>
      <c r="C114" s="207"/>
      <c r="D114" s="224" t="s">
        <v>627</v>
      </c>
      <c r="E114" s="84" t="s">
        <v>1302</v>
      </c>
      <c r="F114" s="37"/>
      <c r="G114" s="122">
        <v>-1211.9000000000001</v>
      </c>
      <c r="H114" s="95">
        <v>1</v>
      </c>
      <c r="I114" s="135">
        <f t="shared" si="12"/>
        <v>-1211.9000000000001</v>
      </c>
      <c r="J114" s="95">
        <v>1</v>
      </c>
      <c r="K114" s="215">
        <f t="shared" si="13"/>
        <v>-1211.9000000000001</v>
      </c>
    </row>
    <row r="115" spans="1:11">
      <c r="A115" s="207">
        <f t="shared" si="9"/>
        <v>110</v>
      </c>
      <c r="B115" s="207" t="s">
        <v>2381</v>
      </c>
      <c r="C115" s="207"/>
      <c r="D115" s="224" t="s">
        <v>627</v>
      </c>
      <c r="E115" s="84" t="s">
        <v>1314</v>
      </c>
      <c r="F115" s="37"/>
      <c r="G115" s="122">
        <f>226333.26</f>
        <v>226333.26</v>
      </c>
      <c r="H115" s="95">
        <v>1</v>
      </c>
      <c r="I115" s="135">
        <f t="shared" si="12"/>
        <v>226333.26</v>
      </c>
      <c r="J115" s="95">
        <v>1</v>
      </c>
      <c r="K115" s="215">
        <f t="shared" si="13"/>
        <v>226333.26</v>
      </c>
    </row>
    <row r="116" spans="1:11">
      <c r="A116" s="207">
        <f t="shared" si="9"/>
        <v>111</v>
      </c>
      <c r="B116" s="207" t="s">
        <v>2381</v>
      </c>
      <c r="C116" s="207"/>
      <c r="D116" s="224" t="s">
        <v>627</v>
      </c>
      <c r="E116" s="84" t="s">
        <v>1302</v>
      </c>
      <c r="F116" s="37"/>
      <c r="G116" s="122">
        <f>13470.93</f>
        <v>13470.93</v>
      </c>
      <c r="H116" s="95">
        <v>1</v>
      </c>
      <c r="I116" s="77">
        <f t="shared" si="12"/>
        <v>13470.93</v>
      </c>
      <c r="J116" s="95">
        <v>1</v>
      </c>
      <c r="K116" s="215">
        <f t="shared" si="13"/>
        <v>13470.93</v>
      </c>
    </row>
    <row r="117" spans="1:11">
      <c r="A117" s="207">
        <f t="shared" si="9"/>
        <v>112</v>
      </c>
      <c r="B117" s="207" t="s">
        <v>2381</v>
      </c>
      <c r="C117" s="207"/>
      <c r="D117" s="224" t="s">
        <v>627</v>
      </c>
      <c r="E117" s="84" t="s">
        <v>1330</v>
      </c>
      <c r="F117" s="37"/>
      <c r="G117" s="122">
        <f>70114.66</f>
        <v>70114.66</v>
      </c>
      <c r="H117" s="95">
        <v>1</v>
      </c>
      <c r="I117" s="77">
        <f t="shared" si="12"/>
        <v>70114.66</v>
      </c>
      <c r="J117" s="95">
        <v>1</v>
      </c>
      <c r="K117" s="215">
        <f t="shared" si="13"/>
        <v>70114.66</v>
      </c>
    </row>
    <row r="118" spans="1:11">
      <c r="A118" s="207">
        <f t="shared" si="9"/>
        <v>113</v>
      </c>
      <c r="B118" s="207" t="s">
        <v>2381</v>
      </c>
      <c r="C118" s="207"/>
      <c r="D118" s="224" t="s">
        <v>627</v>
      </c>
      <c r="E118" s="84" t="s">
        <v>1302</v>
      </c>
      <c r="F118" s="37"/>
      <c r="G118" s="122">
        <f>1421.38</f>
        <v>1421.38</v>
      </c>
      <c r="H118" s="95">
        <v>1</v>
      </c>
      <c r="I118" s="77">
        <f t="shared" si="12"/>
        <v>1421.38</v>
      </c>
      <c r="J118" s="95">
        <v>1</v>
      </c>
      <c r="K118" s="215">
        <f t="shared" si="13"/>
        <v>1421.38</v>
      </c>
    </row>
    <row r="119" spans="1:11">
      <c r="A119" s="207">
        <f t="shared" si="9"/>
        <v>114</v>
      </c>
      <c r="B119" s="207" t="s">
        <v>2381</v>
      </c>
      <c r="C119" s="207"/>
      <c r="D119" s="224" t="s">
        <v>627</v>
      </c>
      <c r="E119" s="84" t="s">
        <v>1331</v>
      </c>
      <c r="F119" s="37"/>
      <c r="G119" s="122">
        <f>61004.73</f>
        <v>61004.73</v>
      </c>
      <c r="H119" s="95">
        <v>1</v>
      </c>
      <c r="I119" s="77">
        <f t="shared" si="12"/>
        <v>61004.73</v>
      </c>
      <c r="J119" s="95">
        <v>1</v>
      </c>
      <c r="K119" s="215">
        <f t="shared" si="13"/>
        <v>61004.73</v>
      </c>
    </row>
    <row r="120" spans="1:11">
      <c r="A120" s="207">
        <f t="shared" si="9"/>
        <v>115</v>
      </c>
      <c r="B120" s="207" t="s">
        <v>2381</v>
      </c>
      <c r="C120" s="207"/>
      <c r="D120" s="224" t="s">
        <v>627</v>
      </c>
      <c r="E120" s="84" t="s">
        <v>1332</v>
      </c>
      <c r="F120" s="37"/>
      <c r="G120" s="122">
        <f>202050</f>
        <v>202050</v>
      </c>
      <c r="H120" s="95">
        <v>1</v>
      </c>
      <c r="I120" s="77">
        <f t="shared" si="12"/>
        <v>202050</v>
      </c>
      <c r="J120" s="95">
        <v>1</v>
      </c>
      <c r="K120" s="215">
        <f t="shared" si="13"/>
        <v>202050</v>
      </c>
    </row>
    <row r="121" spans="1:11">
      <c r="A121" s="207">
        <f t="shared" si="9"/>
        <v>116</v>
      </c>
      <c r="B121" s="207" t="s">
        <v>2381</v>
      </c>
      <c r="C121" s="207"/>
      <c r="D121" s="224" t="s">
        <v>627</v>
      </c>
      <c r="E121" s="84" t="s">
        <v>1302</v>
      </c>
      <c r="F121" s="37"/>
      <c r="G121" s="122">
        <f>6760.85</f>
        <v>6760.85</v>
      </c>
      <c r="H121" s="95">
        <v>1</v>
      </c>
      <c r="I121" s="77">
        <f t="shared" si="12"/>
        <v>6760.85</v>
      </c>
      <c r="J121" s="95">
        <v>1</v>
      </c>
      <c r="K121" s="215">
        <f t="shared" si="13"/>
        <v>6760.85</v>
      </c>
    </row>
    <row r="122" spans="1:11">
      <c r="A122" s="207">
        <f t="shared" si="9"/>
        <v>117</v>
      </c>
      <c r="B122" s="207" t="s">
        <v>2381</v>
      </c>
      <c r="C122" s="207"/>
      <c r="D122" s="224" t="s">
        <v>627</v>
      </c>
      <c r="E122" s="84" t="s">
        <v>1333</v>
      </c>
      <c r="F122" s="37"/>
      <c r="G122" s="122">
        <f>121027.36</f>
        <v>121027.36</v>
      </c>
      <c r="H122" s="95">
        <v>1</v>
      </c>
      <c r="I122" s="77">
        <f t="shared" si="12"/>
        <v>121027.36</v>
      </c>
      <c r="J122" s="95">
        <v>1</v>
      </c>
      <c r="K122" s="215">
        <f t="shared" si="13"/>
        <v>121027.36</v>
      </c>
    </row>
    <row r="123" spans="1:11">
      <c r="A123" s="207">
        <f t="shared" si="9"/>
        <v>118</v>
      </c>
      <c r="B123" s="207" t="s">
        <v>2381</v>
      </c>
      <c r="C123" s="207"/>
      <c r="D123" s="224" t="s">
        <v>627</v>
      </c>
      <c r="E123" s="84" t="s">
        <v>1302</v>
      </c>
      <c r="F123" s="37"/>
      <c r="G123" s="122">
        <f>2483.93</f>
        <v>2483.9299999999998</v>
      </c>
      <c r="H123" s="95">
        <v>1</v>
      </c>
      <c r="I123" s="77">
        <f t="shared" si="12"/>
        <v>2483.9299999999998</v>
      </c>
      <c r="J123" s="95">
        <v>1</v>
      </c>
      <c r="K123" s="215">
        <f t="shared" si="13"/>
        <v>2483.9299999999998</v>
      </c>
    </row>
    <row r="124" spans="1:11">
      <c r="A124" s="207">
        <f t="shared" si="9"/>
        <v>119</v>
      </c>
      <c r="B124" s="207" t="s">
        <v>2381</v>
      </c>
      <c r="C124" s="207"/>
      <c r="D124" s="224" t="s">
        <v>627</v>
      </c>
      <c r="E124" s="84" t="s">
        <v>1334</v>
      </c>
      <c r="F124" s="37"/>
      <c r="G124" s="122">
        <f>454503.96</f>
        <v>454503.96</v>
      </c>
      <c r="H124" s="95">
        <v>1</v>
      </c>
      <c r="I124" s="77">
        <f t="shared" si="12"/>
        <v>454503.96</v>
      </c>
      <c r="J124" s="95">
        <v>1</v>
      </c>
      <c r="K124" s="215">
        <f t="shared" si="13"/>
        <v>454503.96</v>
      </c>
    </row>
    <row r="125" spans="1:11">
      <c r="A125" s="207">
        <f t="shared" si="9"/>
        <v>120</v>
      </c>
      <c r="B125" s="207" t="s">
        <v>2381</v>
      </c>
      <c r="C125" s="207"/>
      <c r="D125" s="224" t="s">
        <v>627</v>
      </c>
      <c r="E125" s="84" t="s">
        <v>1302</v>
      </c>
      <c r="F125" s="37"/>
      <c r="G125" s="122">
        <f>12877</f>
        <v>12877</v>
      </c>
      <c r="H125" s="95">
        <v>1</v>
      </c>
      <c r="I125" s="77">
        <f t="shared" si="12"/>
        <v>12877</v>
      </c>
      <c r="J125" s="95">
        <v>1</v>
      </c>
      <c r="K125" s="215">
        <f t="shared" si="13"/>
        <v>12877</v>
      </c>
    </row>
    <row r="126" spans="1:11">
      <c r="A126" s="207">
        <f t="shared" si="9"/>
        <v>121</v>
      </c>
      <c r="B126" s="207" t="s">
        <v>2381</v>
      </c>
      <c r="C126" s="207"/>
      <c r="D126" s="224" t="s">
        <v>627</v>
      </c>
      <c r="E126" s="84" t="s">
        <v>1335</v>
      </c>
      <c r="F126" s="37"/>
      <c r="G126" s="122">
        <f>20216.8</f>
        <v>20216.8</v>
      </c>
      <c r="H126" s="95">
        <v>1</v>
      </c>
      <c r="I126" s="77">
        <f t="shared" si="12"/>
        <v>20216.8</v>
      </c>
      <c r="J126" s="95">
        <v>1</v>
      </c>
      <c r="K126" s="215">
        <f t="shared" si="13"/>
        <v>20216.8</v>
      </c>
    </row>
    <row r="127" spans="1:11">
      <c r="A127" s="207">
        <f t="shared" si="9"/>
        <v>122</v>
      </c>
      <c r="B127" s="207" t="s">
        <v>2381</v>
      </c>
      <c r="C127" s="207"/>
      <c r="D127" s="224" t="s">
        <v>627</v>
      </c>
      <c r="E127" s="84" t="s">
        <v>1302</v>
      </c>
      <c r="F127" s="37"/>
      <c r="G127" s="122">
        <f>1978.87</f>
        <v>1978.87</v>
      </c>
      <c r="H127" s="95">
        <v>1</v>
      </c>
      <c r="I127" s="77">
        <f t="shared" si="12"/>
        <v>1978.87</v>
      </c>
      <c r="J127" s="95">
        <v>1</v>
      </c>
      <c r="K127" s="215">
        <f t="shared" si="13"/>
        <v>1978.87</v>
      </c>
    </row>
    <row r="128" spans="1:11">
      <c r="A128" s="207">
        <f t="shared" si="9"/>
        <v>123</v>
      </c>
      <c r="B128" s="207" t="s">
        <v>2381</v>
      </c>
      <c r="C128" s="207"/>
      <c r="D128" s="224" t="s">
        <v>627</v>
      </c>
      <c r="E128" s="84" t="s">
        <v>1336</v>
      </c>
      <c r="F128" s="37"/>
      <c r="G128" s="122">
        <f>36320.07</f>
        <v>36320.07</v>
      </c>
      <c r="H128" s="95">
        <v>1</v>
      </c>
      <c r="I128" s="77">
        <f t="shared" si="12"/>
        <v>36320.07</v>
      </c>
      <c r="J128" s="95">
        <v>1</v>
      </c>
      <c r="K128" s="215">
        <f t="shared" si="13"/>
        <v>36320.07</v>
      </c>
    </row>
    <row r="129" spans="1:11">
      <c r="A129" s="207">
        <f t="shared" si="9"/>
        <v>124</v>
      </c>
      <c r="B129" s="207" t="s">
        <v>2381</v>
      </c>
      <c r="C129" s="207"/>
      <c r="D129" s="224" t="s">
        <v>627</v>
      </c>
      <c r="E129" s="84" t="s">
        <v>1302</v>
      </c>
      <c r="F129" s="37"/>
      <c r="G129" s="122">
        <f>630.74</f>
        <v>630.74</v>
      </c>
      <c r="H129" s="95">
        <v>1</v>
      </c>
      <c r="I129" s="77">
        <f t="shared" si="12"/>
        <v>630.74</v>
      </c>
      <c r="J129" s="95">
        <v>1</v>
      </c>
      <c r="K129" s="215">
        <f t="shared" si="13"/>
        <v>630.74</v>
      </c>
    </row>
    <row r="130" spans="1:11">
      <c r="A130" s="207">
        <f t="shared" si="9"/>
        <v>125</v>
      </c>
      <c r="B130" s="207" t="s">
        <v>2381</v>
      </c>
      <c r="C130" s="207"/>
      <c r="D130" s="224" t="s">
        <v>627</v>
      </c>
      <c r="E130" s="84" t="s">
        <v>1337</v>
      </c>
      <c r="F130" s="37"/>
      <c r="G130" s="122">
        <f>23846.74</f>
        <v>23846.74</v>
      </c>
      <c r="H130" s="95">
        <v>1</v>
      </c>
      <c r="I130" s="77">
        <f t="shared" si="12"/>
        <v>23846.74</v>
      </c>
      <c r="J130" s="95">
        <v>1</v>
      </c>
      <c r="K130" s="215">
        <f t="shared" si="13"/>
        <v>23846.74</v>
      </c>
    </row>
    <row r="131" spans="1:11">
      <c r="A131" s="207">
        <f t="shared" si="9"/>
        <v>126</v>
      </c>
      <c r="B131" s="207" t="s">
        <v>2381</v>
      </c>
      <c r="C131" s="207"/>
      <c r="D131" s="224" t="s">
        <v>627</v>
      </c>
      <c r="E131" s="84" t="s">
        <v>1338</v>
      </c>
      <c r="F131" s="37"/>
      <c r="G131" s="122">
        <f>57731</f>
        <v>57731</v>
      </c>
      <c r="H131" s="95">
        <v>1</v>
      </c>
      <c r="I131" s="77">
        <f t="shared" si="12"/>
        <v>57731</v>
      </c>
      <c r="J131" s="95">
        <v>1</v>
      </c>
      <c r="K131" s="215">
        <f t="shared" si="13"/>
        <v>57731</v>
      </c>
    </row>
    <row r="132" spans="1:11">
      <c r="A132" s="207">
        <f t="shared" si="9"/>
        <v>127</v>
      </c>
      <c r="B132" s="207" t="s">
        <v>2381</v>
      </c>
      <c r="C132" s="207"/>
      <c r="D132" s="224" t="s">
        <v>627</v>
      </c>
      <c r="E132" s="84" t="s">
        <v>1315</v>
      </c>
      <c r="F132" s="37"/>
      <c r="G132" s="122">
        <f>144190.32</f>
        <v>144190.32</v>
      </c>
      <c r="H132" s="95">
        <v>1</v>
      </c>
      <c r="I132" s="77">
        <f t="shared" si="12"/>
        <v>144190.32</v>
      </c>
      <c r="J132" s="95">
        <v>1</v>
      </c>
      <c r="K132" s="215">
        <f t="shared" si="13"/>
        <v>144190.32</v>
      </c>
    </row>
    <row r="133" spans="1:11">
      <c r="A133" s="207">
        <f t="shared" si="9"/>
        <v>128</v>
      </c>
      <c r="B133" s="207" t="s">
        <v>2381</v>
      </c>
      <c r="C133" s="207"/>
      <c r="D133" s="224" t="s">
        <v>627</v>
      </c>
      <c r="E133" s="84" t="s">
        <v>1310</v>
      </c>
      <c r="F133" s="37"/>
      <c r="G133" s="122">
        <f>167020.06</f>
        <v>167020.06</v>
      </c>
      <c r="H133" s="95">
        <v>1</v>
      </c>
      <c r="I133" s="77">
        <f t="shared" si="12"/>
        <v>167020.06</v>
      </c>
      <c r="J133" s="95">
        <v>1</v>
      </c>
      <c r="K133" s="215">
        <f t="shared" si="13"/>
        <v>167020.06</v>
      </c>
    </row>
    <row r="134" spans="1:11">
      <c r="A134" s="207">
        <f t="shared" si="9"/>
        <v>129</v>
      </c>
      <c r="B134" s="207" t="s">
        <v>2381</v>
      </c>
      <c r="C134" s="207"/>
      <c r="D134" s="224" t="s">
        <v>627</v>
      </c>
      <c r="E134" s="84" t="s">
        <v>1302</v>
      </c>
      <c r="F134" s="37"/>
      <c r="G134" s="122">
        <f>2373.14</f>
        <v>2373.14</v>
      </c>
      <c r="H134" s="95">
        <v>1</v>
      </c>
      <c r="I134" s="77">
        <f t="shared" si="12"/>
        <v>2373.14</v>
      </c>
      <c r="J134" s="95">
        <v>1</v>
      </c>
      <c r="K134" s="215">
        <f t="shared" si="13"/>
        <v>2373.14</v>
      </c>
    </row>
    <row r="135" spans="1:11">
      <c r="A135" s="207">
        <f t="shared" si="9"/>
        <v>130</v>
      </c>
      <c r="B135" s="207" t="s">
        <v>2381</v>
      </c>
      <c r="C135" s="207"/>
      <c r="D135" s="224" t="s">
        <v>627</v>
      </c>
      <c r="E135" s="84" t="s">
        <v>1339</v>
      </c>
      <c r="F135" s="37"/>
      <c r="G135" s="122">
        <v>267248.89</v>
      </c>
      <c r="H135" s="95">
        <v>1</v>
      </c>
      <c r="I135" s="77">
        <f t="shared" si="12"/>
        <v>267248.89</v>
      </c>
      <c r="J135" s="95">
        <v>1</v>
      </c>
      <c r="K135" s="215">
        <f t="shared" si="13"/>
        <v>267248.89</v>
      </c>
    </row>
    <row r="136" spans="1:11">
      <c r="A136" s="207">
        <f t="shared" si="9"/>
        <v>131</v>
      </c>
      <c r="B136" s="207" t="s">
        <v>2381</v>
      </c>
      <c r="C136" s="207"/>
      <c r="D136" s="224" t="s">
        <v>627</v>
      </c>
      <c r="E136" s="84" t="s">
        <v>1302</v>
      </c>
      <c r="F136" s="37"/>
      <c r="G136" s="122">
        <v>16353.85</v>
      </c>
      <c r="H136" s="95">
        <v>1</v>
      </c>
      <c r="I136" s="77">
        <f t="shared" si="12"/>
        <v>16353.85</v>
      </c>
      <c r="J136" s="95">
        <v>1</v>
      </c>
      <c r="K136" s="215">
        <f t="shared" si="13"/>
        <v>16353.85</v>
      </c>
    </row>
    <row r="137" spans="1:11">
      <c r="A137" s="207">
        <f t="shared" si="9"/>
        <v>132</v>
      </c>
      <c r="B137" s="207" t="s">
        <v>2381</v>
      </c>
      <c r="C137" s="207"/>
      <c r="D137" s="224" t="s">
        <v>627</v>
      </c>
      <c r="E137" s="84" t="s">
        <v>1309</v>
      </c>
      <c r="F137" s="37"/>
      <c r="G137" s="122">
        <v>24731.8</v>
      </c>
      <c r="H137" s="95">
        <v>1</v>
      </c>
      <c r="I137" s="77">
        <f>G137*H137</f>
        <v>24731.8</v>
      </c>
      <c r="J137" s="95">
        <v>1</v>
      </c>
      <c r="K137" s="215">
        <f>G137*J137</f>
        <v>24731.8</v>
      </c>
    </row>
    <row r="138" spans="1:11">
      <c r="A138" s="207">
        <f t="shared" si="9"/>
        <v>133</v>
      </c>
      <c r="B138" s="207" t="s">
        <v>2381</v>
      </c>
      <c r="C138" s="207"/>
      <c r="D138" s="224" t="s">
        <v>627</v>
      </c>
      <c r="E138" s="84" t="s">
        <v>1302</v>
      </c>
      <c r="F138" s="37"/>
      <c r="G138" s="122">
        <v>312.37</v>
      </c>
      <c r="H138" s="95">
        <v>1</v>
      </c>
      <c r="I138" s="77">
        <f>G138*H138</f>
        <v>312.37</v>
      </c>
      <c r="J138" s="95">
        <v>1</v>
      </c>
      <c r="K138" s="215">
        <f>G138*J138</f>
        <v>312.37</v>
      </c>
    </row>
    <row r="139" spans="1:11">
      <c r="A139" s="207">
        <f t="shared" si="9"/>
        <v>134</v>
      </c>
      <c r="B139" s="207" t="s">
        <v>2381</v>
      </c>
      <c r="C139" s="207"/>
      <c r="D139" s="224" t="s">
        <v>627</v>
      </c>
      <c r="E139" s="84" t="s">
        <v>1340</v>
      </c>
      <c r="F139" s="37"/>
      <c r="G139" s="122">
        <v>559892.23</v>
      </c>
      <c r="H139" s="95">
        <v>1</v>
      </c>
      <c r="I139" s="77">
        <f t="shared" si="12"/>
        <v>559892.23</v>
      </c>
      <c r="J139" s="95">
        <v>1</v>
      </c>
      <c r="K139" s="215">
        <f t="shared" si="13"/>
        <v>559892.23</v>
      </c>
    </row>
    <row r="140" spans="1:11">
      <c r="A140" s="207">
        <f t="shared" si="9"/>
        <v>135</v>
      </c>
      <c r="B140" s="207" t="s">
        <v>2381</v>
      </c>
      <c r="C140" s="207"/>
      <c r="D140" s="224" t="s">
        <v>627</v>
      </c>
      <c r="E140" s="84" t="s">
        <v>1302</v>
      </c>
      <c r="F140" s="37"/>
      <c r="G140" s="122">
        <v>33279.980000000003</v>
      </c>
      <c r="H140" s="95">
        <v>1</v>
      </c>
      <c r="I140" s="77">
        <f t="shared" si="12"/>
        <v>33279.980000000003</v>
      </c>
      <c r="J140" s="95">
        <v>1</v>
      </c>
      <c r="K140" s="215">
        <f t="shared" si="13"/>
        <v>33279.980000000003</v>
      </c>
    </row>
    <row r="141" spans="1:11">
      <c r="A141" s="207">
        <f t="shared" si="9"/>
        <v>136</v>
      </c>
      <c r="B141" s="207" t="s">
        <v>2381</v>
      </c>
      <c r="C141" s="207"/>
      <c r="D141" s="224" t="s">
        <v>627</v>
      </c>
      <c r="E141" s="84" t="s">
        <v>1333</v>
      </c>
      <c r="F141" s="37"/>
      <c r="G141" s="122">
        <v>1215753.6000000001</v>
      </c>
      <c r="H141" s="95">
        <v>1</v>
      </c>
      <c r="I141" s="77">
        <f t="shared" si="12"/>
        <v>1215753.6000000001</v>
      </c>
      <c r="J141" s="95">
        <v>1</v>
      </c>
      <c r="K141" s="215">
        <f t="shared" si="13"/>
        <v>1215753.6000000001</v>
      </c>
    </row>
    <row r="142" spans="1:11">
      <c r="A142" s="207">
        <f t="shared" ref="A142:A164" si="14">A141+1</f>
        <v>137</v>
      </c>
      <c r="B142" s="207" t="s">
        <v>2381</v>
      </c>
      <c r="C142" s="207"/>
      <c r="D142" s="224" t="s">
        <v>627</v>
      </c>
      <c r="E142" s="84" t="s">
        <v>1302</v>
      </c>
      <c r="F142" s="37"/>
      <c r="G142" s="122">
        <v>15472.91</v>
      </c>
      <c r="H142" s="95">
        <v>1</v>
      </c>
      <c r="I142" s="77">
        <f t="shared" si="12"/>
        <v>15472.91</v>
      </c>
      <c r="J142" s="95">
        <v>1</v>
      </c>
      <c r="K142" s="215">
        <f t="shared" si="13"/>
        <v>15472.91</v>
      </c>
    </row>
    <row r="143" spans="1:11">
      <c r="A143" s="207">
        <f t="shared" si="14"/>
        <v>138</v>
      </c>
      <c r="B143" s="207" t="s">
        <v>2381</v>
      </c>
      <c r="C143" s="207"/>
      <c r="D143" s="224" t="s">
        <v>627</v>
      </c>
      <c r="E143" s="84" t="s">
        <v>1313</v>
      </c>
      <c r="F143" s="37"/>
      <c r="G143" s="122">
        <v>280379.48</v>
      </c>
      <c r="H143" s="95">
        <v>1</v>
      </c>
      <c r="I143" s="77">
        <f t="shared" si="12"/>
        <v>280379.48</v>
      </c>
      <c r="J143" s="95">
        <v>1</v>
      </c>
      <c r="K143" s="215">
        <f t="shared" si="13"/>
        <v>280379.48</v>
      </c>
    </row>
    <row r="144" spans="1:11">
      <c r="A144" s="207">
        <f t="shared" si="14"/>
        <v>139</v>
      </c>
      <c r="B144" s="207" t="s">
        <v>2381</v>
      </c>
      <c r="C144" s="207"/>
      <c r="D144" s="224" t="s">
        <v>627</v>
      </c>
      <c r="E144" s="84" t="s">
        <v>1306</v>
      </c>
      <c r="F144" s="37"/>
      <c r="G144" s="122">
        <v>3541.1</v>
      </c>
      <c r="H144" s="95">
        <v>1</v>
      </c>
      <c r="I144" s="77">
        <f t="shared" si="12"/>
        <v>3541.1</v>
      </c>
      <c r="J144" s="95">
        <v>1</v>
      </c>
      <c r="K144" s="215">
        <f t="shared" si="13"/>
        <v>3541.1</v>
      </c>
    </row>
    <row r="145" spans="1:11" s="99" customFormat="1" ht="13.5" thickBot="1">
      <c r="A145" s="207">
        <f t="shared" si="14"/>
        <v>140</v>
      </c>
      <c r="B145" s="207"/>
      <c r="C145" s="207"/>
      <c r="D145" s="224"/>
      <c r="E145" s="235" t="s">
        <v>89</v>
      </c>
      <c r="F145" s="78"/>
      <c r="G145" s="142">
        <f>SUM(G91:G144)</f>
        <v>5668360.3000000007</v>
      </c>
      <c r="H145" s="237"/>
      <c r="I145" s="221">
        <f>SUM(I91:I144)</f>
        <v>5668360.3000000007</v>
      </c>
      <c r="J145" s="78"/>
      <c r="K145" s="223">
        <f>SUM(K91:K144)</f>
        <v>5668360.3000000007</v>
      </c>
    </row>
    <row r="146" spans="1:11" ht="13.5" thickTop="1">
      <c r="A146" s="207">
        <f t="shared" si="14"/>
        <v>141</v>
      </c>
      <c r="B146" s="207" t="s">
        <v>2381</v>
      </c>
      <c r="C146" s="207"/>
      <c r="D146" s="224" t="s">
        <v>627</v>
      </c>
      <c r="E146" s="84" t="s">
        <v>1341</v>
      </c>
      <c r="F146" s="37"/>
      <c r="G146" s="122">
        <f>636801.91</f>
        <v>636801.91</v>
      </c>
      <c r="H146" s="96">
        <v>0.66300000000000003</v>
      </c>
      <c r="I146" s="77">
        <f>G146*H146</f>
        <v>422199.66633000004</v>
      </c>
      <c r="J146" s="96">
        <v>0.75900000000000001</v>
      </c>
      <c r="K146" s="215">
        <f>G146*J146</f>
        <v>483332.64969000005</v>
      </c>
    </row>
    <row r="147" spans="1:11">
      <c r="A147" s="207">
        <f t="shared" si="14"/>
        <v>142</v>
      </c>
      <c r="B147" s="207" t="s">
        <v>2381</v>
      </c>
      <c r="C147" s="207"/>
      <c r="D147" s="224" t="s">
        <v>627</v>
      </c>
      <c r="E147" s="84" t="s">
        <v>1342</v>
      </c>
      <c r="F147" s="37"/>
      <c r="G147" s="122">
        <f>152203.76</f>
        <v>152203.76</v>
      </c>
      <c r="H147" s="96">
        <v>0.66300000000000003</v>
      </c>
      <c r="I147" s="77">
        <f t="shared" ref="I147:I163" si="15">G147*H147</f>
        <v>100911.09288000001</v>
      </c>
      <c r="J147" s="96">
        <v>0.75900000000000001</v>
      </c>
      <c r="K147" s="215">
        <f t="shared" ref="K147:K163" si="16">G147*J147</f>
        <v>115522.65384000001</v>
      </c>
    </row>
    <row r="148" spans="1:11">
      <c r="A148" s="207">
        <f t="shared" si="14"/>
        <v>143</v>
      </c>
      <c r="B148" s="207" t="s">
        <v>2381</v>
      </c>
      <c r="C148" s="207"/>
      <c r="D148" s="224" t="s">
        <v>627</v>
      </c>
      <c r="E148" s="84" t="s">
        <v>1343</v>
      </c>
      <c r="F148" s="37"/>
      <c r="G148" s="122">
        <v>276283.57</v>
      </c>
      <c r="H148" s="96">
        <v>0.66300000000000003</v>
      </c>
      <c r="I148" s="77">
        <f t="shared" si="15"/>
        <v>183176.00691000003</v>
      </c>
      <c r="J148" s="96">
        <v>0.75900000000000001</v>
      </c>
      <c r="K148" s="215">
        <f t="shared" si="16"/>
        <v>209699.22963000002</v>
      </c>
    </row>
    <row r="149" spans="1:11">
      <c r="A149" s="207">
        <f t="shared" si="14"/>
        <v>144</v>
      </c>
      <c r="B149" s="207" t="s">
        <v>2381</v>
      </c>
      <c r="C149" s="207"/>
      <c r="D149" s="224" t="s">
        <v>627</v>
      </c>
      <c r="E149" s="84" t="s">
        <v>1302</v>
      </c>
      <c r="F149" s="37"/>
      <c r="G149" s="122">
        <v>2835.11</v>
      </c>
      <c r="H149" s="96">
        <v>0.66300000000000003</v>
      </c>
      <c r="I149" s="77">
        <f t="shared" si="15"/>
        <v>1879.6779300000003</v>
      </c>
      <c r="J149" s="96">
        <v>0.75900000000000001</v>
      </c>
      <c r="K149" s="215">
        <f t="shared" si="16"/>
        <v>2151.8484900000003</v>
      </c>
    </row>
    <row r="150" spans="1:11">
      <c r="A150" s="207">
        <f t="shared" si="14"/>
        <v>145</v>
      </c>
      <c r="B150" s="207" t="s">
        <v>2381</v>
      </c>
      <c r="C150" s="207"/>
      <c r="D150" s="224" t="s">
        <v>627</v>
      </c>
      <c r="E150" s="84" t="s">
        <v>1314</v>
      </c>
      <c r="F150" s="37"/>
      <c r="G150" s="122">
        <f>20893.47</f>
        <v>20893.47</v>
      </c>
      <c r="H150" s="96">
        <v>0.66300000000000003</v>
      </c>
      <c r="I150" s="77">
        <f t="shared" si="15"/>
        <v>13852.370610000002</v>
      </c>
      <c r="J150" s="96">
        <v>0.75900000000000001</v>
      </c>
      <c r="K150" s="215">
        <f t="shared" si="16"/>
        <v>15858.143730000002</v>
      </c>
    </row>
    <row r="151" spans="1:11">
      <c r="A151" s="207">
        <f t="shared" si="14"/>
        <v>146</v>
      </c>
      <c r="B151" s="207" t="s">
        <v>2381</v>
      </c>
      <c r="C151" s="207"/>
      <c r="D151" s="224" t="s">
        <v>627</v>
      </c>
      <c r="E151" s="84" t="s">
        <v>1302</v>
      </c>
      <c r="F151" s="37"/>
      <c r="G151" s="122">
        <f>405078.07</f>
        <v>405078.07</v>
      </c>
      <c r="H151" s="96">
        <v>0.66300000000000003</v>
      </c>
      <c r="I151" s="77">
        <f t="shared" si="15"/>
        <v>268566.76041000005</v>
      </c>
      <c r="J151" s="96">
        <v>0.75900000000000001</v>
      </c>
      <c r="K151" s="215">
        <f t="shared" si="16"/>
        <v>307454.25513000001</v>
      </c>
    </row>
    <row r="152" spans="1:11">
      <c r="A152" s="207">
        <f t="shared" si="14"/>
        <v>147</v>
      </c>
      <c r="B152" s="207" t="s">
        <v>2381</v>
      </c>
      <c r="C152" s="207"/>
      <c r="D152" s="224" t="s">
        <v>627</v>
      </c>
      <c r="E152" s="84" t="s">
        <v>1344</v>
      </c>
      <c r="F152" s="37"/>
      <c r="G152" s="122">
        <f>651815.82</f>
        <v>651815.81999999995</v>
      </c>
      <c r="H152" s="96">
        <v>0.66300000000000003</v>
      </c>
      <c r="I152" s="77">
        <f t="shared" si="15"/>
        <v>432153.88866</v>
      </c>
      <c r="J152" s="96">
        <v>0.75900000000000001</v>
      </c>
      <c r="K152" s="215">
        <f t="shared" ref="K152:K155" si="17">G152*J152</f>
        <v>494728.20737999998</v>
      </c>
    </row>
    <row r="153" spans="1:11">
      <c r="A153" s="207">
        <f t="shared" si="14"/>
        <v>148</v>
      </c>
      <c r="B153" s="207" t="s">
        <v>2381</v>
      </c>
      <c r="C153" s="207"/>
      <c r="D153" s="224" t="s">
        <v>627</v>
      </c>
      <c r="E153" s="84" t="s">
        <v>1302</v>
      </c>
      <c r="F153" s="37"/>
      <c r="G153" s="122">
        <f>39508.27</f>
        <v>39508.269999999997</v>
      </c>
      <c r="H153" s="96">
        <v>0.66300000000000003</v>
      </c>
      <c r="I153" s="77">
        <f t="shared" si="15"/>
        <v>26193.98301</v>
      </c>
      <c r="J153" s="96">
        <v>0.75900000000000001</v>
      </c>
      <c r="K153" s="215">
        <f t="shared" si="17"/>
        <v>29986.776929999996</v>
      </c>
    </row>
    <row r="154" spans="1:11">
      <c r="A154" s="207">
        <f t="shared" si="14"/>
        <v>149</v>
      </c>
      <c r="B154" s="207" t="s">
        <v>2381</v>
      </c>
      <c r="C154" s="207"/>
      <c r="D154" s="224" t="s">
        <v>627</v>
      </c>
      <c r="E154" s="84" t="s">
        <v>1345</v>
      </c>
      <c r="F154" s="37"/>
      <c r="G154" s="122">
        <v>153427.82999999999</v>
      </c>
      <c r="H154" s="96">
        <v>0.66300000000000003</v>
      </c>
      <c r="I154" s="77">
        <f t="shared" si="15"/>
        <v>101722.65128999999</v>
      </c>
      <c r="J154" s="96">
        <v>0.75900000000000001</v>
      </c>
      <c r="K154" s="215">
        <f t="shared" si="17"/>
        <v>116451.72296999999</v>
      </c>
    </row>
    <row r="155" spans="1:11">
      <c r="A155" s="207">
        <f t="shared" si="14"/>
        <v>150</v>
      </c>
      <c r="B155" s="207" t="s">
        <v>2381</v>
      </c>
      <c r="C155" s="207"/>
      <c r="D155" s="224" t="s">
        <v>627</v>
      </c>
      <c r="E155" s="84" t="s">
        <v>1302</v>
      </c>
      <c r="F155" s="37"/>
      <c r="G155" s="122">
        <v>2051.63</v>
      </c>
      <c r="H155" s="96">
        <v>0.66300000000000003</v>
      </c>
      <c r="I155" s="77">
        <f t="shared" si="15"/>
        <v>1360.2306900000001</v>
      </c>
      <c r="J155" s="96">
        <v>0.75900000000000001</v>
      </c>
      <c r="K155" s="215">
        <f t="shared" si="17"/>
        <v>1557.1871700000002</v>
      </c>
    </row>
    <row r="156" spans="1:11">
      <c r="A156" s="207">
        <f t="shared" si="14"/>
        <v>151</v>
      </c>
      <c r="B156" s="207" t="s">
        <v>2381</v>
      </c>
      <c r="C156" s="207"/>
      <c r="D156" s="224" t="s">
        <v>627</v>
      </c>
      <c r="E156" s="84" t="s">
        <v>1315</v>
      </c>
      <c r="F156" s="37"/>
      <c r="G156" s="122">
        <f>146114.62</f>
        <v>146114.62</v>
      </c>
      <c r="H156" s="96">
        <v>0.66300000000000003</v>
      </c>
      <c r="I156" s="77">
        <f t="shared" si="15"/>
        <v>96873.993060000008</v>
      </c>
      <c r="J156" s="96">
        <v>0.75900000000000001</v>
      </c>
      <c r="K156" s="215">
        <f t="shared" si="16"/>
        <v>110900.99657999999</v>
      </c>
    </row>
    <row r="157" spans="1:11">
      <c r="A157" s="207">
        <f t="shared" si="14"/>
        <v>152</v>
      </c>
      <c r="B157" s="207" t="s">
        <v>2381</v>
      </c>
      <c r="C157" s="207"/>
      <c r="D157" s="224" t="s">
        <v>627</v>
      </c>
      <c r="E157" s="84" t="s">
        <v>1346</v>
      </c>
      <c r="F157" s="37"/>
      <c r="G157" s="122">
        <f>1844.89</f>
        <v>1844.89</v>
      </c>
      <c r="H157" s="96">
        <v>0.66300000000000003</v>
      </c>
      <c r="I157" s="77">
        <f t="shared" si="15"/>
        <v>1223.1620700000001</v>
      </c>
      <c r="J157" s="96">
        <v>0.75900000000000001</v>
      </c>
      <c r="K157" s="215">
        <f t="shared" si="16"/>
        <v>1400.27151</v>
      </c>
    </row>
    <row r="158" spans="1:11">
      <c r="A158" s="207">
        <f t="shared" si="14"/>
        <v>153</v>
      </c>
      <c r="B158" s="207" t="s">
        <v>2381</v>
      </c>
      <c r="C158" s="207"/>
      <c r="D158" s="224" t="s">
        <v>627</v>
      </c>
      <c r="E158" s="84" t="s">
        <v>1347</v>
      </c>
      <c r="F158" s="37"/>
      <c r="G158" s="122">
        <f>3844.64</f>
        <v>3844.64</v>
      </c>
      <c r="H158" s="96">
        <v>0.66300000000000003</v>
      </c>
      <c r="I158" s="77">
        <f t="shared" si="15"/>
        <v>2548.9963200000002</v>
      </c>
      <c r="J158" s="96">
        <v>0.75900000000000001</v>
      </c>
      <c r="K158" s="215">
        <f t="shared" si="16"/>
        <v>2918.08176</v>
      </c>
    </row>
    <row r="159" spans="1:11">
      <c r="A159" s="207">
        <f t="shared" si="14"/>
        <v>154</v>
      </c>
      <c r="B159" s="207" t="s">
        <v>2381</v>
      </c>
      <c r="C159" s="207"/>
      <c r="D159" s="224" t="s">
        <v>627</v>
      </c>
      <c r="E159" s="84" t="s">
        <v>1348</v>
      </c>
      <c r="F159" s="37"/>
      <c r="G159" s="122">
        <f>219050.16</f>
        <v>219050.16</v>
      </c>
      <c r="H159" s="96">
        <v>0.66300000000000003</v>
      </c>
      <c r="I159" s="77">
        <f t="shared" si="15"/>
        <v>145230.25608000002</v>
      </c>
      <c r="J159" s="96">
        <v>0.75900000000000001</v>
      </c>
      <c r="K159" s="215">
        <f t="shared" si="16"/>
        <v>166259.07144</v>
      </c>
    </row>
    <row r="160" spans="1:11">
      <c r="A160" s="207">
        <f t="shared" si="14"/>
        <v>155</v>
      </c>
      <c r="B160" s="207" t="s">
        <v>2381</v>
      </c>
      <c r="C160" s="207"/>
      <c r="D160" s="224" t="s">
        <v>627</v>
      </c>
      <c r="E160" s="84" t="s">
        <v>1302</v>
      </c>
      <c r="F160" s="37"/>
      <c r="G160" s="122">
        <f>285734.43</f>
        <v>285734.43</v>
      </c>
      <c r="H160" s="96">
        <v>0.66300000000000003</v>
      </c>
      <c r="I160" s="77">
        <f t="shared" si="15"/>
        <v>189441.92709000001</v>
      </c>
      <c r="J160" s="96">
        <v>0.75900000000000001</v>
      </c>
      <c r="K160" s="215">
        <f t="shared" si="16"/>
        <v>216872.43236999999</v>
      </c>
    </row>
    <row r="161" spans="1:11">
      <c r="A161" s="207">
        <f t="shared" si="14"/>
        <v>156</v>
      </c>
      <c r="B161" s="207" t="s">
        <v>2381</v>
      </c>
      <c r="C161" s="207"/>
      <c r="D161" s="224" t="s">
        <v>627</v>
      </c>
      <c r="E161" s="84" t="s">
        <v>1349</v>
      </c>
      <c r="F161" s="37"/>
      <c r="G161" s="122">
        <f>1929776.32</f>
        <v>1929776.32</v>
      </c>
      <c r="H161" s="96">
        <v>0.66300000000000003</v>
      </c>
      <c r="I161" s="77">
        <f t="shared" si="15"/>
        <v>1279441.70016</v>
      </c>
      <c r="J161" s="96">
        <v>0.75900000000000001</v>
      </c>
      <c r="K161" s="215">
        <f t="shared" si="16"/>
        <v>1464700.22688</v>
      </c>
    </row>
    <row r="162" spans="1:11">
      <c r="A162" s="207">
        <f t="shared" si="14"/>
        <v>157</v>
      </c>
      <c r="B162" s="207" t="s">
        <v>2381</v>
      </c>
      <c r="C162" s="207"/>
      <c r="D162" s="224" t="s">
        <v>627</v>
      </c>
      <c r="E162" s="84" t="s">
        <v>1350</v>
      </c>
      <c r="F162" s="37"/>
      <c r="G162" s="122">
        <f>303096.04</f>
        <v>303096.03999999998</v>
      </c>
      <c r="H162" s="96">
        <v>0.66300000000000003</v>
      </c>
      <c r="I162" s="77">
        <f t="shared" si="15"/>
        <v>200952.67452</v>
      </c>
      <c r="J162" s="96">
        <v>0.75900000000000001</v>
      </c>
      <c r="K162" s="215">
        <f t="shared" si="16"/>
        <v>230049.89435999998</v>
      </c>
    </row>
    <row r="163" spans="1:11">
      <c r="A163" s="207">
        <f t="shared" si="14"/>
        <v>158</v>
      </c>
      <c r="B163" s="207" t="s">
        <v>2381</v>
      </c>
      <c r="C163" s="207"/>
      <c r="D163" s="224" t="s">
        <v>627</v>
      </c>
      <c r="E163" s="84" t="s">
        <v>1351</v>
      </c>
      <c r="F163" s="37"/>
      <c r="G163" s="122">
        <f>1362394.81</f>
        <v>1362394.81</v>
      </c>
      <c r="H163" s="96">
        <v>0.66300000000000003</v>
      </c>
      <c r="I163" s="77">
        <f t="shared" si="15"/>
        <v>903267.75903000007</v>
      </c>
      <c r="J163" s="96">
        <v>0.75900000000000001</v>
      </c>
      <c r="K163" s="215">
        <f t="shared" si="16"/>
        <v>1034057.6607900001</v>
      </c>
    </row>
    <row r="164" spans="1:11" ht="13.5" thickBot="1">
      <c r="A164" s="207">
        <f t="shared" si="14"/>
        <v>159</v>
      </c>
      <c r="B164" s="207"/>
      <c r="C164" s="207"/>
      <c r="D164" s="35"/>
      <c r="E164" s="235" t="s">
        <v>89</v>
      </c>
      <c r="F164" s="78"/>
      <c r="G164" s="238">
        <f>SUM(G146:G163)</f>
        <v>6592755.3500000015</v>
      </c>
      <c r="H164" s="78"/>
      <c r="I164" s="239">
        <f>SUM(I146:I163)</f>
        <v>4370996.7970500002</v>
      </c>
      <c r="J164" s="78"/>
      <c r="K164" s="240">
        <f>SUM(K146:K163)</f>
        <v>5003901.3106500003</v>
      </c>
    </row>
    <row r="165" spans="1:11" ht="13.5" thickTop="1">
      <c r="G165" s="318"/>
    </row>
    <row r="166" spans="1:11">
      <c r="G166" s="318"/>
    </row>
    <row r="167" spans="1:11">
      <c r="G167" s="318"/>
    </row>
    <row r="168" spans="1:11">
      <c r="G168" s="318"/>
    </row>
    <row r="169" spans="1:11">
      <c r="G169" s="318"/>
    </row>
    <row r="170" spans="1:11">
      <c r="G170" s="318"/>
    </row>
    <row r="171" spans="1:11">
      <c r="G171" s="318"/>
    </row>
    <row r="172" spans="1:11">
      <c r="G172" s="318"/>
    </row>
    <row r="173" spans="1:11">
      <c r="G173" s="318"/>
    </row>
    <row r="174" spans="1:11">
      <c r="G174" s="318"/>
    </row>
    <row r="175" spans="1:11">
      <c r="G175" s="318"/>
    </row>
    <row r="176" spans="1:11">
      <c r="G176" s="318"/>
    </row>
    <row r="177" spans="7:7">
      <c r="G177" s="318"/>
    </row>
    <row r="178" spans="7:7">
      <c r="G178" s="318"/>
    </row>
    <row r="179" spans="7:7">
      <c r="G179" s="318"/>
    </row>
    <row r="180" spans="7:7">
      <c r="G180" s="318"/>
    </row>
    <row r="181" spans="7:7">
      <c r="G181" s="318"/>
    </row>
    <row r="182" spans="7:7">
      <c r="G182" s="318"/>
    </row>
    <row r="183" spans="7:7">
      <c r="G183" s="318"/>
    </row>
    <row r="184" spans="7:7">
      <c r="G184" s="318"/>
    </row>
    <row r="185" spans="7:7">
      <c r="G185" s="318"/>
    </row>
    <row r="186" spans="7:7">
      <c r="G186" s="318"/>
    </row>
    <row r="187" spans="7:7">
      <c r="G187" s="318"/>
    </row>
    <row r="188" spans="7:7">
      <c r="G188" s="318"/>
    </row>
    <row r="189" spans="7:7">
      <c r="G189" s="318"/>
    </row>
    <row r="190" spans="7:7">
      <c r="G190" s="318"/>
    </row>
    <row r="191" spans="7:7">
      <c r="G191" s="318"/>
    </row>
    <row r="192" spans="7:7">
      <c r="G192" s="318"/>
    </row>
    <row r="193" spans="7:7">
      <c r="G193" s="318"/>
    </row>
    <row r="194" spans="7:7">
      <c r="G194" s="318"/>
    </row>
    <row r="195" spans="7:7">
      <c r="G195" s="318"/>
    </row>
  </sheetData>
  <hyperlinks>
    <hyperlink ref="E1" location="'Cover Sheets'!A18" display="(Back to Worksheet Links)" xr:uid="{00000000-0004-0000-0E00-000000000000}"/>
  </hyperlinks>
  <pageMargins left="0.7" right="0.7" top="0.75" bottom="0.75" header="0.3" footer="0.3"/>
  <pageSetup paperSize="17" scale="91"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01AD-E046-4783-8812-A61E04438A9E}">
  <sheetPr>
    <pageSetUpPr fitToPage="1"/>
  </sheetPr>
  <dimension ref="A1:I836"/>
  <sheetViews>
    <sheetView zoomScale="90" zoomScaleNormal="90" workbookViewId="0"/>
  </sheetViews>
  <sheetFormatPr defaultColWidth="8.85546875" defaultRowHeight="12.75"/>
  <cols>
    <col min="1" max="1" width="6.7109375" style="126" customWidth="1"/>
    <col min="2" max="2" width="8" style="126" bestFit="1" customWidth="1"/>
    <col min="3" max="3" width="28.42578125" style="257" customWidth="1"/>
    <col min="4" max="4" width="64.85546875" style="123" customWidth="1"/>
    <col min="5" max="5" width="8.7109375" style="362" customWidth="1"/>
    <col min="6" max="6" width="69.42578125" style="123" customWidth="1"/>
    <col min="7" max="7" width="59.140625" style="123" bestFit="1" customWidth="1"/>
    <col min="8" max="8" width="64.140625" style="123" bestFit="1" customWidth="1"/>
    <col min="9" max="9" width="69.42578125" style="264" customWidth="1"/>
    <col min="10" max="16384" width="8.85546875" style="123"/>
  </cols>
  <sheetData>
    <row r="1" spans="1:9">
      <c r="A1" s="616" t="s">
        <v>4</v>
      </c>
      <c r="B1" s="344"/>
      <c r="C1" s="245"/>
      <c r="D1" s="624" t="s">
        <v>53</v>
      </c>
      <c r="E1" s="345"/>
    </row>
    <row r="2" spans="1:9">
      <c r="A2" s="617" t="s">
        <v>1352</v>
      </c>
      <c r="B2" s="128"/>
      <c r="C2" s="246"/>
      <c r="D2" s="346"/>
      <c r="E2" s="347"/>
      <c r="F2" s="346"/>
    </row>
    <row r="3" spans="1:9">
      <c r="A3" s="90" t="s">
        <v>1353</v>
      </c>
      <c r="B3" s="128"/>
      <c r="C3" s="246"/>
      <c r="D3" s="346"/>
      <c r="E3" s="347"/>
      <c r="F3" s="346"/>
    </row>
    <row r="4" spans="1:9" s="350" customFormat="1">
      <c r="A4" s="348"/>
      <c r="B4" s="248" t="s">
        <v>42</v>
      </c>
      <c r="C4" s="247" t="s">
        <v>43</v>
      </c>
      <c r="D4" s="349" t="s">
        <v>44</v>
      </c>
      <c r="E4" s="349" t="s">
        <v>45</v>
      </c>
      <c r="F4" s="373" t="s">
        <v>46</v>
      </c>
      <c r="G4" s="350" t="s">
        <v>1354</v>
      </c>
      <c r="H4" s="350" t="s">
        <v>1355</v>
      </c>
      <c r="I4" s="372" t="s">
        <v>1356</v>
      </c>
    </row>
    <row r="5" spans="1:9" s="252" customFormat="1" ht="25.5">
      <c r="A5" s="249" t="s">
        <v>22</v>
      </c>
      <c r="B5" s="250" t="s">
        <v>106</v>
      </c>
      <c r="C5" s="251" t="s">
        <v>1357</v>
      </c>
      <c r="D5" s="250" t="s">
        <v>1358</v>
      </c>
      <c r="E5" s="623" t="s">
        <v>2405</v>
      </c>
      <c r="F5" s="351" t="s">
        <v>1359</v>
      </c>
      <c r="G5" s="250" t="s">
        <v>1360</v>
      </c>
      <c r="H5" s="250" t="s">
        <v>1361</v>
      </c>
      <c r="I5" s="371" t="s">
        <v>1362</v>
      </c>
    </row>
    <row r="6" spans="1:9" s="124" customFormat="1">
      <c r="A6" s="125">
        <v>1</v>
      </c>
      <c r="B6" s="253"/>
      <c r="C6" s="254" t="s">
        <v>1363</v>
      </c>
      <c r="D6" s="255"/>
      <c r="E6" s="256"/>
      <c r="F6" s="352"/>
      <c r="I6" s="370"/>
    </row>
    <row r="7" spans="1:9">
      <c r="A7" s="125">
        <f t="shared" ref="A7:A38" si="0">A6+1</f>
        <v>2</v>
      </c>
      <c r="B7" s="253" t="s">
        <v>332</v>
      </c>
      <c r="C7" s="257" t="s">
        <v>1364</v>
      </c>
      <c r="D7" s="258" t="s">
        <v>1365</v>
      </c>
      <c r="E7" s="259">
        <v>1</v>
      </c>
      <c r="F7" s="353"/>
      <c r="I7" s="365"/>
    </row>
    <row r="8" spans="1:9">
      <c r="A8" s="125">
        <f t="shared" si="0"/>
        <v>3</v>
      </c>
      <c r="B8" s="253"/>
      <c r="D8" s="258" t="s">
        <v>1366</v>
      </c>
      <c r="E8" s="259">
        <v>1</v>
      </c>
      <c r="F8" s="353"/>
      <c r="H8" s="124"/>
      <c r="I8" s="365"/>
    </row>
    <row r="9" spans="1:9">
      <c r="A9" s="125">
        <f t="shared" si="0"/>
        <v>4</v>
      </c>
      <c r="B9" s="253" t="s">
        <v>334</v>
      </c>
      <c r="C9" s="257" t="s">
        <v>1367</v>
      </c>
      <c r="D9" s="258" t="s">
        <v>1368</v>
      </c>
      <c r="E9" s="261">
        <v>1</v>
      </c>
      <c r="F9" s="353"/>
      <c r="G9" s="123" t="s">
        <v>1369</v>
      </c>
      <c r="H9" s="123" t="s">
        <v>1370</v>
      </c>
      <c r="I9" s="365"/>
    </row>
    <row r="10" spans="1:9">
      <c r="A10" s="125">
        <f t="shared" si="0"/>
        <v>5</v>
      </c>
      <c r="B10" s="253"/>
      <c r="D10" s="258" t="s">
        <v>1371</v>
      </c>
      <c r="E10" s="261">
        <v>1</v>
      </c>
      <c r="F10" s="353" t="s">
        <v>1372</v>
      </c>
      <c r="G10" s="123" t="s">
        <v>1373</v>
      </c>
      <c r="I10" s="365"/>
    </row>
    <row r="11" spans="1:9">
      <c r="A11" s="125">
        <f t="shared" si="0"/>
        <v>6</v>
      </c>
      <c r="B11" s="253"/>
      <c r="D11" s="258" t="s">
        <v>1374</v>
      </c>
      <c r="E11" s="261">
        <v>1</v>
      </c>
      <c r="F11" s="353"/>
      <c r="I11" s="365"/>
    </row>
    <row r="12" spans="1:9" ht="25.5">
      <c r="A12" s="125">
        <f t="shared" si="0"/>
        <v>7</v>
      </c>
      <c r="B12" s="253"/>
      <c r="D12" s="258" t="s">
        <v>1375</v>
      </c>
      <c r="E12" s="261" t="s">
        <v>1376</v>
      </c>
      <c r="F12" s="260" t="s">
        <v>1377</v>
      </c>
      <c r="I12" s="365"/>
    </row>
    <row r="13" spans="1:9">
      <c r="A13" s="125">
        <f t="shared" si="0"/>
        <v>8</v>
      </c>
      <c r="B13" s="253"/>
      <c r="D13" s="258" t="s">
        <v>1378</v>
      </c>
      <c r="E13" s="261" t="s">
        <v>1376</v>
      </c>
      <c r="F13" s="260" t="s">
        <v>1379</v>
      </c>
      <c r="I13" s="365"/>
    </row>
    <row r="14" spans="1:9">
      <c r="A14" s="125">
        <f t="shared" si="0"/>
        <v>9</v>
      </c>
      <c r="B14" s="253" t="s">
        <v>1380</v>
      </c>
      <c r="C14" s="257" t="s">
        <v>1381</v>
      </c>
      <c r="D14" s="258" t="s">
        <v>1382</v>
      </c>
      <c r="E14" s="259">
        <v>1</v>
      </c>
      <c r="F14" s="353"/>
      <c r="I14" s="365"/>
    </row>
    <row r="15" spans="1:9">
      <c r="A15" s="125">
        <f t="shared" si="0"/>
        <v>10</v>
      </c>
      <c r="B15" s="253" t="s">
        <v>338</v>
      </c>
      <c r="C15" s="257" t="s">
        <v>1383</v>
      </c>
      <c r="D15" s="258" t="s">
        <v>1384</v>
      </c>
      <c r="E15" s="261">
        <v>1</v>
      </c>
      <c r="F15" s="353"/>
      <c r="G15" s="123" t="s">
        <v>1385</v>
      </c>
      <c r="I15" s="365"/>
    </row>
    <row r="16" spans="1:9">
      <c r="A16" s="125">
        <f t="shared" si="0"/>
        <v>11</v>
      </c>
      <c r="B16" s="253"/>
      <c r="D16" s="258" t="s">
        <v>1386</v>
      </c>
      <c r="E16" s="261">
        <v>1</v>
      </c>
      <c r="F16" s="353"/>
      <c r="I16" s="365"/>
    </row>
    <row r="17" spans="1:9">
      <c r="A17" s="125">
        <f t="shared" si="0"/>
        <v>12</v>
      </c>
      <c r="B17" s="253"/>
      <c r="D17" s="258" t="s">
        <v>1387</v>
      </c>
      <c r="E17" s="261">
        <v>1</v>
      </c>
      <c r="F17" s="353"/>
      <c r="I17" s="365"/>
    </row>
    <row r="18" spans="1:9">
      <c r="A18" s="125">
        <f t="shared" si="0"/>
        <v>13</v>
      </c>
      <c r="B18" s="253" t="s">
        <v>342</v>
      </c>
      <c r="C18" s="257" t="s">
        <v>1388</v>
      </c>
      <c r="D18" s="258" t="s">
        <v>1389</v>
      </c>
      <c r="E18" s="261">
        <v>1</v>
      </c>
      <c r="F18" s="353"/>
      <c r="I18" s="365"/>
    </row>
    <row r="19" spans="1:9">
      <c r="A19" s="125">
        <f t="shared" si="0"/>
        <v>14</v>
      </c>
      <c r="B19" s="253" t="s">
        <v>344</v>
      </c>
      <c r="C19" s="257" t="s">
        <v>1390</v>
      </c>
      <c r="D19" s="258" t="s">
        <v>1391</v>
      </c>
      <c r="E19" s="261">
        <v>1</v>
      </c>
      <c r="F19" s="353"/>
      <c r="G19" s="123" t="s">
        <v>1392</v>
      </c>
      <c r="I19" s="365"/>
    </row>
    <row r="20" spans="1:9">
      <c r="A20" s="125">
        <f t="shared" si="0"/>
        <v>15</v>
      </c>
      <c r="B20" s="253"/>
      <c r="D20" s="258" t="s">
        <v>1393</v>
      </c>
      <c r="E20" s="261">
        <v>1</v>
      </c>
      <c r="F20" s="353"/>
      <c r="I20" s="365"/>
    </row>
    <row r="21" spans="1:9">
      <c r="A21" s="125">
        <f t="shared" si="0"/>
        <v>16</v>
      </c>
      <c r="B21" s="253"/>
      <c r="D21" s="258" t="s">
        <v>1394</v>
      </c>
      <c r="E21" s="261">
        <v>1</v>
      </c>
      <c r="F21" s="353"/>
      <c r="I21" s="365"/>
    </row>
    <row r="22" spans="1:9">
      <c r="A22" s="125">
        <f t="shared" si="0"/>
        <v>17</v>
      </c>
      <c r="B22" s="253"/>
      <c r="D22" s="258" t="s">
        <v>1395</v>
      </c>
      <c r="E22" s="261">
        <v>1</v>
      </c>
      <c r="F22" s="353"/>
      <c r="I22" s="365"/>
    </row>
    <row r="23" spans="1:9">
      <c r="A23" s="125">
        <f t="shared" si="0"/>
        <v>18</v>
      </c>
      <c r="B23" s="253"/>
      <c r="D23" s="258" t="s">
        <v>1396</v>
      </c>
      <c r="E23" s="261">
        <v>1</v>
      </c>
      <c r="F23" s="353"/>
      <c r="I23" s="365"/>
    </row>
    <row r="24" spans="1:9">
      <c r="A24" s="125">
        <f t="shared" si="0"/>
        <v>19</v>
      </c>
      <c r="B24" s="253" t="s">
        <v>344</v>
      </c>
      <c r="C24" s="257" t="s">
        <v>1397</v>
      </c>
      <c r="D24" s="258" t="s">
        <v>1398</v>
      </c>
      <c r="E24" s="261">
        <v>1</v>
      </c>
      <c r="F24" s="353"/>
      <c r="G24" s="123" t="s">
        <v>1399</v>
      </c>
      <c r="H24" s="123" t="s">
        <v>1400</v>
      </c>
      <c r="I24" s="365"/>
    </row>
    <row r="25" spans="1:9">
      <c r="A25" s="125">
        <f t="shared" si="0"/>
        <v>20</v>
      </c>
      <c r="B25" s="253"/>
      <c r="D25" s="258" t="s">
        <v>1401</v>
      </c>
      <c r="E25" s="261">
        <v>1</v>
      </c>
      <c r="F25" s="353"/>
      <c r="G25" s="123" t="s">
        <v>1402</v>
      </c>
      <c r="I25" s="365"/>
    </row>
    <row r="26" spans="1:9">
      <c r="A26" s="125">
        <f t="shared" si="0"/>
        <v>21</v>
      </c>
      <c r="B26" s="253"/>
      <c r="D26" s="258" t="s">
        <v>1403</v>
      </c>
      <c r="E26" s="261">
        <v>1</v>
      </c>
      <c r="F26" s="353"/>
      <c r="G26" s="123" t="s">
        <v>1404</v>
      </c>
      <c r="H26" s="123" t="s">
        <v>1405</v>
      </c>
      <c r="I26" s="365"/>
    </row>
    <row r="27" spans="1:9" ht="16.5" customHeight="1">
      <c r="A27" s="125">
        <f t="shared" si="0"/>
        <v>22</v>
      </c>
      <c r="B27" s="253"/>
      <c r="D27" s="258" t="s">
        <v>1406</v>
      </c>
      <c r="E27" s="261" t="s">
        <v>1376</v>
      </c>
      <c r="F27" s="260" t="s">
        <v>1407</v>
      </c>
      <c r="I27" s="365"/>
    </row>
    <row r="28" spans="1:9" ht="17.25" customHeight="1">
      <c r="A28" s="125">
        <f t="shared" si="0"/>
        <v>23</v>
      </c>
      <c r="B28" s="253"/>
      <c r="D28" s="258" t="s">
        <v>1408</v>
      </c>
      <c r="E28" s="261" t="s">
        <v>1376</v>
      </c>
      <c r="F28" s="353" t="s">
        <v>1409</v>
      </c>
      <c r="I28" s="365"/>
    </row>
    <row r="29" spans="1:9">
      <c r="A29" s="125">
        <f t="shared" si="0"/>
        <v>24</v>
      </c>
      <c r="B29" s="253" t="s">
        <v>348</v>
      </c>
      <c r="C29" s="257" t="s">
        <v>1410</v>
      </c>
      <c r="D29" s="258" t="s">
        <v>1411</v>
      </c>
      <c r="E29" s="261">
        <v>1</v>
      </c>
      <c r="F29" s="353"/>
      <c r="G29" s="123" t="s">
        <v>1412</v>
      </c>
      <c r="I29" s="365"/>
    </row>
    <row r="30" spans="1:9">
      <c r="A30" s="125">
        <f t="shared" si="0"/>
        <v>25</v>
      </c>
      <c r="B30" s="253"/>
      <c r="D30" s="258"/>
      <c r="E30" s="261"/>
      <c r="F30" s="353"/>
      <c r="G30" s="123" t="s">
        <v>1413</v>
      </c>
      <c r="H30" s="123" t="s">
        <v>1414</v>
      </c>
      <c r="I30" s="365"/>
    </row>
    <row r="31" spans="1:9" ht="25.5">
      <c r="A31" s="125">
        <f t="shared" si="0"/>
        <v>26</v>
      </c>
      <c r="B31" s="253" t="s">
        <v>350</v>
      </c>
      <c r="C31" s="257" t="s">
        <v>1415</v>
      </c>
      <c r="D31" s="258" t="s">
        <v>1416</v>
      </c>
      <c r="E31" s="261">
        <v>1</v>
      </c>
      <c r="F31" s="353"/>
      <c r="G31" s="127" t="s">
        <v>1417</v>
      </c>
      <c r="H31" s="123" t="s">
        <v>1418</v>
      </c>
      <c r="I31" s="369" t="s">
        <v>1419</v>
      </c>
    </row>
    <row r="32" spans="1:9">
      <c r="A32" s="125">
        <f t="shared" si="0"/>
        <v>27</v>
      </c>
      <c r="B32" s="253"/>
      <c r="D32" s="258" t="s">
        <v>1420</v>
      </c>
      <c r="E32" s="261">
        <v>1</v>
      </c>
      <c r="F32" s="353"/>
      <c r="G32" s="123" t="s">
        <v>1421</v>
      </c>
      <c r="H32" s="123" t="s">
        <v>1422</v>
      </c>
      <c r="I32" s="365"/>
    </row>
    <row r="33" spans="1:9">
      <c r="A33" s="125">
        <f t="shared" si="0"/>
        <v>28</v>
      </c>
      <c r="B33" s="253"/>
      <c r="D33" s="258" t="s">
        <v>1423</v>
      </c>
      <c r="E33" s="261">
        <v>1</v>
      </c>
      <c r="F33" s="353"/>
      <c r="I33" s="365"/>
    </row>
    <row r="34" spans="1:9">
      <c r="A34" s="125">
        <f t="shared" si="0"/>
        <v>29</v>
      </c>
      <c r="B34" s="253"/>
      <c r="D34" s="258" t="s">
        <v>1424</v>
      </c>
      <c r="E34" s="261">
        <v>1</v>
      </c>
      <c r="F34" s="353" t="s">
        <v>1425</v>
      </c>
      <c r="I34" s="365"/>
    </row>
    <row r="35" spans="1:9">
      <c r="A35" s="125">
        <f t="shared" si="0"/>
        <v>30</v>
      </c>
      <c r="B35" s="253"/>
      <c r="D35" s="258" t="s">
        <v>1426</v>
      </c>
      <c r="E35" s="261">
        <v>1</v>
      </c>
      <c r="F35" s="353"/>
      <c r="I35" s="365"/>
    </row>
    <row r="36" spans="1:9">
      <c r="A36" s="125">
        <f t="shared" si="0"/>
        <v>31</v>
      </c>
      <c r="B36" s="253"/>
      <c r="D36" s="258" t="s">
        <v>1427</v>
      </c>
      <c r="E36" s="261">
        <v>1</v>
      </c>
      <c r="F36" s="353"/>
      <c r="I36" s="365"/>
    </row>
    <row r="37" spans="1:9">
      <c r="A37" s="125">
        <f t="shared" si="0"/>
        <v>32</v>
      </c>
      <c r="B37" s="253"/>
      <c r="D37" s="354" t="s">
        <v>1428</v>
      </c>
      <c r="E37" s="261">
        <v>1</v>
      </c>
      <c r="F37" s="353"/>
      <c r="I37" s="365"/>
    </row>
    <row r="38" spans="1:9">
      <c r="A38" s="125">
        <f t="shared" si="0"/>
        <v>33</v>
      </c>
      <c r="B38" s="253" t="s">
        <v>1016</v>
      </c>
      <c r="C38" s="257" t="s">
        <v>1429</v>
      </c>
      <c r="D38" s="258" t="s">
        <v>1430</v>
      </c>
      <c r="E38" s="261">
        <v>1</v>
      </c>
      <c r="F38" s="353"/>
      <c r="G38" s="123" t="s">
        <v>1431</v>
      </c>
      <c r="H38" s="123" t="s">
        <v>1432</v>
      </c>
      <c r="I38" s="365"/>
    </row>
    <row r="39" spans="1:9">
      <c r="A39" s="125">
        <f t="shared" ref="A39:A70" si="1">A38+1</f>
        <v>34</v>
      </c>
      <c r="B39" s="253"/>
      <c r="D39" s="258" t="s">
        <v>1433</v>
      </c>
      <c r="E39" s="261">
        <v>1</v>
      </c>
      <c r="F39" s="353"/>
      <c r="I39" s="365"/>
    </row>
    <row r="40" spans="1:9">
      <c r="A40" s="125">
        <f t="shared" si="1"/>
        <v>35</v>
      </c>
      <c r="B40" s="253"/>
      <c r="D40" s="258" t="s">
        <v>1434</v>
      </c>
      <c r="E40" s="261">
        <v>1</v>
      </c>
      <c r="F40" s="353"/>
      <c r="I40" s="365"/>
    </row>
    <row r="41" spans="1:9">
      <c r="A41" s="125">
        <f t="shared" si="1"/>
        <v>36</v>
      </c>
      <c r="B41" s="253"/>
      <c r="D41" s="258" t="s">
        <v>1435</v>
      </c>
      <c r="E41" s="261">
        <v>1</v>
      </c>
      <c r="F41" s="353"/>
      <c r="I41" s="365"/>
    </row>
    <row r="42" spans="1:9">
      <c r="A42" s="125">
        <f t="shared" si="1"/>
        <v>37</v>
      </c>
      <c r="B42" s="253"/>
      <c r="D42" s="258" t="s">
        <v>1436</v>
      </c>
      <c r="E42" s="261" t="s">
        <v>1437</v>
      </c>
      <c r="F42" s="353" t="s">
        <v>1438</v>
      </c>
      <c r="I42" s="365"/>
    </row>
    <row r="43" spans="1:9">
      <c r="A43" s="125">
        <f t="shared" si="1"/>
        <v>38</v>
      </c>
      <c r="B43" s="253" t="s">
        <v>354</v>
      </c>
      <c r="C43" s="257" t="s">
        <v>1439</v>
      </c>
      <c r="D43" s="258" t="s">
        <v>1440</v>
      </c>
      <c r="E43" s="261">
        <v>1</v>
      </c>
      <c r="F43" s="353"/>
      <c r="G43" s="123" t="s">
        <v>1441</v>
      </c>
      <c r="I43" s="365"/>
    </row>
    <row r="44" spans="1:9">
      <c r="A44" s="125">
        <f t="shared" si="1"/>
        <v>39</v>
      </c>
      <c r="B44" s="253"/>
      <c r="D44" s="258" t="s">
        <v>1442</v>
      </c>
      <c r="E44" s="261">
        <v>1</v>
      </c>
      <c r="F44" s="353"/>
      <c r="G44" s="123" t="s">
        <v>1443</v>
      </c>
      <c r="I44" s="365"/>
    </row>
    <row r="45" spans="1:9">
      <c r="A45" s="125">
        <f t="shared" si="1"/>
        <v>40</v>
      </c>
      <c r="B45" s="253"/>
      <c r="D45" s="258" t="s">
        <v>1444</v>
      </c>
      <c r="E45" s="261">
        <v>1</v>
      </c>
      <c r="F45" s="353"/>
      <c r="G45" s="123" t="s">
        <v>1445</v>
      </c>
      <c r="H45" s="123" t="s">
        <v>1446</v>
      </c>
      <c r="I45" s="365"/>
    </row>
    <row r="46" spans="1:9">
      <c r="A46" s="125">
        <f t="shared" si="1"/>
        <v>41</v>
      </c>
      <c r="B46" s="253"/>
      <c r="D46" s="258" t="s">
        <v>1447</v>
      </c>
      <c r="E46" s="261">
        <v>1</v>
      </c>
      <c r="F46" s="353"/>
      <c r="I46" s="365"/>
    </row>
    <row r="47" spans="1:9" ht="25.5">
      <c r="A47" s="125">
        <f t="shared" si="1"/>
        <v>42</v>
      </c>
      <c r="B47" s="253" t="s">
        <v>356</v>
      </c>
      <c r="C47" s="257" t="s">
        <v>1448</v>
      </c>
      <c r="D47" s="258" t="s">
        <v>1449</v>
      </c>
      <c r="E47" s="261">
        <v>1</v>
      </c>
      <c r="F47" s="353"/>
      <c r="G47" s="123" t="s">
        <v>1450</v>
      </c>
      <c r="H47" s="123" t="s">
        <v>1451</v>
      </c>
      <c r="I47" s="365"/>
    </row>
    <row r="48" spans="1:9">
      <c r="A48" s="125">
        <f t="shared" si="1"/>
        <v>43</v>
      </c>
      <c r="B48" s="253"/>
      <c r="D48" s="258" t="s">
        <v>1452</v>
      </c>
      <c r="E48" s="261">
        <v>1</v>
      </c>
      <c r="F48" s="353"/>
      <c r="I48" s="365"/>
    </row>
    <row r="49" spans="1:9">
      <c r="A49" s="125">
        <f t="shared" si="1"/>
        <v>44</v>
      </c>
      <c r="B49" s="253"/>
      <c r="D49" s="258" t="s">
        <v>1453</v>
      </c>
      <c r="E49" s="261">
        <v>1</v>
      </c>
      <c r="F49" s="353"/>
      <c r="I49" s="365"/>
    </row>
    <row r="50" spans="1:9" ht="25.5">
      <c r="A50" s="125">
        <f t="shared" si="1"/>
        <v>45</v>
      </c>
      <c r="B50" s="253"/>
      <c r="D50" s="258" t="s">
        <v>1406</v>
      </c>
      <c r="E50" s="261" t="s">
        <v>1376</v>
      </c>
      <c r="F50" s="353" t="s">
        <v>1454</v>
      </c>
      <c r="I50" s="365"/>
    </row>
    <row r="51" spans="1:9" ht="25.5">
      <c r="A51" s="125">
        <f t="shared" si="1"/>
        <v>46</v>
      </c>
      <c r="B51" s="253"/>
      <c r="D51" s="258" t="s">
        <v>1455</v>
      </c>
      <c r="E51" s="261" t="s">
        <v>1376</v>
      </c>
      <c r="F51" s="353" t="s">
        <v>1456</v>
      </c>
      <c r="I51" s="365"/>
    </row>
    <row r="52" spans="1:9">
      <c r="A52" s="125">
        <f t="shared" si="1"/>
        <v>47</v>
      </c>
      <c r="B52" s="253" t="s">
        <v>956</v>
      </c>
      <c r="C52" s="257" t="s">
        <v>1457</v>
      </c>
      <c r="D52" s="258"/>
      <c r="E52" s="261"/>
      <c r="F52" s="353"/>
      <c r="G52" s="123" t="s">
        <v>1458</v>
      </c>
      <c r="I52" s="365"/>
    </row>
    <row r="53" spans="1:9">
      <c r="A53" s="125">
        <f t="shared" si="1"/>
        <v>48</v>
      </c>
      <c r="B53" s="253" t="s">
        <v>1459</v>
      </c>
      <c r="C53" s="257" t="s">
        <v>1460</v>
      </c>
      <c r="D53" s="258"/>
      <c r="E53" s="261"/>
      <c r="F53" s="353"/>
      <c r="G53" s="123" t="s">
        <v>1458</v>
      </c>
      <c r="I53" s="365"/>
    </row>
    <row r="54" spans="1:9">
      <c r="A54" s="125">
        <f t="shared" si="1"/>
        <v>49</v>
      </c>
      <c r="B54" s="253" t="s">
        <v>358</v>
      </c>
      <c r="C54" s="257" t="s">
        <v>1461</v>
      </c>
      <c r="D54" s="258" t="s">
        <v>1462</v>
      </c>
      <c r="E54" s="261">
        <v>1</v>
      </c>
      <c r="F54" s="353"/>
      <c r="I54" s="365"/>
    </row>
    <row r="55" spans="1:9">
      <c r="A55" s="125">
        <f t="shared" si="1"/>
        <v>50</v>
      </c>
      <c r="B55" s="253" t="s">
        <v>1463</v>
      </c>
      <c r="C55" s="257" t="s">
        <v>1464</v>
      </c>
      <c r="D55" s="258" t="s">
        <v>1465</v>
      </c>
      <c r="E55" s="261">
        <v>1</v>
      </c>
      <c r="F55" s="260"/>
      <c r="G55" s="368" t="s">
        <v>1466</v>
      </c>
      <c r="I55" s="365"/>
    </row>
    <row r="56" spans="1:9">
      <c r="A56" s="125">
        <f t="shared" si="1"/>
        <v>51</v>
      </c>
      <c r="B56" s="253" t="s">
        <v>1018</v>
      </c>
      <c r="C56" s="257" t="s">
        <v>1467</v>
      </c>
      <c r="D56" s="258" t="s">
        <v>1468</v>
      </c>
      <c r="E56" s="261">
        <v>1</v>
      </c>
      <c r="F56" s="353"/>
      <c r="I56" s="365"/>
    </row>
    <row r="57" spans="1:9">
      <c r="A57" s="125">
        <f t="shared" si="1"/>
        <v>52</v>
      </c>
      <c r="B57" s="253" t="s">
        <v>360</v>
      </c>
      <c r="C57" s="257" t="s">
        <v>1469</v>
      </c>
      <c r="D57" s="258" t="s">
        <v>1470</v>
      </c>
      <c r="E57" s="261">
        <v>1</v>
      </c>
      <c r="F57" s="353" t="s">
        <v>1471</v>
      </c>
      <c r="I57" s="367" t="s">
        <v>1472</v>
      </c>
    </row>
    <row r="58" spans="1:9">
      <c r="A58" s="125">
        <f t="shared" si="1"/>
        <v>53</v>
      </c>
      <c r="B58" s="253"/>
      <c r="D58" s="258" t="s">
        <v>1473</v>
      </c>
      <c r="E58" s="261">
        <v>1</v>
      </c>
      <c r="F58" s="353"/>
      <c r="I58" s="365"/>
    </row>
    <row r="59" spans="1:9">
      <c r="A59" s="125">
        <f t="shared" si="1"/>
        <v>54</v>
      </c>
      <c r="B59" s="253" t="s">
        <v>1474</v>
      </c>
      <c r="C59" s="257" t="s">
        <v>1475</v>
      </c>
      <c r="D59" s="258" t="s">
        <v>1476</v>
      </c>
      <c r="E59" s="261">
        <v>1</v>
      </c>
      <c r="F59" s="353"/>
      <c r="G59" s="123" t="s">
        <v>1477</v>
      </c>
      <c r="H59" s="123" t="s">
        <v>1478</v>
      </c>
      <c r="I59" s="365"/>
    </row>
    <row r="60" spans="1:9">
      <c r="A60" s="125">
        <f t="shared" si="1"/>
        <v>55</v>
      </c>
      <c r="B60" s="253"/>
      <c r="D60" s="258" t="s">
        <v>1479</v>
      </c>
      <c r="E60" s="261">
        <v>1</v>
      </c>
      <c r="F60" s="353"/>
      <c r="G60" s="123" t="s">
        <v>1480</v>
      </c>
      <c r="H60" s="123" t="s">
        <v>1481</v>
      </c>
      <c r="I60" s="365"/>
    </row>
    <row r="61" spans="1:9">
      <c r="A61" s="125">
        <f t="shared" si="1"/>
        <v>56</v>
      </c>
      <c r="B61" s="253"/>
      <c r="D61" s="258" t="s">
        <v>1482</v>
      </c>
      <c r="E61" s="261">
        <v>1</v>
      </c>
      <c r="F61" s="353"/>
      <c r="I61" s="365"/>
    </row>
    <row r="62" spans="1:9">
      <c r="A62" s="125">
        <f t="shared" si="1"/>
        <v>57</v>
      </c>
      <c r="B62" s="253" t="s">
        <v>364</v>
      </c>
      <c r="C62" s="257" t="s">
        <v>1483</v>
      </c>
      <c r="D62" s="258" t="s">
        <v>1484</v>
      </c>
      <c r="E62" s="261">
        <v>1</v>
      </c>
      <c r="F62" s="353"/>
      <c r="I62" s="365"/>
    </row>
    <row r="63" spans="1:9">
      <c r="A63" s="125">
        <f t="shared" si="1"/>
        <v>58</v>
      </c>
      <c r="B63" s="253" t="s">
        <v>1485</v>
      </c>
      <c r="C63" s="257" t="s">
        <v>1486</v>
      </c>
      <c r="D63" s="258" t="s">
        <v>1487</v>
      </c>
      <c r="E63" s="261">
        <v>1</v>
      </c>
      <c r="F63" s="353"/>
      <c r="G63" s="123" t="s">
        <v>1488</v>
      </c>
      <c r="H63" s="123" t="s">
        <v>1489</v>
      </c>
      <c r="I63" s="365"/>
    </row>
    <row r="64" spans="1:9">
      <c r="A64" s="125">
        <f t="shared" si="1"/>
        <v>59</v>
      </c>
      <c r="B64" s="253"/>
      <c r="D64" s="258" t="s">
        <v>1490</v>
      </c>
      <c r="E64" s="261">
        <v>1</v>
      </c>
      <c r="F64" s="353"/>
      <c r="G64" s="123" t="s">
        <v>1491</v>
      </c>
      <c r="H64" s="123" t="s">
        <v>1492</v>
      </c>
      <c r="I64" s="365"/>
    </row>
    <row r="65" spans="1:9">
      <c r="A65" s="125">
        <f t="shared" si="1"/>
        <v>60</v>
      </c>
      <c r="B65" s="253"/>
      <c r="D65" s="258" t="s">
        <v>1493</v>
      </c>
      <c r="E65" s="261">
        <v>1</v>
      </c>
      <c r="F65" s="353"/>
      <c r="G65" s="123" t="s">
        <v>1494</v>
      </c>
      <c r="I65" s="365"/>
    </row>
    <row r="66" spans="1:9">
      <c r="A66" s="125">
        <f t="shared" si="1"/>
        <v>61</v>
      </c>
      <c r="B66" s="253"/>
      <c r="D66" s="258" t="s">
        <v>1495</v>
      </c>
      <c r="E66" s="261">
        <v>1</v>
      </c>
      <c r="F66" s="353"/>
      <c r="G66" s="123" t="s">
        <v>1496</v>
      </c>
      <c r="H66" s="123" t="s">
        <v>1492</v>
      </c>
      <c r="I66" s="365"/>
    </row>
    <row r="67" spans="1:9">
      <c r="A67" s="125">
        <f t="shared" si="1"/>
        <v>62</v>
      </c>
      <c r="B67" s="253" t="s">
        <v>1020</v>
      </c>
      <c r="C67" s="257" t="s">
        <v>1497</v>
      </c>
      <c r="D67" s="258" t="s">
        <v>1498</v>
      </c>
      <c r="E67" s="261">
        <v>1</v>
      </c>
      <c r="F67" s="353"/>
      <c r="G67" s="123" t="s">
        <v>1499</v>
      </c>
      <c r="H67" s="123" t="s">
        <v>1500</v>
      </c>
      <c r="I67" s="365"/>
    </row>
    <row r="68" spans="1:9">
      <c r="A68" s="125">
        <f t="shared" si="1"/>
        <v>63</v>
      </c>
      <c r="B68" s="253"/>
      <c r="D68" s="258" t="s">
        <v>1501</v>
      </c>
      <c r="E68" s="261">
        <v>1</v>
      </c>
      <c r="F68" s="353"/>
      <c r="I68" s="365"/>
    </row>
    <row r="69" spans="1:9">
      <c r="A69" s="125">
        <f t="shared" si="1"/>
        <v>64</v>
      </c>
      <c r="B69" s="253"/>
      <c r="D69" s="258" t="s">
        <v>1502</v>
      </c>
      <c r="E69" s="261">
        <v>1</v>
      </c>
      <c r="F69" s="353"/>
      <c r="I69" s="365"/>
    </row>
    <row r="70" spans="1:9" ht="17.25" customHeight="1">
      <c r="A70" s="125">
        <f t="shared" si="1"/>
        <v>65</v>
      </c>
      <c r="B70" s="253"/>
      <c r="D70" s="258" t="s">
        <v>1503</v>
      </c>
      <c r="E70" s="261">
        <v>1</v>
      </c>
      <c r="F70" s="353"/>
      <c r="I70" s="365"/>
    </row>
    <row r="71" spans="1:9">
      <c r="A71" s="125">
        <f t="shared" ref="A71:A103" si="2">A70+1</f>
        <v>66</v>
      </c>
      <c r="B71" s="253"/>
      <c r="D71" s="258" t="s">
        <v>1504</v>
      </c>
      <c r="E71" s="261">
        <v>1</v>
      </c>
      <c r="F71" s="353"/>
      <c r="I71" s="365"/>
    </row>
    <row r="72" spans="1:9" ht="25.5">
      <c r="A72" s="125">
        <f t="shared" si="2"/>
        <v>67</v>
      </c>
      <c r="B72" s="253" t="s">
        <v>368</v>
      </c>
      <c r="C72" s="257" t="s">
        <v>1505</v>
      </c>
      <c r="D72" s="258" t="s">
        <v>1506</v>
      </c>
      <c r="E72" s="261">
        <v>1</v>
      </c>
      <c r="F72" s="353"/>
      <c r="I72" s="365"/>
    </row>
    <row r="73" spans="1:9">
      <c r="A73" s="125">
        <f t="shared" si="2"/>
        <v>68</v>
      </c>
      <c r="B73" s="253"/>
      <c r="D73" s="258" t="s">
        <v>1507</v>
      </c>
      <c r="E73" s="261">
        <v>1</v>
      </c>
      <c r="F73" s="353"/>
      <c r="I73" s="365"/>
    </row>
    <row r="74" spans="1:9">
      <c r="A74" s="125">
        <f t="shared" si="2"/>
        <v>69</v>
      </c>
      <c r="B74" s="253"/>
      <c r="D74" s="258" t="s">
        <v>1508</v>
      </c>
      <c r="E74" s="261">
        <v>1</v>
      </c>
      <c r="F74" s="353"/>
      <c r="I74" s="365"/>
    </row>
    <row r="75" spans="1:9">
      <c r="A75" s="125">
        <f t="shared" si="2"/>
        <v>70</v>
      </c>
      <c r="B75" s="253"/>
      <c r="D75" s="258" t="s">
        <v>1509</v>
      </c>
      <c r="E75" s="261">
        <v>1</v>
      </c>
      <c r="F75" s="353"/>
      <c r="I75" s="365"/>
    </row>
    <row r="76" spans="1:9">
      <c r="A76" s="125">
        <f t="shared" si="2"/>
        <v>71</v>
      </c>
      <c r="B76" s="253"/>
      <c r="D76" s="258" t="s">
        <v>1510</v>
      </c>
      <c r="E76" s="261">
        <v>1</v>
      </c>
      <c r="F76" s="353"/>
      <c r="I76" s="365"/>
    </row>
    <row r="77" spans="1:9">
      <c r="A77" s="125">
        <f t="shared" si="2"/>
        <v>72</v>
      </c>
      <c r="B77" s="253" t="s">
        <v>1022</v>
      </c>
      <c r="C77" s="257" t="s">
        <v>1511</v>
      </c>
      <c r="D77" s="258" t="s">
        <v>1512</v>
      </c>
      <c r="E77" s="261">
        <v>2</v>
      </c>
      <c r="F77" s="353" t="s">
        <v>1513</v>
      </c>
      <c r="I77" s="365"/>
    </row>
    <row r="78" spans="1:9">
      <c r="A78" s="125">
        <f t="shared" si="2"/>
        <v>73</v>
      </c>
      <c r="B78" s="253"/>
      <c r="D78" s="258" t="s">
        <v>1514</v>
      </c>
      <c r="E78" s="261">
        <v>1</v>
      </c>
      <c r="F78" s="353"/>
      <c r="I78" s="365"/>
    </row>
    <row r="79" spans="1:9">
      <c r="A79" s="125">
        <f t="shared" si="2"/>
        <v>74</v>
      </c>
      <c r="B79" s="253"/>
      <c r="D79" s="258" t="s">
        <v>1515</v>
      </c>
      <c r="E79" s="261">
        <v>1</v>
      </c>
      <c r="F79" s="353"/>
      <c r="I79" s="365"/>
    </row>
    <row r="80" spans="1:9">
      <c r="A80" s="125">
        <f t="shared" si="2"/>
        <v>75</v>
      </c>
      <c r="B80" s="253" t="s">
        <v>370</v>
      </c>
      <c r="C80" s="257" t="s">
        <v>1516</v>
      </c>
      <c r="D80" s="258" t="s">
        <v>1517</v>
      </c>
      <c r="E80" s="261" t="s">
        <v>1376</v>
      </c>
      <c r="F80" s="353" t="s">
        <v>1518</v>
      </c>
      <c r="I80" s="365"/>
    </row>
    <row r="81" spans="1:9">
      <c r="A81" s="125">
        <f t="shared" si="2"/>
        <v>76</v>
      </c>
      <c r="B81" s="253" t="s">
        <v>1024</v>
      </c>
      <c r="C81" s="257" t="s">
        <v>1519</v>
      </c>
      <c r="D81" s="258" t="s">
        <v>1498</v>
      </c>
      <c r="E81" s="261">
        <v>1</v>
      </c>
      <c r="F81" s="353"/>
      <c r="G81" s="123" t="s">
        <v>1520</v>
      </c>
      <c r="H81" s="123" t="s">
        <v>1521</v>
      </c>
      <c r="I81" s="365"/>
    </row>
    <row r="82" spans="1:9">
      <c r="A82" s="125">
        <f t="shared" si="2"/>
        <v>77</v>
      </c>
      <c r="B82" s="253"/>
      <c r="D82" s="258" t="s">
        <v>1522</v>
      </c>
      <c r="E82" s="261">
        <v>1</v>
      </c>
      <c r="F82" s="353"/>
      <c r="I82" s="365"/>
    </row>
    <row r="83" spans="1:9">
      <c r="A83" s="125">
        <f t="shared" si="2"/>
        <v>78</v>
      </c>
      <c r="B83" s="253"/>
      <c r="D83" s="258" t="s">
        <v>1523</v>
      </c>
      <c r="E83" s="261">
        <v>1</v>
      </c>
      <c r="F83" s="353"/>
      <c r="I83" s="365"/>
    </row>
    <row r="84" spans="1:9">
      <c r="A84" s="125">
        <f t="shared" si="2"/>
        <v>79</v>
      </c>
      <c r="B84" s="253"/>
      <c r="D84" s="258" t="s">
        <v>1524</v>
      </c>
      <c r="E84" s="261">
        <v>1</v>
      </c>
      <c r="F84" s="353"/>
      <c r="I84" s="365"/>
    </row>
    <row r="85" spans="1:9">
      <c r="A85" s="125">
        <f t="shared" si="2"/>
        <v>80</v>
      </c>
      <c r="B85" s="253"/>
      <c r="D85" s="258" t="s">
        <v>1525</v>
      </c>
      <c r="E85" s="261">
        <v>1</v>
      </c>
      <c r="F85" s="353"/>
      <c r="I85" s="365"/>
    </row>
    <row r="86" spans="1:9">
      <c r="A86" s="125">
        <f t="shared" si="2"/>
        <v>81</v>
      </c>
      <c r="B86" s="253" t="s">
        <v>372</v>
      </c>
      <c r="C86" s="257" t="s">
        <v>1526</v>
      </c>
      <c r="D86" s="258"/>
      <c r="E86" s="261"/>
      <c r="F86" s="353"/>
      <c r="G86" s="123" t="s">
        <v>1458</v>
      </c>
      <c r="I86" s="365"/>
    </row>
    <row r="87" spans="1:9">
      <c r="A87" s="125">
        <f t="shared" si="2"/>
        <v>82</v>
      </c>
      <c r="B87" s="253" t="s">
        <v>374</v>
      </c>
      <c r="C87" s="257" t="s">
        <v>1527</v>
      </c>
      <c r="D87" s="258" t="s">
        <v>1528</v>
      </c>
      <c r="E87" s="261">
        <v>1</v>
      </c>
      <c r="F87" s="353"/>
      <c r="G87" s="123" t="s">
        <v>1529</v>
      </c>
      <c r="H87" s="123" t="s">
        <v>1478</v>
      </c>
      <c r="I87" s="365"/>
    </row>
    <row r="88" spans="1:9">
      <c r="A88" s="125">
        <f t="shared" si="2"/>
        <v>83</v>
      </c>
      <c r="B88" s="253"/>
      <c r="D88" s="258" t="s">
        <v>1530</v>
      </c>
      <c r="E88" s="261">
        <v>1</v>
      </c>
      <c r="F88" s="353"/>
      <c r="I88" s="365"/>
    </row>
    <row r="89" spans="1:9">
      <c r="A89" s="125">
        <f t="shared" si="2"/>
        <v>84</v>
      </c>
      <c r="B89" s="253"/>
      <c r="D89" s="258" t="s">
        <v>1531</v>
      </c>
      <c r="E89" s="261">
        <v>1</v>
      </c>
      <c r="F89" s="353"/>
      <c r="I89" s="365"/>
    </row>
    <row r="90" spans="1:9">
      <c r="A90" s="125">
        <f t="shared" si="2"/>
        <v>85</v>
      </c>
      <c r="B90" s="253"/>
      <c r="D90" s="258" t="s">
        <v>1401</v>
      </c>
      <c r="E90" s="261">
        <v>1</v>
      </c>
      <c r="F90" s="353"/>
      <c r="I90" s="365"/>
    </row>
    <row r="91" spans="1:9">
      <c r="A91" s="125">
        <f t="shared" si="2"/>
        <v>86</v>
      </c>
      <c r="B91" s="253"/>
      <c r="D91" s="258" t="s">
        <v>1532</v>
      </c>
      <c r="E91" s="261">
        <v>1</v>
      </c>
      <c r="F91" s="353"/>
      <c r="I91" s="365"/>
    </row>
    <row r="92" spans="1:9">
      <c r="A92" s="125">
        <f t="shared" si="2"/>
        <v>87</v>
      </c>
      <c r="B92" s="253"/>
      <c r="D92" s="258" t="s">
        <v>1533</v>
      </c>
      <c r="E92" s="261">
        <v>1</v>
      </c>
      <c r="F92" s="353"/>
      <c r="I92" s="365"/>
    </row>
    <row r="93" spans="1:9" ht="16.5" customHeight="1">
      <c r="A93" s="125">
        <f t="shared" si="2"/>
        <v>88</v>
      </c>
      <c r="B93" s="253"/>
      <c r="D93" s="258" t="s">
        <v>1534</v>
      </c>
      <c r="E93" s="261">
        <v>1</v>
      </c>
      <c r="F93" s="353"/>
      <c r="I93" s="365"/>
    </row>
    <row r="94" spans="1:9" ht="16.5" customHeight="1">
      <c r="A94" s="125">
        <f t="shared" si="2"/>
        <v>89</v>
      </c>
      <c r="B94" s="253" t="s">
        <v>376</v>
      </c>
      <c r="C94" s="257" t="s">
        <v>1535</v>
      </c>
      <c r="D94" s="258" t="s">
        <v>1536</v>
      </c>
      <c r="E94" s="261">
        <v>1</v>
      </c>
      <c r="F94" s="353"/>
      <c r="G94" s="123" t="s">
        <v>1537</v>
      </c>
      <c r="I94" s="365"/>
    </row>
    <row r="95" spans="1:9" ht="18" customHeight="1">
      <c r="A95" s="125">
        <f t="shared" si="2"/>
        <v>90</v>
      </c>
      <c r="B95" s="253" t="s">
        <v>378</v>
      </c>
      <c r="C95" s="257" t="s">
        <v>1538</v>
      </c>
      <c r="D95" s="258" t="s">
        <v>1539</v>
      </c>
      <c r="E95" s="261">
        <v>1</v>
      </c>
      <c r="F95" s="353"/>
      <c r="I95" s="365"/>
    </row>
    <row r="96" spans="1:9">
      <c r="A96" s="125">
        <f t="shared" si="2"/>
        <v>91</v>
      </c>
      <c r="B96" s="253"/>
      <c r="D96" s="258" t="s">
        <v>1540</v>
      </c>
      <c r="E96" s="261">
        <v>1</v>
      </c>
      <c r="F96" s="353"/>
      <c r="I96" s="365"/>
    </row>
    <row r="97" spans="1:9">
      <c r="A97" s="125">
        <f t="shared" si="2"/>
        <v>92</v>
      </c>
      <c r="B97" s="253"/>
      <c r="D97" s="258" t="s">
        <v>1541</v>
      </c>
      <c r="E97" s="261">
        <v>1</v>
      </c>
      <c r="F97" s="353"/>
      <c r="I97" s="365"/>
    </row>
    <row r="98" spans="1:9">
      <c r="A98" s="125">
        <f t="shared" si="2"/>
        <v>93</v>
      </c>
      <c r="B98" s="253"/>
      <c r="D98" s="258" t="s">
        <v>1542</v>
      </c>
      <c r="E98" s="261">
        <v>1</v>
      </c>
      <c r="F98" s="353"/>
      <c r="I98" s="365"/>
    </row>
    <row r="99" spans="1:9">
      <c r="A99" s="125">
        <f t="shared" si="2"/>
        <v>94</v>
      </c>
      <c r="B99" s="253"/>
      <c r="D99" s="258" t="s">
        <v>1543</v>
      </c>
      <c r="E99" s="261">
        <v>1</v>
      </c>
      <c r="F99" s="353"/>
      <c r="I99" s="365"/>
    </row>
    <row r="100" spans="1:9" ht="25.5">
      <c r="A100" s="125">
        <f t="shared" si="2"/>
        <v>95</v>
      </c>
      <c r="B100" s="253"/>
      <c r="D100" s="258" t="s">
        <v>1544</v>
      </c>
      <c r="E100" s="261">
        <v>1</v>
      </c>
      <c r="F100" s="353"/>
      <c r="I100" s="365"/>
    </row>
    <row r="101" spans="1:9">
      <c r="A101" s="125">
        <f t="shared" si="2"/>
        <v>96</v>
      </c>
      <c r="B101" s="253"/>
      <c r="D101" s="258" t="s">
        <v>1545</v>
      </c>
      <c r="E101" s="261">
        <v>1</v>
      </c>
      <c r="F101" s="353"/>
      <c r="I101" s="365"/>
    </row>
    <row r="102" spans="1:9">
      <c r="A102" s="125">
        <f t="shared" si="2"/>
        <v>97</v>
      </c>
      <c r="B102" s="253"/>
      <c r="D102" s="258" t="s">
        <v>1546</v>
      </c>
      <c r="E102" s="261">
        <v>1</v>
      </c>
      <c r="F102" s="353"/>
      <c r="I102" s="365"/>
    </row>
    <row r="103" spans="1:9">
      <c r="A103" s="125">
        <f t="shared" si="2"/>
        <v>98</v>
      </c>
      <c r="B103" s="253"/>
      <c r="D103" s="258" t="s">
        <v>1547</v>
      </c>
      <c r="E103" s="261">
        <v>1</v>
      </c>
      <c r="F103" s="353"/>
      <c r="I103" s="365"/>
    </row>
    <row r="104" spans="1:9">
      <c r="A104" s="125"/>
      <c r="B104" s="253" t="s">
        <v>380</v>
      </c>
      <c r="C104" s="257" t="s">
        <v>1548</v>
      </c>
      <c r="D104" s="258"/>
      <c r="E104" s="261"/>
      <c r="F104" s="353"/>
      <c r="G104" s="123" t="s">
        <v>1458</v>
      </c>
      <c r="I104" s="365"/>
    </row>
    <row r="105" spans="1:9" ht="25.5">
      <c r="A105" s="125">
        <f>A103+1</f>
        <v>99</v>
      </c>
      <c r="B105" s="253" t="s">
        <v>382</v>
      </c>
      <c r="C105" s="257" t="s">
        <v>1549</v>
      </c>
      <c r="D105" s="258" t="s">
        <v>1550</v>
      </c>
      <c r="E105" s="261">
        <v>1</v>
      </c>
      <c r="F105" s="353"/>
      <c r="G105" s="123" t="s">
        <v>1551</v>
      </c>
      <c r="H105" s="123" t="s">
        <v>1552</v>
      </c>
      <c r="I105" s="365"/>
    </row>
    <row r="106" spans="1:9">
      <c r="A106" s="125">
        <f t="shared" ref="A106:A137" si="3">A105+1</f>
        <v>100</v>
      </c>
      <c r="B106" s="253"/>
      <c r="D106" s="258" t="s">
        <v>1553</v>
      </c>
      <c r="E106" s="261">
        <v>1</v>
      </c>
      <c r="F106" s="353" t="s">
        <v>1554</v>
      </c>
      <c r="G106" s="123" t="s">
        <v>1555</v>
      </c>
      <c r="H106" s="123" t="s">
        <v>1556</v>
      </c>
      <c r="I106" s="365"/>
    </row>
    <row r="107" spans="1:9">
      <c r="A107" s="125">
        <f t="shared" si="3"/>
        <v>101</v>
      </c>
      <c r="B107" s="253"/>
      <c r="D107" s="258" t="s">
        <v>1557</v>
      </c>
      <c r="E107" s="261">
        <v>1</v>
      </c>
      <c r="F107" s="353" t="s">
        <v>1558</v>
      </c>
      <c r="I107" s="365"/>
    </row>
    <row r="108" spans="1:9">
      <c r="A108" s="125">
        <f t="shared" si="3"/>
        <v>102</v>
      </c>
      <c r="B108" s="253"/>
      <c r="D108" s="258" t="s">
        <v>1559</v>
      </c>
      <c r="E108" s="261">
        <v>1</v>
      </c>
      <c r="F108" s="353"/>
      <c r="I108" s="365"/>
    </row>
    <row r="109" spans="1:9">
      <c r="A109" s="125">
        <f t="shared" si="3"/>
        <v>103</v>
      </c>
      <c r="B109" s="253"/>
      <c r="D109" s="258" t="s">
        <v>1560</v>
      </c>
      <c r="E109" s="261">
        <v>1</v>
      </c>
      <c r="F109" s="353"/>
      <c r="I109" s="365"/>
    </row>
    <row r="110" spans="1:9">
      <c r="A110" s="125">
        <f t="shared" si="3"/>
        <v>104</v>
      </c>
      <c r="B110" s="253"/>
      <c r="D110" s="258" t="s">
        <v>1561</v>
      </c>
      <c r="E110" s="261">
        <v>1</v>
      </c>
      <c r="F110" s="353" t="s">
        <v>1562</v>
      </c>
      <c r="I110" s="365"/>
    </row>
    <row r="111" spans="1:9">
      <c r="A111" s="125">
        <f t="shared" si="3"/>
        <v>105</v>
      </c>
      <c r="B111" s="253" t="s">
        <v>390</v>
      </c>
      <c r="C111" s="257" t="s">
        <v>1563</v>
      </c>
      <c r="D111" s="258" t="s">
        <v>1564</v>
      </c>
      <c r="E111" s="261">
        <v>1</v>
      </c>
      <c r="F111" s="353"/>
      <c r="G111" s="123" t="s">
        <v>1565</v>
      </c>
      <c r="I111" s="365"/>
    </row>
    <row r="112" spans="1:9">
      <c r="A112" s="125">
        <f t="shared" si="3"/>
        <v>106</v>
      </c>
      <c r="B112" s="253"/>
      <c r="D112" s="258" t="s">
        <v>1566</v>
      </c>
      <c r="E112" s="261">
        <v>1</v>
      </c>
      <c r="F112" s="353"/>
      <c r="G112" s="123" t="s">
        <v>1567</v>
      </c>
      <c r="H112" s="123" t="s">
        <v>1568</v>
      </c>
      <c r="I112" s="365"/>
    </row>
    <row r="113" spans="1:9">
      <c r="A113" s="125">
        <f t="shared" si="3"/>
        <v>107</v>
      </c>
      <c r="B113" s="253" t="s">
        <v>392</v>
      </c>
      <c r="C113" s="257" t="s">
        <v>1569</v>
      </c>
      <c r="D113" s="258" t="s">
        <v>1570</v>
      </c>
      <c r="E113" s="261">
        <v>1</v>
      </c>
      <c r="F113" s="353"/>
      <c r="G113" s="123" t="s">
        <v>1571</v>
      </c>
      <c r="I113" s="365"/>
    </row>
    <row r="114" spans="1:9">
      <c r="A114" s="125">
        <f t="shared" si="3"/>
        <v>108</v>
      </c>
      <c r="B114" s="253"/>
      <c r="D114" s="258" t="s">
        <v>1572</v>
      </c>
      <c r="E114" s="261">
        <v>1</v>
      </c>
      <c r="F114" s="353"/>
      <c r="G114" s="123" t="s">
        <v>1573</v>
      </c>
      <c r="I114" s="365"/>
    </row>
    <row r="115" spans="1:9">
      <c r="A115" s="125">
        <f t="shared" si="3"/>
        <v>109</v>
      </c>
      <c r="B115" s="253"/>
      <c r="D115" s="258" t="s">
        <v>1574</v>
      </c>
      <c r="E115" s="261">
        <v>1</v>
      </c>
      <c r="F115" s="353"/>
      <c r="G115" s="123" t="s">
        <v>1575</v>
      </c>
      <c r="H115" s="123" t="s">
        <v>1576</v>
      </c>
      <c r="I115" s="365"/>
    </row>
    <row r="116" spans="1:9">
      <c r="A116" s="125">
        <f t="shared" si="3"/>
        <v>110</v>
      </c>
      <c r="B116" s="253"/>
      <c r="D116" s="258" t="s">
        <v>1577</v>
      </c>
      <c r="E116" s="261">
        <v>1</v>
      </c>
      <c r="F116" s="353"/>
      <c r="G116" s="123" t="s">
        <v>1578</v>
      </c>
      <c r="I116" s="365"/>
    </row>
    <row r="117" spans="1:9">
      <c r="A117" s="125">
        <f t="shared" si="3"/>
        <v>111</v>
      </c>
      <c r="B117" s="253" t="s">
        <v>394</v>
      </c>
      <c r="C117" s="257" t="s">
        <v>1579</v>
      </c>
      <c r="D117" s="258" t="s">
        <v>1580</v>
      </c>
      <c r="E117" s="261">
        <v>1</v>
      </c>
      <c r="F117" s="353"/>
      <c r="G117" s="123" t="s">
        <v>1581</v>
      </c>
      <c r="I117" s="365"/>
    </row>
    <row r="118" spans="1:9">
      <c r="A118" s="125">
        <f t="shared" si="3"/>
        <v>112</v>
      </c>
      <c r="B118" s="253"/>
      <c r="D118" s="258" t="s">
        <v>1582</v>
      </c>
      <c r="E118" s="261">
        <v>1</v>
      </c>
      <c r="F118" s="353"/>
      <c r="I118" s="365"/>
    </row>
    <row r="119" spans="1:9">
      <c r="A119" s="125">
        <f t="shared" si="3"/>
        <v>113</v>
      </c>
      <c r="B119" s="253" t="s">
        <v>398</v>
      </c>
      <c r="C119" s="257" t="s">
        <v>1583</v>
      </c>
      <c r="D119" s="258" t="s">
        <v>1584</v>
      </c>
      <c r="E119" s="261">
        <v>1</v>
      </c>
      <c r="F119" s="353"/>
      <c r="G119" s="123" t="s">
        <v>1585</v>
      </c>
      <c r="I119" s="365"/>
    </row>
    <row r="120" spans="1:9">
      <c r="A120" s="125">
        <f t="shared" si="3"/>
        <v>114</v>
      </c>
      <c r="B120" s="253" t="s">
        <v>400</v>
      </c>
      <c r="C120" s="257" t="s">
        <v>1586</v>
      </c>
      <c r="D120" s="258" t="s">
        <v>1587</v>
      </c>
      <c r="E120" s="261">
        <v>1</v>
      </c>
      <c r="F120" s="353"/>
      <c r="G120" s="123" t="s">
        <v>1588</v>
      </c>
      <c r="I120" s="365"/>
    </row>
    <row r="121" spans="1:9" ht="17.25" customHeight="1">
      <c r="A121" s="125">
        <f t="shared" si="3"/>
        <v>115</v>
      </c>
      <c r="B121" s="253" t="s">
        <v>402</v>
      </c>
      <c r="C121" s="257" t="s">
        <v>1589</v>
      </c>
      <c r="D121" s="258" t="s">
        <v>1590</v>
      </c>
      <c r="E121" s="261">
        <v>1</v>
      </c>
      <c r="F121" s="353"/>
      <c r="G121" s="123" t="s">
        <v>1591</v>
      </c>
      <c r="H121" s="123" t="s">
        <v>1592</v>
      </c>
      <c r="I121" s="365"/>
    </row>
    <row r="122" spans="1:9">
      <c r="A122" s="125">
        <f t="shared" si="3"/>
        <v>116</v>
      </c>
      <c r="B122" s="253"/>
      <c r="D122" s="258" t="s">
        <v>1593</v>
      </c>
      <c r="E122" s="261">
        <v>1</v>
      </c>
      <c r="F122" s="353"/>
      <c r="I122" s="365"/>
    </row>
    <row r="123" spans="1:9">
      <c r="A123" s="125">
        <f t="shared" si="3"/>
        <v>117</v>
      </c>
      <c r="B123" s="253" t="s">
        <v>404</v>
      </c>
      <c r="C123" s="257" t="s">
        <v>1594</v>
      </c>
      <c r="D123" s="258" t="s">
        <v>1595</v>
      </c>
      <c r="E123" s="261">
        <v>1</v>
      </c>
      <c r="F123" s="353"/>
      <c r="I123" s="365"/>
    </row>
    <row r="124" spans="1:9">
      <c r="A124" s="125">
        <f t="shared" si="3"/>
        <v>118</v>
      </c>
      <c r="B124" s="253"/>
      <c r="D124" s="258" t="s">
        <v>1596</v>
      </c>
      <c r="E124" s="261">
        <v>1</v>
      </c>
      <c r="F124" s="353"/>
      <c r="I124" s="365"/>
    </row>
    <row r="125" spans="1:9">
      <c r="A125" s="125">
        <f t="shared" si="3"/>
        <v>119</v>
      </c>
      <c r="B125" s="253" t="s">
        <v>406</v>
      </c>
      <c r="C125" s="257" t="s">
        <v>1597</v>
      </c>
      <c r="D125" s="258" t="s">
        <v>1598</v>
      </c>
      <c r="E125" s="261">
        <v>1</v>
      </c>
      <c r="F125" s="353"/>
      <c r="G125" s="123" t="s">
        <v>1599</v>
      </c>
      <c r="I125" s="365"/>
    </row>
    <row r="126" spans="1:9">
      <c r="A126" s="125">
        <f t="shared" si="3"/>
        <v>120</v>
      </c>
      <c r="B126" s="253"/>
      <c r="D126" s="258"/>
      <c r="E126" s="261"/>
      <c r="F126" s="353"/>
      <c r="G126" s="123" t="s">
        <v>1600</v>
      </c>
      <c r="H126" s="123" t="s">
        <v>1601</v>
      </c>
      <c r="I126" s="365"/>
    </row>
    <row r="127" spans="1:9">
      <c r="A127" s="125">
        <f t="shared" si="3"/>
        <v>121</v>
      </c>
      <c r="B127" s="253" t="s">
        <v>958</v>
      </c>
      <c r="C127" s="257" t="s">
        <v>1602</v>
      </c>
      <c r="D127" s="258"/>
      <c r="E127" s="261"/>
      <c r="F127" s="353"/>
      <c r="G127" s="123" t="s">
        <v>1458</v>
      </c>
      <c r="I127" s="365"/>
    </row>
    <row r="128" spans="1:9">
      <c r="A128" s="125">
        <f t="shared" si="3"/>
        <v>122</v>
      </c>
      <c r="B128" s="253" t="s">
        <v>960</v>
      </c>
      <c r="C128" s="257" t="s">
        <v>1603</v>
      </c>
      <c r="D128" s="258"/>
      <c r="E128" s="261"/>
      <c r="F128" s="353"/>
      <c r="G128" s="123" t="s">
        <v>1458</v>
      </c>
      <c r="I128" s="365"/>
    </row>
    <row r="129" spans="1:9" ht="17.25" customHeight="1">
      <c r="A129" s="125">
        <f t="shared" si="3"/>
        <v>123</v>
      </c>
      <c r="B129" s="253" t="s">
        <v>408</v>
      </c>
      <c r="C129" s="257" t="s">
        <v>1604</v>
      </c>
      <c r="D129" s="258" t="s">
        <v>1605</v>
      </c>
      <c r="E129" s="261">
        <v>1</v>
      </c>
      <c r="F129" s="353"/>
      <c r="I129" s="365"/>
    </row>
    <row r="130" spans="1:9" ht="25.5">
      <c r="A130" s="125">
        <f t="shared" si="3"/>
        <v>124</v>
      </c>
      <c r="B130" s="253"/>
      <c r="D130" s="258" t="s">
        <v>1606</v>
      </c>
      <c r="E130" s="261">
        <v>1</v>
      </c>
      <c r="F130" s="353"/>
      <c r="I130" s="365"/>
    </row>
    <row r="131" spans="1:9">
      <c r="A131" s="125">
        <f t="shared" si="3"/>
        <v>125</v>
      </c>
      <c r="B131" s="253"/>
      <c r="D131" s="258" t="s">
        <v>1607</v>
      </c>
      <c r="E131" s="261">
        <v>1</v>
      </c>
      <c r="F131" s="353"/>
      <c r="I131" s="365"/>
    </row>
    <row r="132" spans="1:9">
      <c r="A132" s="125">
        <f t="shared" si="3"/>
        <v>126</v>
      </c>
      <c r="B132" s="253"/>
      <c r="D132" s="258" t="s">
        <v>1608</v>
      </c>
      <c r="E132" s="261">
        <v>1</v>
      </c>
      <c r="F132" s="353"/>
      <c r="I132" s="365"/>
    </row>
    <row r="133" spans="1:9">
      <c r="A133" s="125">
        <f t="shared" si="3"/>
        <v>127</v>
      </c>
      <c r="B133" s="253"/>
      <c r="D133" s="258" t="s">
        <v>1609</v>
      </c>
      <c r="E133" s="261">
        <v>1</v>
      </c>
      <c r="F133" s="353"/>
      <c r="I133" s="365"/>
    </row>
    <row r="134" spans="1:9">
      <c r="A134" s="125">
        <f t="shared" si="3"/>
        <v>128</v>
      </c>
      <c r="B134" s="253"/>
      <c r="D134" s="258" t="s">
        <v>1610</v>
      </c>
      <c r="E134" s="261">
        <v>2</v>
      </c>
      <c r="F134" s="353" t="s">
        <v>1611</v>
      </c>
      <c r="I134" s="365"/>
    </row>
    <row r="135" spans="1:9">
      <c r="A135" s="125">
        <f t="shared" si="3"/>
        <v>129</v>
      </c>
      <c r="B135" s="253"/>
      <c r="D135" s="258" t="s">
        <v>1612</v>
      </c>
      <c r="E135" s="261">
        <v>2</v>
      </c>
      <c r="F135" s="353" t="s">
        <v>1611</v>
      </c>
      <c r="I135" s="365"/>
    </row>
    <row r="136" spans="1:9">
      <c r="A136" s="125">
        <f t="shared" si="3"/>
        <v>130</v>
      </c>
      <c r="B136" s="253"/>
      <c r="D136" s="258" t="s">
        <v>1613</v>
      </c>
      <c r="E136" s="261">
        <v>2</v>
      </c>
      <c r="F136" s="353" t="s">
        <v>1611</v>
      </c>
      <c r="I136" s="365"/>
    </row>
    <row r="137" spans="1:9">
      <c r="A137" s="125">
        <f t="shared" si="3"/>
        <v>131</v>
      </c>
      <c r="B137" s="253"/>
      <c r="D137" s="258" t="s">
        <v>1614</v>
      </c>
      <c r="E137" s="261">
        <v>1</v>
      </c>
      <c r="F137" s="353"/>
      <c r="I137" s="365"/>
    </row>
    <row r="138" spans="1:9">
      <c r="A138" s="125">
        <f t="shared" ref="A138:A169" si="4">A137+1</f>
        <v>132</v>
      </c>
      <c r="B138" s="253"/>
      <c r="D138" s="258" t="s">
        <v>1615</v>
      </c>
      <c r="E138" s="261">
        <v>1</v>
      </c>
      <c r="F138" s="353"/>
      <c r="I138" s="365"/>
    </row>
    <row r="139" spans="1:9">
      <c r="A139" s="125">
        <f t="shared" si="4"/>
        <v>133</v>
      </c>
      <c r="B139" s="253"/>
      <c r="D139" s="258" t="s">
        <v>1616</v>
      </c>
      <c r="E139" s="261">
        <v>1</v>
      </c>
      <c r="F139" s="353"/>
      <c r="I139" s="365"/>
    </row>
    <row r="140" spans="1:9">
      <c r="A140" s="125">
        <f t="shared" si="4"/>
        <v>134</v>
      </c>
      <c r="B140" s="253"/>
      <c r="D140" s="258" t="s">
        <v>1617</v>
      </c>
      <c r="E140" s="261">
        <v>1</v>
      </c>
      <c r="F140" s="353"/>
      <c r="I140" s="365"/>
    </row>
    <row r="141" spans="1:9">
      <c r="A141" s="125">
        <f t="shared" si="4"/>
        <v>135</v>
      </c>
      <c r="B141" s="253" t="s">
        <v>410</v>
      </c>
      <c r="C141" s="257" t="s">
        <v>1618</v>
      </c>
      <c r="D141" s="258" t="s">
        <v>1619</v>
      </c>
      <c r="E141" s="261">
        <v>1</v>
      </c>
      <c r="F141" s="353"/>
      <c r="G141" s="123" t="s">
        <v>1620</v>
      </c>
      <c r="H141" s="123" t="s">
        <v>1621</v>
      </c>
      <c r="I141" s="365"/>
    </row>
    <row r="142" spans="1:9">
      <c r="A142" s="125">
        <f t="shared" si="4"/>
        <v>136</v>
      </c>
      <c r="B142" s="253"/>
      <c r="D142" s="258" t="s">
        <v>1622</v>
      </c>
      <c r="E142" s="261">
        <v>1</v>
      </c>
      <c r="F142" s="353"/>
      <c r="I142" s="365"/>
    </row>
    <row r="143" spans="1:9">
      <c r="A143" s="125">
        <f t="shared" si="4"/>
        <v>137</v>
      </c>
      <c r="B143" s="253"/>
      <c r="D143" s="258" t="s">
        <v>1623</v>
      </c>
      <c r="E143" s="261">
        <v>1</v>
      </c>
      <c r="F143" s="353"/>
      <c r="I143" s="365"/>
    </row>
    <row r="144" spans="1:9" ht="27" customHeight="1">
      <c r="A144" s="125">
        <f t="shared" si="4"/>
        <v>138</v>
      </c>
      <c r="B144" s="253"/>
      <c r="D144" s="258" t="s">
        <v>1624</v>
      </c>
      <c r="E144" s="261" t="s">
        <v>1376</v>
      </c>
      <c r="F144" s="353" t="s">
        <v>1625</v>
      </c>
      <c r="I144" s="365"/>
    </row>
    <row r="145" spans="1:9" ht="25.5">
      <c r="A145" s="125">
        <f t="shared" si="4"/>
        <v>139</v>
      </c>
      <c r="B145" s="253"/>
      <c r="D145" s="258" t="s">
        <v>1626</v>
      </c>
      <c r="E145" s="261" t="s">
        <v>1376</v>
      </c>
      <c r="F145" s="353" t="s">
        <v>1627</v>
      </c>
      <c r="I145" s="365"/>
    </row>
    <row r="146" spans="1:9">
      <c r="A146" s="125">
        <f t="shared" si="4"/>
        <v>140</v>
      </c>
      <c r="B146" s="253" t="s">
        <v>412</v>
      </c>
      <c r="C146" s="257" t="s">
        <v>1628</v>
      </c>
      <c r="D146" s="258" t="s">
        <v>1629</v>
      </c>
      <c r="E146" s="261">
        <v>1</v>
      </c>
      <c r="F146" s="353"/>
      <c r="G146" s="123" t="s">
        <v>1630</v>
      </c>
      <c r="I146" s="365"/>
    </row>
    <row r="147" spans="1:9">
      <c r="A147" s="125">
        <f t="shared" si="4"/>
        <v>141</v>
      </c>
      <c r="B147" s="253"/>
      <c r="D147" s="258" t="s">
        <v>1631</v>
      </c>
      <c r="E147" s="261">
        <v>1</v>
      </c>
      <c r="F147" s="353"/>
      <c r="G147" s="123" t="s">
        <v>1632</v>
      </c>
      <c r="I147" s="365"/>
    </row>
    <row r="148" spans="1:9">
      <c r="A148" s="125">
        <f t="shared" si="4"/>
        <v>142</v>
      </c>
      <c r="B148" s="253"/>
      <c r="D148" s="258" t="s">
        <v>1633</v>
      </c>
      <c r="E148" s="261">
        <v>1</v>
      </c>
      <c r="F148" s="353"/>
      <c r="G148" s="123" t="s">
        <v>1634</v>
      </c>
      <c r="I148" s="365"/>
    </row>
    <row r="149" spans="1:9">
      <c r="A149" s="125">
        <f t="shared" si="4"/>
        <v>143</v>
      </c>
      <c r="B149" s="253"/>
      <c r="D149" s="258" t="s">
        <v>1635</v>
      </c>
      <c r="E149" s="261">
        <v>1</v>
      </c>
      <c r="F149" s="353"/>
      <c r="G149" s="123" t="s">
        <v>1636</v>
      </c>
      <c r="H149" s="123" t="s">
        <v>1637</v>
      </c>
      <c r="I149" s="365"/>
    </row>
    <row r="150" spans="1:9">
      <c r="A150" s="125">
        <f t="shared" si="4"/>
        <v>144</v>
      </c>
      <c r="B150" s="253"/>
      <c r="D150" s="258" t="s">
        <v>1638</v>
      </c>
      <c r="E150" s="261">
        <v>1</v>
      </c>
      <c r="F150" s="353"/>
      <c r="G150" s="123" t="s">
        <v>1639</v>
      </c>
      <c r="I150" s="365"/>
    </row>
    <row r="151" spans="1:9">
      <c r="A151" s="125">
        <f t="shared" si="4"/>
        <v>145</v>
      </c>
      <c r="B151" s="253"/>
      <c r="D151" s="258" t="s">
        <v>1640</v>
      </c>
      <c r="E151" s="261">
        <v>1</v>
      </c>
      <c r="F151" s="353"/>
      <c r="G151" s="123" t="s">
        <v>1641</v>
      </c>
      <c r="H151" s="123" t="s">
        <v>1642</v>
      </c>
      <c r="I151" s="365"/>
    </row>
    <row r="152" spans="1:9" ht="28.9" customHeight="1">
      <c r="A152" s="125">
        <f t="shared" si="4"/>
        <v>146</v>
      </c>
      <c r="B152" s="253" t="s">
        <v>418</v>
      </c>
      <c r="C152" s="257" t="s">
        <v>1643</v>
      </c>
      <c r="D152" s="258" t="s">
        <v>1644</v>
      </c>
      <c r="E152" s="261">
        <v>1</v>
      </c>
      <c r="F152" s="353"/>
      <c r="G152" s="127" t="s">
        <v>1645</v>
      </c>
      <c r="H152" s="127" t="s">
        <v>1646</v>
      </c>
      <c r="I152" s="365"/>
    </row>
    <row r="153" spans="1:9">
      <c r="A153" s="125">
        <f t="shared" si="4"/>
        <v>147</v>
      </c>
      <c r="B153" s="253"/>
      <c r="D153" s="258" t="s">
        <v>1647</v>
      </c>
      <c r="E153" s="261">
        <v>1</v>
      </c>
      <c r="F153" s="353"/>
      <c r="I153" s="365"/>
    </row>
    <row r="154" spans="1:9">
      <c r="A154" s="125">
        <f t="shared" si="4"/>
        <v>148</v>
      </c>
      <c r="B154" s="253"/>
      <c r="D154" s="258" t="s">
        <v>1648</v>
      </c>
      <c r="E154" s="261">
        <v>1</v>
      </c>
      <c r="F154" s="353"/>
      <c r="I154" s="365"/>
    </row>
    <row r="155" spans="1:9">
      <c r="A155" s="125">
        <f t="shared" si="4"/>
        <v>149</v>
      </c>
      <c r="B155" s="253"/>
      <c r="D155" s="258" t="s">
        <v>1649</v>
      </c>
      <c r="E155" s="261">
        <v>1</v>
      </c>
      <c r="F155" s="353"/>
      <c r="I155" s="365"/>
    </row>
    <row r="156" spans="1:9">
      <c r="A156" s="125">
        <f t="shared" si="4"/>
        <v>150</v>
      </c>
      <c r="B156" s="253"/>
      <c r="D156" s="258" t="s">
        <v>1650</v>
      </c>
      <c r="E156" s="261">
        <v>1</v>
      </c>
      <c r="F156" s="353"/>
      <c r="I156" s="365"/>
    </row>
    <row r="157" spans="1:9">
      <c r="A157" s="125">
        <f t="shared" si="4"/>
        <v>151</v>
      </c>
      <c r="B157" s="253"/>
      <c r="D157" s="258" t="s">
        <v>1651</v>
      </c>
      <c r="E157" s="261">
        <v>1</v>
      </c>
      <c r="F157" s="353"/>
      <c r="I157" s="365"/>
    </row>
    <row r="158" spans="1:9">
      <c r="A158" s="125">
        <f t="shared" si="4"/>
        <v>152</v>
      </c>
      <c r="B158" s="253" t="s">
        <v>416</v>
      </c>
      <c r="C158" s="257" t="s">
        <v>1652</v>
      </c>
      <c r="D158" s="258" t="s">
        <v>1653</v>
      </c>
      <c r="E158" s="261">
        <v>1</v>
      </c>
      <c r="F158" s="353"/>
      <c r="I158" s="365"/>
    </row>
    <row r="159" spans="1:9">
      <c r="A159" s="125">
        <f t="shared" si="4"/>
        <v>153</v>
      </c>
      <c r="B159" s="253"/>
      <c r="D159" s="258" t="s">
        <v>1654</v>
      </c>
      <c r="E159" s="261">
        <v>1</v>
      </c>
      <c r="F159" s="353"/>
      <c r="I159" s="365"/>
    </row>
    <row r="160" spans="1:9">
      <c r="A160" s="125">
        <f t="shared" si="4"/>
        <v>154</v>
      </c>
      <c r="B160" s="253"/>
      <c r="D160" s="258" t="s">
        <v>1655</v>
      </c>
      <c r="E160" s="261">
        <v>1</v>
      </c>
      <c r="F160" s="353"/>
      <c r="I160" s="365"/>
    </row>
    <row r="161" spans="1:9">
      <c r="A161" s="125">
        <f t="shared" si="4"/>
        <v>155</v>
      </c>
      <c r="B161" s="253"/>
      <c r="D161" s="258" t="s">
        <v>1656</v>
      </c>
      <c r="E161" s="261">
        <v>1</v>
      </c>
      <c r="F161" s="353"/>
      <c r="I161" s="365"/>
    </row>
    <row r="162" spans="1:9">
      <c r="A162" s="125">
        <f t="shared" si="4"/>
        <v>156</v>
      </c>
      <c r="B162" s="253"/>
      <c r="D162" s="258" t="s">
        <v>1657</v>
      </c>
      <c r="E162" s="261">
        <v>1</v>
      </c>
      <c r="F162" s="353"/>
      <c r="I162" s="365"/>
    </row>
    <row r="163" spans="1:9">
      <c r="A163" s="125">
        <f t="shared" si="4"/>
        <v>157</v>
      </c>
      <c r="B163" s="253"/>
      <c r="D163" s="258" t="s">
        <v>1658</v>
      </c>
      <c r="E163" s="261">
        <v>1</v>
      </c>
      <c r="F163" s="353"/>
      <c r="I163" s="365"/>
    </row>
    <row r="164" spans="1:9">
      <c r="A164" s="125">
        <f t="shared" si="4"/>
        <v>158</v>
      </c>
      <c r="B164" s="253"/>
      <c r="D164" s="258" t="s">
        <v>1659</v>
      </c>
      <c r="E164" s="261">
        <v>1</v>
      </c>
      <c r="F164" s="353"/>
      <c r="I164" s="365"/>
    </row>
    <row r="165" spans="1:9">
      <c r="A165" s="125">
        <f t="shared" si="4"/>
        <v>159</v>
      </c>
      <c r="B165" s="253"/>
      <c r="D165" s="258" t="s">
        <v>1660</v>
      </c>
      <c r="E165" s="261">
        <v>1</v>
      </c>
      <c r="F165" s="353"/>
      <c r="I165" s="365"/>
    </row>
    <row r="166" spans="1:9">
      <c r="A166" s="125">
        <f t="shared" si="4"/>
        <v>160</v>
      </c>
      <c r="B166" s="253" t="s">
        <v>966</v>
      </c>
      <c r="C166" s="257" t="s">
        <v>1661</v>
      </c>
      <c r="D166" s="258"/>
      <c r="E166" s="261"/>
      <c r="F166" s="353"/>
      <c r="G166" s="123" t="s">
        <v>1458</v>
      </c>
      <c r="I166" s="365"/>
    </row>
    <row r="167" spans="1:9">
      <c r="A167" s="125">
        <f t="shared" si="4"/>
        <v>161</v>
      </c>
      <c r="B167" s="253" t="s">
        <v>420</v>
      </c>
      <c r="C167" s="257" t="s">
        <v>1662</v>
      </c>
      <c r="D167" s="258" t="s">
        <v>1663</v>
      </c>
      <c r="E167" s="261">
        <v>1</v>
      </c>
      <c r="F167" s="353"/>
      <c r="I167" s="365"/>
    </row>
    <row r="168" spans="1:9">
      <c r="A168" s="125">
        <f t="shared" si="4"/>
        <v>162</v>
      </c>
      <c r="B168" s="253"/>
      <c r="D168" s="258" t="s">
        <v>2422</v>
      </c>
      <c r="E168" s="261" t="s">
        <v>1376</v>
      </c>
      <c r="F168" s="353" t="s">
        <v>1664</v>
      </c>
      <c r="I168" s="365"/>
    </row>
    <row r="169" spans="1:9">
      <c r="A169" s="125">
        <f t="shared" si="4"/>
        <v>163</v>
      </c>
      <c r="B169" s="253"/>
      <c r="D169" s="258" t="s">
        <v>2423</v>
      </c>
      <c r="E169" s="261" t="s">
        <v>1376</v>
      </c>
      <c r="F169" s="353" t="s">
        <v>1664</v>
      </c>
      <c r="I169" s="365"/>
    </row>
    <row r="170" spans="1:9">
      <c r="A170" s="125">
        <f t="shared" ref="A170:A205" si="5">A169+1</f>
        <v>164</v>
      </c>
      <c r="B170" s="253" t="s">
        <v>1665</v>
      </c>
      <c r="C170" s="257" t="s">
        <v>1666</v>
      </c>
      <c r="D170" s="258"/>
      <c r="E170" s="261"/>
      <c r="F170" s="353"/>
      <c r="G170" s="123" t="s">
        <v>1458</v>
      </c>
      <c r="I170" s="365"/>
    </row>
    <row r="171" spans="1:9">
      <c r="A171" s="125">
        <f t="shared" si="5"/>
        <v>165</v>
      </c>
      <c r="B171" s="253" t="s">
        <v>970</v>
      </c>
      <c r="C171" s="257" t="s">
        <v>1667</v>
      </c>
      <c r="D171" s="258"/>
      <c r="E171" s="261"/>
      <c r="F171" s="353"/>
      <c r="G171" s="123" t="s">
        <v>1458</v>
      </c>
      <c r="I171" s="365"/>
    </row>
    <row r="172" spans="1:9" ht="15.6" customHeight="1">
      <c r="A172" s="125">
        <f t="shared" si="5"/>
        <v>166</v>
      </c>
      <c r="B172" s="253" t="s">
        <v>422</v>
      </c>
      <c r="C172" s="257" t="s">
        <v>1668</v>
      </c>
      <c r="D172" s="258" t="s">
        <v>1669</v>
      </c>
      <c r="E172" s="261">
        <v>1</v>
      </c>
      <c r="F172" s="353"/>
      <c r="I172" s="365"/>
    </row>
    <row r="173" spans="1:9">
      <c r="A173" s="125">
        <f t="shared" si="5"/>
        <v>167</v>
      </c>
      <c r="B173" s="253"/>
      <c r="D173" s="258" t="s">
        <v>1501</v>
      </c>
      <c r="E173" s="261">
        <v>1</v>
      </c>
      <c r="F173" s="353"/>
      <c r="I173" s="365"/>
    </row>
    <row r="174" spans="1:9">
      <c r="A174" s="125">
        <f t="shared" si="5"/>
        <v>168</v>
      </c>
      <c r="B174" s="253"/>
      <c r="D174" s="258" t="s">
        <v>1670</v>
      </c>
      <c r="E174" s="261">
        <v>1</v>
      </c>
      <c r="F174" s="353"/>
      <c r="I174" s="365"/>
    </row>
    <row r="175" spans="1:9">
      <c r="A175" s="125">
        <f t="shared" si="5"/>
        <v>169</v>
      </c>
      <c r="B175" s="253"/>
      <c r="D175" s="258" t="s">
        <v>1671</v>
      </c>
      <c r="E175" s="261">
        <v>1</v>
      </c>
      <c r="F175" s="353"/>
      <c r="I175" s="365"/>
    </row>
    <row r="176" spans="1:9">
      <c r="A176" s="125">
        <f t="shared" si="5"/>
        <v>170</v>
      </c>
      <c r="B176" s="253"/>
      <c r="D176" s="258" t="s">
        <v>1672</v>
      </c>
      <c r="E176" s="261">
        <v>1</v>
      </c>
      <c r="F176" s="353"/>
      <c r="I176" s="365"/>
    </row>
    <row r="177" spans="1:9">
      <c r="A177" s="125">
        <f t="shared" si="5"/>
        <v>171</v>
      </c>
      <c r="B177" s="253"/>
      <c r="D177" s="258" t="s">
        <v>1673</v>
      </c>
      <c r="E177" s="261">
        <v>1</v>
      </c>
      <c r="F177" s="353"/>
      <c r="I177" s="365"/>
    </row>
    <row r="178" spans="1:9" ht="15" customHeight="1">
      <c r="A178" s="125">
        <f t="shared" si="5"/>
        <v>172</v>
      </c>
      <c r="B178" s="253"/>
      <c r="D178" s="258" t="s">
        <v>1674</v>
      </c>
      <c r="E178" s="261" t="s">
        <v>1437</v>
      </c>
      <c r="F178" s="353" t="s">
        <v>1675</v>
      </c>
      <c r="I178" s="365"/>
    </row>
    <row r="179" spans="1:9">
      <c r="A179" s="125">
        <f t="shared" si="5"/>
        <v>173</v>
      </c>
      <c r="B179" s="253"/>
      <c r="D179" s="258" t="s">
        <v>1676</v>
      </c>
      <c r="E179" s="261">
        <v>1</v>
      </c>
      <c r="F179" s="353"/>
      <c r="I179" s="365"/>
    </row>
    <row r="180" spans="1:9" ht="25.5">
      <c r="A180" s="125">
        <f t="shared" si="5"/>
        <v>174</v>
      </c>
      <c r="B180" s="253" t="s">
        <v>424</v>
      </c>
      <c r="C180" s="257" t="s">
        <v>1677</v>
      </c>
      <c r="D180" s="258" t="s">
        <v>1678</v>
      </c>
      <c r="E180" s="261">
        <v>1</v>
      </c>
      <c r="F180" s="353"/>
      <c r="I180" s="365"/>
    </row>
    <row r="181" spans="1:9">
      <c r="A181" s="125">
        <f t="shared" si="5"/>
        <v>175</v>
      </c>
      <c r="B181" s="253"/>
      <c r="D181" s="258" t="s">
        <v>1679</v>
      </c>
      <c r="E181" s="261">
        <v>1</v>
      </c>
      <c r="F181" s="353"/>
      <c r="I181" s="365"/>
    </row>
    <row r="182" spans="1:9">
      <c r="A182" s="125">
        <f t="shared" si="5"/>
        <v>176</v>
      </c>
      <c r="B182" s="253"/>
      <c r="D182" s="258" t="s">
        <v>1680</v>
      </c>
      <c r="E182" s="261">
        <v>1</v>
      </c>
      <c r="F182" s="353"/>
      <c r="I182" s="365"/>
    </row>
    <row r="183" spans="1:9">
      <c r="A183" s="125">
        <f t="shared" si="5"/>
        <v>177</v>
      </c>
      <c r="B183" s="253"/>
      <c r="D183" s="258" t="s">
        <v>1681</v>
      </c>
      <c r="E183" s="261">
        <v>1</v>
      </c>
      <c r="F183" s="353"/>
      <c r="I183" s="365"/>
    </row>
    <row r="184" spans="1:9">
      <c r="A184" s="125">
        <f t="shared" si="5"/>
        <v>178</v>
      </c>
      <c r="B184" s="253"/>
      <c r="D184" s="258" t="s">
        <v>1682</v>
      </c>
      <c r="E184" s="261">
        <v>1</v>
      </c>
      <c r="F184" s="353"/>
      <c r="I184" s="365"/>
    </row>
    <row r="185" spans="1:9">
      <c r="A185" s="125">
        <f t="shared" si="5"/>
        <v>179</v>
      </c>
      <c r="B185" s="253"/>
      <c r="D185" s="258" t="s">
        <v>1683</v>
      </c>
      <c r="E185" s="261">
        <v>1</v>
      </c>
      <c r="F185" s="353"/>
      <c r="I185" s="365"/>
    </row>
    <row r="186" spans="1:9">
      <c r="A186" s="125">
        <f t="shared" si="5"/>
        <v>180</v>
      </c>
      <c r="B186" s="253" t="s">
        <v>426</v>
      </c>
      <c r="C186" s="257" t="s">
        <v>1684</v>
      </c>
      <c r="D186" s="258" t="s">
        <v>1685</v>
      </c>
      <c r="E186" s="261">
        <v>1</v>
      </c>
      <c r="F186" s="353"/>
      <c r="I186" s="365"/>
    </row>
    <row r="187" spans="1:9">
      <c r="A187" s="125">
        <f t="shared" si="5"/>
        <v>181</v>
      </c>
      <c r="B187" s="253"/>
      <c r="D187" s="258" t="s">
        <v>1686</v>
      </c>
      <c r="E187" s="261">
        <v>1</v>
      </c>
      <c r="F187" s="353"/>
      <c r="I187" s="365"/>
    </row>
    <row r="188" spans="1:9" ht="25.5">
      <c r="A188" s="125">
        <f t="shared" si="5"/>
        <v>182</v>
      </c>
      <c r="B188" s="253" t="s">
        <v>428</v>
      </c>
      <c r="C188" s="257" t="s">
        <v>1687</v>
      </c>
      <c r="D188" s="258" t="s">
        <v>1688</v>
      </c>
      <c r="E188" s="261">
        <v>1</v>
      </c>
      <c r="F188" s="353"/>
      <c r="G188" s="123" t="s">
        <v>1689</v>
      </c>
      <c r="H188" s="123" t="s">
        <v>1690</v>
      </c>
      <c r="I188" s="365"/>
    </row>
    <row r="189" spans="1:9">
      <c r="A189" s="125">
        <f t="shared" si="5"/>
        <v>183</v>
      </c>
      <c r="B189" s="253"/>
      <c r="D189" s="258" t="s">
        <v>1691</v>
      </c>
      <c r="E189" s="261">
        <v>1</v>
      </c>
      <c r="F189" s="353"/>
      <c r="G189" s="123" t="s">
        <v>1692</v>
      </c>
      <c r="I189" s="365"/>
    </row>
    <row r="190" spans="1:9">
      <c r="A190" s="125">
        <f t="shared" si="5"/>
        <v>184</v>
      </c>
      <c r="B190" s="253"/>
      <c r="D190" s="258" t="s">
        <v>1693</v>
      </c>
      <c r="E190" s="261">
        <v>1</v>
      </c>
      <c r="F190" s="353"/>
      <c r="G190" s="123" t="s">
        <v>1694</v>
      </c>
      <c r="I190" s="365"/>
    </row>
    <row r="191" spans="1:9">
      <c r="A191" s="125">
        <f t="shared" si="5"/>
        <v>185</v>
      </c>
      <c r="B191" s="253"/>
      <c r="D191" s="258" t="s">
        <v>1420</v>
      </c>
      <c r="E191" s="261">
        <v>1</v>
      </c>
      <c r="F191" s="353"/>
      <c r="I191" s="365"/>
    </row>
    <row r="192" spans="1:9">
      <c r="A192" s="125">
        <f t="shared" si="5"/>
        <v>186</v>
      </c>
      <c r="B192" s="253"/>
      <c r="D192" s="258" t="s">
        <v>1695</v>
      </c>
      <c r="E192" s="261">
        <v>1</v>
      </c>
      <c r="F192" s="353"/>
      <c r="I192" s="365"/>
    </row>
    <row r="193" spans="1:9" ht="25.5">
      <c r="A193" s="125">
        <f t="shared" si="5"/>
        <v>187</v>
      </c>
      <c r="B193" s="253"/>
      <c r="D193" s="258" t="s">
        <v>1696</v>
      </c>
      <c r="E193" s="261">
        <v>1</v>
      </c>
      <c r="F193" s="353"/>
      <c r="I193" s="365"/>
    </row>
    <row r="194" spans="1:9" ht="18" customHeight="1">
      <c r="A194" s="125">
        <f t="shared" si="5"/>
        <v>188</v>
      </c>
      <c r="B194" s="253"/>
      <c r="D194" s="258" t="s">
        <v>1697</v>
      </c>
      <c r="E194" s="261">
        <v>1</v>
      </c>
      <c r="F194" s="353"/>
      <c r="I194" s="365"/>
    </row>
    <row r="195" spans="1:9">
      <c r="A195" s="125">
        <f t="shared" si="5"/>
        <v>189</v>
      </c>
      <c r="B195" s="253"/>
      <c r="D195" s="258" t="s">
        <v>1698</v>
      </c>
      <c r="E195" s="261">
        <v>1</v>
      </c>
      <c r="F195" s="353"/>
      <c r="I195" s="365"/>
    </row>
    <row r="196" spans="1:9">
      <c r="A196" s="125">
        <f t="shared" si="5"/>
        <v>190</v>
      </c>
      <c r="B196" s="253"/>
      <c r="D196" s="258" t="s">
        <v>1699</v>
      </c>
      <c r="E196" s="261">
        <v>1</v>
      </c>
      <c r="F196" s="353"/>
      <c r="I196" s="365"/>
    </row>
    <row r="197" spans="1:9">
      <c r="A197" s="125">
        <f t="shared" si="5"/>
        <v>191</v>
      </c>
      <c r="B197" s="253"/>
      <c r="D197" s="258" t="s">
        <v>1700</v>
      </c>
      <c r="E197" s="261">
        <v>1</v>
      </c>
      <c r="F197" s="353"/>
      <c r="I197" s="365"/>
    </row>
    <row r="198" spans="1:9">
      <c r="A198" s="125">
        <f t="shared" si="5"/>
        <v>192</v>
      </c>
      <c r="B198" s="253"/>
      <c r="D198" s="258" t="s">
        <v>1701</v>
      </c>
      <c r="E198" s="261">
        <v>1</v>
      </c>
      <c r="F198" s="353"/>
      <c r="I198" s="365"/>
    </row>
    <row r="199" spans="1:9">
      <c r="A199" s="125">
        <f t="shared" si="5"/>
        <v>193</v>
      </c>
      <c r="B199" s="253" t="s">
        <v>1026</v>
      </c>
      <c r="C199" s="257" t="s">
        <v>1702</v>
      </c>
      <c r="D199" s="258" t="s">
        <v>1703</v>
      </c>
      <c r="E199" s="261"/>
      <c r="F199" s="353" t="s">
        <v>1704</v>
      </c>
      <c r="I199" s="365"/>
    </row>
    <row r="200" spans="1:9">
      <c r="A200" s="125">
        <f t="shared" si="5"/>
        <v>194</v>
      </c>
      <c r="B200" s="253"/>
      <c r="D200" s="258" t="s">
        <v>1541</v>
      </c>
      <c r="E200" s="261">
        <v>1</v>
      </c>
      <c r="F200" s="353"/>
      <c r="I200" s="365"/>
    </row>
    <row r="201" spans="1:9">
      <c r="A201" s="125">
        <f t="shared" si="5"/>
        <v>195</v>
      </c>
      <c r="B201" s="253"/>
      <c r="D201" s="258" t="s">
        <v>1705</v>
      </c>
      <c r="E201" s="261">
        <v>1</v>
      </c>
      <c r="F201" s="353"/>
      <c r="I201" s="365"/>
    </row>
    <row r="202" spans="1:9">
      <c r="A202" s="125">
        <f t="shared" si="5"/>
        <v>196</v>
      </c>
      <c r="B202" s="253"/>
      <c r="D202" s="258" t="s">
        <v>1706</v>
      </c>
      <c r="E202" s="261">
        <v>1</v>
      </c>
      <c r="F202" s="353"/>
      <c r="I202" s="365"/>
    </row>
    <row r="203" spans="1:9">
      <c r="A203" s="125">
        <f t="shared" si="5"/>
        <v>197</v>
      </c>
      <c r="B203" s="253" t="s">
        <v>430</v>
      </c>
      <c r="C203" s="257" t="s">
        <v>1707</v>
      </c>
      <c r="D203" s="258" t="s">
        <v>1708</v>
      </c>
      <c r="E203" s="261">
        <v>1</v>
      </c>
      <c r="F203" s="353"/>
      <c r="G203" s="123" t="s">
        <v>1709</v>
      </c>
      <c r="H203" s="123" t="s">
        <v>1478</v>
      </c>
      <c r="I203" s="367" t="s">
        <v>1710</v>
      </c>
    </row>
    <row r="204" spans="1:9">
      <c r="A204" s="125">
        <f t="shared" si="5"/>
        <v>198</v>
      </c>
      <c r="B204" s="253"/>
      <c r="D204" s="258" t="s">
        <v>1711</v>
      </c>
      <c r="E204" s="261">
        <v>1</v>
      </c>
      <c r="F204" s="353"/>
      <c r="I204" s="365"/>
    </row>
    <row r="205" spans="1:9">
      <c r="A205" s="125">
        <f t="shared" si="5"/>
        <v>199</v>
      </c>
      <c r="B205" s="253" t="s">
        <v>432</v>
      </c>
      <c r="C205" s="257" t="s">
        <v>1712</v>
      </c>
      <c r="D205" s="258" t="s">
        <v>1713</v>
      </c>
      <c r="E205" s="261">
        <v>1</v>
      </c>
      <c r="F205" s="353"/>
      <c r="G205" s="123" t="s">
        <v>1399</v>
      </c>
      <c r="H205" s="123" t="s">
        <v>1400</v>
      </c>
      <c r="I205" s="365"/>
    </row>
    <row r="206" spans="1:9">
      <c r="A206" s="125"/>
      <c r="B206" s="253"/>
      <c r="D206" s="258" t="s">
        <v>1714</v>
      </c>
      <c r="E206" s="261">
        <v>1</v>
      </c>
      <c r="F206" s="353"/>
      <c r="I206" s="365"/>
    </row>
    <row r="207" spans="1:9">
      <c r="A207" s="125">
        <f>A205+1</f>
        <v>200</v>
      </c>
      <c r="B207" s="253"/>
      <c r="D207" s="258" t="s">
        <v>1715</v>
      </c>
      <c r="E207" s="261" t="s">
        <v>1376</v>
      </c>
      <c r="F207" s="353" t="s">
        <v>1716</v>
      </c>
      <c r="I207" s="365"/>
    </row>
    <row r="208" spans="1:9">
      <c r="A208" s="125">
        <f t="shared" ref="A208:A271" si="6">A207+1</f>
        <v>201</v>
      </c>
      <c r="B208" s="253"/>
      <c r="D208" s="258" t="s">
        <v>1717</v>
      </c>
      <c r="E208" s="261">
        <v>1</v>
      </c>
      <c r="F208" s="353"/>
      <c r="I208" s="365"/>
    </row>
    <row r="209" spans="1:9">
      <c r="A209" s="125">
        <f t="shared" si="6"/>
        <v>202</v>
      </c>
      <c r="B209" s="253"/>
      <c r="D209" s="258" t="s">
        <v>1718</v>
      </c>
      <c r="E209" s="261">
        <v>1</v>
      </c>
      <c r="F209" s="353" t="s">
        <v>1719</v>
      </c>
      <c r="I209" s="365"/>
    </row>
    <row r="210" spans="1:9">
      <c r="A210" s="125">
        <f t="shared" si="6"/>
        <v>203</v>
      </c>
      <c r="B210" s="253"/>
      <c r="D210" s="258" t="s">
        <v>1720</v>
      </c>
      <c r="E210" s="261">
        <v>1</v>
      </c>
      <c r="F210" s="353" t="s">
        <v>1721</v>
      </c>
      <c r="I210" s="365"/>
    </row>
    <row r="211" spans="1:9" ht="25.5">
      <c r="A211" s="125">
        <f t="shared" si="6"/>
        <v>204</v>
      </c>
      <c r="B211" s="253" t="s">
        <v>434</v>
      </c>
      <c r="C211" s="257" t="s">
        <v>1722</v>
      </c>
      <c r="D211" s="258" t="s">
        <v>1723</v>
      </c>
      <c r="E211" s="261">
        <v>1</v>
      </c>
      <c r="F211" s="353"/>
      <c r="I211" s="365"/>
    </row>
    <row r="212" spans="1:9">
      <c r="A212" s="125">
        <f t="shared" si="6"/>
        <v>205</v>
      </c>
      <c r="B212" s="253"/>
      <c r="D212" s="258" t="s">
        <v>1724</v>
      </c>
      <c r="E212" s="261">
        <v>1</v>
      </c>
      <c r="F212" s="353"/>
      <c r="I212" s="365"/>
    </row>
    <row r="213" spans="1:9">
      <c r="A213" s="125">
        <f t="shared" si="6"/>
        <v>206</v>
      </c>
      <c r="B213" s="253" t="s">
        <v>1030</v>
      </c>
      <c r="C213" s="257" t="s">
        <v>1725</v>
      </c>
      <c r="D213" s="258" t="s">
        <v>1726</v>
      </c>
      <c r="E213" s="261">
        <v>1</v>
      </c>
      <c r="F213" s="353"/>
      <c r="G213" s="123" t="s">
        <v>1727</v>
      </c>
      <c r="H213" s="123" t="s">
        <v>1728</v>
      </c>
      <c r="I213" s="365"/>
    </row>
    <row r="214" spans="1:9">
      <c r="A214" s="125">
        <f t="shared" si="6"/>
        <v>207</v>
      </c>
      <c r="B214" s="253"/>
      <c r="D214" s="258" t="s">
        <v>1729</v>
      </c>
      <c r="E214" s="261" t="s">
        <v>1376</v>
      </c>
      <c r="F214" s="353" t="s">
        <v>1730</v>
      </c>
      <c r="I214" s="365"/>
    </row>
    <row r="215" spans="1:9">
      <c r="A215" s="125">
        <f t="shared" si="6"/>
        <v>208</v>
      </c>
      <c r="B215" s="253"/>
      <c r="D215" s="258" t="s">
        <v>1731</v>
      </c>
      <c r="E215" s="261">
        <v>1</v>
      </c>
      <c r="F215" s="353"/>
      <c r="I215" s="365"/>
    </row>
    <row r="216" spans="1:9">
      <c r="A216" s="125">
        <f t="shared" si="6"/>
        <v>209</v>
      </c>
      <c r="B216" s="253"/>
      <c r="D216" s="258" t="s">
        <v>1732</v>
      </c>
      <c r="E216" s="261">
        <v>1</v>
      </c>
      <c r="F216" s="353"/>
      <c r="I216" s="365"/>
    </row>
    <row r="217" spans="1:9">
      <c r="A217" s="125">
        <f t="shared" si="6"/>
        <v>210</v>
      </c>
      <c r="B217" s="253"/>
      <c r="D217" s="258" t="s">
        <v>1733</v>
      </c>
      <c r="E217" s="261">
        <v>1</v>
      </c>
      <c r="F217" s="353"/>
      <c r="I217" s="365"/>
    </row>
    <row r="218" spans="1:9">
      <c r="A218" s="125">
        <f t="shared" si="6"/>
        <v>211</v>
      </c>
      <c r="B218" s="253"/>
      <c r="D218" s="258" t="s">
        <v>1734</v>
      </c>
      <c r="E218" s="261">
        <v>1</v>
      </c>
      <c r="F218" s="353"/>
      <c r="I218" s="365"/>
    </row>
    <row r="219" spans="1:9">
      <c r="A219" s="125">
        <f t="shared" si="6"/>
        <v>212</v>
      </c>
      <c r="B219" s="253" t="s">
        <v>436</v>
      </c>
      <c r="C219" s="257" t="s">
        <v>1735</v>
      </c>
      <c r="D219" s="258" t="s">
        <v>1736</v>
      </c>
      <c r="E219" s="261">
        <v>1</v>
      </c>
      <c r="F219" s="353"/>
      <c r="G219" s="123" t="s">
        <v>1737</v>
      </c>
      <c r="I219" s="365"/>
    </row>
    <row r="220" spans="1:9">
      <c r="A220" s="125">
        <f t="shared" si="6"/>
        <v>213</v>
      </c>
      <c r="B220" s="253" t="s">
        <v>440</v>
      </c>
      <c r="C220" s="257" t="s">
        <v>1738</v>
      </c>
      <c r="D220" s="258" t="s">
        <v>1739</v>
      </c>
      <c r="E220" s="261">
        <v>1</v>
      </c>
      <c r="F220" s="355"/>
      <c r="G220" s="123" t="s">
        <v>1740</v>
      </c>
      <c r="H220" s="123" t="s">
        <v>1741</v>
      </c>
      <c r="I220" s="365"/>
    </row>
    <row r="221" spans="1:9" ht="25.5">
      <c r="A221" s="125">
        <f t="shared" si="6"/>
        <v>214</v>
      </c>
      <c r="B221" s="253" t="s">
        <v>442</v>
      </c>
      <c r="C221" s="257" t="s">
        <v>1742</v>
      </c>
      <c r="D221" s="258" t="s">
        <v>1743</v>
      </c>
      <c r="E221" s="261">
        <v>1</v>
      </c>
      <c r="F221" s="353"/>
      <c r="G221" s="123" t="s">
        <v>1744</v>
      </c>
      <c r="I221" s="365" t="s">
        <v>1745</v>
      </c>
    </row>
    <row r="222" spans="1:9">
      <c r="A222" s="125">
        <f t="shared" si="6"/>
        <v>215</v>
      </c>
      <c r="B222" s="253"/>
      <c r="D222" s="258" t="s">
        <v>1746</v>
      </c>
      <c r="E222" s="261">
        <v>1</v>
      </c>
      <c r="F222" s="353"/>
      <c r="G222" s="123" t="s">
        <v>1624</v>
      </c>
      <c r="I222" s="365"/>
    </row>
    <row r="223" spans="1:9">
      <c r="A223" s="125">
        <f t="shared" si="6"/>
        <v>216</v>
      </c>
      <c r="B223" s="253"/>
      <c r="D223" s="258" t="s">
        <v>1747</v>
      </c>
      <c r="E223" s="261">
        <v>1</v>
      </c>
      <c r="F223" s="353"/>
      <c r="G223" s="123" t="s">
        <v>1748</v>
      </c>
      <c r="H223" s="123" t="s">
        <v>1400</v>
      </c>
      <c r="I223" s="365"/>
    </row>
    <row r="224" spans="1:9">
      <c r="A224" s="125">
        <f t="shared" si="6"/>
        <v>217</v>
      </c>
      <c r="B224" s="253"/>
      <c r="D224" s="258" t="s">
        <v>1749</v>
      </c>
      <c r="E224" s="261">
        <v>1</v>
      </c>
      <c r="F224" s="353"/>
      <c r="I224" s="365"/>
    </row>
    <row r="225" spans="1:9" ht="15.6" customHeight="1">
      <c r="A225" s="125">
        <f t="shared" si="6"/>
        <v>218</v>
      </c>
      <c r="B225" s="253"/>
      <c r="D225" s="258" t="s">
        <v>1750</v>
      </c>
      <c r="E225" s="261">
        <v>1</v>
      </c>
      <c r="F225" s="353"/>
      <c r="I225" s="365"/>
    </row>
    <row r="226" spans="1:9">
      <c r="A226" s="125">
        <f t="shared" si="6"/>
        <v>219</v>
      </c>
      <c r="B226" s="253" t="s">
        <v>972</v>
      </c>
      <c r="C226" s="257" t="s">
        <v>1751</v>
      </c>
      <c r="D226" s="258"/>
      <c r="E226" s="261"/>
      <c r="F226" s="353"/>
      <c r="G226" s="123" t="s">
        <v>1458</v>
      </c>
      <c r="I226" s="365"/>
    </row>
    <row r="227" spans="1:9">
      <c r="A227" s="125">
        <f t="shared" si="6"/>
        <v>220</v>
      </c>
      <c r="B227" s="253" t="s">
        <v>1752</v>
      </c>
      <c r="C227" s="257" t="s">
        <v>1753</v>
      </c>
      <c r="D227" s="258"/>
      <c r="E227" s="261"/>
      <c r="F227" s="353"/>
      <c r="G227" s="123" t="s">
        <v>1458</v>
      </c>
      <c r="I227" s="365"/>
    </row>
    <row r="228" spans="1:9" ht="25.5">
      <c r="A228" s="125">
        <f t="shared" si="6"/>
        <v>221</v>
      </c>
      <c r="B228" s="253" t="s">
        <v>1754</v>
      </c>
      <c r="C228" s="257" t="s">
        <v>1755</v>
      </c>
      <c r="D228" s="258" t="s">
        <v>1756</v>
      </c>
      <c r="E228" s="261">
        <v>1</v>
      </c>
      <c r="F228" s="353"/>
      <c r="G228" s="123" t="s">
        <v>1757</v>
      </c>
      <c r="I228" s="367" t="s">
        <v>1758</v>
      </c>
    </row>
    <row r="229" spans="1:9" ht="16.149999999999999" customHeight="1">
      <c r="A229" s="125">
        <f t="shared" si="6"/>
        <v>222</v>
      </c>
      <c r="B229" s="253"/>
      <c r="D229" s="258" t="s">
        <v>1759</v>
      </c>
      <c r="E229" s="261">
        <v>1</v>
      </c>
      <c r="F229" s="353" t="s">
        <v>1760</v>
      </c>
      <c r="G229" s="123" t="s">
        <v>1761</v>
      </c>
      <c r="I229" s="365"/>
    </row>
    <row r="230" spans="1:9">
      <c r="A230" s="125">
        <f t="shared" si="6"/>
        <v>223</v>
      </c>
      <c r="B230" s="253"/>
      <c r="D230" s="258" t="s">
        <v>1762</v>
      </c>
      <c r="E230" s="261">
        <v>1</v>
      </c>
      <c r="F230" s="353"/>
      <c r="G230" s="123" t="s">
        <v>1763</v>
      </c>
      <c r="H230" s="123" t="s">
        <v>1764</v>
      </c>
      <c r="I230" s="365"/>
    </row>
    <row r="231" spans="1:9">
      <c r="A231" s="125">
        <f t="shared" si="6"/>
        <v>224</v>
      </c>
      <c r="B231" s="253"/>
      <c r="D231" s="258" t="s">
        <v>1765</v>
      </c>
      <c r="E231" s="261">
        <v>1</v>
      </c>
      <c r="F231" s="353"/>
      <c r="G231" s="123" t="s">
        <v>1766</v>
      </c>
      <c r="I231" s="365"/>
    </row>
    <row r="232" spans="1:9">
      <c r="A232" s="125">
        <f t="shared" si="6"/>
        <v>225</v>
      </c>
      <c r="B232" s="253"/>
      <c r="D232" s="258" t="s">
        <v>1767</v>
      </c>
      <c r="E232" s="261">
        <v>1</v>
      </c>
      <c r="F232" s="353"/>
      <c r="I232" s="365"/>
    </row>
    <row r="233" spans="1:9">
      <c r="A233" s="125">
        <f t="shared" si="6"/>
        <v>226</v>
      </c>
      <c r="B233" s="253"/>
      <c r="D233" s="258" t="s">
        <v>1768</v>
      </c>
      <c r="E233" s="261">
        <v>1</v>
      </c>
      <c r="F233" s="353"/>
      <c r="I233" s="365"/>
    </row>
    <row r="234" spans="1:9">
      <c r="A234" s="125">
        <f t="shared" si="6"/>
        <v>227</v>
      </c>
      <c r="B234" s="253"/>
      <c r="D234" s="258" t="s">
        <v>1769</v>
      </c>
      <c r="E234" s="261">
        <v>1</v>
      </c>
      <c r="F234" s="353"/>
      <c r="I234" s="365"/>
    </row>
    <row r="235" spans="1:9">
      <c r="A235" s="125">
        <f t="shared" si="6"/>
        <v>228</v>
      </c>
      <c r="B235" s="253"/>
      <c r="D235" s="258" t="s">
        <v>1770</v>
      </c>
      <c r="E235" s="261">
        <v>1</v>
      </c>
      <c r="F235" s="353"/>
      <c r="I235" s="365"/>
    </row>
    <row r="236" spans="1:9">
      <c r="A236" s="125">
        <f t="shared" si="6"/>
        <v>229</v>
      </c>
      <c r="B236" s="253"/>
      <c r="D236" s="258" t="s">
        <v>1771</v>
      </c>
      <c r="E236" s="261">
        <v>1</v>
      </c>
      <c r="F236" s="353"/>
      <c r="I236" s="365"/>
    </row>
    <row r="237" spans="1:9">
      <c r="A237" s="125">
        <f t="shared" si="6"/>
        <v>230</v>
      </c>
      <c r="B237" s="253" t="s">
        <v>446</v>
      </c>
      <c r="C237" s="257" t="s">
        <v>1772</v>
      </c>
      <c r="D237" s="258" t="s">
        <v>1773</v>
      </c>
      <c r="E237" s="261">
        <v>1</v>
      </c>
      <c r="F237" s="353"/>
      <c r="G237" s="123" t="s">
        <v>1774</v>
      </c>
      <c r="I237" s="365"/>
    </row>
    <row r="238" spans="1:9">
      <c r="A238" s="125">
        <f t="shared" si="6"/>
        <v>231</v>
      </c>
      <c r="B238" s="253"/>
      <c r="D238" s="258" t="s">
        <v>1775</v>
      </c>
      <c r="E238" s="261">
        <v>1</v>
      </c>
      <c r="F238" s="353"/>
      <c r="G238" s="123" t="s">
        <v>1776</v>
      </c>
      <c r="H238" s="123" t="s">
        <v>1777</v>
      </c>
      <c r="I238" s="365"/>
    </row>
    <row r="239" spans="1:9">
      <c r="A239" s="125">
        <f t="shared" si="6"/>
        <v>232</v>
      </c>
      <c r="B239" s="253"/>
      <c r="D239" s="258" t="s">
        <v>1778</v>
      </c>
      <c r="E239" s="261">
        <v>1</v>
      </c>
      <c r="F239" s="353"/>
      <c r="I239" s="365"/>
    </row>
    <row r="240" spans="1:9">
      <c r="A240" s="125">
        <f t="shared" si="6"/>
        <v>233</v>
      </c>
      <c r="B240" s="253" t="s">
        <v>448</v>
      </c>
      <c r="C240" s="257" t="s">
        <v>1779</v>
      </c>
      <c r="D240" s="258" t="s">
        <v>1780</v>
      </c>
      <c r="E240" s="261">
        <v>1</v>
      </c>
      <c r="F240" s="353"/>
      <c r="G240" s="123" t="s">
        <v>1781</v>
      </c>
      <c r="H240" s="123" t="s">
        <v>1782</v>
      </c>
      <c r="I240" s="365"/>
    </row>
    <row r="241" spans="1:9">
      <c r="A241" s="125">
        <f t="shared" si="6"/>
        <v>234</v>
      </c>
      <c r="B241" s="253"/>
      <c r="D241" s="258" t="s">
        <v>1783</v>
      </c>
      <c r="E241" s="261">
        <v>1</v>
      </c>
      <c r="F241" s="353"/>
      <c r="G241" s="123" t="s">
        <v>1784</v>
      </c>
      <c r="I241" s="365"/>
    </row>
    <row r="242" spans="1:9">
      <c r="A242" s="125">
        <f t="shared" si="6"/>
        <v>235</v>
      </c>
      <c r="B242" s="253"/>
      <c r="D242" s="258"/>
      <c r="E242" s="261"/>
      <c r="F242" s="353"/>
      <c r="G242" s="356" t="s">
        <v>1785</v>
      </c>
      <c r="I242" s="365"/>
    </row>
    <row r="243" spans="1:9">
      <c r="A243" s="125">
        <f t="shared" si="6"/>
        <v>236</v>
      </c>
      <c r="B243" s="253" t="s">
        <v>450</v>
      </c>
      <c r="C243" s="257" t="s">
        <v>1786</v>
      </c>
      <c r="D243" s="258" t="s">
        <v>1787</v>
      </c>
      <c r="E243" s="261">
        <v>1</v>
      </c>
      <c r="F243" s="353"/>
      <c r="G243" s="123" t="s">
        <v>1788</v>
      </c>
      <c r="I243" s="365"/>
    </row>
    <row r="244" spans="1:9">
      <c r="A244" s="125">
        <f t="shared" si="6"/>
        <v>237</v>
      </c>
      <c r="B244" s="253"/>
      <c r="D244" s="258" t="s">
        <v>1789</v>
      </c>
      <c r="E244" s="261">
        <v>1</v>
      </c>
      <c r="F244" s="353"/>
      <c r="G244" s="123" t="s">
        <v>1790</v>
      </c>
      <c r="H244" s="123" t="s">
        <v>1414</v>
      </c>
      <c r="I244" s="365"/>
    </row>
    <row r="245" spans="1:9">
      <c r="A245" s="125">
        <f t="shared" si="6"/>
        <v>238</v>
      </c>
      <c r="B245" s="253"/>
      <c r="D245" s="258" t="s">
        <v>1791</v>
      </c>
      <c r="E245" s="261">
        <v>1</v>
      </c>
      <c r="F245" s="353"/>
      <c r="I245" s="365"/>
    </row>
    <row r="246" spans="1:9">
      <c r="A246" s="125">
        <f t="shared" si="6"/>
        <v>239</v>
      </c>
      <c r="B246" s="253"/>
      <c r="D246" s="258" t="s">
        <v>1792</v>
      </c>
      <c r="E246" s="261">
        <v>1</v>
      </c>
      <c r="F246" s="353"/>
      <c r="I246" s="365"/>
    </row>
    <row r="247" spans="1:9">
      <c r="A247" s="125">
        <f t="shared" si="6"/>
        <v>240</v>
      </c>
      <c r="B247" s="253"/>
      <c r="D247" s="258" t="s">
        <v>1793</v>
      </c>
      <c r="E247" s="261">
        <v>1</v>
      </c>
      <c r="F247" s="353"/>
      <c r="I247" s="365"/>
    </row>
    <row r="248" spans="1:9">
      <c r="A248" s="125">
        <f t="shared" si="6"/>
        <v>241</v>
      </c>
      <c r="B248" s="253" t="s">
        <v>452</v>
      </c>
      <c r="C248" s="257" t="s">
        <v>1794</v>
      </c>
      <c r="D248" s="258" t="s">
        <v>1795</v>
      </c>
      <c r="E248" s="261">
        <v>1</v>
      </c>
      <c r="F248" s="353" t="s">
        <v>1796</v>
      </c>
      <c r="I248" s="365"/>
    </row>
    <row r="249" spans="1:9">
      <c r="A249" s="125">
        <f t="shared" si="6"/>
        <v>242</v>
      </c>
      <c r="B249" s="253"/>
      <c r="D249" s="258" t="s">
        <v>1797</v>
      </c>
      <c r="E249" s="261">
        <v>1</v>
      </c>
      <c r="F249" s="353"/>
      <c r="I249" s="365"/>
    </row>
    <row r="250" spans="1:9">
      <c r="A250" s="125">
        <f t="shared" si="6"/>
        <v>243</v>
      </c>
      <c r="B250" s="253"/>
      <c r="D250" s="258" t="s">
        <v>1798</v>
      </c>
      <c r="E250" s="261">
        <v>1</v>
      </c>
      <c r="F250" s="353"/>
      <c r="I250" s="365"/>
    </row>
    <row r="251" spans="1:9">
      <c r="A251" s="125">
        <f t="shared" si="6"/>
        <v>244</v>
      </c>
      <c r="B251" s="253"/>
      <c r="D251" s="258" t="s">
        <v>1799</v>
      </c>
      <c r="E251" s="261">
        <v>1</v>
      </c>
      <c r="F251" s="353"/>
      <c r="I251" s="365"/>
    </row>
    <row r="252" spans="1:9">
      <c r="A252" s="125">
        <f t="shared" si="6"/>
        <v>245</v>
      </c>
      <c r="B252" s="253" t="s">
        <v>458</v>
      </c>
      <c r="C252" s="257" t="s">
        <v>1800</v>
      </c>
      <c r="D252" s="258" t="s">
        <v>1801</v>
      </c>
      <c r="E252" s="261">
        <v>1</v>
      </c>
      <c r="F252" s="353"/>
      <c r="G252" s="123" t="s">
        <v>1802</v>
      </c>
      <c r="I252" s="365"/>
    </row>
    <row r="253" spans="1:9">
      <c r="A253" s="125">
        <f t="shared" si="6"/>
        <v>246</v>
      </c>
      <c r="B253" s="253"/>
      <c r="D253" s="258" t="s">
        <v>1803</v>
      </c>
      <c r="E253" s="261">
        <v>1</v>
      </c>
      <c r="F253" s="353"/>
      <c r="G253" s="123" t="s">
        <v>1804</v>
      </c>
      <c r="I253" s="365"/>
    </row>
    <row r="254" spans="1:9">
      <c r="A254" s="125">
        <f t="shared" si="6"/>
        <v>247</v>
      </c>
      <c r="B254" s="253" t="s">
        <v>460</v>
      </c>
      <c r="C254" s="257" t="s">
        <v>1805</v>
      </c>
      <c r="D254" s="258" t="s">
        <v>1806</v>
      </c>
      <c r="E254" s="261">
        <v>1</v>
      </c>
      <c r="F254" s="353"/>
      <c r="G254" s="123" t="s">
        <v>1807</v>
      </c>
      <c r="I254" s="365"/>
    </row>
    <row r="255" spans="1:9">
      <c r="A255" s="125">
        <f t="shared" si="6"/>
        <v>248</v>
      </c>
      <c r="B255" s="253"/>
      <c r="D255" s="258" t="s">
        <v>1501</v>
      </c>
      <c r="E255" s="261">
        <v>1</v>
      </c>
      <c r="F255" s="353"/>
      <c r="G255" s="123" t="s">
        <v>1808</v>
      </c>
      <c r="I255" s="365"/>
    </row>
    <row r="256" spans="1:9" ht="13.9" customHeight="1">
      <c r="A256" s="125">
        <f t="shared" si="6"/>
        <v>249</v>
      </c>
      <c r="B256" s="253"/>
      <c r="D256" s="258" t="s">
        <v>1809</v>
      </c>
      <c r="E256" s="261">
        <v>1</v>
      </c>
      <c r="F256" s="353"/>
      <c r="G256" s="123" t="s">
        <v>1810</v>
      </c>
      <c r="H256" s="123" t="s">
        <v>1811</v>
      </c>
      <c r="I256" s="365"/>
    </row>
    <row r="257" spans="1:9">
      <c r="A257" s="125">
        <f t="shared" si="6"/>
        <v>250</v>
      </c>
      <c r="B257" s="253"/>
      <c r="D257" s="258" t="s">
        <v>1812</v>
      </c>
      <c r="E257" s="261">
        <v>1</v>
      </c>
      <c r="F257" s="353"/>
      <c r="I257" s="365"/>
    </row>
    <row r="258" spans="1:9">
      <c r="A258" s="125">
        <f t="shared" si="6"/>
        <v>251</v>
      </c>
      <c r="B258" s="253"/>
      <c r="D258" s="258" t="s">
        <v>1813</v>
      </c>
      <c r="E258" s="261">
        <v>1</v>
      </c>
      <c r="F258" s="353"/>
      <c r="I258" s="365"/>
    </row>
    <row r="259" spans="1:9">
      <c r="A259" s="125">
        <f t="shared" si="6"/>
        <v>252</v>
      </c>
      <c r="B259" s="253"/>
      <c r="D259" s="258" t="s">
        <v>1814</v>
      </c>
      <c r="E259" s="261">
        <v>1</v>
      </c>
      <c r="F259" s="353"/>
      <c r="I259" s="365"/>
    </row>
    <row r="260" spans="1:9">
      <c r="A260" s="125">
        <f t="shared" si="6"/>
        <v>253</v>
      </c>
      <c r="B260" s="253"/>
      <c r="D260" s="258" t="s">
        <v>1815</v>
      </c>
      <c r="E260" s="261">
        <v>1</v>
      </c>
      <c r="F260" s="353"/>
      <c r="I260" s="365"/>
    </row>
    <row r="261" spans="1:9">
      <c r="A261" s="125">
        <f t="shared" si="6"/>
        <v>254</v>
      </c>
      <c r="B261" s="253" t="s">
        <v>462</v>
      </c>
      <c r="C261" s="257" t="s">
        <v>1816</v>
      </c>
      <c r="D261" s="258" t="s">
        <v>1817</v>
      </c>
      <c r="E261" s="261">
        <v>1</v>
      </c>
      <c r="F261" s="353"/>
      <c r="G261" s="123" t="s">
        <v>1818</v>
      </c>
      <c r="I261" s="365"/>
    </row>
    <row r="262" spans="1:9">
      <c r="A262" s="125">
        <f t="shared" si="6"/>
        <v>255</v>
      </c>
      <c r="B262" s="253"/>
      <c r="D262" s="258" t="s">
        <v>1819</v>
      </c>
      <c r="E262" s="261">
        <v>1</v>
      </c>
      <c r="F262" s="353"/>
      <c r="I262" s="365"/>
    </row>
    <row r="263" spans="1:9">
      <c r="A263" s="125">
        <f t="shared" si="6"/>
        <v>256</v>
      </c>
      <c r="B263" s="253" t="s">
        <v>466</v>
      </c>
      <c r="C263" s="257" t="s">
        <v>1820</v>
      </c>
      <c r="D263" s="258" t="s">
        <v>2424</v>
      </c>
      <c r="E263" s="261" t="s">
        <v>1376</v>
      </c>
      <c r="F263" s="353" t="s">
        <v>1821</v>
      </c>
      <c r="I263" s="365"/>
    </row>
    <row r="264" spans="1:9">
      <c r="A264" s="125">
        <f t="shared" si="6"/>
        <v>257</v>
      </c>
      <c r="B264" s="253" t="s">
        <v>464</v>
      </c>
      <c r="C264" s="257" t="s">
        <v>1822</v>
      </c>
      <c r="D264" s="258" t="s">
        <v>1823</v>
      </c>
      <c r="E264" s="261">
        <v>1</v>
      </c>
      <c r="F264" s="353"/>
      <c r="I264" s="365"/>
    </row>
    <row r="265" spans="1:9">
      <c r="A265" s="125">
        <f t="shared" si="6"/>
        <v>258</v>
      </c>
      <c r="B265" s="253"/>
      <c r="D265" s="258" t="s">
        <v>1501</v>
      </c>
      <c r="E265" s="261">
        <v>1</v>
      </c>
      <c r="F265" s="353"/>
      <c r="I265" s="365"/>
    </row>
    <row r="266" spans="1:9" ht="25.5">
      <c r="A266" s="125">
        <f t="shared" si="6"/>
        <v>259</v>
      </c>
      <c r="B266" s="253"/>
      <c r="D266" s="258" t="s">
        <v>1824</v>
      </c>
      <c r="E266" s="261">
        <v>1</v>
      </c>
      <c r="F266" s="353"/>
      <c r="I266" s="365"/>
    </row>
    <row r="267" spans="1:9" ht="18" customHeight="1">
      <c r="A267" s="125">
        <f t="shared" si="6"/>
        <v>260</v>
      </c>
      <c r="B267" s="253"/>
      <c r="D267" s="258" t="s">
        <v>1825</v>
      </c>
      <c r="E267" s="261">
        <v>1</v>
      </c>
      <c r="F267" s="353"/>
      <c r="I267" s="365"/>
    </row>
    <row r="268" spans="1:9" ht="18" customHeight="1">
      <c r="A268" s="125">
        <f t="shared" si="6"/>
        <v>261</v>
      </c>
      <c r="B268" s="253"/>
      <c r="D268" s="258" t="s">
        <v>1826</v>
      </c>
      <c r="E268" s="261">
        <v>1</v>
      </c>
      <c r="F268" s="353"/>
      <c r="I268" s="365"/>
    </row>
    <row r="269" spans="1:9">
      <c r="A269" s="125">
        <f t="shared" si="6"/>
        <v>262</v>
      </c>
      <c r="B269" s="253"/>
      <c r="D269" s="258" t="s">
        <v>1827</v>
      </c>
      <c r="E269" s="261">
        <v>1</v>
      </c>
      <c r="F269" s="353"/>
      <c r="I269" s="365"/>
    </row>
    <row r="270" spans="1:9">
      <c r="A270" s="125">
        <f t="shared" si="6"/>
        <v>263</v>
      </c>
      <c r="B270" s="253"/>
      <c r="D270" s="258" t="s">
        <v>1828</v>
      </c>
      <c r="E270" s="261">
        <v>1</v>
      </c>
      <c r="F270" s="353"/>
      <c r="I270" s="365"/>
    </row>
    <row r="271" spans="1:9">
      <c r="A271" s="125">
        <f t="shared" si="6"/>
        <v>264</v>
      </c>
      <c r="B271" s="253" t="s">
        <v>1034</v>
      </c>
      <c r="C271" s="257" t="s">
        <v>1829</v>
      </c>
      <c r="D271" s="258" t="s">
        <v>1830</v>
      </c>
      <c r="E271" s="261">
        <v>1</v>
      </c>
      <c r="F271" s="353"/>
      <c r="I271" s="365"/>
    </row>
    <row r="272" spans="1:9" ht="16.5" customHeight="1">
      <c r="A272" s="125">
        <f t="shared" ref="A272:A335" si="7">A271+1</f>
        <v>265</v>
      </c>
      <c r="B272" s="253" t="s">
        <v>468</v>
      </c>
      <c r="C272" s="257" t="s">
        <v>1831</v>
      </c>
      <c r="D272" s="258" t="s">
        <v>1832</v>
      </c>
      <c r="E272" s="261">
        <v>1</v>
      </c>
      <c r="F272" s="353"/>
      <c r="I272" s="365"/>
    </row>
    <row r="273" spans="1:9">
      <c r="A273" s="125">
        <f t="shared" si="7"/>
        <v>266</v>
      </c>
      <c r="B273" s="253"/>
      <c r="D273" s="258" t="s">
        <v>1833</v>
      </c>
      <c r="E273" s="262">
        <v>1</v>
      </c>
      <c r="F273" s="353"/>
      <c r="I273" s="365"/>
    </row>
    <row r="274" spans="1:9">
      <c r="A274" s="125">
        <f t="shared" si="7"/>
        <v>267</v>
      </c>
      <c r="B274" s="253" t="s">
        <v>470</v>
      </c>
      <c r="C274" s="257" t="s">
        <v>1834</v>
      </c>
      <c r="D274" s="258" t="s">
        <v>1835</v>
      </c>
      <c r="E274" s="261">
        <v>1</v>
      </c>
      <c r="F274" s="353"/>
      <c r="G274" s="123" t="s">
        <v>1836</v>
      </c>
      <c r="H274" s="123" t="s">
        <v>1837</v>
      </c>
      <c r="I274" s="365"/>
    </row>
    <row r="275" spans="1:9">
      <c r="A275" s="125">
        <f t="shared" si="7"/>
        <v>268</v>
      </c>
      <c r="B275" s="253"/>
      <c r="D275" s="258" t="s">
        <v>1838</v>
      </c>
      <c r="E275" s="261">
        <v>1</v>
      </c>
      <c r="F275" s="353"/>
      <c r="I275" s="365"/>
    </row>
    <row r="276" spans="1:9">
      <c r="A276" s="125">
        <f t="shared" si="7"/>
        <v>269</v>
      </c>
      <c r="B276" s="253"/>
      <c r="D276" s="258" t="s">
        <v>1839</v>
      </c>
      <c r="E276" s="261">
        <v>1</v>
      </c>
      <c r="F276" s="353"/>
      <c r="I276" s="365"/>
    </row>
    <row r="277" spans="1:9">
      <c r="A277" s="125">
        <f t="shared" si="7"/>
        <v>270</v>
      </c>
      <c r="B277" s="253"/>
      <c r="D277" s="258" t="s">
        <v>1840</v>
      </c>
      <c r="E277" s="261">
        <v>1</v>
      </c>
      <c r="F277" s="353"/>
      <c r="I277" s="365"/>
    </row>
    <row r="278" spans="1:9">
      <c r="A278" s="125">
        <f t="shared" si="7"/>
        <v>271</v>
      </c>
      <c r="B278" s="253"/>
      <c r="D278" s="258" t="s">
        <v>1841</v>
      </c>
      <c r="E278" s="261">
        <v>1</v>
      </c>
      <c r="F278" s="353"/>
      <c r="I278" s="365"/>
    </row>
    <row r="279" spans="1:9">
      <c r="A279" s="125">
        <f t="shared" si="7"/>
        <v>272</v>
      </c>
      <c r="B279" s="253" t="s">
        <v>472</v>
      </c>
      <c r="C279" s="257" t="s">
        <v>1842</v>
      </c>
      <c r="D279" s="258" t="s">
        <v>1843</v>
      </c>
      <c r="E279" s="261">
        <v>1</v>
      </c>
      <c r="F279" s="353"/>
      <c r="G279" s="123" t="s">
        <v>1844</v>
      </c>
      <c r="I279" s="365"/>
    </row>
    <row r="280" spans="1:9">
      <c r="A280" s="125">
        <f t="shared" si="7"/>
        <v>273</v>
      </c>
      <c r="B280" s="253"/>
      <c r="D280" s="258" t="s">
        <v>1501</v>
      </c>
      <c r="E280" s="261">
        <v>1</v>
      </c>
      <c r="F280" s="353"/>
      <c r="G280" s="123" t="s">
        <v>1845</v>
      </c>
      <c r="I280" s="365"/>
    </row>
    <row r="281" spans="1:9">
      <c r="A281" s="125">
        <f t="shared" si="7"/>
        <v>274</v>
      </c>
      <c r="B281" s="253"/>
      <c r="D281" s="258" t="s">
        <v>1846</v>
      </c>
      <c r="E281" s="261">
        <v>1</v>
      </c>
      <c r="F281" s="353"/>
      <c r="G281" s="123" t="s">
        <v>1847</v>
      </c>
      <c r="I281" s="365"/>
    </row>
    <row r="282" spans="1:9">
      <c r="A282" s="125">
        <f t="shared" si="7"/>
        <v>275</v>
      </c>
      <c r="B282" s="253"/>
      <c r="D282" s="258" t="s">
        <v>1848</v>
      </c>
      <c r="E282" s="261">
        <v>1</v>
      </c>
      <c r="F282" s="353"/>
      <c r="I282" s="365"/>
    </row>
    <row r="283" spans="1:9">
      <c r="A283" s="125">
        <f t="shared" si="7"/>
        <v>276</v>
      </c>
      <c r="B283" s="253" t="s">
        <v>474</v>
      </c>
      <c r="C283" s="257" t="s">
        <v>1849</v>
      </c>
      <c r="D283" s="258" t="s">
        <v>1850</v>
      </c>
      <c r="E283" s="261">
        <v>1</v>
      </c>
      <c r="F283" s="353"/>
      <c r="G283" s="123" t="s">
        <v>1851</v>
      </c>
      <c r="H283" s="123" t="s">
        <v>1400</v>
      </c>
      <c r="I283" s="365"/>
    </row>
    <row r="284" spans="1:9">
      <c r="A284" s="125">
        <f t="shared" si="7"/>
        <v>277</v>
      </c>
      <c r="B284" s="253"/>
      <c r="D284" s="258" t="s">
        <v>1852</v>
      </c>
      <c r="E284" s="261">
        <v>1</v>
      </c>
      <c r="F284" s="353"/>
      <c r="I284" s="365"/>
    </row>
    <row r="285" spans="1:9" ht="25.5">
      <c r="A285" s="125">
        <f t="shared" si="7"/>
        <v>278</v>
      </c>
      <c r="B285" s="253"/>
      <c r="D285" s="258" t="s">
        <v>1375</v>
      </c>
      <c r="E285" s="261" t="s">
        <v>1376</v>
      </c>
      <c r="F285" s="353" t="s">
        <v>1853</v>
      </c>
      <c r="I285" s="365"/>
    </row>
    <row r="286" spans="1:9">
      <c r="A286" s="125">
        <f t="shared" si="7"/>
        <v>279</v>
      </c>
      <c r="B286" s="253" t="s">
        <v>1854</v>
      </c>
      <c r="C286" s="257" t="s">
        <v>1855</v>
      </c>
      <c r="D286" s="258"/>
      <c r="E286" s="261"/>
      <c r="F286" s="353"/>
      <c r="G286" s="123" t="s">
        <v>1458</v>
      </c>
      <c r="I286" s="365"/>
    </row>
    <row r="287" spans="1:9">
      <c r="A287" s="125">
        <f t="shared" si="7"/>
        <v>280</v>
      </c>
      <c r="B287" s="253" t="s">
        <v>478</v>
      </c>
      <c r="C287" s="257" t="s">
        <v>1856</v>
      </c>
      <c r="D287" s="258" t="s">
        <v>1587</v>
      </c>
      <c r="E287" s="261">
        <v>1</v>
      </c>
      <c r="F287" s="353"/>
      <c r="G287" s="123" t="s">
        <v>1857</v>
      </c>
      <c r="I287" s="365"/>
    </row>
    <row r="288" spans="1:9" ht="25.5">
      <c r="A288" s="125">
        <f t="shared" si="7"/>
        <v>281</v>
      </c>
      <c r="B288" s="253" t="s">
        <v>480</v>
      </c>
      <c r="C288" s="257" t="s">
        <v>1858</v>
      </c>
      <c r="D288" s="258" t="s">
        <v>1859</v>
      </c>
      <c r="E288" s="261">
        <v>1</v>
      </c>
      <c r="F288" s="353"/>
      <c r="G288" s="123" t="s">
        <v>1860</v>
      </c>
      <c r="I288" s="365"/>
    </row>
    <row r="289" spans="1:9">
      <c r="A289" s="125">
        <f t="shared" si="7"/>
        <v>282</v>
      </c>
      <c r="B289" s="253"/>
      <c r="D289" s="258" t="s">
        <v>1861</v>
      </c>
      <c r="E289" s="261">
        <v>1</v>
      </c>
      <c r="F289" s="353"/>
      <c r="G289" s="123" t="s">
        <v>1862</v>
      </c>
      <c r="H289" s="123" t="s">
        <v>1741</v>
      </c>
      <c r="I289" s="365"/>
    </row>
    <row r="290" spans="1:9">
      <c r="A290" s="125">
        <f t="shared" si="7"/>
        <v>283</v>
      </c>
      <c r="B290" s="253"/>
      <c r="D290" s="258" t="s">
        <v>1863</v>
      </c>
      <c r="E290" s="261">
        <v>1</v>
      </c>
      <c r="F290" s="353"/>
      <c r="I290" s="365"/>
    </row>
    <row r="291" spans="1:9" ht="15" customHeight="1">
      <c r="A291" s="125">
        <f t="shared" si="7"/>
        <v>284</v>
      </c>
      <c r="B291" s="253"/>
      <c r="D291" s="258" t="s">
        <v>1864</v>
      </c>
      <c r="E291" s="261">
        <v>1</v>
      </c>
      <c r="F291" s="353"/>
      <c r="I291" s="365"/>
    </row>
    <row r="292" spans="1:9">
      <c r="A292" s="125">
        <f t="shared" si="7"/>
        <v>285</v>
      </c>
      <c r="B292" s="253"/>
      <c r="D292" s="258" t="s">
        <v>1865</v>
      </c>
      <c r="E292" s="261">
        <v>1</v>
      </c>
      <c r="F292" s="353"/>
      <c r="I292" s="365"/>
    </row>
    <row r="293" spans="1:9">
      <c r="A293" s="125">
        <f t="shared" si="7"/>
        <v>286</v>
      </c>
      <c r="B293" s="253"/>
      <c r="D293" s="258" t="s">
        <v>1866</v>
      </c>
      <c r="E293" s="261">
        <v>1</v>
      </c>
      <c r="F293" s="353"/>
      <c r="I293" s="365"/>
    </row>
    <row r="294" spans="1:9">
      <c r="A294" s="125">
        <f t="shared" si="7"/>
        <v>287</v>
      </c>
      <c r="B294" s="253"/>
      <c r="D294" s="258" t="s">
        <v>1650</v>
      </c>
      <c r="E294" s="261">
        <v>1</v>
      </c>
      <c r="F294" s="353"/>
      <c r="I294" s="365"/>
    </row>
    <row r="295" spans="1:9">
      <c r="A295" s="125">
        <f t="shared" si="7"/>
        <v>288</v>
      </c>
      <c r="B295" s="253" t="s">
        <v>482</v>
      </c>
      <c r="C295" s="257" t="s">
        <v>1867</v>
      </c>
      <c r="D295" s="258" t="s">
        <v>1868</v>
      </c>
      <c r="E295" s="261">
        <v>1</v>
      </c>
      <c r="F295" s="353"/>
      <c r="I295" s="365"/>
    </row>
    <row r="296" spans="1:9">
      <c r="A296" s="125">
        <f t="shared" si="7"/>
        <v>289</v>
      </c>
      <c r="B296" s="253"/>
      <c r="D296" s="258" t="s">
        <v>1624</v>
      </c>
      <c r="E296" s="261" t="s">
        <v>1376</v>
      </c>
      <c r="F296" s="353" t="s">
        <v>1869</v>
      </c>
      <c r="I296" s="365"/>
    </row>
    <row r="297" spans="1:9">
      <c r="A297" s="125">
        <f t="shared" si="7"/>
        <v>290</v>
      </c>
      <c r="B297" s="253"/>
      <c r="D297" s="258" t="s">
        <v>1870</v>
      </c>
      <c r="E297" s="261">
        <v>1</v>
      </c>
      <c r="F297" s="353"/>
      <c r="I297" s="365"/>
    </row>
    <row r="298" spans="1:9" ht="15.6" customHeight="1">
      <c r="A298" s="125">
        <f t="shared" si="7"/>
        <v>291</v>
      </c>
      <c r="B298" s="253" t="s">
        <v>1871</v>
      </c>
      <c r="C298" s="257" t="s">
        <v>1872</v>
      </c>
      <c r="D298" s="258" t="s">
        <v>1873</v>
      </c>
      <c r="E298" s="261">
        <v>1</v>
      </c>
      <c r="F298" s="353" t="s">
        <v>1874</v>
      </c>
      <c r="I298" s="367" t="s">
        <v>1875</v>
      </c>
    </row>
    <row r="299" spans="1:9">
      <c r="A299" s="125">
        <f t="shared" si="7"/>
        <v>292</v>
      </c>
      <c r="B299" s="253"/>
      <c r="D299" s="258" t="s">
        <v>1876</v>
      </c>
      <c r="E299" s="261">
        <v>1</v>
      </c>
      <c r="F299" s="353"/>
      <c r="G299" s="123" t="s">
        <v>1877</v>
      </c>
      <c r="H299" s="123" t="s">
        <v>1878</v>
      </c>
      <c r="I299" s="365"/>
    </row>
    <row r="300" spans="1:9">
      <c r="A300" s="125">
        <f t="shared" si="7"/>
        <v>293</v>
      </c>
      <c r="B300" s="253" t="s">
        <v>484</v>
      </c>
      <c r="C300" s="257" t="s">
        <v>1879</v>
      </c>
      <c r="D300" s="258" t="s">
        <v>1880</v>
      </c>
      <c r="E300" s="261">
        <v>1</v>
      </c>
      <c r="F300" s="353"/>
      <c r="I300" s="365"/>
    </row>
    <row r="301" spans="1:9">
      <c r="A301" s="125">
        <f t="shared" si="7"/>
        <v>294</v>
      </c>
      <c r="B301" s="253"/>
      <c r="D301" s="258" t="s">
        <v>1624</v>
      </c>
      <c r="E301" s="261" t="s">
        <v>1376</v>
      </c>
      <c r="F301" s="353" t="s">
        <v>1881</v>
      </c>
      <c r="I301" s="365"/>
    </row>
    <row r="302" spans="1:9">
      <c r="A302" s="125">
        <f t="shared" si="7"/>
        <v>295</v>
      </c>
      <c r="B302" s="253"/>
      <c r="D302" s="258" t="s">
        <v>1882</v>
      </c>
      <c r="E302" s="261" t="s">
        <v>1376</v>
      </c>
      <c r="F302" s="353" t="s">
        <v>1881</v>
      </c>
      <c r="I302" s="365"/>
    </row>
    <row r="303" spans="1:9">
      <c r="A303" s="125">
        <f t="shared" si="7"/>
        <v>296</v>
      </c>
      <c r="B303" s="253"/>
      <c r="D303" s="258" t="s">
        <v>1883</v>
      </c>
      <c r="E303" s="261">
        <v>1</v>
      </c>
      <c r="F303" s="353"/>
      <c r="I303" s="365"/>
    </row>
    <row r="304" spans="1:9">
      <c r="A304" s="125">
        <f t="shared" si="7"/>
        <v>297</v>
      </c>
      <c r="B304" s="253" t="s">
        <v>486</v>
      </c>
      <c r="C304" s="257" t="s">
        <v>1884</v>
      </c>
      <c r="D304" s="258" t="s">
        <v>1885</v>
      </c>
      <c r="E304" s="261">
        <v>1</v>
      </c>
      <c r="F304" s="353"/>
      <c r="I304" s="365"/>
    </row>
    <row r="305" spans="1:9">
      <c r="A305" s="125">
        <f t="shared" si="7"/>
        <v>298</v>
      </c>
      <c r="B305" s="253" t="s">
        <v>1886</v>
      </c>
      <c r="C305" s="257" t="s">
        <v>1887</v>
      </c>
      <c r="D305" s="258" t="s">
        <v>1888</v>
      </c>
      <c r="E305" s="261">
        <v>1</v>
      </c>
      <c r="F305" s="353"/>
      <c r="I305" s="365"/>
    </row>
    <row r="306" spans="1:9">
      <c r="A306" s="125">
        <f t="shared" si="7"/>
        <v>299</v>
      </c>
      <c r="B306" s="253" t="s">
        <v>488</v>
      </c>
      <c r="C306" s="257" t="s">
        <v>1889</v>
      </c>
      <c r="D306" s="258" t="s">
        <v>1587</v>
      </c>
      <c r="E306" s="261"/>
      <c r="F306" s="353"/>
      <c r="G306" s="123" t="s">
        <v>1458</v>
      </c>
      <c r="I306" s="365"/>
    </row>
    <row r="307" spans="1:9">
      <c r="A307" s="125">
        <f t="shared" si="7"/>
        <v>300</v>
      </c>
      <c r="B307" s="253" t="s">
        <v>490</v>
      </c>
      <c r="C307" s="257" t="s">
        <v>1890</v>
      </c>
      <c r="D307" s="258" t="s">
        <v>1891</v>
      </c>
      <c r="E307" s="261">
        <v>1</v>
      </c>
      <c r="F307" s="353"/>
      <c r="G307" s="123" t="s">
        <v>1892</v>
      </c>
      <c r="I307" s="365"/>
    </row>
    <row r="308" spans="1:9">
      <c r="A308" s="125">
        <f t="shared" si="7"/>
        <v>301</v>
      </c>
      <c r="B308" s="253"/>
      <c r="D308" s="258" t="s">
        <v>1893</v>
      </c>
      <c r="E308" s="261">
        <v>1</v>
      </c>
      <c r="F308" s="353"/>
      <c r="G308" s="123" t="s">
        <v>1894</v>
      </c>
      <c r="H308" s="123" t="s">
        <v>1646</v>
      </c>
      <c r="I308" s="365"/>
    </row>
    <row r="309" spans="1:9">
      <c r="A309" s="125">
        <f t="shared" si="7"/>
        <v>302</v>
      </c>
      <c r="B309" s="253" t="s">
        <v>492</v>
      </c>
      <c r="C309" s="257" t="s">
        <v>1895</v>
      </c>
      <c r="D309" s="258" t="s">
        <v>1896</v>
      </c>
      <c r="E309" s="261">
        <v>1</v>
      </c>
      <c r="F309" s="353"/>
      <c r="G309" s="123" t="s">
        <v>1897</v>
      </c>
      <c r="I309" s="365"/>
    </row>
    <row r="310" spans="1:9">
      <c r="A310" s="125">
        <f t="shared" si="7"/>
        <v>303</v>
      </c>
      <c r="B310" s="253"/>
      <c r="D310" s="258" t="s">
        <v>1898</v>
      </c>
      <c r="E310" s="261">
        <v>1</v>
      </c>
      <c r="F310" s="353"/>
      <c r="G310" s="123" t="s">
        <v>1899</v>
      </c>
      <c r="H310" s="123" t="s">
        <v>1900</v>
      </c>
      <c r="I310" s="365"/>
    </row>
    <row r="311" spans="1:9">
      <c r="A311" s="125">
        <f t="shared" si="7"/>
        <v>304</v>
      </c>
      <c r="B311" s="253"/>
      <c r="D311" s="258" t="s">
        <v>1901</v>
      </c>
      <c r="E311" s="261">
        <v>1</v>
      </c>
      <c r="F311" s="353"/>
      <c r="I311" s="365"/>
    </row>
    <row r="312" spans="1:9">
      <c r="A312" s="125">
        <f t="shared" si="7"/>
        <v>305</v>
      </c>
      <c r="B312" s="253"/>
      <c r="D312" s="258" t="s">
        <v>1902</v>
      </c>
      <c r="E312" s="261">
        <v>1</v>
      </c>
      <c r="F312" s="353"/>
      <c r="I312" s="365"/>
    </row>
    <row r="313" spans="1:9">
      <c r="A313" s="125">
        <f t="shared" si="7"/>
        <v>306</v>
      </c>
      <c r="B313" s="253" t="s">
        <v>494</v>
      </c>
      <c r="C313" s="257" t="s">
        <v>1903</v>
      </c>
      <c r="D313" s="258" t="s">
        <v>1904</v>
      </c>
      <c r="E313" s="261">
        <v>1</v>
      </c>
      <c r="F313" s="353"/>
      <c r="I313" s="365"/>
    </row>
    <row r="314" spans="1:9" ht="16.149999999999999" customHeight="1">
      <c r="A314" s="125">
        <f t="shared" si="7"/>
        <v>307</v>
      </c>
      <c r="B314" s="253" t="s">
        <v>496</v>
      </c>
      <c r="C314" s="257" t="s">
        <v>1905</v>
      </c>
      <c r="D314" s="258" t="s">
        <v>1906</v>
      </c>
      <c r="E314" s="261">
        <v>1</v>
      </c>
      <c r="F314" s="353"/>
      <c r="G314" s="123" t="s">
        <v>1907</v>
      </c>
      <c r="I314" s="365"/>
    </row>
    <row r="315" spans="1:9">
      <c r="A315" s="125">
        <f t="shared" si="7"/>
        <v>308</v>
      </c>
      <c r="B315" s="253"/>
      <c r="D315" s="258" t="s">
        <v>1908</v>
      </c>
      <c r="E315" s="261">
        <v>1</v>
      </c>
      <c r="F315" s="353"/>
      <c r="I315" s="365"/>
    </row>
    <row r="316" spans="1:9">
      <c r="A316" s="125">
        <f t="shared" si="7"/>
        <v>309</v>
      </c>
      <c r="B316" s="253"/>
      <c r="D316" s="258" t="s">
        <v>1909</v>
      </c>
      <c r="E316" s="261">
        <v>1</v>
      </c>
      <c r="F316" s="353"/>
      <c r="I316" s="365"/>
    </row>
    <row r="317" spans="1:9">
      <c r="A317" s="125">
        <f t="shared" si="7"/>
        <v>310</v>
      </c>
      <c r="B317" s="253"/>
      <c r="D317" s="258" t="s">
        <v>1910</v>
      </c>
      <c r="E317" s="261">
        <v>1</v>
      </c>
      <c r="F317" s="353"/>
      <c r="I317" s="365"/>
    </row>
    <row r="318" spans="1:9">
      <c r="A318" s="125">
        <f t="shared" si="7"/>
        <v>311</v>
      </c>
      <c r="B318" s="253" t="s">
        <v>498</v>
      </c>
      <c r="C318" s="257" t="s">
        <v>1911</v>
      </c>
      <c r="D318" s="258"/>
      <c r="E318" s="261"/>
      <c r="F318" s="353"/>
      <c r="G318" s="123" t="s">
        <v>1458</v>
      </c>
      <c r="I318" s="365"/>
    </row>
    <row r="319" spans="1:9">
      <c r="A319" s="125">
        <f t="shared" si="7"/>
        <v>312</v>
      </c>
      <c r="B319" s="253" t="s">
        <v>500</v>
      </c>
      <c r="C319" s="257" t="s">
        <v>1912</v>
      </c>
      <c r="D319" s="258" t="s">
        <v>1913</v>
      </c>
      <c r="E319" s="261">
        <v>1</v>
      </c>
      <c r="F319" s="353"/>
      <c r="I319" s="365"/>
    </row>
    <row r="320" spans="1:9">
      <c r="A320" s="125">
        <f t="shared" si="7"/>
        <v>313</v>
      </c>
      <c r="B320" s="253"/>
      <c r="D320" s="258" t="s">
        <v>1914</v>
      </c>
      <c r="E320" s="261">
        <v>1</v>
      </c>
      <c r="F320" s="353"/>
      <c r="I320" s="365"/>
    </row>
    <row r="321" spans="1:9">
      <c r="A321" s="125">
        <f t="shared" si="7"/>
        <v>314</v>
      </c>
      <c r="B321" s="253"/>
      <c r="D321" s="258" t="s">
        <v>1915</v>
      </c>
      <c r="E321" s="261">
        <v>1</v>
      </c>
      <c r="F321" s="353"/>
      <c r="I321" s="365"/>
    </row>
    <row r="322" spans="1:9">
      <c r="A322" s="125">
        <f t="shared" si="7"/>
        <v>315</v>
      </c>
      <c r="B322" s="253" t="s">
        <v>502</v>
      </c>
      <c r="C322" s="257" t="s">
        <v>1916</v>
      </c>
      <c r="D322" s="258" t="s">
        <v>1917</v>
      </c>
      <c r="E322" s="261">
        <v>1</v>
      </c>
      <c r="F322" s="353"/>
      <c r="I322" s="365"/>
    </row>
    <row r="323" spans="1:9">
      <c r="A323" s="125">
        <f t="shared" si="7"/>
        <v>316</v>
      </c>
      <c r="B323" s="253" t="s">
        <v>1038</v>
      </c>
      <c r="C323" s="257" t="s">
        <v>1918</v>
      </c>
      <c r="D323" s="258" t="s">
        <v>1919</v>
      </c>
      <c r="E323" s="261">
        <v>1</v>
      </c>
      <c r="F323" s="353"/>
      <c r="G323" s="123" t="s">
        <v>1920</v>
      </c>
      <c r="I323" s="365"/>
    </row>
    <row r="324" spans="1:9">
      <c r="A324" s="125">
        <f t="shared" si="7"/>
        <v>317</v>
      </c>
      <c r="B324" s="253"/>
      <c r="D324" s="258" t="s">
        <v>1921</v>
      </c>
      <c r="E324" s="261">
        <v>1</v>
      </c>
      <c r="F324" s="353"/>
      <c r="G324" s="123" t="s">
        <v>1922</v>
      </c>
      <c r="H324" s="123" t="s">
        <v>1728</v>
      </c>
      <c r="I324" s="365"/>
    </row>
    <row r="325" spans="1:9">
      <c r="A325" s="125">
        <f t="shared" si="7"/>
        <v>318</v>
      </c>
      <c r="B325" s="253"/>
      <c r="D325" s="258"/>
      <c r="E325" s="261"/>
      <c r="F325" s="353"/>
      <c r="G325" s="123" t="s">
        <v>1923</v>
      </c>
      <c r="H325" s="123" t="s">
        <v>1728</v>
      </c>
      <c r="I325" s="365"/>
    </row>
    <row r="326" spans="1:9" ht="15.6" customHeight="1">
      <c r="A326" s="125">
        <f t="shared" si="7"/>
        <v>319</v>
      </c>
      <c r="B326" s="253" t="s">
        <v>504</v>
      </c>
      <c r="C326" s="257" t="s">
        <v>1924</v>
      </c>
      <c r="D326" s="258" t="s">
        <v>1925</v>
      </c>
      <c r="E326" s="261">
        <v>1</v>
      </c>
      <c r="F326" s="353"/>
      <c r="G326" s="123" t="s">
        <v>1926</v>
      </c>
      <c r="I326" s="365"/>
    </row>
    <row r="327" spans="1:9">
      <c r="A327" s="125">
        <f t="shared" si="7"/>
        <v>320</v>
      </c>
      <c r="B327" s="253"/>
      <c r="D327" s="258" t="s">
        <v>1927</v>
      </c>
      <c r="E327" s="261">
        <v>1</v>
      </c>
      <c r="F327" s="353"/>
      <c r="G327" s="123" t="s">
        <v>1636</v>
      </c>
      <c r="H327" s="123" t="s">
        <v>1576</v>
      </c>
      <c r="I327" s="365"/>
    </row>
    <row r="328" spans="1:9">
      <c r="A328" s="125">
        <f t="shared" si="7"/>
        <v>321</v>
      </c>
      <c r="B328" s="253"/>
      <c r="D328" s="258" t="s">
        <v>1928</v>
      </c>
      <c r="E328" s="261">
        <v>1</v>
      </c>
      <c r="F328" s="353"/>
      <c r="I328" s="365"/>
    </row>
    <row r="329" spans="1:9">
      <c r="A329" s="125">
        <f t="shared" si="7"/>
        <v>322</v>
      </c>
      <c r="B329" s="253"/>
      <c r="D329" s="258" t="s">
        <v>1929</v>
      </c>
      <c r="E329" s="261">
        <v>1</v>
      </c>
      <c r="F329" s="353"/>
      <c r="I329" s="365"/>
    </row>
    <row r="330" spans="1:9">
      <c r="A330" s="125">
        <f t="shared" si="7"/>
        <v>323</v>
      </c>
      <c r="B330" s="253" t="s">
        <v>976</v>
      </c>
      <c r="C330" s="257" t="s">
        <v>1930</v>
      </c>
      <c r="D330" s="258"/>
      <c r="E330" s="261"/>
      <c r="F330" s="353"/>
      <c r="G330" s="123" t="s">
        <v>1458</v>
      </c>
      <c r="I330" s="365"/>
    </row>
    <row r="331" spans="1:9">
      <c r="A331" s="125">
        <f t="shared" si="7"/>
        <v>324</v>
      </c>
      <c r="B331" s="253" t="s">
        <v>1040</v>
      </c>
      <c r="C331" s="257" t="s">
        <v>1931</v>
      </c>
      <c r="D331" s="258"/>
      <c r="E331" s="261"/>
      <c r="F331" s="353"/>
      <c r="G331" s="123" t="s">
        <v>1458</v>
      </c>
      <c r="I331" s="365"/>
    </row>
    <row r="332" spans="1:9" ht="15" customHeight="1">
      <c r="A332" s="125">
        <f t="shared" si="7"/>
        <v>325</v>
      </c>
      <c r="B332" s="253" t="s">
        <v>1042</v>
      </c>
      <c r="C332" s="257" t="s">
        <v>1932</v>
      </c>
      <c r="D332" s="258" t="s">
        <v>1933</v>
      </c>
      <c r="E332" s="261">
        <v>1</v>
      </c>
      <c r="F332" s="353"/>
      <c r="I332" s="365"/>
    </row>
    <row r="333" spans="1:9">
      <c r="A333" s="125">
        <f t="shared" si="7"/>
        <v>326</v>
      </c>
      <c r="B333" s="253"/>
      <c r="D333" s="258" t="s">
        <v>1797</v>
      </c>
      <c r="E333" s="261">
        <v>1</v>
      </c>
      <c r="F333" s="353"/>
      <c r="I333" s="365"/>
    </row>
    <row r="334" spans="1:9">
      <c r="A334" s="125">
        <f t="shared" si="7"/>
        <v>327</v>
      </c>
      <c r="B334" s="253"/>
      <c r="D334" s="258" t="s">
        <v>1934</v>
      </c>
      <c r="E334" s="261">
        <v>1</v>
      </c>
      <c r="F334" s="353"/>
      <c r="I334" s="365"/>
    </row>
    <row r="335" spans="1:9">
      <c r="A335" s="125">
        <f t="shared" si="7"/>
        <v>328</v>
      </c>
      <c r="B335" s="253"/>
      <c r="D335" s="258" t="s">
        <v>1522</v>
      </c>
      <c r="E335" s="261">
        <v>1</v>
      </c>
      <c r="F335" s="353"/>
      <c r="I335" s="365"/>
    </row>
    <row r="336" spans="1:9">
      <c r="A336" s="125">
        <f t="shared" ref="A336:A399" si="8">A335+1</f>
        <v>329</v>
      </c>
      <c r="B336" s="253"/>
      <c r="D336" s="258" t="s">
        <v>1935</v>
      </c>
      <c r="E336" s="261">
        <v>1</v>
      </c>
      <c r="F336" s="353"/>
      <c r="I336" s="365"/>
    </row>
    <row r="337" spans="1:9">
      <c r="A337" s="125">
        <f t="shared" si="8"/>
        <v>330</v>
      </c>
      <c r="B337" s="253" t="s">
        <v>978</v>
      </c>
      <c r="C337" s="257" t="s">
        <v>1936</v>
      </c>
      <c r="D337" s="258"/>
      <c r="E337" s="261"/>
      <c r="F337" s="353"/>
      <c r="G337" s="123" t="s">
        <v>1458</v>
      </c>
      <c r="I337" s="365"/>
    </row>
    <row r="338" spans="1:9">
      <c r="A338" s="125">
        <f t="shared" si="8"/>
        <v>331</v>
      </c>
      <c r="B338" s="253" t="s">
        <v>508</v>
      </c>
      <c r="C338" s="257" t="s">
        <v>1937</v>
      </c>
      <c r="D338" s="258" t="s">
        <v>1938</v>
      </c>
      <c r="E338" s="261">
        <v>1</v>
      </c>
      <c r="F338" s="353"/>
      <c r="I338" s="365"/>
    </row>
    <row r="339" spans="1:9" ht="25.5">
      <c r="A339" s="125">
        <f t="shared" si="8"/>
        <v>332</v>
      </c>
      <c r="B339" s="253" t="s">
        <v>1939</v>
      </c>
      <c r="C339" s="257" t="s">
        <v>1940</v>
      </c>
      <c r="D339" s="258" t="s">
        <v>1941</v>
      </c>
      <c r="E339" s="261">
        <v>1</v>
      </c>
      <c r="F339" s="353"/>
      <c r="I339" s="365"/>
    </row>
    <row r="340" spans="1:9">
      <c r="A340" s="125">
        <f t="shared" si="8"/>
        <v>333</v>
      </c>
      <c r="B340" s="253"/>
      <c r="D340" s="258" t="s">
        <v>1942</v>
      </c>
      <c r="E340" s="261">
        <v>1</v>
      </c>
      <c r="F340" s="353"/>
      <c r="I340" s="365"/>
    </row>
    <row r="341" spans="1:9">
      <c r="A341" s="125">
        <f t="shared" si="8"/>
        <v>334</v>
      </c>
      <c r="B341" s="253"/>
      <c r="D341" s="258" t="s">
        <v>1943</v>
      </c>
      <c r="E341" s="261">
        <v>1</v>
      </c>
      <c r="F341" s="353"/>
      <c r="I341" s="365"/>
    </row>
    <row r="342" spans="1:9">
      <c r="A342" s="125">
        <f t="shared" si="8"/>
        <v>335</v>
      </c>
      <c r="B342" s="253"/>
      <c r="D342" s="258" t="s">
        <v>1944</v>
      </c>
      <c r="E342" s="261">
        <v>1</v>
      </c>
      <c r="F342" s="353"/>
      <c r="I342" s="365"/>
    </row>
    <row r="343" spans="1:9">
      <c r="A343" s="125">
        <f t="shared" si="8"/>
        <v>336</v>
      </c>
      <c r="B343" s="253"/>
      <c r="D343" s="258" t="s">
        <v>1945</v>
      </c>
      <c r="E343" s="261">
        <v>1</v>
      </c>
      <c r="F343" s="353"/>
      <c r="I343" s="365"/>
    </row>
    <row r="344" spans="1:9">
      <c r="A344" s="125">
        <f t="shared" si="8"/>
        <v>337</v>
      </c>
      <c r="B344" s="253"/>
      <c r="D344" s="258" t="s">
        <v>1946</v>
      </c>
      <c r="E344" s="261">
        <v>1</v>
      </c>
      <c r="F344" s="353" t="s">
        <v>1947</v>
      </c>
      <c r="I344" s="365"/>
    </row>
    <row r="345" spans="1:9" ht="15" customHeight="1">
      <c r="A345" s="125">
        <f t="shared" si="8"/>
        <v>338</v>
      </c>
      <c r="B345" s="253" t="s">
        <v>510</v>
      </c>
      <c r="C345" s="257" t="s">
        <v>1948</v>
      </c>
      <c r="D345" s="258" t="s">
        <v>1949</v>
      </c>
      <c r="E345" s="261">
        <v>1</v>
      </c>
      <c r="F345" s="353"/>
      <c r="I345" s="365" t="s">
        <v>1950</v>
      </c>
    </row>
    <row r="346" spans="1:9">
      <c r="A346" s="125">
        <f t="shared" si="8"/>
        <v>339</v>
      </c>
      <c r="B346" s="253"/>
      <c r="D346" s="258" t="s">
        <v>1951</v>
      </c>
      <c r="E346" s="261">
        <v>1</v>
      </c>
      <c r="F346" s="353"/>
      <c r="I346" s="365"/>
    </row>
    <row r="347" spans="1:9">
      <c r="A347" s="125">
        <f t="shared" si="8"/>
        <v>340</v>
      </c>
      <c r="B347" s="253"/>
      <c r="D347" s="258" t="s">
        <v>1952</v>
      </c>
      <c r="E347" s="261">
        <v>1</v>
      </c>
      <c r="F347" s="353"/>
      <c r="I347" s="365"/>
    </row>
    <row r="348" spans="1:9">
      <c r="A348" s="125">
        <f t="shared" si="8"/>
        <v>341</v>
      </c>
      <c r="B348" s="253"/>
      <c r="D348" s="258" t="s">
        <v>1953</v>
      </c>
      <c r="E348" s="261">
        <v>1</v>
      </c>
      <c r="F348" s="353"/>
      <c r="I348" s="365"/>
    </row>
    <row r="349" spans="1:9">
      <c r="A349" s="125">
        <f t="shared" si="8"/>
        <v>342</v>
      </c>
      <c r="B349" s="253"/>
      <c r="D349" s="258" t="s">
        <v>1954</v>
      </c>
      <c r="E349" s="261">
        <v>1</v>
      </c>
      <c r="F349" s="353"/>
      <c r="I349" s="365"/>
    </row>
    <row r="350" spans="1:9">
      <c r="A350" s="125">
        <f t="shared" si="8"/>
        <v>343</v>
      </c>
      <c r="B350" s="253"/>
      <c r="D350" s="258" t="s">
        <v>1955</v>
      </c>
      <c r="E350" s="261">
        <v>1</v>
      </c>
      <c r="F350" s="353"/>
      <c r="I350" s="365"/>
    </row>
    <row r="351" spans="1:9" ht="15.6" customHeight="1">
      <c r="A351" s="125">
        <f t="shared" si="8"/>
        <v>344</v>
      </c>
      <c r="B351" s="253" t="s">
        <v>514</v>
      </c>
      <c r="C351" s="257" t="s">
        <v>1956</v>
      </c>
      <c r="D351" s="258" t="s">
        <v>1957</v>
      </c>
      <c r="E351" s="261">
        <v>1</v>
      </c>
      <c r="F351" s="353"/>
      <c r="G351" s="123" t="s">
        <v>1958</v>
      </c>
      <c r="H351" s="123" t="s">
        <v>1400</v>
      </c>
      <c r="I351" s="365"/>
    </row>
    <row r="352" spans="1:9">
      <c r="A352" s="125">
        <f t="shared" si="8"/>
        <v>345</v>
      </c>
      <c r="B352" s="253"/>
      <c r="D352" s="258" t="s">
        <v>1959</v>
      </c>
      <c r="E352" s="261">
        <v>1</v>
      </c>
      <c r="F352" s="353"/>
      <c r="G352" s="123" t="s">
        <v>1399</v>
      </c>
      <c r="H352" s="123" t="s">
        <v>1400</v>
      </c>
      <c r="I352" s="365"/>
    </row>
    <row r="353" spans="1:9">
      <c r="A353" s="125">
        <f t="shared" si="8"/>
        <v>346</v>
      </c>
      <c r="B353" s="253"/>
      <c r="D353" s="258" t="s">
        <v>1960</v>
      </c>
      <c r="E353" s="261">
        <v>1</v>
      </c>
      <c r="F353" s="353"/>
      <c r="I353" s="365"/>
    </row>
    <row r="354" spans="1:9">
      <c r="A354" s="125">
        <f t="shared" si="8"/>
        <v>347</v>
      </c>
      <c r="B354" s="253"/>
      <c r="D354" s="258" t="s">
        <v>1961</v>
      </c>
      <c r="E354" s="261">
        <v>1</v>
      </c>
      <c r="F354" s="353"/>
      <c r="I354" s="365"/>
    </row>
    <row r="355" spans="1:9">
      <c r="A355" s="125">
        <f t="shared" si="8"/>
        <v>348</v>
      </c>
      <c r="B355" s="253"/>
      <c r="D355" s="258" t="s">
        <v>1962</v>
      </c>
      <c r="E355" s="261">
        <v>1</v>
      </c>
      <c r="F355" s="353"/>
      <c r="I355" s="365"/>
    </row>
    <row r="356" spans="1:9" ht="15.6" customHeight="1">
      <c r="A356" s="125">
        <f t="shared" si="8"/>
        <v>349</v>
      </c>
      <c r="B356" s="253"/>
      <c r="D356" s="258" t="s">
        <v>1963</v>
      </c>
      <c r="E356" s="261">
        <v>1</v>
      </c>
      <c r="F356" s="353"/>
      <c r="I356" s="365"/>
    </row>
    <row r="357" spans="1:9">
      <c r="A357" s="125">
        <f t="shared" si="8"/>
        <v>350</v>
      </c>
      <c r="B357" s="253" t="s">
        <v>516</v>
      </c>
      <c r="C357" s="257" t="s">
        <v>1964</v>
      </c>
      <c r="D357" s="258" t="s">
        <v>1965</v>
      </c>
      <c r="E357" s="261">
        <v>1</v>
      </c>
      <c r="F357" s="353"/>
      <c r="G357" s="123" t="s">
        <v>1966</v>
      </c>
      <c r="H357" s="123" t="s">
        <v>1967</v>
      </c>
      <c r="I357" s="365"/>
    </row>
    <row r="358" spans="1:9">
      <c r="A358" s="125">
        <f t="shared" si="8"/>
        <v>351</v>
      </c>
      <c r="B358" s="253"/>
      <c r="D358" s="258" t="s">
        <v>1968</v>
      </c>
      <c r="E358" s="261">
        <v>1</v>
      </c>
      <c r="F358" s="353"/>
      <c r="I358" s="365"/>
    </row>
    <row r="359" spans="1:9">
      <c r="A359" s="125">
        <f t="shared" si="8"/>
        <v>352</v>
      </c>
      <c r="B359" s="253"/>
      <c r="D359" s="258" t="s">
        <v>1969</v>
      </c>
      <c r="E359" s="261">
        <v>1</v>
      </c>
      <c r="F359" s="353"/>
      <c r="I359" s="365"/>
    </row>
    <row r="360" spans="1:9">
      <c r="A360" s="125">
        <f t="shared" si="8"/>
        <v>353</v>
      </c>
      <c r="B360" s="253"/>
      <c r="D360" s="258" t="s">
        <v>1970</v>
      </c>
      <c r="E360" s="261">
        <v>1</v>
      </c>
      <c r="F360" s="353" t="s">
        <v>1971</v>
      </c>
      <c r="I360" s="365"/>
    </row>
    <row r="361" spans="1:9">
      <c r="A361" s="125">
        <f t="shared" si="8"/>
        <v>354</v>
      </c>
      <c r="B361" s="253"/>
      <c r="D361" s="258" t="s">
        <v>1852</v>
      </c>
      <c r="E361" s="261">
        <v>1</v>
      </c>
      <c r="F361" s="353"/>
      <c r="I361" s="365"/>
    </row>
    <row r="362" spans="1:9">
      <c r="A362" s="125">
        <f t="shared" si="8"/>
        <v>355</v>
      </c>
      <c r="B362" s="253" t="s">
        <v>1129</v>
      </c>
      <c r="C362" s="257" t="s">
        <v>1972</v>
      </c>
      <c r="D362" s="127" t="s">
        <v>1973</v>
      </c>
      <c r="E362" s="261">
        <v>1</v>
      </c>
      <c r="F362" s="353"/>
      <c r="I362" s="365"/>
    </row>
    <row r="363" spans="1:9">
      <c r="A363" s="125">
        <f t="shared" si="8"/>
        <v>356</v>
      </c>
      <c r="B363" s="253"/>
      <c r="D363" s="127" t="s">
        <v>1974</v>
      </c>
      <c r="E363" s="261">
        <v>1</v>
      </c>
      <c r="F363" s="353"/>
      <c r="I363" s="365"/>
    </row>
    <row r="364" spans="1:9">
      <c r="A364" s="125">
        <f t="shared" si="8"/>
        <v>357</v>
      </c>
      <c r="B364" s="253" t="s">
        <v>522</v>
      </c>
      <c r="C364" s="257" t="s">
        <v>1975</v>
      </c>
      <c r="D364" s="127" t="s">
        <v>1976</v>
      </c>
      <c r="E364" s="261">
        <v>1</v>
      </c>
      <c r="F364" s="353"/>
      <c r="I364" s="365"/>
    </row>
    <row r="365" spans="1:9" ht="18" customHeight="1">
      <c r="A365" s="125">
        <f t="shared" si="8"/>
        <v>358</v>
      </c>
      <c r="B365" s="253"/>
      <c r="D365" s="127" t="s">
        <v>1977</v>
      </c>
      <c r="E365" s="261">
        <v>1</v>
      </c>
      <c r="F365" s="353"/>
      <c r="I365" s="365"/>
    </row>
    <row r="366" spans="1:9">
      <c r="A366" s="125">
        <f t="shared" si="8"/>
        <v>359</v>
      </c>
      <c r="B366" s="253" t="s">
        <v>524</v>
      </c>
      <c r="C366" s="257" t="s">
        <v>1978</v>
      </c>
      <c r="D366" s="258" t="s">
        <v>1979</v>
      </c>
      <c r="E366" s="261">
        <v>1</v>
      </c>
      <c r="F366" s="353"/>
      <c r="G366" s="123" t="s">
        <v>1980</v>
      </c>
      <c r="I366" s="365"/>
    </row>
    <row r="367" spans="1:9">
      <c r="A367" s="125">
        <f t="shared" si="8"/>
        <v>360</v>
      </c>
      <c r="B367" s="253"/>
      <c r="D367" s="258" t="s">
        <v>1981</v>
      </c>
      <c r="E367" s="261">
        <v>1</v>
      </c>
      <c r="F367" s="353"/>
      <c r="G367" s="123" t="s">
        <v>1982</v>
      </c>
      <c r="I367" s="365"/>
    </row>
    <row r="368" spans="1:9" ht="25.5">
      <c r="A368" s="125">
        <f t="shared" si="8"/>
        <v>361</v>
      </c>
      <c r="B368" s="253"/>
      <c r="D368" s="258" t="s">
        <v>1375</v>
      </c>
      <c r="E368" s="261" t="s">
        <v>1376</v>
      </c>
      <c r="F368" s="353" t="s">
        <v>1983</v>
      </c>
      <c r="G368" s="123" t="s">
        <v>1984</v>
      </c>
      <c r="I368" s="365"/>
    </row>
    <row r="369" spans="1:9" ht="25.5">
      <c r="A369" s="125">
        <f t="shared" si="8"/>
        <v>362</v>
      </c>
      <c r="B369" s="253"/>
      <c r="D369" s="258" t="s">
        <v>1985</v>
      </c>
      <c r="E369" s="261" t="s">
        <v>1376</v>
      </c>
      <c r="F369" s="353" t="s">
        <v>1986</v>
      </c>
      <c r="I369" s="365"/>
    </row>
    <row r="370" spans="1:9">
      <c r="A370" s="125">
        <f t="shared" si="8"/>
        <v>363</v>
      </c>
      <c r="B370" s="253" t="s">
        <v>982</v>
      </c>
      <c r="C370" s="257" t="s">
        <v>1987</v>
      </c>
      <c r="D370" s="258"/>
      <c r="E370" s="261"/>
      <c r="F370" s="353"/>
      <c r="G370" s="123" t="s">
        <v>1458</v>
      </c>
      <c r="I370" s="365"/>
    </row>
    <row r="371" spans="1:9">
      <c r="A371" s="125">
        <f t="shared" si="8"/>
        <v>364</v>
      </c>
      <c r="B371" s="253" t="s">
        <v>526</v>
      </c>
      <c r="C371" s="257" t="s">
        <v>1988</v>
      </c>
      <c r="D371" s="258" t="s">
        <v>1989</v>
      </c>
      <c r="E371" s="261">
        <v>1</v>
      </c>
      <c r="F371" s="353"/>
      <c r="G371" s="123" t="s">
        <v>1990</v>
      </c>
      <c r="I371" s="365"/>
    </row>
    <row r="372" spans="1:9">
      <c r="A372" s="125">
        <f t="shared" si="8"/>
        <v>365</v>
      </c>
      <c r="B372" s="253"/>
      <c r="D372" s="258"/>
      <c r="E372" s="261"/>
      <c r="F372" s="353"/>
      <c r="G372" s="123" t="s">
        <v>1991</v>
      </c>
      <c r="H372" s="123" t="s">
        <v>1992</v>
      </c>
      <c r="I372" s="365"/>
    </row>
    <row r="373" spans="1:9">
      <c r="A373" s="125">
        <f t="shared" si="8"/>
        <v>366</v>
      </c>
      <c r="B373" s="253" t="s">
        <v>1113</v>
      </c>
      <c r="C373" s="257" t="s">
        <v>1993</v>
      </c>
      <c r="D373" s="258" t="s">
        <v>1994</v>
      </c>
      <c r="E373" s="261" t="s">
        <v>1376</v>
      </c>
      <c r="F373" s="353" t="s">
        <v>1995</v>
      </c>
      <c r="G373" s="123" t="s">
        <v>1996</v>
      </c>
      <c r="I373" s="365"/>
    </row>
    <row r="374" spans="1:9">
      <c r="A374" s="125">
        <f t="shared" si="8"/>
        <v>367</v>
      </c>
      <c r="B374" s="253"/>
      <c r="D374" s="258"/>
      <c r="E374" s="261"/>
      <c r="F374" s="353"/>
      <c r="G374" s="123" t="s">
        <v>1997</v>
      </c>
      <c r="H374" s="123" t="s">
        <v>1422</v>
      </c>
      <c r="I374" s="365"/>
    </row>
    <row r="375" spans="1:9">
      <c r="A375" s="125">
        <f t="shared" si="8"/>
        <v>368</v>
      </c>
      <c r="B375" s="253" t="s">
        <v>528</v>
      </c>
      <c r="C375" s="257" t="s">
        <v>1998</v>
      </c>
      <c r="D375" s="258" t="s">
        <v>1999</v>
      </c>
      <c r="E375" s="261">
        <v>1</v>
      </c>
      <c r="F375" s="353"/>
      <c r="I375" s="365"/>
    </row>
    <row r="376" spans="1:9">
      <c r="A376" s="125">
        <f t="shared" si="8"/>
        <v>369</v>
      </c>
      <c r="B376" s="253"/>
      <c r="D376" s="258" t="s">
        <v>2000</v>
      </c>
      <c r="E376" s="261">
        <v>1</v>
      </c>
      <c r="F376" s="353"/>
      <c r="I376" s="365"/>
    </row>
    <row r="377" spans="1:9">
      <c r="A377" s="125">
        <f t="shared" si="8"/>
        <v>370</v>
      </c>
      <c r="B377" s="253" t="s">
        <v>530</v>
      </c>
      <c r="C377" s="257" t="s">
        <v>2001</v>
      </c>
      <c r="D377" s="258" t="s">
        <v>2002</v>
      </c>
      <c r="E377" s="261">
        <v>1</v>
      </c>
      <c r="F377" s="353"/>
      <c r="G377" s="123" t="s">
        <v>1630</v>
      </c>
      <c r="H377" s="123" t="s">
        <v>1400</v>
      </c>
      <c r="I377" s="365"/>
    </row>
    <row r="378" spans="1:9" ht="16.5" customHeight="1">
      <c r="A378" s="125">
        <f t="shared" si="8"/>
        <v>371</v>
      </c>
      <c r="B378" s="253"/>
      <c r="D378" s="258" t="s">
        <v>2003</v>
      </c>
      <c r="E378" s="261">
        <v>1</v>
      </c>
      <c r="F378" s="353"/>
      <c r="G378" s="123" t="s">
        <v>2004</v>
      </c>
      <c r="H378" s="123" t="s">
        <v>1478</v>
      </c>
      <c r="I378" s="365"/>
    </row>
    <row r="379" spans="1:9">
      <c r="A379" s="125">
        <f t="shared" si="8"/>
        <v>372</v>
      </c>
      <c r="B379" s="253" t="s">
        <v>532</v>
      </c>
      <c r="C379" s="257" t="s">
        <v>2005</v>
      </c>
      <c r="D379" s="258" t="s">
        <v>2006</v>
      </c>
      <c r="E379" s="261">
        <v>1</v>
      </c>
      <c r="F379" s="353"/>
      <c r="I379" s="365"/>
    </row>
    <row r="380" spans="1:9">
      <c r="A380" s="125">
        <f t="shared" si="8"/>
        <v>373</v>
      </c>
      <c r="B380" s="253"/>
      <c r="D380" s="258" t="s">
        <v>1797</v>
      </c>
      <c r="E380" s="261">
        <v>1</v>
      </c>
      <c r="F380" s="353"/>
      <c r="I380" s="365"/>
    </row>
    <row r="381" spans="1:9">
      <c r="A381" s="125">
        <f t="shared" si="8"/>
        <v>374</v>
      </c>
      <c r="B381" s="253"/>
      <c r="D381" s="258" t="s">
        <v>2007</v>
      </c>
      <c r="E381" s="261">
        <v>1</v>
      </c>
      <c r="F381" s="353"/>
      <c r="I381" s="365"/>
    </row>
    <row r="382" spans="1:9">
      <c r="A382" s="125">
        <f t="shared" si="8"/>
        <v>375</v>
      </c>
      <c r="B382" s="253"/>
      <c r="D382" s="258" t="s">
        <v>2008</v>
      </c>
      <c r="E382" s="261">
        <v>1</v>
      </c>
      <c r="F382" s="353"/>
      <c r="I382" s="365"/>
    </row>
    <row r="383" spans="1:9">
      <c r="A383" s="125">
        <f t="shared" si="8"/>
        <v>376</v>
      </c>
      <c r="B383" s="253" t="s">
        <v>536</v>
      </c>
      <c r="C383" s="257" t="s">
        <v>2009</v>
      </c>
      <c r="D383" s="258" t="s">
        <v>2010</v>
      </c>
      <c r="E383" s="261">
        <v>1</v>
      </c>
      <c r="F383" s="353"/>
      <c r="G383" s="123" t="s">
        <v>2011</v>
      </c>
      <c r="H383" s="123" t="s">
        <v>2012</v>
      </c>
      <c r="I383" s="365"/>
    </row>
    <row r="384" spans="1:9">
      <c r="A384" s="125">
        <f t="shared" si="8"/>
        <v>377</v>
      </c>
      <c r="B384" s="253"/>
      <c r="D384" s="258" t="s">
        <v>1624</v>
      </c>
      <c r="E384" s="261" t="s">
        <v>1376</v>
      </c>
      <c r="F384" s="353" t="s">
        <v>2013</v>
      </c>
      <c r="I384" s="365"/>
    </row>
    <row r="385" spans="1:9">
      <c r="A385" s="125">
        <f t="shared" si="8"/>
        <v>378</v>
      </c>
      <c r="B385" s="253"/>
      <c r="D385" s="258" t="s">
        <v>2014</v>
      </c>
      <c r="E385" s="261">
        <v>1</v>
      </c>
      <c r="F385" s="353"/>
      <c r="I385" s="365"/>
    </row>
    <row r="386" spans="1:9">
      <c r="A386" s="125">
        <f t="shared" si="8"/>
        <v>379</v>
      </c>
      <c r="B386" s="253" t="s">
        <v>538</v>
      </c>
      <c r="C386" s="257" t="s">
        <v>2015</v>
      </c>
      <c r="D386" s="258" t="s">
        <v>1517</v>
      </c>
      <c r="E386" s="261">
        <v>1</v>
      </c>
      <c r="F386" s="353"/>
      <c r="I386" s="365"/>
    </row>
    <row r="387" spans="1:9">
      <c r="A387" s="125">
        <f t="shared" si="8"/>
        <v>380</v>
      </c>
      <c r="B387" s="253" t="s">
        <v>540</v>
      </c>
      <c r="C387" s="257" t="s">
        <v>2016</v>
      </c>
      <c r="D387" s="258" t="s">
        <v>2017</v>
      </c>
      <c r="E387" s="261">
        <v>1</v>
      </c>
      <c r="F387" s="353"/>
      <c r="I387" s="365"/>
    </row>
    <row r="388" spans="1:9">
      <c r="A388" s="125">
        <f t="shared" si="8"/>
        <v>381</v>
      </c>
      <c r="B388" s="253"/>
      <c r="D388" s="258" t="s">
        <v>2018</v>
      </c>
      <c r="E388" s="261">
        <v>1</v>
      </c>
      <c r="F388" s="353"/>
      <c r="I388" s="365"/>
    </row>
    <row r="389" spans="1:9">
      <c r="A389" s="125">
        <f t="shared" si="8"/>
        <v>382</v>
      </c>
      <c r="B389" s="253" t="s">
        <v>534</v>
      </c>
      <c r="C389" s="257" t="s">
        <v>2019</v>
      </c>
      <c r="D389" s="258" t="s">
        <v>2020</v>
      </c>
      <c r="E389" s="261">
        <v>1</v>
      </c>
      <c r="F389" s="353"/>
      <c r="I389" s="365"/>
    </row>
    <row r="390" spans="1:9">
      <c r="A390" s="125">
        <f t="shared" si="8"/>
        <v>383</v>
      </c>
      <c r="B390" s="253"/>
      <c r="D390" s="258" t="s">
        <v>2021</v>
      </c>
      <c r="E390" s="261">
        <v>1</v>
      </c>
      <c r="F390" s="353"/>
      <c r="I390" s="365"/>
    </row>
    <row r="391" spans="1:9">
      <c r="A391" s="125">
        <f t="shared" si="8"/>
        <v>384</v>
      </c>
      <c r="B391" s="253"/>
      <c r="D391" s="258" t="s">
        <v>2022</v>
      </c>
      <c r="E391" s="261">
        <v>1</v>
      </c>
      <c r="F391" s="353"/>
      <c r="I391" s="365"/>
    </row>
    <row r="392" spans="1:9">
      <c r="A392" s="125">
        <f t="shared" si="8"/>
        <v>385</v>
      </c>
      <c r="B392" s="253"/>
      <c r="D392" s="258" t="s">
        <v>2023</v>
      </c>
      <c r="E392" s="261">
        <v>1</v>
      </c>
      <c r="F392" s="353"/>
      <c r="I392" s="365"/>
    </row>
    <row r="393" spans="1:9">
      <c r="A393" s="125">
        <f t="shared" si="8"/>
        <v>386</v>
      </c>
      <c r="B393" s="253" t="s">
        <v>542</v>
      </c>
      <c r="C393" s="257" t="s">
        <v>2024</v>
      </c>
      <c r="D393" s="258" t="s">
        <v>2025</v>
      </c>
      <c r="E393" s="261">
        <v>1</v>
      </c>
      <c r="F393" s="353"/>
      <c r="G393" s="123" t="s">
        <v>2026</v>
      </c>
      <c r="I393" s="365"/>
    </row>
    <row r="394" spans="1:9">
      <c r="A394" s="125">
        <f t="shared" si="8"/>
        <v>387</v>
      </c>
      <c r="B394" s="253"/>
      <c r="D394" s="258" t="s">
        <v>2027</v>
      </c>
      <c r="E394" s="261">
        <v>1</v>
      </c>
      <c r="F394" s="353"/>
      <c r="G394" s="123" t="s">
        <v>2028</v>
      </c>
      <c r="H394" s="123" t="s">
        <v>2029</v>
      </c>
      <c r="I394" s="365"/>
    </row>
    <row r="395" spans="1:9">
      <c r="A395" s="125">
        <f t="shared" si="8"/>
        <v>388</v>
      </c>
      <c r="B395" s="253" t="s">
        <v>544</v>
      </c>
      <c r="C395" s="257" t="s">
        <v>2030</v>
      </c>
      <c r="D395" s="258" t="s">
        <v>2031</v>
      </c>
      <c r="E395" s="262">
        <v>1</v>
      </c>
      <c r="F395" s="357" t="s">
        <v>2032</v>
      </c>
      <c r="G395" s="123" t="s">
        <v>2033</v>
      </c>
      <c r="I395" s="365"/>
    </row>
    <row r="396" spans="1:9">
      <c r="A396" s="125">
        <f t="shared" si="8"/>
        <v>389</v>
      </c>
      <c r="B396" s="253" t="s">
        <v>546</v>
      </c>
      <c r="C396" s="257" t="s">
        <v>2034</v>
      </c>
      <c r="D396" s="258" t="s">
        <v>2035</v>
      </c>
      <c r="E396" s="262">
        <v>1</v>
      </c>
      <c r="F396" s="358"/>
      <c r="G396" s="123" t="s">
        <v>2036</v>
      </c>
      <c r="I396" s="365"/>
    </row>
    <row r="397" spans="1:9">
      <c r="A397" s="125">
        <f t="shared" si="8"/>
        <v>390</v>
      </c>
      <c r="B397" s="253"/>
      <c r="D397" s="258" t="s">
        <v>2037</v>
      </c>
      <c r="E397" s="262">
        <v>1</v>
      </c>
      <c r="F397" s="358" t="s">
        <v>2032</v>
      </c>
      <c r="I397" s="365"/>
    </row>
    <row r="398" spans="1:9">
      <c r="A398" s="125">
        <f t="shared" si="8"/>
        <v>391</v>
      </c>
      <c r="B398" s="253" t="s">
        <v>548</v>
      </c>
      <c r="C398" s="257" t="s">
        <v>2038</v>
      </c>
      <c r="D398" s="258" t="s">
        <v>2039</v>
      </c>
      <c r="E398" s="261">
        <v>1</v>
      </c>
      <c r="F398" s="353"/>
      <c r="G398" s="123" t="s">
        <v>2040</v>
      </c>
      <c r="I398" s="365"/>
    </row>
    <row r="399" spans="1:9">
      <c r="A399" s="125">
        <f t="shared" si="8"/>
        <v>392</v>
      </c>
      <c r="B399" s="253"/>
      <c r="D399" s="258" t="s">
        <v>2041</v>
      </c>
      <c r="E399" s="261">
        <v>1</v>
      </c>
      <c r="F399" s="353"/>
      <c r="G399" s="123" t="s">
        <v>2042</v>
      </c>
      <c r="H399" s="123" t="s">
        <v>2043</v>
      </c>
      <c r="I399" s="365"/>
    </row>
    <row r="400" spans="1:9">
      <c r="A400" s="125">
        <f t="shared" ref="A400:A463" si="9">A399+1</f>
        <v>393</v>
      </c>
      <c r="B400" s="253"/>
      <c r="D400" s="258"/>
      <c r="E400" s="261"/>
      <c r="F400" s="353"/>
      <c r="G400" s="123" t="s">
        <v>2044</v>
      </c>
      <c r="H400" s="123" t="s">
        <v>2045</v>
      </c>
      <c r="I400" s="365"/>
    </row>
    <row r="401" spans="1:9" ht="25.5">
      <c r="A401" s="125">
        <f t="shared" si="9"/>
        <v>394</v>
      </c>
      <c r="B401" s="253" t="s">
        <v>554</v>
      </c>
      <c r="C401" s="257" t="s">
        <v>2046</v>
      </c>
      <c r="D401" s="258" t="s">
        <v>2047</v>
      </c>
      <c r="E401" s="261">
        <v>1</v>
      </c>
      <c r="F401" s="353"/>
      <c r="G401" s="123" t="s">
        <v>2048</v>
      </c>
      <c r="I401" s="365"/>
    </row>
    <row r="402" spans="1:9">
      <c r="A402" s="125">
        <f t="shared" si="9"/>
        <v>395</v>
      </c>
      <c r="B402" s="253"/>
      <c r="D402" s="258" t="s">
        <v>2049</v>
      </c>
      <c r="E402" s="261">
        <v>1</v>
      </c>
      <c r="F402" s="353"/>
      <c r="I402" s="365"/>
    </row>
    <row r="403" spans="1:9">
      <c r="A403" s="125">
        <f t="shared" si="9"/>
        <v>396</v>
      </c>
      <c r="B403" s="253"/>
      <c r="D403" s="258" t="s">
        <v>2050</v>
      </c>
      <c r="E403" s="261">
        <v>1</v>
      </c>
      <c r="F403" s="353"/>
      <c r="I403" s="365"/>
    </row>
    <row r="404" spans="1:9">
      <c r="A404" s="125">
        <f t="shared" si="9"/>
        <v>397</v>
      </c>
      <c r="B404" s="253"/>
      <c r="D404" s="258" t="s">
        <v>2051</v>
      </c>
      <c r="E404" s="261">
        <v>1</v>
      </c>
      <c r="F404" s="353"/>
      <c r="I404" s="365"/>
    </row>
    <row r="405" spans="1:9" ht="25.5">
      <c r="A405" s="125">
        <f t="shared" si="9"/>
        <v>398</v>
      </c>
      <c r="B405" s="253"/>
      <c r="D405" s="258" t="s">
        <v>2052</v>
      </c>
      <c r="E405" s="261" t="s">
        <v>2053</v>
      </c>
      <c r="F405" s="353" t="s">
        <v>2054</v>
      </c>
      <c r="I405" s="365"/>
    </row>
    <row r="406" spans="1:9">
      <c r="A406" s="125">
        <f t="shared" si="9"/>
        <v>399</v>
      </c>
      <c r="B406" s="253"/>
      <c r="D406" s="258" t="s">
        <v>2055</v>
      </c>
      <c r="E406" s="261">
        <v>1</v>
      </c>
      <c r="F406" s="353"/>
      <c r="I406" s="365"/>
    </row>
    <row r="407" spans="1:9">
      <c r="A407" s="125">
        <f t="shared" si="9"/>
        <v>400</v>
      </c>
      <c r="B407" s="253"/>
      <c r="D407" s="258" t="s">
        <v>2056</v>
      </c>
      <c r="E407" s="261">
        <v>1</v>
      </c>
      <c r="F407" s="353"/>
      <c r="I407" s="365"/>
    </row>
    <row r="408" spans="1:9" ht="17.25" customHeight="1">
      <c r="A408" s="125">
        <f t="shared" si="9"/>
        <v>401</v>
      </c>
      <c r="B408" s="253"/>
      <c r="D408" s="258" t="s">
        <v>2057</v>
      </c>
      <c r="E408" s="261">
        <v>1</v>
      </c>
      <c r="F408" s="353"/>
      <c r="I408" s="365"/>
    </row>
    <row r="409" spans="1:9">
      <c r="A409" s="125">
        <f t="shared" si="9"/>
        <v>402</v>
      </c>
      <c r="B409" s="253"/>
      <c r="D409" s="258" t="s">
        <v>2058</v>
      </c>
      <c r="E409" s="261" t="s">
        <v>1376</v>
      </c>
      <c r="F409" s="260" t="s">
        <v>2059</v>
      </c>
      <c r="I409" s="365"/>
    </row>
    <row r="410" spans="1:9">
      <c r="A410" s="125">
        <f t="shared" si="9"/>
        <v>403</v>
      </c>
      <c r="B410" s="253"/>
      <c r="D410" s="258" t="s">
        <v>2060</v>
      </c>
      <c r="E410" s="261" t="s">
        <v>1376</v>
      </c>
      <c r="F410" s="353" t="s">
        <v>2061</v>
      </c>
      <c r="I410" s="365"/>
    </row>
    <row r="411" spans="1:9">
      <c r="A411" s="125">
        <f t="shared" si="9"/>
        <v>404</v>
      </c>
      <c r="B411" s="253" t="s">
        <v>550</v>
      </c>
      <c r="C411" s="257" t="s">
        <v>2062</v>
      </c>
      <c r="D411" s="258" t="s">
        <v>2063</v>
      </c>
      <c r="E411" s="261">
        <v>1</v>
      </c>
      <c r="F411" s="353"/>
      <c r="I411" s="365"/>
    </row>
    <row r="412" spans="1:9">
      <c r="A412" s="125">
        <f t="shared" si="9"/>
        <v>405</v>
      </c>
      <c r="B412" s="253"/>
      <c r="D412" s="258" t="s">
        <v>2064</v>
      </c>
      <c r="E412" s="261">
        <v>1</v>
      </c>
      <c r="F412" s="353"/>
      <c r="I412" s="365"/>
    </row>
    <row r="413" spans="1:9">
      <c r="A413" s="125">
        <f t="shared" si="9"/>
        <v>406</v>
      </c>
      <c r="B413" s="253" t="s">
        <v>552</v>
      </c>
      <c r="C413" s="257" t="s">
        <v>2065</v>
      </c>
      <c r="D413" s="258" t="s">
        <v>1830</v>
      </c>
      <c r="E413" s="261">
        <v>1</v>
      </c>
      <c r="F413" s="353"/>
      <c r="I413" s="365"/>
    </row>
    <row r="414" spans="1:9">
      <c r="A414" s="125">
        <f t="shared" si="9"/>
        <v>407</v>
      </c>
      <c r="B414" s="253" t="s">
        <v>556</v>
      </c>
      <c r="C414" s="257" t="s">
        <v>2066</v>
      </c>
      <c r="D414" s="258" t="s">
        <v>2067</v>
      </c>
      <c r="E414" s="261">
        <v>1</v>
      </c>
      <c r="F414" s="353"/>
      <c r="G414" s="123" t="s">
        <v>1477</v>
      </c>
      <c r="H414" s="123" t="s">
        <v>1478</v>
      </c>
      <c r="I414" s="365"/>
    </row>
    <row r="415" spans="1:9">
      <c r="A415" s="125">
        <f t="shared" si="9"/>
        <v>408</v>
      </c>
      <c r="B415" s="253"/>
      <c r="D415" s="258" t="s">
        <v>2068</v>
      </c>
      <c r="E415" s="261">
        <v>1</v>
      </c>
      <c r="F415" s="353"/>
      <c r="I415" s="365"/>
    </row>
    <row r="416" spans="1:9">
      <c r="A416" s="125">
        <f t="shared" si="9"/>
        <v>409</v>
      </c>
      <c r="B416" s="253"/>
      <c r="D416" s="258" t="s">
        <v>2069</v>
      </c>
      <c r="E416" s="261">
        <v>1</v>
      </c>
      <c r="F416" s="353"/>
      <c r="I416" s="365"/>
    </row>
    <row r="417" spans="1:9">
      <c r="A417" s="125">
        <f t="shared" si="9"/>
        <v>410</v>
      </c>
      <c r="B417" s="253"/>
      <c r="D417" s="258" t="s">
        <v>2070</v>
      </c>
      <c r="E417" s="261">
        <v>1</v>
      </c>
      <c r="F417" s="353"/>
      <c r="I417" s="365"/>
    </row>
    <row r="418" spans="1:9">
      <c r="A418" s="125">
        <f t="shared" si="9"/>
        <v>411</v>
      </c>
      <c r="B418" s="253"/>
      <c r="D418" s="258" t="s">
        <v>2071</v>
      </c>
      <c r="E418" s="261">
        <v>1</v>
      </c>
      <c r="F418" s="353"/>
      <c r="I418" s="365"/>
    </row>
    <row r="419" spans="1:9">
      <c r="A419" s="125">
        <f t="shared" si="9"/>
        <v>412</v>
      </c>
      <c r="B419" s="253"/>
      <c r="D419" s="258" t="s">
        <v>2072</v>
      </c>
      <c r="E419" s="261">
        <v>1</v>
      </c>
      <c r="F419" s="353"/>
      <c r="I419" s="365"/>
    </row>
    <row r="420" spans="1:9">
      <c r="A420" s="125">
        <f t="shared" si="9"/>
        <v>413</v>
      </c>
      <c r="B420" s="253"/>
      <c r="D420" s="258" t="s">
        <v>2073</v>
      </c>
      <c r="E420" s="261">
        <v>1</v>
      </c>
      <c r="F420" s="353"/>
      <c r="I420" s="365"/>
    </row>
    <row r="421" spans="1:9">
      <c r="A421" s="125">
        <f t="shared" si="9"/>
        <v>414</v>
      </c>
      <c r="B421" s="253"/>
      <c r="D421" s="258" t="s">
        <v>2074</v>
      </c>
      <c r="E421" s="261">
        <v>1</v>
      </c>
      <c r="F421" s="353"/>
      <c r="I421" s="365"/>
    </row>
    <row r="422" spans="1:9">
      <c r="A422" s="125">
        <f t="shared" si="9"/>
        <v>415</v>
      </c>
      <c r="B422" s="253" t="s">
        <v>558</v>
      </c>
      <c r="C422" s="257" t="s">
        <v>2075</v>
      </c>
      <c r="D422" s="258" t="s">
        <v>2076</v>
      </c>
      <c r="E422" s="261">
        <v>1</v>
      </c>
      <c r="F422" s="353"/>
      <c r="G422" s="123" t="s">
        <v>2077</v>
      </c>
      <c r="H422" s="123" t="s">
        <v>2078</v>
      </c>
      <c r="I422" s="365"/>
    </row>
    <row r="423" spans="1:9">
      <c r="A423" s="125">
        <f t="shared" si="9"/>
        <v>416</v>
      </c>
      <c r="B423" s="253"/>
      <c r="D423" s="258" t="s">
        <v>2079</v>
      </c>
      <c r="E423" s="261">
        <v>1</v>
      </c>
      <c r="F423" s="353"/>
      <c r="I423" s="365"/>
    </row>
    <row r="424" spans="1:9">
      <c r="A424" s="125">
        <f t="shared" si="9"/>
        <v>417</v>
      </c>
      <c r="B424" s="253" t="s">
        <v>2080</v>
      </c>
      <c r="C424" s="257" t="s">
        <v>2081</v>
      </c>
      <c r="D424" s="123" t="s">
        <v>2082</v>
      </c>
      <c r="E424" s="261">
        <v>1</v>
      </c>
      <c r="F424" s="353"/>
      <c r="G424" s="123" t="s">
        <v>2083</v>
      </c>
      <c r="I424" s="365"/>
    </row>
    <row r="425" spans="1:9">
      <c r="A425" s="125">
        <f t="shared" si="9"/>
        <v>418</v>
      </c>
      <c r="B425" s="253"/>
      <c r="E425" s="261"/>
      <c r="F425" s="353"/>
      <c r="G425" s="123" t="s">
        <v>2084</v>
      </c>
      <c r="H425" s="123" t="s">
        <v>2085</v>
      </c>
      <c r="I425" s="365"/>
    </row>
    <row r="426" spans="1:9" ht="15" customHeight="1">
      <c r="A426" s="125">
        <f t="shared" si="9"/>
        <v>419</v>
      </c>
      <c r="B426" s="253" t="s">
        <v>560</v>
      </c>
      <c r="C426" s="257" t="s">
        <v>2086</v>
      </c>
      <c r="D426" s="258" t="s">
        <v>2087</v>
      </c>
      <c r="E426" s="261">
        <v>1</v>
      </c>
      <c r="F426" s="353"/>
      <c r="I426" s="365" t="s">
        <v>2088</v>
      </c>
    </row>
    <row r="427" spans="1:9">
      <c r="A427" s="125">
        <f t="shared" si="9"/>
        <v>420</v>
      </c>
      <c r="B427" s="253"/>
      <c r="D427" s="258" t="s">
        <v>2089</v>
      </c>
      <c r="E427" s="261">
        <v>1</v>
      </c>
      <c r="F427" s="353"/>
      <c r="I427" s="365"/>
    </row>
    <row r="428" spans="1:9">
      <c r="A428" s="125">
        <f t="shared" si="9"/>
        <v>421</v>
      </c>
      <c r="B428" s="253"/>
      <c r="D428" s="258" t="s">
        <v>2090</v>
      </c>
      <c r="E428" s="261">
        <v>1</v>
      </c>
      <c r="F428" s="353"/>
      <c r="I428" s="365"/>
    </row>
    <row r="429" spans="1:9">
      <c r="A429" s="125">
        <f t="shared" si="9"/>
        <v>422</v>
      </c>
      <c r="B429" s="253"/>
      <c r="D429" s="258" t="s">
        <v>2091</v>
      </c>
      <c r="E429" s="261">
        <v>1</v>
      </c>
      <c r="F429" s="353"/>
      <c r="I429" s="365"/>
    </row>
    <row r="430" spans="1:9">
      <c r="A430" s="125">
        <f t="shared" si="9"/>
        <v>423</v>
      </c>
      <c r="B430" s="253"/>
      <c r="D430" s="258" t="s">
        <v>1814</v>
      </c>
      <c r="E430" s="261">
        <v>1</v>
      </c>
      <c r="F430" s="353"/>
      <c r="I430" s="365"/>
    </row>
    <row r="431" spans="1:9">
      <c r="A431" s="125">
        <f t="shared" si="9"/>
        <v>424</v>
      </c>
      <c r="B431" s="253"/>
      <c r="D431" s="258" t="s">
        <v>2092</v>
      </c>
      <c r="E431" s="261">
        <v>1</v>
      </c>
      <c r="F431" s="353"/>
      <c r="I431" s="365"/>
    </row>
    <row r="432" spans="1:9">
      <c r="A432" s="125">
        <f t="shared" si="9"/>
        <v>425</v>
      </c>
      <c r="B432" s="253" t="s">
        <v>562</v>
      </c>
      <c r="C432" s="257" t="s">
        <v>2093</v>
      </c>
      <c r="D432" s="258" t="s">
        <v>2094</v>
      </c>
      <c r="E432" s="261">
        <v>1</v>
      </c>
      <c r="F432" s="353"/>
      <c r="G432" s="123" t="s">
        <v>2004</v>
      </c>
      <c r="H432" s="123" t="s">
        <v>1478</v>
      </c>
      <c r="I432" s="365"/>
    </row>
    <row r="433" spans="1:9" ht="15.6" customHeight="1">
      <c r="A433" s="125">
        <f t="shared" si="9"/>
        <v>426</v>
      </c>
      <c r="B433" s="253" t="s">
        <v>566</v>
      </c>
      <c r="C433" s="257" t="s">
        <v>2095</v>
      </c>
      <c r="D433" s="258" t="s">
        <v>2096</v>
      </c>
      <c r="E433" s="261">
        <v>1</v>
      </c>
      <c r="F433" s="353"/>
      <c r="G433" s="123" t="s">
        <v>2097</v>
      </c>
      <c r="H433" s="123" t="s">
        <v>2098</v>
      </c>
      <c r="I433" s="365" t="s">
        <v>2099</v>
      </c>
    </row>
    <row r="434" spans="1:9">
      <c r="A434" s="125">
        <f t="shared" si="9"/>
        <v>427</v>
      </c>
      <c r="B434" s="253"/>
      <c r="D434" s="258" t="s">
        <v>2420</v>
      </c>
      <c r="E434" s="261">
        <v>2</v>
      </c>
      <c r="F434" s="353" t="s">
        <v>2100</v>
      </c>
      <c r="I434" s="365"/>
    </row>
    <row r="435" spans="1:9">
      <c r="A435" s="125">
        <f t="shared" si="9"/>
        <v>428</v>
      </c>
      <c r="B435" s="253"/>
      <c r="D435" s="258" t="s">
        <v>2421</v>
      </c>
      <c r="E435" s="261">
        <v>2</v>
      </c>
      <c r="F435" s="353" t="s">
        <v>2100</v>
      </c>
      <c r="I435" s="365"/>
    </row>
    <row r="436" spans="1:9">
      <c r="A436" s="125">
        <f t="shared" si="9"/>
        <v>429</v>
      </c>
      <c r="B436" s="253" t="s">
        <v>564</v>
      </c>
      <c r="C436" s="257" t="s">
        <v>2101</v>
      </c>
      <c r="D436" s="258" t="s">
        <v>2102</v>
      </c>
      <c r="E436" s="261">
        <v>1</v>
      </c>
      <c r="F436" s="353"/>
      <c r="G436" s="123" t="s">
        <v>2103</v>
      </c>
      <c r="I436" s="365"/>
    </row>
    <row r="437" spans="1:9" ht="15" customHeight="1">
      <c r="A437" s="125">
        <f t="shared" si="9"/>
        <v>430</v>
      </c>
      <c r="B437" s="253"/>
      <c r="D437" s="258" t="s">
        <v>2104</v>
      </c>
      <c r="E437" s="261">
        <v>1</v>
      </c>
      <c r="F437" s="353"/>
      <c r="I437" s="365"/>
    </row>
    <row r="438" spans="1:9" ht="16.149999999999999" customHeight="1">
      <c r="A438" s="125">
        <f t="shared" si="9"/>
        <v>431</v>
      </c>
      <c r="B438" s="253"/>
      <c r="D438" s="258" t="s">
        <v>2105</v>
      </c>
      <c r="E438" s="261">
        <v>1</v>
      </c>
      <c r="F438" s="353"/>
      <c r="I438" s="365"/>
    </row>
    <row r="439" spans="1:9">
      <c r="A439" s="125">
        <f t="shared" si="9"/>
        <v>432</v>
      </c>
      <c r="B439" s="253"/>
      <c r="D439" s="258" t="s">
        <v>2106</v>
      </c>
      <c r="E439" s="261">
        <v>1</v>
      </c>
      <c r="F439" s="353"/>
      <c r="I439" s="365"/>
    </row>
    <row r="440" spans="1:9" ht="17.25" customHeight="1">
      <c r="A440" s="125">
        <f t="shared" si="9"/>
        <v>433</v>
      </c>
      <c r="B440" s="253" t="s">
        <v>568</v>
      </c>
      <c r="C440" s="257" t="s">
        <v>2107</v>
      </c>
      <c r="D440" s="258" t="s">
        <v>2108</v>
      </c>
      <c r="E440" s="261">
        <v>1</v>
      </c>
      <c r="F440" s="353"/>
      <c r="G440" s="123" t="s">
        <v>2109</v>
      </c>
      <c r="H440" s="123" t="s">
        <v>2110</v>
      </c>
      <c r="I440" s="365"/>
    </row>
    <row r="441" spans="1:9">
      <c r="A441" s="125">
        <f t="shared" si="9"/>
        <v>434</v>
      </c>
      <c r="B441" s="253"/>
      <c r="D441" s="258" t="s">
        <v>2111</v>
      </c>
      <c r="E441" s="261">
        <v>1</v>
      </c>
      <c r="F441" s="353"/>
      <c r="I441" s="365"/>
    </row>
    <row r="442" spans="1:9">
      <c r="A442" s="125">
        <f t="shared" si="9"/>
        <v>435</v>
      </c>
      <c r="B442" s="253"/>
      <c r="D442" s="258" t="s">
        <v>2112</v>
      </c>
      <c r="E442" s="261">
        <v>1</v>
      </c>
      <c r="F442" s="353"/>
      <c r="I442" s="365"/>
    </row>
    <row r="443" spans="1:9">
      <c r="A443" s="125">
        <f t="shared" si="9"/>
        <v>436</v>
      </c>
      <c r="B443" s="253" t="s">
        <v>984</v>
      </c>
      <c r="C443" s="257" t="s">
        <v>2113</v>
      </c>
      <c r="D443" s="258"/>
      <c r="E443" s="261"/>
      <c r="F443" s="353"/>
      <c r="G443" s="123" t="s">
        <v>1458</v>
      </c>
      <c r="I443" s="365"/>
    </row>
    <row r="444" spans="1:9">
      <c r="A444" s="125">
        <f t="shared" si="9"/>
        <v>437</v>
      </c>
      <c r="B444" s="253" t="s">
        <v>2114</v>
      </c>
      <c r="C444" s="257" t="s">
        <v>2115</v>
      </c>
      <c r="D444" s="258"/>
      <c r="E444" s="261"/>
      <c r="F444" s="353"/>
      <c r="G444" s="123" t="s">
        <v>1458</v>
      </c>
      <c r="I444" s="365"/>
    </row>
    <row r="445" spans="1:9" ht="25.5">
      <c r="A445" s="125">
        <f t="shared" si="9"/>
        <v>438</v>
      </c>
      <c r="B445" s="253" t="s">
        <v>572</v>
      </c>
      <c r="C445" s="257" t="s">
        <v>2116</v>
      </c>
      <c r="D445" s="258" t="s">
        <v>2117</v>
      </c>
      <c r="E445" s="261">
        <v>1</v>
      </c>
      <c r="F445" s="353"/>
      <c r="G445" s="123" t="s">
        <v>2118</v>
      </c>
      <c r="I445" s="365"/>
    </row>
    <row r="446" spans="1:9">
      <c r="A446" s="125">
        <f t="shared" si="9"/>
        <v>439</v>
      </c>
      <c r="B446" s="253"/>
      <c r="D446" s="258" t="s">
        <v>2119</v>
      </c>
      <c r="E446" s="261">
        <v>1</v>
      </c>
      <c r="F446" s="353"/>
      <c r="G446" s="123" t="s">
        <v>2120</v>
      </c>
      <c r="H446" s="123" t="s">
        <v>2121</v>
      </c>
      <c r="I446" s="365"/>
    </row>
    <row r="447" spans="1:9">
      <c r="A447" s="125">
        <f t="shared" si="9"/>
        <v>440</v>
      </c>
      <c r="B447" s="253"/>
      <c r="D447" s="258"/>
      <c r="E447" s="261"/>
      <c r="F447" s="353"/>
      <c r="G447" s="123" t="s">
        <v>2122</v>
      </c>
      <c r="H447" s="123" t="s">
        <v>2123</v>
      </c>
      <c r="I447" s="365"/>
    </row>
    <row r="448" spans="1:9">
      <c r="A448" s="125">
        <f t="shared" si="9"/>
        <v>441</v>
      </c>
      <c r="B448" s="253" t="s">
        <v>574</v>
      </c>
      <c r="C448" s="257" t="s">
        <v>2124</v>
      </c>
      <c r="D448" s="258" t="s">
        <v>2125</v>
      </c>
      <c r="E448" s="261">
        <v>1</v>
      </c>
      <c r="F448" s="353"/>
      <c r="G448" s="123" t="s">
        <v>2126</v>
      </c>
      <c r="H448" s="123" t="s">
        <v>2127</v>
      </c>
      <c r="I448" s="365"/>
    </row>
    <row r="449" spans="1:9">
      <c r="A449" s="125">
        <f t="shared" si="9"/>
        <v>442</v>
      </c>
      <c r="B449" s="253"/>
      <c r="D449" s="258" t="s">
        <v>2128</v>
      </c>
      <c r="E449" s="261">
        <v>1</v>
      </c>
      <c r="F449" s="353"/>
      <c r="G449" s="123" t="s">
        <v>2129</v>
      </c>
      <c r="I449" s="365"/>
    </row>
    <row r="450" spans="1:9">
      <c r="A450" s="125">
        <f t="shared" si="9"/>
        <v>443</v>
      </c>
      <c r="B450" s="253"/>
      <c r="D450" s="258"/>
      <c r="E450" s="261"/>
      <c r="F450" s="353"/>
      <c r="G450" s="123" t="s">
        <v>2130</v>
      </c>
      <c r="I450" s="365"/>
    </row>
    <row r="451" spans="1:9">
      <c r="A451" s="125">
        <f t="shared" si="9"/>
        <v>444</v>
      </c>
      <c r="B451" s="253"/>
      <c r="D451" s="258"/>
      <c r="E451" s="261"/>
      <c r="F451" s="353"/>
      <c r="G451" s="123" t="s">
        <v>2131</v>
      </c>
      <c r="I451" s="365"/>
    </row>
    <row r="452" spans="1:9">
      <c r="A452" s="125">
        <f t="shared" si="9"/>
        <v>445</v>
      </c>
      <c r="B452" s="253"/>
      <c r="D452" s="258"/>
      <c r="E452" s="261"/>
      <c r="F452" s="353"/>
      <c r="I452" s="365"/>
    </row>
    <row r="453" spans="1:9">
      <c r="A453" s="125">
        <f t="shared" si="9"/>
        <v>446</v>
      </c>
      <c r="B453" s="253"/>
      <c r="C453" s="263" t="s">
        <v>2132</v>
      </c>
      <c r="D453" s="258"/>
      <c r="E453" s="261"/>
      <c r="F453" s="353"/>
      <c r="I453" s="365"/>
    </row>
    <row r="454" spans="1:9">
      <c r="A454" s="125">
        <f t="shared" si="9"/>
        <v>447</v>
      </c>
      <c r="B454" s="253"/>
      <c r="C454" s="264" t="s">
        <v>119</v>
      </c>
      <c r="D454" s="258"/>
      <c r="E454" s="261">
        <v>1</v>
      </c>
      <c r="F454" s="353"/>
      <c r="I454" s="365"/>
    </row>
    <row r="455" spans="1:9">
      <c r="A455" s="125">
        <f t="shared" si="9"/>
        <v>448</v>
      </c>
      <c r="B455" s="253"/>
      <c r="C455" s="264" t="s">
        <v>117</v>
      </c>
      <c r="D455" s="258"/>
      <c r="E455" s="261">
        <v>1</v>
      </c>
      <c r="F455" s="353"/>
      <c r="I455" s="365"/>
    </row>
    <row r="456" spans="1:9">
      <c r="A456" s="125">
        <f t="shared" si="9"/>
        <v>449</v>
      </c>
      <c r="B456" s="253"/>
      <c r="C456" s="264" t="s">
        <v>121</v>
      </c>
      <c r="D456" s="258"/>
      <c r="E456" s="261">
        <v>1</v>
      </c>
      <c r="F456" s="353"/>
      <c r="I456" s="365"/>
    </row>
    <row r="457" spans="1:9">
      <c r="A457" s="125">
        <f t="shared" si="9"/>
        <v>450</v>
      </c>
      <c r="B457" s="253"/>
      <c r="C457" s="264" t="s">
        <v>123</v>
      </c>
      <c r="D457" s="258"/>
      <c r="E457" s="261">
        <v>1</v>
      </c>
      <c r="F457" s="353"/>
      <c r="I457" s="365"/>
    </row>
    <row r="458" spans="1:9">
      <c r="A458" s="125">
        <f t="shared" si="9"/>
        <v>451</v>
      </c>
      <c r="B458" s="253"/>
      <c r="C458" s="264" t="s">
        <v>125</v>
      </c>
      <c r="D458" s="258"/>
      <c r="E458" s="261">
        <v>1</v>
      </c>
      <c r="F458" s="353"/>
      <c r="I458" s="365"/>
    </row>
    <row r="459" spans="1:9" ht="15.75" customHeight="1">
      <c r="A459" s="125">
        <f t="shared" si="9"/>
        <v>452</v>
      </c>
      <c r="B459" s="253"/>
      <c r="C459" s="264" t="s">
        <v>127</v>
      </c>
      <c r="D459" s="258"/>
      <c r="E459" s="261">
        <v>1</v>
      </c>
      <c r="F459" s="353"/>
      <c r="I459" s="365"/>
    </row>
    <row r="460" spans="1:9" ht="15.75" customHeight="1">
      <c r="A460" s="125">
        <f t="shared" si="9"/>
        <v>453</v>
      </c>
      <c r="B460" s="253"/>
      <c r="C460" s="264" t="s">
        <v>129</v>
      </c>
      <c r="D460" s="258"/>
      <c r="E460" s="261">
        <v>1</v>
      </c>
      <c r="F460" s="353"/>
      <c r="I460" s="365"/>
    </row>
    <row r="461" spans="1:9">
      <c r="A461" s="125">
        <f t="shared" si="9"/>
        <v>454</v>
      </c>
      <c r="B461" s="253"/>
      <c r="C461" s="264" t="s">
        <v>131</v>
      </c>
      <c r="D461" s="258"/>
      <c r="E461" s="261">
        <v>1</v>
      </c>
      <c r="F461" s="353"/>
      <c r="I461" s="365"/>
    </row>
    <row r="462" spans="1:9">
      <c r="A462" s="125">
        <f t="shared" si="9"/>
        <v>455</v>
      </c>
      <c r="B462" s="253"/>
      <c r="C462" s="264" t="s">
        <v>133</v>
      </c>
      <c r="D462" s="258"/>
      <c r="E462" s="261">
        <v>1</v>
      </c>
      <c r="F462" s="353"/>
      <c r="I462" s="365"/>
    </row>
    <row r="463" spans="1:9">
      <c r="A463" s="125">
        <f t="shared" si="9"/>
        <v>456</v>
      </c>
      <c r="B463" s="253"/>
      <c r="C463" s="264" t="s">
        <v>135</v>
      </c>
      <c r="D463" s="258"/>
      <c r="E463" s="261">
        <v>1</v>
      </c>
      <c r="F463" s="353"/>
      <c r="I463" s="365"/>
    </row>
    <row r="464" spans="1:9">
      <c r="A464" s="125">
        <f t="shared" ref="A464:A527" si="10">A463+1</f>
        <v>457</v>
      </c>
      <c r="B464" s="253"/>
      <c r="C464" s="264" t="s">
        <v>137</v>
      </c>
      <c r="D464" s="258"/>
      <c r="E464" s="261">
        <v>1</v>
      </c>
      <c r="F464" s="353"/>
      <c r="I464" s="365"/>
    </row>
    <row r="465" spans="1:9">
      <c r="A465" s="125">
        <f t="shared" si="10"/>
        <v>458</v>
      </c>
      <c r="B465" s="253"/>
      <c r="C465" s="264" t="s">
        <v>139</v>
      </c>
      <c r="D465" s="258"/>
      <c r="E465" s="261">
        <v>1</v>
      </c>
      <c r="F465" s="353"/>
      <c r="I465" s="365"/>
    </row>
    <row r="466" spans="1:9" ht="16.5" customHeight="1">
      <c r="A466" s="125">
        <f t="shared" si="10"/>
        <v>459</v>
      </c>
      <c r="B466" s="253"/>
      <c r="C466" s="264" t="s">
        <v>2133</v>
      </c>
      <c r="D466" s="258"/>
      <c r="E466" s="261">
        <v>1</v>
      </c>
      <c r="F466" s="353"/>
      <c r="I466" s="365"/>
    </row>
    <row r="467" spans="1:9">
      <c r="A467" s="125">
        <f t="shared" si="10"/>
        <v>460</v>
      </c>
      <c r="B467" s="253"/>
      <c r="C467" s="264" t="s">
        <v>141</v>
      </c>
      <c r="D467" s="258"/>
      <c r="E467" s="261">
        <v>1</v>
      </c>
      <c r="F467" s="353"/>
      <c r="I467" s="365"/>
    </row>
    <row r="468" spans="1:9">
      <c r="A468" s="125">
        <f t="shared" si="10"/>
        <v>461</v>
      </c>
      <c r="B468" s="253"/>
      <c r="C468" s="264" t="s">
        <v>143</v>
      </c>
      <c r="D468" s="258"/>
      <c r="E468" s="261">
        <v>1</v>
      </c>
      <c r="F468" s="353"/>
      <c r="I468" s="365"/>
    </row>
    <row r="469" spans="1:9">
      <c r="A469" s="125">
        <f t="shared" si="10"/>
        <v>462</v>
      </c>
      <c r="B469" s="253"/>
      <c r="C469" s="264" t="s">
        <v>145</v>
      </c>
      <c r="D469" s="258"/>
      <c r="E469" s="261">
        <v>1</v>
      </c>
      <c r="F469" s="353"/>
      <c r="I469" s="365"/>
    </row>
    <row r="470" spans="1:9">
      <c r="A470" s="125">
        <f t="shared" si="10"/>
        <v>463</v>
      </c>
      <c r="B470" s="253"/>
      <c r="C470" s="264" t="s">
        <v>2134</v>
      </c>
      <c r="D470" s="258"/>
      <c r="E470" s="261">
        <v>1</v>
      </c>
      <c r="F470" s="353"/>
      <c r="I470" s="365"/>
    </row>
    <row r="471" spans="1:9">
      <c r="A471" s="125">
        <f t="shared" si="10"/>
        <v>464</v>
      </c>
      <c r="B471" s="253"/>
      <c r="C471" s="264" t="s">
        <v>991</v>
      </c>
      <c r="D471" s="258" t="s">
        <v>2135</v>
      </c>
      <c r="E471" s="261">
        <v>1</v>
      </c>
      <c r="F471" s="353"/>
      <c r="I471" s="365"/>
    </row>
    <row r="472" spans="1:9">
      <c r="A472" s="125">
        <f t="shared" si="10"/>
        <v>465</v>
      </c>
      <c r="B472" s="253"/>
      <c r="C472" s="264" t="s">
        <v>149</v>
      </c>
      <c r="D472" s="258"/>
      <c r="E472" s="261">
        <v>1</v>
      </c>
      <c r="F472" s="353"/>
      <c r="I472" s="365"/>
    </row>
    <row r="473" spans="1:9">
      <c r="A473" s="125">
        <f t="shared" si="10"/>
        <v>466</v>
      </c>
      <c r="B473" s="253"/>
      <c r="C473" s="264" t="s">
        <v>151</v>
      </c>
      <c r="D473" s="258"/>
      <c r="E473" s="261">
        <v>1</v>
      </c>
      <c r="F473" s="353"/>
      <c r="I473" s="365"/>
    </row>
    <row r="474" spans="1:9">
      <c r="A474" s="125">
        <f t="shared" si="10"/>
        <v>467</v>
      </c>
      <c r="B474" s="253"/>
      <c r="C474" s="264" t="s">
        <v>153</v>
      </c>
      <c r="D474" s="258"/>
      <c r="E474" s="261">
        <v>1</v>
      </c>
      <c r="F474" s="353"/>
      <c r="I474" s="365"/>
    </row>
    <row r="475" spans="1:9">
      <c r="A475" s="125">
        <f t="shared" si="10"/>
        <v>468</v>
      </c>
      <c r="B475" s="253"/>
      <c r="C475" s="264" t="s">
        <v>155</v>
      </c>
      <c r="D475" s="258"/>
      <c r="E475" s="261">
        <v>1</v>
      </c>
      <c r="F475" s="353"/>
      <c r="I475" s="365"/>
    </row>
    <row r="476" spans="1:9">
      <c r="A476" s="125">
        <f t="shared" si="10"/>
        <v>469</v>
      </c>
      <c r="B476" s="253"/>
      <c r="C476" s="264" t="s">
        <v>157</v>
      </c>
      <c r="D476" s="258"/>
      <c r="E476" s="261">
        <v>1</v>
      </c>
      <c r="F476" s="353"/>
      <c r="I476" s="365"/>
    </row>
    <row r="477" spans="1:9">
      <c r="A477" s="125">
        <f t="shared" si="10"/>
        <v>470</v>
      </c>
      <c r="B477" s="253"/>
      <c r="C477" s="264" t="s">
        <v>2136</v>
      </c>
      <c r="D477" s="258"/>
      <c r="E477" s="261">
        <v>1</v>
      </c>
      <c r="F477" s="353"/>
      <c r="I477" s="365"/>
    </row>
    <row r="478" spans="1:9">
      <c r="A478" s="125">
        <f t="shared" si="10"/>
        <v>471</v>
      </c>
      <c r="B478" s="253"/>
      <c r="C478" s="264" t="s">
        <v>161</v>
      </c>
      <c r="D478" s="258"/>
      <c r="E478" s="261">
        <v>1</v>
      </c>
      <c r="F478" s="353"/>
      <c r="I478" s="365"/>
    </row>
    <row r="479" spans="1:9">
      <c r="A479" s="125">
        <f t="shared" si="10"/>
        <v>472</v>
      </c>
      <c r="B479" s="253"/>
      <c r="C479" s="264" t="s">
        <v>163</v>
      </c>
      <c r="D479" s="258"/>
      <c r="E479" s="261">
        <v>1</v>
      </c>
      <c r="F479" s="353"/>
      <c r="I479" s="365"/>
    </row>
    <row r="480" spans="1:9">
      <c r="A480" s="125">
        <f t="shared" si="10"/>
        <v>473</v>
      </c>
      <c r="B480" s="253"/>
      <c r="C480" s="264" t="s">
        <v>165</v>
      </c>
      <c r="D480" s="258"/>
      <c r="E480" s="261">
        <v>1</v>
      </c>
      <c r="F480" s="353"/>
      <c r="I480" s="365"/>
    </row>
    <row r="481" spans="1:9">
      <c r="A481" s="125">
        <f t="shared" si="10"/>
        <v>474</v>
      </c>
      <c r="B481" s="253"/>
      <c r="C481" s="264" t="s">
        <v>167</v>
      </c>
      <c r="D481" s="258"/>
      <c r="E481" s="261">
        <v>1</v>
      </c>
      <c r="F481" s="353"/>
      <c r="I481" s="365"/>
    </row>
    <row r="482" spans="1:9">
      <c r="A482" s="125">
        <f t="shared" si="10"/>
        <v>475</v>
      </c>
      <c r="B482" s="253"/>
      <c r="C482" s="264" t="s">
        <v>169</v>
      </c>
      <c r="D482" s="258"/>
      <c r="E482" s="261">
        <v>1</v>
      </c>
      <c r="F482" s="353"/>
      <c r="I482" s="365"/>
    </row>
    <row r="483" spans="1:9" ht="25.5">
      <c r="A483" s="125">
        <f t="shared" si="10"/>
        <v>476</v>
      </c>
      <c r="B483" s="253"/>
      <c r="C483" s="264" t="s">
        <v>171</v>
      </c>
      <c r="D483" s="258"/>
      <c r="E483" s="261">
        <v>1</v>
      </c>
      <c r="F483" s="353"/>
      <c r="I483" s="365"/>
    </row>
    <row r="484" spans="1:9">
      <c r="A484" s="125">
        <f t="shared" si="10"/>
        <v>477</v>
      </c>
      <c r="B484" s="253"/>
      <c r="C484" s="264" t="s">
        <v>173</v>
      </c>
      <c r="D484" s="258"/>
      <c r="E484" s="261">
        <v>1</v>
      </c>
      <c r="F484" s="353"/>
      <c r="I484" s="365"/>
    </row>
    <row r="485" spans="1:9">
      <c r="A485" s="125">
        <f t="shared" si="10"/>
        <v>478</v>
      </c>
      <c r="B485" s="253"/>
      <c r="C485" s="264" t="s">
        <v>175</v>
      </c>
      <c r="D485" s="258"/>
      <c r="E485" s="261">
        <v>1</v>
      </c>
      <c r="F485" s="353"/>
      <c r="I485" s="365" t="s">
        <v>2137</v>
      </c>
    </row>
    <row r="486" spans="1:9">
      <c r="A486" s="125">
        <f t="shared" si="10"/>
        <v>479</v>
      </c>
      <c r="B486" s="253"/>
      <c r="C486" s="264" t="s">
        <v>179</v>
      </c>
      <c r="D486" s="258"/>
      <c r="E486" s="261">
        <v>1</v>
      </c>
      <c r="F486" s="353"/>
      <c r="I486" s="365"/>
    </row>
    <row r="487" spans="1:9" ht="16.5" customHeight="1">
      <c r="A487" s="125">
        <f t="shared" si="10"/>
        <v>480</v>
      </c>
      <c r="B487" s="253"/>
      <c r="C487" s="264" t="s">
        <v>181</v>
      </c>
      <c r="D487" s="258"/>
      <c r="E487" s="261">
        <v>1</v>
      </c>
      <c r="F487" s="353"/>
      <c r="I487" s="365"/>
    </row>
    <row r="488" spans="1:9">
      <c r="A488" s="125">
        <f t="shared" si="10"/>
        <v>481</v>
      </c>
      <c r="B488" s="253"/>
      <c r="C488" s="264" t="s">
        <v>2138</v>
      </c>
      <c r="D488" s="258"/>
      <c r="E488" s="261">
        <v>1</v>
      </c>
      <c r="F488" s="353"/>
      <c r="I488" s="365"/>
    </row>
    <row r="489" spans="1:9">
      <c r="A489" s="125">
        <f t="shared" si="10"/>
        <v>482</v>
      </c>
      <c r="B489" s="253"/>
      <c r="C489" s="264" t="s">
        <v>2139</v>
      </c>
      <c r="D489" s="258"/>
      <c r="E489" s="261">
        <v>1</v>
      </c>
      <c r="F489" s="353"/>
      <c r="I489" s="365"/>
    </row>
    <row r="490" spans="1:9">
      <c r="A490" s="125">
        <f t="shared" si="10"/>
        <v>483</v>
      </c>
      <c r="B490" s="253"/>
      <c r="C490" s="264" t="s">
        <v>993</v>
      </c>
      <c r="D490" s="258" t="s">
        <v>2140</v>
      </c>
      <c r="E490" s="261">
        <v>1</v>
      </c>
      <c r="F490" s="353"/>
      <c r="I490" s="365"/>
    </row>
    <row r="491" spans="1:9">
      <c r="A491" s="125">
        <f t="shared" si="10"/>
        <v>484</v>
      </c>
      <c r="B491" s="253"/>
      <c r="C491" s="264" t="s">
        <v>995</v>
      </c>
      <c r="D491" s="258" t="s">
        <v>2141</v>
      </c>
      <c r="E491" s="261">
        <v>1</v>
      </c>
      <c r="F491" s="353"/>
      <c r="I491" s="365"/>
    </row>
    <row r="492" spans="1:9">
      <c r="A492" s="125">
        <f t="shared" si="10"/>
        <v>485</v>
      </c>
      <c r="B492" s="253"/>
      <c r="C492" s="264" t="s">
        <v>187</v>
      </c>
      <c r="D492" s="258"/>
      <c r="E492" s="261">
        <v>1</v>
      </c>
      <c r="F492" s="353"/>
      <c r="I492" s="365"/>
    </row>
    <row r="493" spans="1:9">
      <c r="A493" s="125">
        <f t="shared" si="10"/>
        <v>486</v>
      </c>
      <c r="B493" s="253"/>
      <c r="C493" s="264" t="s">
        <v>189</v>
      </c>
      <c r="D493" s="258"/>
      <c r="E493" s="261">
        <v>1</v>
      </c>
      <c r="F493" s="353"/>
      <c r="I493" s="365"/>
    </row>
    <row r="494" spans="1:9" ht="25.5">
      <c r="A494" s="125">
        <f t="shared" si="10"/>
        <v>487</v>
      </c>
      <c r="B494" s="253"/>
      <c r="C494" s="264" t="s">
        <v>191</v>
      </c>
      <c r="D494" s="258"/>
      <c r="E494" s="261">
        <v>1</v>
      </c>
      <c r="F494" s="353"/>
      <c r="I494" s="365"/>
    </row>
    <row r="495" spans="1:9" ht="15.75" customHeight="1">
      <c r="A495" s="125">
        <f t="shared" si="10"/>
        <v>488</v>
      </c>
      <c r="B495" s="253"/>
      <c r="C495" s="264" t="s">
        <v>193</v>
      </c>
      <c r="D495" s="258"/>
      <c r="E495" s="261">
        <v>1</v>
      </c>
      <c r="F495" s="353"/>
      <c r="I495" s="365"/>
    </row>
    <row r="496" spans="1:9">
      <c r="A496" s="125">
        <f t="shared" si="10"/>
        <v>489</v>
      </c>
      <c r="B496" s="253"/>
      <c r="C496" s="264" t="s">
        <v>195</v>
      </c>
      <c r="D496" s="258"/>
      <c r="E496" s="261">
        <v>1</v>
      </c>
      <c r="F496" s="353"/>
      <c r="I496" s="365"/>
    </row>
    <row r="497" spans="1:9" ht="18" customHeight="1">
      <c r="A497" s="125">
        <f t="shared" si="10"/>
        <v>490</v>
      </c>
      <c r="B497" s="253"/>
      <c r="C497" s="264" t="s">
        <v>197</v>
      </c>
      <c r="D497" s="258"/>
      <c r="E497" s="261">
        <v>1</v>
      </c>
      <c r="F497" s="353"/>
      <c r="I497" s="365"/>
    </row>
    <row r="498" spans="1:9">
      <c r="A498" s="125">
        <f t="shared" si="10"/>
        <v>491</v>
      </c>
      <c r="B498" s="253"/>
      <c r="C498" s="264" t="s">
        <v>199</v>
      </c>
      <c r="D498" s="258"/>
      <c r="E498" s="261">
        <v>1</v>
      </c>
      <c r="F498" s="353"/>
      <c r="I498" s="365"/>
    </row>
    <row r="499" spans="1:9">
      <c r="A499" s="125">
        <f t="shared" si="10"/>
        <v>492</v>
      </c>
      <c r="B499" s="253"/>
      <c r="C499" s="264" t="s">
        <v>201</v>
      </c>
      <c r="D499" s="258"/>
      <c r="E499" s="261">
        <v>1</v>
      </c>
      <c r="F499" s="353"/>
      <c r="I499" s="365"/>
    </row>
    <row r="500" spans="1:9">
      <c r="A500" s="125">
        <f t="shared" si="10"/>
        <v>493</v>
      </c>
      <c r="B500" s="253"/>
      <c r="C500" s="264" t="s">
        <v>203</v>
      </c>
      <c r="D500" s="258"/>
      <c r="E500" s="261">
        <v>1</v>
      </c>
      <c r="F500" s="353"/>
      <c r="I500" s="365"/>
    </row>
    <row r="501" spans="1:9" ht="25.5">
      <c r="A501" s="125">
        <f t="shared" si="10"/>
        <v>494</v>
      </c>
      <c r="B501" s="253"/>
      <c r="C501" s="264" t="s">
        <v>205</v>
      </c>
      <c r="D501" s="258"/>
      <c r="E501" s="261">
        <v>1</v>
      </c>
      <c r="F501" s="353"/>
      <c r="I501" s="365"/>
    </row>
    <row r="502" spans="1:9" ht="25.5">
      <c r="A502" s="125">
        <f t="shared" si="10"/>
        <v>495</v>
      </c>
      <c r="B502" s="253"/>
      <c r="C502" s="264" t="s">
        <v>207</v>
      </c>
      <c r="D502" s="258"/>
      <c r="E502" s="261">
        <v>1</v>
      </c>
      <c r="F502" s="353"/>
      <c r="I502" s="365"/>
    </row>
    <row r="503" spans="1:9">
      <c r="A503" s="125">
        <f t="shared" si="10"/>
        <v>496</v>
      </c>
      <c r="B503" s="253"/>
      <c r="C503" s="264" t="s">
        <v>209</v>
      </c>
      <c r="D503" s="258"/>
      <c r="E503" s="261">
        <v>1</v>
      </c>
      <c r="F503" s="353"/>
      <c r="I503" s="365"/>
    </row>
    <row r="504" spans="1:9">
      <c r="A504" s="125">
        <f t="shared" si="10"/>
        <v>497</v>
      </c>
      <c r="B504" s="253"/>
      <c r="C504" s="264" t="s">
        <v>211</v>
      </c>
      <c r="D504" s="258"/>
      <c r="E504" s="261">
        <v>1</v>
      </c>
      <c r="F504" s="353"/>
      <c r="I504" s="365"/>
    </row>
    <row r="505" spans="1:9">
      <c r="A505" s="125">
        <f t="shared" si="10"/>
        <v>498</v>
      </c>
      <c r="B505" s="253"/>
      <c r="C505" s="264" t="s">
        <v>213</v>
      </c>
      <c r="D505" s="258"/>
      <c r="E505" s="261">
        <v>1</v>
      </c>
      <c r="F505" s="353"/>
      <c r="I505" s="365"/>
    </row>
    <row r="506" spans="1:9">
      <c r="A506" s="125">
        <f t="shared" si="10"/>
        <v>499</v>
      </c>
      <c r="B506" s="253"/>
      <c r="C506" s="264" t="s">
        <v>215</v>
      </c>
      <c r="D506" s="258"/>
      <c r="E506" s="261">
        <v>1</v>
      </c>
      <c r="F506" s="353"/>
      <c r="I506" s="365"/>
    </row>
    <row r="507" spans="1:9">
      <c r="A507" s="125">
        <f t="shared" si="10"/>
        <v>500</v>
      </c>
      <c r="B507" s="253"/>
      <c r="C507" s="264" t="s">
        <v>217</v>
      </c>
      <c r="D507" s="258"/>
      <c r="E507" s="261">
        <v>1</v>
      </c>
      <c r="F507" s="353"/>
      <c r="I507" s="365"/>
    </row>
    <row r="508" spans="1:9" ht="16.5" customHeight="1">
      <c r="A508" s="125">
        <f t="shared" si="10"/>
        <v>501</v>
      </c>
      <c r="B508" s="253"/>
      <c r="C508" s="264" t="s">
        <v>219</v>
      </c>
      <c r="D508" s="258"/>
      <c r="E508" s="261">
        <v>1</v>
      </c>
      <c r="F508" s="353"/>
      <c r="I508" s="365"/>
    </row>
    <row r="509" spans="1:9">
      <c r="A509" s="125">
        <f t="shared" si="10"/>
        <v>502</v>
      </c>
      <c r="B509" s="253"/>
      <c r="C509" s="264" t="s">
        <v>221</v>
      </c>
      <c r="D509" s="258"/>
      <c r="E509" s="261">
        <v>1</v>
      </c>
      <c r="F509" s="353"/>
      <c r="I509" s="365"/>
    </row>
    <row r="510" spans="1:9">
      <c r="A510" s="125">
        <f t="shared" si="10"/>
        <v>503</v>
      </c>
      <c r="B510" s="253"/>
      <c r="C510" s="264" t="s">
        <v>223</v>
      </c>
      <c r="D510" s="258"/>
      <c r="E510" s="261">
        <v>1</v>
      </c>
      <c r="F510" s="353"/>
      <c r="I510" s="365"/>
    </row>
    <row r="511" spans="1:9">
      <c r="A511" s="125">
        <f t="shared" si="10"/>
        <v>504</v>
      </c>
      <c r="B511" s="253"/>
      <c r="C511" s="264" t="s">
        <v>997</v>
      </c>
      <c r="D511" s="258" t="s">
        <v>2135</v>
      </c>
      <c r="E511" s="261">
        <v>1</v>
      </c>
      <c r="F511" s="353"/>
      <c r="I511" s="365"/>
    </row>
    <row r="512" spans="1:9">
      <c r="A512" s="125">
        <f t="shared" si="10"/>
        <v>505</v>
      </c>
      <c r="B512" s="253"/>
      <c r="C512" s="264" t="s">
        <v>225</v>
      </c>
      <c r="D512" s="258"/>
      <c r="E512" s="261">
        <v>1</v>
      </c>
      <c r="F512" s="353"/>
      <c r="I512" s="365"/>
    </row>
    <row r="513" spans="1:9">
      <c r="A513" s="125">
        <f t="shared" si="10"/>
        <v>506</v>
      </c>
      <c r="B513" s="253"/>
      <c r="C513" s="264" t="s">
        <v>227</v>
      </c>
      <c r="D513" s="258"/>
      <c r="E513" s="261">
        <v>1</v>
      </c>
      <c r="F513" s="353"/>
      <c r="I513" s="365"/>
    </row>
    <row r="514" spans="1:9">
      <c r="A514" s="125">
        <f t="shared" si="10"/>
        <v>507</v>
      </c>
      <c r="B514" s="253"/>
      <c r="C514" s="264" t="s">
        <v>229</v>
      </c>
      <c r="D514" s="258"/>
      <c r="E514" s="261">
        <v>1</v>
      </c>
      <c r="F514" s="353"/>
      <c r="I514" s="365"/>
    </row>
    <row r="515" spans="1:9">
      <c r="A515" s="125">
        <f t="shared" si="10"/>
        <v>508</v>
      </c>
      <c r="B515" s="253"/>
      <c r="C515" s="264" t="s">
        <v>2142</v>
      </c>
      <c r="D515" s="258" t="s">
        <v>2140</v>
      </c>
      <c r="E515" s="261">
        <v>1</v>
      </c>
      <c r="F515" s="353"/>
      <c r="I515" s="365"/>
    </row>
    <row r="516" spans="1:9">
      <c r="A516" s="125">
        <f t="shared" si="10"/>
        <v>509</v>
      </c>
      <c r="B516" s="253"/>
      <c r="C516" s="264" t="s">
        <v>1001</v>
      </c>
      <c r="D516" s="258" t="s">
        <v>2143</v>
      </c>
      <c r="E516" s="261">
        <v>1</v>
      </c>
      <c r="F516" s="353"/>
      <c r="I516" s="365"/>
    </row>
    <row r="517" spans="1:9">
      <c r="A517" s="125">
        <f t="shared" si="10"/>
        <v>510</v>
      </c>
      <c r="B517" s="253"/>
      <c r="C517" s="264" t="s">
        <v>231</v>
      </c>
      <c r="D517" s="258"/>
      <c r="E517" s="261">
        <v>1</v>
      </c>
      <c r="F517" s="353"/>
      <c r="I517" s="365"/>
    </row>
    <row r="518" spans="1:9">
      <c r="A518" s="125">
        <f t="shared" si="10"/>
        <v>511</v>
      </c>
      <c r="B518" s="253"/>
      <c r="C518" s="264" t="s">
        <v>233</v>
      </c>
      <c r="D518" s="258"/>
      <c r="E518" s="261">
        <v>1</v>
      </c>
      <c r="F518" s="353"/>
      <c r="I518" s="365"/>
    </row>
    <row r="519" spans="1:9">
      <c r="A519" s="125">
        <f t="shared" si="10"/>
        <v>512</v>
      </c>
      <c r="B519" s="253"/>
      <c r="C519" s="264" t="s">
        <v>235</v>
      </c>
      <c r="D519" s="258"/>
      <c r="E519" s="261">
        <v>1</v>
      </c>
      <c r="F519" s="353"/>
      <c r="I519" s="365"/>
    </row>
    <row r="520" spans="1:9">
      <c r="A520" s="125">
        <f t="shared" si="10"/>
        <v>513</v>
      </c>
      <c r="B520" s="253"/>
      <c r="C520" s="264" t="s">
        <v>237</v>
      </c>
      <c r="D520" s="258"/>
      <c r="E520" s="261">
        <v>1</v>
      </c>
      <c r="F520" s="353"/>
      <c r="I520" s="365"/>
    </row>
    <row r="521" spans="1:9">
      <c r="A521" s="125">
        <f t="shared" si="10"/>
        <v>514</v>
      </c>
      <c r="B521" s="253"/>
      <c r="C521" s="264" t="s">
        <v>239</v>
      </c>
      <c r="D521" s="258"/>
      <c r="E521" s="261">
        <v>1</v>
      </c>
      <c r="F521" s="353"/>
      <c r="I521" s="365"/>
    </row>
    <row r="522" spans="1:9">
      <c r="A522" s="125">
        <f t="shared" si="10"/>
        <v>515</v>
      </c>
      <c r="B522" s="253"/>
      <c r="C522" s="264" t="s">
        <v>241</v>
      </c>
      <c r="D522" s="258"/>
      <c r="E522" s="261">
        <v>1</v>
      </c>
      <c r="F522" s="353"/>
      <c r="I522" s="365"/>
    </row>
    <row r="523" spans="1:9">
      <c r="A523" s="125">
        <f t="shared" si="10"/>
        <v>516</v>
      </c>
      <c r="B523" s="253"/>
      <c r="C523" s="264" t="s">
        <v>243</v>
      </c>
      <c r="D523" s="258"/>
      <c r="E523" s="261">
        <v>1</v>
      </c>
      <c r="F523" s="353"/>
      <c r="I523" s="365"/>
    </row>
    <row r="524" spans="1:9" ht="17.25" customHeight="1">
      <c r="A524" s="125">
        <f t="shared" si="10"/>
        <v>517</v>
      </c>
      <c r="B524" s="253"/>
      <c r="C524" s="264" t="s">
        <v>245</v>
      </c>
      <c r="D524" s="258"/>
      <c r="E524" s="261">
        <v>1</v>
      </c>
      <c r="F524" s="353"/>
      <c r="I524" s="365"/>
    </row>
    <row r="525" spans="1:9">
      <c r="A525" s="125">
        <f t="shared" si="10"/>
        <v>518</v>
      </c>
      <c r="B525" s="253"/>
      <c r="C525" s="264" t="s">
        <v>247</v>
      </c>
      <c r="D525" s="258"/>
      <c r="E525" s="261">
        <v>1</v>
      </c>
      <c r="F525" s="353"/>
      <c r="I525" s="365"/>
    </row>
    <row r="526" spans="1:9">
      <c r="A526" s="125">
        <f t="shared" si="10"/>
        <v>519</v>
      </c>
      <c r="B526" s="253"/>
      <c r="C526" s="264" t="s">
        <v>251</v>
      </c>
      <c r="D526" s="258"/>
      <c r="E526" s="261">
        <v>1</v>
      </c>
      <c r="F526" s="353"/>
      <c r="I526" s="365"/>
    </row>
    <row r="527" spans="1:9">
      <c r="A527" s="125">
        <f t="shared" si="10"/>
        <v>520</v>
      </c>
      <c r="B527" s="253"/>
      <c r="C527" s="264" t="s">
        <v>253</v>
      </c>
      <c r="D527" s="258"/>
      <c r="E527" s="261">
        <v>1</v>
      </c>
      <c r="F527" s="353"/>
      <c r="I527" s="365"/>
    </row>
    <row r="528" spans="1:9">
      <c r="A528" s="125">
        <f t="shared" ref="A528:A591" si="11">A527+1</f>
        <v>521</v>
      </c>
      <c r="B528" s="253"/>
      <c r="C528" s="264" t="s">
        <v>255</v>
      </c>
      <c r="D528" s="258"/>
      <c r="E528" s="261">
        <v>1</v>
      </c>
      <c r="F528" s="353"/>
      <c r="I528" s="365"/>
    </row>
    <row r="529" spans="1:9">
      <c r="A529" s="125">
        <f t="shared" si="11"/>
        <v>522</v>
      </c>
      <c r="B529" s="253"/>
      <c r="C529" s="264" t="s">
        <v>257</v>
      </c>
      <c r="D529" s="258"/>
      <c r="E529" s="261">
        <v>1</v>
      </c>
      <c r="F529" s="353"/>
      <c r="I529" s="365"/>
    </row>
    <row r="530" spans="1:9">
      <c r="A530" s="125">
        <f t="shared" si="11"/>
        <v>523</v>
      </c>
      <c r="B530" s="253"/>
      <c r="C530" s="264" t="s">
        <v>259</v>
      </c>
      <c r="D530" s="258"/>
      <c r="E530" s="261">
        <v>1</v>
      </c>
      <c r="F530" s="353"/>
      <c r="I530" s="365"/>
    </row>
    <row r="531" spans="1:9">
      <c r="A531" s="125">
        <f t="shared" si="11"/>
        <v>524</v>
      </c>
      <c r="B531" s="253"/>
      <c r="C531" s="264" t="s">
        <v>261</v>
      </c>
      <c r="D531" s="258"/>
      <c r="E531" s="261">
        <v>1</v>
      </c>
      <c r="F531" s="353"/>
      <c r="I531" s="365"/>
    </row>
    <row r="532" spans="1:9">
      <c r="A532" s="125">
        <f t="shared" si="11"/>
        <v>525</v>
      </c>
      <c r="B532" s="253"/>
      <c r="C532" s="264" t="s">
        <v>263</v>
      </c>
      <c r="D532" s="258"/>
      <c r="E532" s="261">
        <v>1</v>
      </c>
      <c r="F532" s="353"/>
      <c r="I532" s="365"/>
    </row>
    <row r="533" spans="1:9">
      <c r="A533" s="125">
        <f t="shared" si="11"/>
        <v>526</v>
      </c>
      <c r="B533" s="253"/>
      <c r="C533" s="264" t="s">
        <v>1005</v>
      </c>
      <c r="D533" s="258" t="s">
        <v>2135</v>
      </c>
      <c r="E533" s="261">
        <v>1</v>
      </c>
      <c r="F533" s="353"/>
      <c r="I533" s="365"/>
    </row>
    <row r="534" spans="1:9">
      <c r="A534" s="125">
        <f t="shared" si="11"/>
        <v>527</v>
      </c>
      <c r="B534" s="253"/>
      <c r="C534" s="264" t="s">
        <v>265</v>
      </c>
      <c r="D534" s="258"/>
      <c r="E534" s="261">
        <v>1</v>
      </c>
      <c r="F534" s="353"/>
      <c r="I534" s="365"/>
    </row>
    <row r="535" spans="1:9" ht="25.5">
      <c r="A535" s="125">
        <f t="shared" si="11"/>
        <v>528</v>
      </c>
      <c r="B535" s="253"/>
      <c r="C535" s="264" t="s">
        <v>267</v>
      </c>
      <c r="D535" s="258"/>
      <c r="E535" s="261">
        <v>1</v>
      </c>
      <c r="F535" s="353"/>
      <c r="I535" s="365"/>
    </row>
    <row r="536" spans="1:9" ht="25.5">
      <c r="A536" s="125">
        <f t="shared" si="11"/>
        <v>529</v>
      </c>
      <c r="B536" s="253"/>
      <c r="C536" s="264" t="s">
        <v>269</v>
      </c>
      <c r="D536" s="258"/>
      <c r="E536" s="261">
        <v>1</v>
      </c>
      <c r="F536" s="353"/>
      <c r="I536" s="365"/>
    </row>
    <row r="537" spans="1:9" ht="25.5">
      <c r="A537" s="125">
        <f t="shared" si="11"/>
        <v>530</v>
      </c>
      <c r="B537" s="253"/>
      <c r="C537" s="264" t="s">
        <v>271</v>
      </c>
      <c r="D537" s="258"/>
      <c r="E537" s="261">
        <v>1</v>
      </c>
      <c r="F537" s="353"/>
      <c r="I537" s="365"/>
    </row>
    <row r="538" spans="1:9" ht="25.5">
      <c r="A538" s="125">
        <f t="shared" si="11"/>
        <v>531</v>
      </c>
      <c r="B538" s="253"/>
      <c r="C538" s="264" t="s">
        <v>273</v>
      </c>
      <c r="D538" s="258"/>
      <c r="E538" s="261">
        <v>1</v>
      </c>
      <c r="F538" s="353"/>
      <c r="I538" s="365"/>
    </row>
    <row r="539" spans="1:9" ht="25.5">
      <c r="A539" s="125">
        <f t="shared" si="11"/>
        <v>532</v>
      </c>
      <c r="B539" s="253"/>
      <c r="C539" s="264" t="s">
        <v>275</v>
      </c>
      <c r="D539" s="258"/>
      <c r="E539" s="261">
        <v>1</v>
      </c>
      <c r="F539" s="353"/>
      <c r="I539" s="365"/>
    </row>
    <row r="540" spans="1:9" ht="38.25">
      <c r="A540" s="125">
        <f t="shared" si="11"/>
        <v>533</v>
      </c>
      <c r="B540" s="253"/>
      <c r="C540" s="264" t="s">
        <v>277</v>
      </c>
      <c r="D540" s="258"/>
      <c r="E540" s="261">
        <v>1</v>
      </c>
      <c r="F540" s="353"/>
      <c r="I540" s="365" t="s">
        <v>2144</v>
      </c>
    </row>
    <row r="541" spans="1:9">
      <c r="A541" s="125">
        <f t="shared" si="11"/>
        <v>534</v>
      </c>
      <c r="B541" s="253"/>
      <c r="C541" s="264" t="s">
        <v>279</v>
      </c>
      <c r="D541" s="258"/>
      <c r="E541" s="261">
        <v>1</v>
      </c>
      <c r="F541" s="353"/>
      <c r="I541" s="365"/>
    </row>
    <row r="542" spans="1:9">
      <c r="A542" s="125">
        <f t="shared" si="11"/>
        <v>535</v>
      </c>
      <c r="B542" s="253"/>
      <c r="C542" s="264" t="s">
        <v>281</v>
      </c>
      <c r="D542" s="258"/>
      <c r="E542" s="261">
        <v>1</v>
      </c>
      <c r="F542" s="353"/>
      <c r="I542" s="365"/>
    </row>
    <row r="543" spans="1:9">
      <c r="A543" s="125">
        <f t="shared" si="11"/>
        <v>536</v>
      </c>
      <c r="B543" s="253"/>
      <c r="C543" s="264" t="s">
        <v>283</v>
      </c>
      <c r="D543" s="258"/>
      <c r="E543" s="261">
        <v>1</v>
      </c>
      <c r="F543" s="353"/>
      <c r="I543" s="365"/>
    </row>
    <row r="544" spans="1:9" ht="16.5" customHeight="1">
      <c r="A544" s="125">
        <f t="shared" si="11"/>
        <v>537</v>
      </c>
      <c r="B544" s="253"/>
      <c r="C544" s="264" t="s">
        <v>285</v>
      </c>
      <c r="D544" s="258"/>
      <c r="E544" s="261">
        <v>1</v>
      </c>
      <c r="F544" s="353"/>
      <c r="I544" s="365"/>
    </row>
    <row r="545" spans="1:9">
      <c r="A545" s="125">
        <f t="shared" si="11"/>
        <v>538</v>
      </c>
      <c r="B545" s="253"/>
      <c r="C545" s="264" t="s">
        <v>289</v>
      </c>
      <c r="D545" s="258"/>
      <c r="E545" s="261">
        <v>1</v>
      </c>
      <c r="F545" s="353"/>
      <c r="I545" s="365"/>
    </row>
    <row r="546" spans="1:9">
      <c r="A546" s="125">
        <f t="shared" si="11"/>
        <v>539</v>
      </c>
      <c r="B546" s="253"/>
      <c r="C546" s="264" t="s">
        <v>291</v>
      </c>
      <c r="D546" s="258"/>
      <c r="E546" s="261">
        <v>1</v>
      </c>
      <c r="F546" s="353"/>
      <c r="I546" s="365"/>
    </row>
    <row r="547" spans="1:9">
      <c r="A547" s="125">
        <f t="shared" si="11"/>
        <v>540</v>
      </c>
      <c r="B547" s="253"/>
      <c r="C547" s="264" t="s">
        <v>293</v>
      </c>
      <c r="D547" s="258"/>
      <c r="E547" s="261">
        <v>1</v>
      </c>
      <c r="F547" s="353"/>
      <c r="I547" s="365"/>
    </row>
    <row r="548" spans="1:9">
      <c r="A548" s="125">
        <f t="shared" si="11"/>
        <v>541</v>
      </c>
      <c r="B548" s="253"/>
      <c r="C548" s="264" t="s">
        <v>297</v>
      </c>
      <c r="D548" s="258"/>
      <c r="E548" s="261">
        <v>1</v>
      </c>
      <c r="F548" s="353"/>
      <c r="I548" s="365"/>
    </row>
    <row r="549" spans="1:9">
      <c r="A549" s="125">
        <f t="shared" si="11"/>
        <v>542</v>
      </c>
      <c r="B549" s="253"/>
      <c r="C549" s="264" t="s">
        <v>299</v>
      </c>
      <c r="D549" s="258"/>
      <c r="E549" s="261">
        <v>1</v>
      </c>
      <c r="F549" s="353"/>
      <c r="I549" s="365"/>
    </row>
    <row r="550" spans="1:9">
      <c r="A550" s="125">
        <f t="shared" si="11"/>
        <v>543</v>
      </c>
      <c r="B550" s="253"/>
      <c r="C550" s="264" t="s">
        <v>301</v>
      </c>
      <c r="D550" s="258"/>
      <c r="E550" s="261">
        <v>1</v>
      </c>
      <c r="F550" s="353"/>
      <c r="I550" s="365"/>
    </row>
    <row r="551" spans="1:9">
      <c r="A551" s="125">
        <f t="shared" si="11"/>
        <v>544</v>
      </c>
      <c r="B551" s="253"/>
      <c r="C551" s="264" t="s">
        <v>303</v>
      </c>
      <c r="D551" s="258"/>
      <c r="E551" s="261">
        <v>1</v>
      </c>
      <c r="F551" s="353"/>
      <c r="I551" s="365"/>
    </row>
    <row r="552" spans="1:9" ht="25.5">
      <c r="A552" s="125">
        <f t="shared" si="11"/>
        <v>545</v>
      </c>
      <c r="B552" s="253"/>
      <c r="C552" s="264" t="s">
        <v>305</v>
      </c>
      <c r="D552" s="258"/>
      <c r="E552" s="261">
        <v>1</v>
      </c>
      <c r="F552" s="353"/>
      <c r="I552" s="365"/>
    </row>
    <row r="553" spans="1:9">
      <c r="A553" s="125">
        <f t="shared" si="11"/>
        <v>546</v>
      </c>
      <c r="B553" s="253"/>
      <c r="C553" s="264" t="s">
        <v>307</v>
      </c>
      <c r="D553" s="258"/>
      <c r="E553" s="261">
        <v>1</v>
      </c>
      <c r="F553" s="353"/>
      <c r="I553" s="365"/>
    </row>
    <row r="554" spans="1:9">
      <c r="A554" s="125">
        <f t="shared" si="11"/>
        <v>547</v>
      </c>
      <c r="B554" s="253"/>
      <c r="C554" s="264" t="s">
        <v>1009</v>
      </c>
      <c r="D554" s="258" t="s">
        <v>2143</v>
      </c>
      <c r="E554" s="261">
        <v>1</v>
      </c>
      <c r="F554" s="353"/>
      <c r="I554" s="365"/>
    </row>
    <row r="555" spans="1:9">
      <c r="A555" s="125">
        <f t="shared" si="11"/>
        <v>548</v>
      </c>
      <c r="B555" s="253"/>
      <c r="C555" s="264" t="s">
        <v>309</v>
      </c>
      <c r="D555" s="258"/>
      <c r="E555" s="261">
        <v>1</v>
      </c>
      <c r="F555" s="353"/>
      <c r="I555" s="365"/>
    </row>
    <row r="556" spans="1:9">
      <c r="A556" s="125">
        <f t="shared" si="11"/>
        <v>549</v>
      </c>
      <c r="B556" s="253"/>
      <c r="C556" s="264" t="s">
        <v>311</v>
      </c>
      <c r="D556" s="258"/>
      <c r="E556" s="261">
        <v>1</v>
      </c>
      <c r="F556" s="353"/>
      <c r="I556" s="365"/>
    </row>
    <row r="557" spans="1:9">
      <c r="A557" s="125">
        <f t="shared" si="11"/>
        <v>550</v>
      </c>
      <c r="B557" s="253"/>
      <c r="C557" s="264" t="s">
        <v>2145</v>
      </c>
      <c r="D557" s="258" t="s">
        <v>2140</v>
      </c>
      <c r="E557" s="261">
        <v>1</v>
      </c>
      <c r="F557" s="353"/>
      <c r="I557" s="365"/>
    </row>
    <row r="558" spans="1:9" ht="25.5">
      <c r="A558" s="125">
        <f t="shared" si="11"/>
        <v>551</v>
      </c>
      <c r="B558" s="253"/>
      <c r="C558" s="264" t="s">
        <v>313</v>
      </c>
      <c r="D558" s="258"/>
      <c r="E558" s="261">
        <v>1</v>
      </c>
      <c r="F558" s="353"/>
      <c r="I558" s="365"/>
    </row>
    <row r="559" spans="1:9">
      <c r="A559" s="125">
        <f t="shared" si="11"/>
        <v>552</v>
      </c>
      <c r="B559" s="253"/>
      <c r="C559" s="264" t="s">
        <v>317</v>
      </c>
      <c r="D559" s="258"/>
      <c r="E559" s="261">
        <v>1</v>
      </c>
      <c r="F559" s="353"/>
      <c r="I559" s="365"/>
    </row>
    <row r="560" spans="1:9">
      <c r="A560" s="125">
        <f t="shared" si="11"/>
        <v>553</v>
      </c>
      <c r="B560" s="253"/>
      <c r="C560" s="264" t="s">
        <v>319</v>
      </c>
      <c r="D560" s="258"/>
      <c r="E560" s="261">
        <v>1</v>
      </c>
      <c r="F560" s="353"/>
      <c r="I560" s="365"/>
    </row>
    <row r="561" spans="1:9">
      <c r="A561" s="125">
        <f t="shared" si="11"/>
        <v>554</v>
      </c>
      <c r="B561" s="253"/>
      <c r="C561" s="264" t="s">
        <v>2146</v>
      </c>
      <c r="D561" s="258"/>
      <c r="E561" s="261">
        <v>1</v>
      </c>
      <c r="F561" s="353"/>
      <c r="I561" s="365"/>
    </row>
    <row r="562" spans="1:9">
      <c r="A562" s="125">
        <f t="shared" si="11"/>
        <v>555</v>
      </c>
      <c r="B562" s="253"/>
      <c r="C562" s="264" t="s">
        <v>321</v>
      </c>
      <c r="D562" s="258"/>
      <c r="E562" s="261">
        <v>1</v>
      </c>
      <c r="F562" s="353"/>
      <c r="I562" s="365"/>
    </row>
    <row r="563" spans="1:9">
      <c r="A563" s="125">
        <f t="shared" si="11"/>
        <v>556</v>
      </c>
      <c r="B563" s="253"/>
      <c r="C563" s="264" t="s">
        <v>323</v>
      </c>
      <c r="D563" s="258"/>
      <c r="E563" s="261">
        <v>1</v>
      </c>
      <c r="F563" s="353"/>
      <c r="I563" s="365"/>
    </row>
    <row r="564" spans="1:9">
      <c r="A564" s="125">
        <f t="shared" si="11"/>
        <v>557</v>
      </c>
      <c r="B564" s="253"/>
      <c r="C564" s="264" t="s">
        <v>325</v>
      </c>
      <c r="D564" s="258"/>
      <c r="E564" s="261">
        <v>1</v>
      </c>
      <c r="F564" s="353"/>
      <c r="I564" s="365"/>
    </row>
    <row r="565" spans="1:9">
      <c r="A565" s="125">
        <f t="shared" si="11"/>
        <v>558</v>
      </c>
      <c r="B565" s="253"/>
      <c r="C565" s="264" t="s">
        <v>1013</v>
      </c>
      <c r="D565" s="258" t="s">
        <v>2135</v>
      </c>
      <c r="E565" s="261">
        <v>1</v>
      </c>
      <c r="F565" s="353"/>
      <c r="I565" s="365"/>
    </row>
    <row r="566" spans="1:9">
      <c r="A566" s="125">
        <f t="shared" si="11"/>
        <v>559</v>
      </c>
      <c r="B566" s="253"/>
      <c r="C566" s="264" t="s">
        <v>2147</v>
      </c>
      <c r="D566" s="258" t="s">
        <v>2148</v>
      </c>
      <c r="E566" s="261">
        <v>1</v>
      </c>
      <c r="F566" s="353"/>
      <c r="I566" s="365"/>
    </row>
    <row r="567" spans="1:9">
      <c r="A567" s="125">
        <f t="shared" si="11"/>
        <v>560</v>
      </c>
      <c r="B567" s="253"/>
      <c r="C567" s="264"/>
      <c r="D567" s="258"/>
      <c r="E567" s="261"/>
      <c r="F567" s="353"/>
      <c r="I567" s="365"/>
    </row>
    <row r="568" spans="1:9">
      <c r="A568" s="125">
        <f t="shared" si="11"/>
        <v>561</v>
      </c>
      <c r="B568" s="253"/>
      <c r="D568" s="258"/>
      <c r="E568" s="261"/>
      <c r="F568" s="353"/>
      <c r="I568" s="365"/>
    </row>
    <row r="569" spans="1:9" ht="25.5">
      <c r="A569" s="125">
        <f t="shared" si="11"/>
        <v>562</v>
      </c>
      <c r="B569" s="253"/>
      <c r="C569" s="254" t="s">
        <v>2149</v>
      </c>
      <c r="D569" s="258"/>
      <c r="E569" s="261"/>
      <c r="F569" s="353"/>
      <c r="I569" s="365"/>
    </row>
    <row r="570" spans="1:9">
      <c r="A570" s="125">
        <f t="shared" si="11"/>
        <v>563</v>
      </c>
      <c r="B570" s="253"/>
      <c r="C570" s="257" t="s">
        <v>584</v>
      </c>
      <c r="D570" s="258"/>
      <c r="E570" s="261"/>
      <c r="F570" s="353"/>
      <c r="I570" s="365"/>
    </row>
    <row r="571" spans="1:9">
      <c r="A571" s="125">
        <f t="shared" si="11"/>
        <v>564</v>
      </c>
      <c r="B571" s="253"/>
      <c r="C571" s="257" t="s">
        <v>586</v>
      </c>
      <c r="D571" s="258"/>
      <c r="E571" s="261"/>
      <c r="F571" s="353"/>
      <c r="I571" s="365"/>
    </row>
    <row r="572" spans="1:9">
      <c r="A572" s="125">
        <f t="shared" si="11"/>
        <v>565</v>
      </c>
      <c r="B572" s="253"/>
      <c r="C572" s="257" t="s">
        <v>588</v>
      </c>
      <c r="D572" s="258"/>
      <c r="E572" s="261"/>
      <c r="F572" s="353"/>
      <c r="I572" s="365"/>
    </row>
    <row r="573" spans="1:9">
      <c r="A573" s="125">
        <f t="shared" si="11"/>
        <v>566</v>
      </c>
      <c r="B573" s="253"/>
      <c r="C573" s="257" t="s">
        <v>590</v>
      </c>
      <c r="D573" s="258"/>
      <c r="E573" s="261"/>
      <c r="F573" s="353"/>
      <c r="I573" s="365"/>
    </row>
    <row r="574" spans="1:9" ht="25.5">
      <c r="A574" s="125">
        <f t="shared" si="11"/>
        <v>567</v>
      </c>
      <c r="B574" s="253"/>
      <c r="C574" s="257" t="s">
        <v>592</v>
      </c>
      <c r="D574" s="258"/>
      <c r="E574" s="261"/>
      <c r="F574" s="353"/>
      <c r="I574" s="365"/>
    </row>
    <row r="575" spans="1:9">
      <c r="A575" s="125">
        <f t="shared" si="11"/>
        <v>568</v>
      </c>
      <c r="B575" s="253"/>
      <c r="C575" s="257" t="s">
        <v>594</v>
      </c>
      <c r="D575" s="258"/>
      <c r="E575" s="261"/>
      <c r="F575" s="353"/>
      <c r="I575" s="365"/>
    </row>
    <row r="576" spans="1:9">
      <c r="A576" s="125">
        <f t="shared" si="11"/>
        <v>569</v>
      </c>
      <c r="B576" s="253"/>
      <c r="C576" s="257" t="s">
        <v>597</v>
      </c>
      <c r="D576" s="258"/>
      <c r="E576" s="261"/>
      <c r="F576" s="353"/>
      <c r="I576" s="365"/>
    </row>
    <row r="577" spans="1:9">
      <c r="A577" s="125">
        <f t="shared" si="11"/>
        <v>570</v>
      </c>
      <c r="B577" s="253"/>
      <c r="C577" s="257" t="s">
        <v>599</v>
      </c>
      <c r="D577" s="258"/>
      <c r="E577" s="261"/>
      <c r="F577" s="353"/>
      <c r="I577" s="365"/>
    </row>
    <row r="578" spans="1:9">
      <c r="A578" s="125">
        <f t="shared" si="11"/>
        <v>571</v>
      </c>
      <c r="B578" s="253"/>
      <c r="C578" s="257" t="s">
        <v>1053</v>
      </c>
      <c r="D578" s="258"/>
      <c r="E578" s="261"/>
      <c r="F578" s="353"/>
      <c r="I578" s="365"/>
    </row>
    <row r="579" spans="1:9">
      <c r="A579" s="125">
        <f t="shared" si="11"/>
        <v>572</v>
      </c>
      <c r="B579" s="253"/>
      <c r="C579" s="257" t="s">
        <v>601</v>
      </c>
      <c r="D579" s="258"/>
      <c r="E579" s="261"/>
      <c r="F579" s="353"/>
      <c r="I579" s="365"/>
    </row>
    <row r="580" spans="1:9">
      <c r="A580" s="125">
        <f t="shared" si="11"/>
        <v>573</v>
      </c>
      <c r="B580" s="253"/>
      <c r="C580" s="257" t="s">
        <v>603</v>
      </c>
      <c r="D580" s="258"/>
      <c r="E580" s="261"/>
      <c r="F580" s="353"/>
      <c r="I580" s="365"/>
    </row>
    <row r="581" spans="1:9">
      <c r="A581" s="125">
        <f t="shared" si="11"/>
        <v>574</v>
      </c>
      <c r="B581" s="253"/>
      <c r="C581" s="257" t="s">
        <v>1055</v>
      </c>
      <c r="D581" s="258"/>
      <c r="E581" s="261"/>
      <c r="F581" s="353"/>
      <c r="I581" s="365"/>
    </row>
    <row r="582" spans="1:9">
      <c r="A582" s="125">
        <f t="shared" si="11"/>
        <v>575</v>
      </c>
      <c r="B582" s="253"/>
      <c r="C582" s="257" t="s">
        <v>1055</v>
      </c>
      <c r="D582" s="258"/>
      <c r="E582" s="261"/>
      <c r="F582" s="353"/>
      <c r="I582" s="365"/>
    </row>
    <row r="583" spans="1:9" ht="17.25" customHeight="1">
      <c r="A583" s="125">
        <f t="shared" si="11"/>
        <v>576</v>
      </c>
      <c r="B583" s="253"/>
      <c r="C583" s="257" t="s">
        <v>605</v>
      </c>
      <c r="D583" s="258"/>
      <c r="E583" s="261"/>
      <c r="F583" s="353"/>
      <c r="I583" s="365"/>
    </row>
    <row r="584" spans="1:9">
      <c r="A584" s="125">
        <f t="shared" si="11"/>
        <v>577</v>
      </c>
      <c r="B584" s="253"/>
      <c r="C584" s="257" t="s">
        <v>607</v>
      </c>
      <c r="D584" s="258"/>
      <c r="E584" s="261"/>
      <c r="F584" s="353"/>
      <c r="I584" s="365"/>
    </row>
    <row r="585" spans="1:9">
      <c r="A585" s="125">
        <f t="shared" si="11"/>
        <v>578</v>
      </c>
      <c r="B585" s="253"/>
      <c r="C585" s="257" t="s">
        <v>609</v>
      </c>
      <c r="D585" s="258"/>
      <c r="E585" s="261"/>
      <c r="F585" s="353"/>
      <c r="I585" s="365"/>
    </row>
    <row r="586" spans="1:9">
      <c r="A586" s="125">
        <f t="shared" si="11"/>
        <v>579</v>
      </c>
      <c r="B586" s="253"/>
      <c r="C586" s="257" t="s">
        <v>611</v>
      </c>
      <c r="D586" s="258"/>
      <c r="E586" s="261"/>
      <c r="F586" s="353"/>
      <c r="I586" s="365"/>
    </row>
    <row r="587" spans="1:9" ht="16.5" customHeight="1">
      <c r="A587" s="125">
        <f t="shared" si="11"/>
        <v>580</v>
      </c>
      <c r="B587" s="253"/>
      <c r="C587" s="257" t="s">
        <v>615</v>
      </c>
      <c r="D587" s="258"/>
      <c r="E587" s="261"/>
      <c r="F587" s="353"/>
      <c r="I587" s="365"/>
    </row>
    <row r="588" spans="1:9">
      <c r="A588" s="125">
        <f t="shared" si="11"/>
        <v>581</v>
      </c>
      <c r="B588" s="253"/>
      <c r="C588" s="257" t="s">
        <v>617</v>
      </c>
      <c r="D588" s="258"/>
      <c r="E588" s="261"/>
      <c r="F588" s="353"/>
      <c r="I588" s="365"/>
    </row>
    <row r="589" spans="1:9">
      <c r="A589" s="125">
        <f t="shared" si="11"/>
        <v>582</v>
      </c>
      <c r="B589" s="253"/>
      <c r="C589" s="257" t="s">
        <v>619</v>
      </c>
      <c r="D589" s="258"/>
      <c r="E589" s="261"/>
      <c r="F589" s="353"/>
      <c r="I589" s="365"/>
    </row>
    <row r="590" spans="1:9" ht="15.75" customHeight="1">
      <c r="A590" s="125">
        <f t="shared" si="11"/>
        <v>583</v>
      </c>
      <c r="B590" s="253"/>
      <c r="D590" s="258"/>
      <c r="E590" s="261"/>
      <c r="F590" s="353"/>
      <c r="I590" s="365"/>
    </row>
    <row r="591" spans="1:9">
      <c r="A591" s="125">
        <f t="shared" si="11"/>
        <v>584</v>
      </c>
      <c r="B591" s="253"/>
      <c r="C591" s="254" t="s">
        <v>2150</v>
      </c>
      <c r="D591" s="258"/>
      <c r="E591" s="261"/>
      <c r="F591" s="353"/>
      <c r="I591" s="365"/>
    </row>
    <row r="592" spans="1:9" ht="25.5">
      <c r="A592" s="125">
        <f t="shared" ref="A592:A633" si="12">A591+1</f>
        <v>585</v>
      </c>
      <c r="B592" s="253"/>
      <c r="C592" s="257" t="s">
        <v>623</v>
      </c>
      <c r="D592" s="258"/>
      <c r="E592" s="261"/>
      <c r="F592" s="353"/>
      <c r="I592" s="365"/>
    </row>
    <row r="593" spans="1:9" ht="17.25" customHeight="1">
      <c r="A593" s="125">
        <f t="shared" si="12"/>
        <v>586</v>
      </c>
      <c r="B593" s="253"/>
      <c r="C593" s="257" t="s">
        <v>626</v>
      </c>
      <c r="D593" s="258"/>
      <c r="E593" s="261"/>
      <c r="F593" s="353"/>
      <c r="I593" s="365" t="s">
        <v>2151</v>
      </c>
    </row>
    <row r="594" spans="1:9">
      <c r="A594" s="125">
        <f t="shared" si="12"/>
        <v>587</v>
      </c>
      <c r="B594" s="253"/>
      <c r="C594" s="257" t="s">
        <v>628</v>
      </c>
      <c r="D594" s="258"/>
      <c r="E594" s="261"/>
      <c r="F594" s="353"/>
      <c r="I594" s="365"/>
    </row>
    <row r="595" spans="1:9">
      <c r="A595" s="125">
        <f t="shared" si="12"/>
        <v>588</v>
      </c>
      <c r="B595" s="253"/>
      <c r="D595" s="258"/>
      <c r="E595" s="261"/>
      <c r="F595" s="353"/>
      <c r="I595" s="365"/>
    </row>
    <row r="596" spans="1:9" ht="16.5" customHeight="1">
      <c r="A596" s="125">
        <f t="shared" si="12"/>
        <v>589</v>
      </c>
      <c r="B596" s="253"/>
      <c r="C596" s="254" t="s">
        <v>2152</v>
      </c>
      <c r="D596" s="258"/>
      <c r="E596" s="261"/>
      <c r="F596" s="353"/>
      <c r="I596" s="365"/>
    </row>
    <row r="597" spans="1:9">
      <c r="A597" s="125">
        <f t="shared" si="12"/>
        <v>590</v>
      </c>
      <c r="B597" s="366" t="s">
        <v>632</v>
      </c>
      <c r="C597" s="123" t="s">
        <v>633</v>
      </c>
      <c r="D597" s="258"/>
      <c r="E597" s="261">
        <v>1</v>
      </c>
      <c r="F597" s="353"/>
      <c r="I597" s="365"/>
    </row>
    <row r="598" spans="1:9" ht="16.5" customHeight="1">
      <c r="A598" s="125">
        <f t="shared" si="12"/>
        <v>591</v>
      </c>
      <c r="B598" s="366" t="s">
        <v>634</v>
      </c>
      <c r="C598" s="123" t="s">
        <v>635</v>
      </c>
      <c r="D598" s="258"/>
      <c r="E598" s="261">
        <v>1</v>
      </c>
      <c r="F598" s="353"/>
      <c r="I598" s="365"/>
    </row>
    <row r="599" spans="1:9">
      <c r="A599" s="125">
        <f t="shared" si="12"/>
        <v>592</v>
      </c>
      <c r="B599" s="366" t="s">
        <v>1056</v>
      </c>
      <c r="C599" s="123" t="s">
        <v>1057</v>
      </c>
      <c r="D599" s="258"/>
      <c r="E599" s="261">
        <v>1</v>
      </c>
      <c r="F599" s="353"/>
      <c r="I599" s="365"/>
    </row>
    <row r="600" spans="1:9">
      <c r="A600" s="125">
        <f t="shared" si="12"/>
        <v>593</v>
      </c>
      <c r="B600" s="366" t="s">
        <v>636</v>
      </c>
      <c r="C600" s="123" t="s">
        <v>637</v>
      </c>
      <c r="D600" s="258"/>
      <c r="E600" s="261">
        <v>1</v>
      </c>
      <c r="F600" s="353"/>
      <c r="I600" s="365"/>
    </row>
    <row r="601" spans="1:9">
      <c r="A601" s="125">
        <f t="shared" si="12"/>
        <v>594</v>
      </c>
      <c r="B601" s="366" t="s">
        <v>638</v>
      </c>
      <c r="C601" s="123" t="s">
        <v>639</v>
      </c>
      <c r="D601" s="258"/>
      <c r="E601" s="261">
        <v>1</v>
      </c>
      <c r="F601" s="353"/>
      <c r="I601" s="365"/>
    </row>
    <row r="602" spans="1:9">
      <c r="A602" s="125">
        <f t="shared" si="12"/>
        <v>595</v>
      </c>
      <c r="B602" s="366" t="s">
        <v>640</v>
      </c>
      <c r="C602" s="123" t="s">
        <v>641</v>
      </c>
      <c r="D602" s="258"/>
      <c r="E602" s="261">
        <v>1</v>
      </c>
      <c r="F602" s="353"/>
      <c r="I602" s="365"/>
    </row>
    <row r="603" spans="1:9">
      <c r="A603" s="125">
        <f t="shared" si="12"/>
        <v>596</v>
      </c>
      <c r="B603" s="366" t="s">
        <v>642</v>
      </c>
      <c r="C603" s="123" t="s">
        <v>643</v>
      </c>
      <c r="D603" s="258"/>
      <c r="E603" s="261">
        <v>1</v>
      </c>
      <c r="F603" s="353"/>
      <c r="I603" s="365"/>
    </row>
    <row r="604" spans="1:9">
      <c r="A604" s="125">
        <f t="shared" si="12"/>
        <v>597</v>
      </c>
      <c r="B604" s="366" t="s">
        <v>644</v>
      </c>
      <c r="C604" s="123" t="s">
        <v>645</v>
      </c>
      <c r="D604" s="258"/>
      <c r="E604" s="261">
        <v>1</v>
      </c>
      <c r="F604" s="353"/>
      <c r="I604" s="365"/>
    </row>
    <row r="605" spans="1:9">
      <c r="A605" s="125">
        <f t="shared" si="12"/>
        <v>598</v>
      </c>
      <c r="B605" s="366" t="s">
        <v>646</v>
      </c>
      <c r="C605" s="123" t="s">
        <v>647</v>
      </c>
      <c r="D605" s="258"/>
      <c r="E605" s="261">
        <v>1</v>
      </c>
      <c r="F605" s="353"/>
      <c r="I605" s="365"/>
    </row>
    <row r="606" spans="1:9">
      <c r="A606" s="125">
        <f t="shared" si="12"/>
        <v>599</v>
      </c>
      <c r="B606" s="366" t="s">
        <v>648</v>
      </c>
      <c r="C606" s="123" t="s">
        <v>649</v>
      </c>
      <c r="D606" s="258"/>
      <c r="E606" s="261">
        <v>1</v>
      </c>
      <c r="F606" s="353"/>
      <c r="I606" s="365"/>
    </row>
    <row r="607" spans="1:9" ht="16.5" customHeight="1">
      <c r="A607" s="125">
        <f t="shared" si="12"/>
        <v>600</v>
      </c>
      <c r="B607" s="366" t="s">
        <v>650</v>
      </c>
      <c r="C607" s="123" t="s">
        <v>651</v>
      </c>
      <c r="D607" s="258"/>
      <c r="E607" s="261">
        <v>1</v>
      </c>
      <c r="F607" s="353"/>
      <c r="I607" s="365"/>
    </row>
    <row r="608" spans="1:9" ht="17.25" customHeight="1">
      <c r="A608" s="125">
        <f t="shared" si="12"/>
        <v>601</v>
      </c>
      <c r="B608" s="366" t="s">
        <v>652</v>
      </c>
      <c r="C608" s="123" t="s">
        <v>653</v>
      </c>
      <c r="D608" s="258"/>
      <c r="E608" s="261">
        <v>1</v>
      </c>
      <c r="F608" s="353"/>
      <c r="I608" s="365"/>
    </row>
    <row r="609" spans="1:9">
      <c r="A609" s="125">
        <f t="shared" si="12"/>
        <v>602</v>
      </c>
      <c r="B609" s="366" t="s">
        <v>654</v>
      </c>
      <c r="C609" s="123" t="s">
        <v>655</v>
      </c>
      <c r="D609" s="258"/>
      <c r="E609" s="261">
        <v>1</v>
      </c>
      <c r="F609" s="353"/>
      <c r="I609" s="365"/>
    </row>
    <row r="610" spans="1:9">
      <c r="A610" s="125">
        <f t="shared" si="12"/>
        <v>603</v>
      </c>
      <c r="B610" s="366" t="s">
        <v>656</v>
      </c>
      <c r="C610" s="123" t="s">
        <v>657</v>
      </c>
      <c r="D610" s="258"/>
      <c r="E610" s="261">
        <v>1</v>
      </c>
      <c r="F610" s="353"/>
      <c r="I610" s="365"/>
    </row>
    <row r="611" spans="1:9">
      <c r="A611" s="125">
        <f t="shared" si="12"/>
        <v>604</v>
      </c>
      <c r="B611" s="253"/>
      <c r="D611" s="258"/>
      <c r="E611" s="261"/>
      <c r="F611" s="353"/>
      <c r="I611" s="365"/>
    </row>
    <row r="612" spans="1:9" ht="27" customHeight="1">
      <c r="A612" s="125">
        <f t="shared" si="12"/>
        <v>605</v>
      </c>
      <c r="B612" s="253"/>
      <c r="C612" s="254" t="s">
        <v>2153</v>
      </c>
      <c r="D612" s="258"/>
      <c r="E612" s="261"/>
      <c r="F612" s="353"/>
      <c r="I612" s="365"/>
    </row>
    <row r="613" spans="1:9">
      <c r="A613" s="125">
        <f t="shared" si="12"/>
        <v>606</v>
      </c>
      <c r="B613" s="253"/>
      <c r="C613" s="257" t="s">
        <v>666</v>
      </c>
      <c r="D613" s="258"/>
      <c r="E613" s="261">
        <v>1</v>
      </c>
      <c r="F613" s="353"/>
      <c r="I613" s="365"/>
    </row>
    <row r="614" spans="1:9" ht="18.75" customHeight="1">
      <c r="A614" s="125">
        <f t="shared" si="12"/>
        <v>607</v>
      </c>
      <c r="B614" s="253"/>
      <c r="C614" s="257" t="s">
        <v>668</v>
      </c>
      <c r="D614" s="258"/>
      <c r="E614" s="261">
        <v>1</v>
      </c>
      <c r="F614" s="353"/>
      <c r="I614" s="365"/>
    </row>
    <row r="615" spans="1:9">
      <c r="A615" s="125">
        <f t="shared" si="12"/>
        <v>608</v>
      </c>
      <c r="B615" s="253"/>
      <c r="D615" s="258"/>
      <c r="E615" s="261"/>
      <c r="F615" s="353"/>
      <c r="I615" s="365"/>
    </row>
    <row r="616" spans="1:9">
      <c r="A616" s="125">
        <f t="shared" si="12"/>
        <v>609</v>
      </c>
      <c r="B616" s="253"/>
      <c r="C616" s="254" t="s">
        <v>2154</v>
      </c>
      <c r="D616" s="258"/>
      <c r="E616" s="261"/>
      <c r="F616" s="353"/>
      <c r="I616" s="365"/>
    </row>
    <row r="617" spans="1:9">
      <c r="A617" s="125">
        <f t="shared" si="12"/>
        <v>610</v>
      </c>
      <c r="B617" s="253"/>
      <c r="C617" s="264" t="s">
        <v>329</v>
      </c>
      <c r="D617" s="258" t="s">
        <v>1333</v>
      </c>
      <c r="E617" s="261"/>
      <c r="F617" s="353"/>
      <c r="I617" s="365"/>
    </row>
    <row r="618" spans="1:9">
      <c r="A618" s="125">
        <f t="shared" si="12"/>
        <v>611</v>
      </c>
      <c r="B618" s="253" t="s">
        <v>1014</v>
      </c>
      <c r="C618" s="264" t="s">
        <v>1015</v>
      </c>
      <c r="D618" s="258" t="s">
        <v>2155</v>
      </c>
      <c r="E618" s="261"/>
      <c r="F618" s="353"/>
      <c r="I618" s="365"/>
    </row>
    <row r="619" spans="1:9">
      <c r="A619" s="125">
        <f t="shared" si="12"/>
        <v>612</v>
      </c>
      <c r="B619" s="253"/>
      <c r="C619" s="264" t="s">
        <v>341</v>
      </c>
      <c r="D619" s="258" t="s">
        <v>2156</v>
      </c>
      <c r="E619" s="261"/>
      <c r="F619" s="353"/>
      <c r="I619" s="365"/>
    </row>
    <row r="620" spans="1:9">
      <c r="A620" s="125">
        <f t="shared" si="12"/>
        <v>613</v>
      </c>
      <c r="B620" s="253"/>
      <c r="C620" s="257" t="s">
        <v>673</v>
      </c>
      <c r="D620" s="258"/>
      <c r="E620" s="261"/>
      <c r="F620" s="353"/>
      <c r="I620" s="365"/>
    </row>
    <row r="621" spans="1:9">
      <c r="A621" s="125">
        <f t="shared" si="12"/>
        <v>614</v>
      </c>
      <c r="B621" s="253"/>
      <c r="C621" s="257" t="s">
        <v>676</v>
      </c>
      <c r="D621" s="258"/>
      <c r="E621" s="261"/>
      <c r="F621" s="353"/>
      <c r="I621" s="365"/>
    </row>
    <row r="622" spans="1:9">
      <c r="A622" s="125">
        <f t="shared" si="12"/>
        <v>615</v>
      </c>
      <c r="B622" s="253"/>
      <c r="C622" s="257" t="s">
        <v>678</v>
      </c>
      <c r="D622" s="258"/>
      <c r="E622" s="261"/>
      <c r="F622" s="353"/>
      <c r="I622" s="365"/>
    </row>
    <row r="623" spans="1:9">
      <c r="A623" s="125">
        <f t="shared" si="12"/>
        <v>616</v>
      </c>
      <c r="B623" s="253"/>
      <c r="C623" s="257" t="s">
        <v>680</v>
      </c>
      <c r="D623" s="258"/>
      <c r="E623" s="261"/>
      <c r="F623" s="353"/>
      <c r="I623" s="365"/>
    </row>
    <row r="624" spans="1:9">
      <c r="A624" s="125">
        <f t="shared" si="12"/>
        <v>617</v>
      </c>
      <c r="B624" s="253"/>
      <c r="C624" s="257" t="s">
        <v>682</v>
      </c>
      <c r="D624" s="258"/>
      <c r="E624" s="261"/>
      <c r="F624" s="353"/>
      <c r="I624" s="365"/>
    </row>
    <row r="625" spans="1:9">
      <c r="A625" s="125">
        <f t="shared" si="12"/>
        <v>618</v>
      </c>
      <c r="B625" s="253"/>
      <c r="C625" s="257" t="s">
        <v>684</v>
      </c>
      <c r="D625" s="258"/>
      <c r="E625" s="261"/>
      <c r="F625" s="353"/>
      <c r="I625" s="365"/>
    </row>
    <row r="626" spans="1:9">
      <c r="A626" s="125">
        <f t="shared" si="12"/>
        <v>619</v>
      </c>
      <c r="B626" s="253"/>
      <c r="C626" s="257" t="s">
        <v>686</v>
      </c>
      <c r="D626" s="258"/>
      <c r="E626" s="261"/>
      <c r="F626" s="353"/>
      <c r="I626" s="365"/>
    </row>
    <row r="627" spans="1:9">
      <c r="A627" s="125">
        <f t="shared" si="12"/>
        <v>620</v>
      </c>
      <c r="B627" s="253"/>
      <c r="C627" s="257" t="s">
        <v>688</v>
      </c>
      <c r="D627" s="258"/>
      <c r="E627" s="261"/>
      <c r="F627" s="353"/>
      <c r="I627" s="365"/>
    </row>
    <row r="628" spans="1:9">
      <c r="A628" s="125">
        <f t="shared" si="12"/>
        <v>621</v>
      </c>
      <c r="B628" s="253"/>
      <c r="C628" s="257" t="s">
        <v>690</v>
      </c>
      <c r="D628" s="258"/>
      <c r="E628" s="261"/>
      <c r="F628" s="353"/>
      <c r="I628" s="365"/>
    </row>
    <row r="629" spans="1:9">
      <c r="A629" s="125">
        <f t="shared" si="12"/>
        <v>622</v>
      </c>
      <c r="B629" s="253"/>
      <c r="C629" s="257" t="s">
        <v>692</v>
      </c>
      <c r="D629" s="258"/>
      <c r="E629" s="261"/>
      <c r="F629" s="353"/>
      <c r="I629" s="365"/>
    </row>
    <row r="630" spans="1:9">
      <c r="A630" s="125">
        <f t="shared" si="12"/>
        <v>623</v>
      </c>
      <c r="B630" s="253"/>
      <c r="C630" s="257" t="s">
        <v>696</v>
      </c>
      <c r="D630" s="258"/>
      <c r="E630" s="261"/>
      <c r="F630" s="353"/>
      <c r="I630" s="365"/>
    </row>
    <row r="631" spans="1:9">
      <c r="A631" s="125">
        <f t="shared" si="12"/>
        <v>624</v>
      </c>
      <c r="B631" s="253" t="s">
        <v>352</v>
      </c>
      <c r="C631" s="257" t="s">
        <v>2157</v>
      </c>
      <c r="D631" s="258" t="s">
        <v>2158</v>
      </c>
      <c r="E631" s="261"/>
      <c r="F631" s="353"/>
      <c r="I631" s="365"/>
    </row>
    <row r="632" spans="1:9">
      <c r="A632" s="125">
        <f t="shared" si="12"/>
        <v>625</v>
      </c>
      <c r="B632" s="253"/>
      <c r="C632" s="257" t="s">
        <v>698</v>
      </c>
      <c r="D632" s="258"/>
      <c r="E632" s="261"/>
      <c r="F632" s="353"/>
      <c r="I632" s="365"/>
    </row>
    <row r="633" spans="1:9">
      <c r="A633" s="125">
        <f t="shared" si="12"/>
        <v>626</v>
      </c>
      <c r="B633" s="253"/>
      <c r="C633" s="257" t="s">
        <v>1062</v>
      </c>
      <c r="D633" s="258"/>
      <c r="E633" s="261"/>
      <c r="F633" s="353"/>
      <c r="I633" s="365"/>
    </row>
    <row r="634" spans="1:9">
      <c r="A634" s="125"/>
      <c r="B634" s="253"/>
      <c r="C634" s="257" t="s">
        <v>2159</v>
      </c>
      <c r="D634" s="258" t="s">
        <v>2160</v>
      </c>
      <c r="E634" s="261"/>
      <c r="F634" s="353"/>
      <c r="I634" s="365"/>
    </row>
    <row r="635" spans="1:9">
      <c r="A635" s="125">
        <f>A633+1</f>
        <v>627</v>
      </c>
      <c r="B635" s="253"/>
      <c r="C635" s="257" t="s">
        <v>702</v>
      </c>
      <c r="D635" s="258"/>
      <c r="E635" s="261"/>
      <c r="F635" s="353"/>
      <c r="I635" s="365"/>
    </row>
    <row r="636" spans="1:9">
      <c r="A636" s="125">
        <f t="shared" ref="A636:A667" si="13">A635+1</f>
        <v>628</v>
      </c>
      <c r="B636" s="253"/>
      <c r="C636" s="257" t="s">
        <v>704</v>
      </c>
      <c r="D636" s="258"/>
      <c r="E636" s="261"/>
      <c r="F636" s="353"/>
      <c r="I636" s="365"/>
    </row>
    <row r="637" spans="1:9">
      <c r="A637" s="125">
        <f t="shared" si="13"/>
        <v>629</v>
      </c>
      <c r="B637" s="253"/>
      <c r="C637" s="257" t="s">
        <v>706</v>
      </c>
      <c r="D637" s="258"/>
      <c r="E637" s="261"/>
      <c r="F637" s="353"/>
      <c r="I637" s="365"/>
    </row>
    <row r="638" spans="1:9">
      <c r="A638" s="125">
        <f t="shared" si="13"/>
        <v>630</v>
      </c>
      <c r="B638" s="253"/>
      <c r="C638" s="257" t="s">
        <v>708</v>
      </c>
      <c r="D638" s="258"/>
      <c r="E638" s="261"/>
      <c r="F638" s="353"/>
      <c r="I638" s="365"/>
    </row>
    <row r="639" spans="1:9">
      <c r="A639" s="125">
        <f t="shared" si="13"/>
        <v>631</v>
      </c>
      <c r="B639" s="253"/>
      <c r="C639" s="257" t="s">
        <v>710</v>
      </c>
      <c r="D639" s="258"/>
      <c r="E639" s="261"/>
      <c r="F639" s="353"/>
      <c r="I639" s="365"/>
    </row>
    <row r="640" spans="1:9">
      <c r="A640" s="125">
        <f t="shared" si="13"/>
        <v>632</v>
      </c>
      <c r="B640" s="253"/>
      <c r="C640" s="257" t="s">
        <v>712</v>
      </c>
      <c r="D640" s="258"/>
      <c r="E640" s="261"/>
      <c r="F640" s="353"/>
      <c r="I640" s="365"/>
    </row>
    <row r="641" spans="1:9">
      <c r="A641" s="125">
        <f t="shared" si="13"/>
        <v>633</v>
      </c>
      <c r="B641" s="253"/>
      <c r="C641" s="257" t="s">
        <v>714</v>
      </c>
      <c r="D641" s="258"/>
      <c r="E641" s="261"/>
      <c r="F641" s="353"/>
      <c r="I641" s="365"/>
    </row>
    <row r="642" spans="1:9">
      <c r="A642" s="125">
        <f t="shared" si="13"/>
        <v>634</v>
      </c>
      <c r="B642" s="253"/>
      <c r="C642" s="257" t="s">
        <v>1064</v>
      </c>
      <c r="D642" s="258"/>
      <c r="E642" s="261"/>
      <c r="F642" s="353"/>
      <c r="I642" s="365"/>
    </row>
    <row r="643" spans="1:9">
      <c r="A643" s="125">
        <f t="shared" si="13"/>
        <v>635</v>
      </c>
      <c r="B643" s="253"/>
      <c r="C643" s="257" t="s">
        <v>1066</v>
      </c>
      <c r="D643" s="258"/>
      <c r="E643" s="261"/>
      <c r="F643" s="353"/>
      <c r="I643" s="365"/>
    </row>
    <row r="644" spans="1:9">
      <c r="A644" s="125">
        <f t="shared" si="13"/>
        <v>636</v>
      </c>
      <c r="B644" s="253"/>
      <c r="C644" s="257" t="s">
        <v>716</v>
      </c>
      <c r="D644" s="258"/>
      <c r="E644" s="261"/>
      <c r="F644" s="353"/>
      <c r="I644" s="365"/>
    </row>
    <row r="645" spans="1:9">
      <c r="A645" s="125">
        <f t="shared" si="13"/>
        <v>637</v>
      </c>
      <c r="B645" s="253"/>
      <c r="C645" s="257" t="s">
        <v>718</v>
      </c>
      <c r="D645" s="258"/>
      <c r="E645" s="261"/>
      <c r="F645" s="353"/>
      <c r="I645" s="365"/>
    </row>
    <row r="646" spans="1:9">
      <c r="A646" s="125">
        <f t="shared" si="13"/>
        <v>638</v>
      </c>
      <c r="B646" s="253"/>
      <c r="C646" s="257" t="s">
        <v>720</v>
      </c>
      <c r="D646" s="258"/>
      <c r="E646" s="261"/>
      <c r="F646" s="353"/>
      <c r="I646" s="365"/>
    </row>
    <row r="647" spans="1:9">
      <c r="A647" s="125">
        <f t="shared" si="13"/>
        <v>639</v>
      </c>
      <c r="B647" s="253"/>
      <c r="C647" s="257" t="s">
        <v>722</v>
      </c>
      <c r="D647" s="258"/>
      <c r="E647" s="261"/>
      <c r="F647" s="353"/>
      <c r="I647" s="365"/>
    </row>
    <row r="648" spans="1:9">
      <c r="A648" s="125">
        <f t="shared" si="13"/>
        <v>640</v>
      </c>
      <c r="B648" s="253"/>
      <c r="C648" s="257" t="s">
        <v>1068</v>
      </c>
      <c r="D648" s="258"/>
      <c r="E648" s="261"/>
      <c r="F648" s="353"/>
      <c r="I648" s="365"/>
    </row>
    <row r="649" spans="1:9">
      <c r="A649" s="125">
        <f t="shared" si="13"/>
        <v>641</v>
      </c>
      <c r="B649" s="253"/>
      <c r="C649" s="257" t="s">
        <v>1070</v>
      </c>
      <c r="D649" s="258" t="s">
        <v>2161</v>
      </c>
      <c r="E649" s="261"/>
      <c r="F649" s="353"/>
      <c r="I649" s="365"/>
    </row>
    <row r="650" spans="1:9">
      <c r="A650" s="125">
        <f t="shared" si="13"/>
        <v>642</v>
      </c>
      <c r="B650" s="253"/>
      <c r="C650" s="257" t="s">
        <v>724</v>
      </c>
      <c r="D650" s="258"/>
      <c r="E650" s="261"/>
      <c r="F650" s="353"/>
      <c r="I650" s="365"/>
    </row>
    <row r="651" spans="1:9">
      <c r="A651" s="125">
        <f t="shared" si="13"/>
        <v>643</v>
      </c>
      <c r="B651" s="253"/>
      <c r="C651" s="257" t="s">
        <v>726</v>
      </c>
      <c r="D651" s="258"/>
      <c r="E651" s="261"/>
      <c r="F651" s="353"/>
      <c r="I651" s="365"/>
    </row>
    <row r="652" spans="1:9">
      <c r="A652" s="125">
        <f t="shared" si="13"/>
        <v>644</v>
      </c>
      <c r="B652" s="253"/>
      <c r="C652" s="257" t="s">
        <v>728</v>
      </c>
      <c r="D652" s="258"/>
      <c r="E652" s="261"/>
      <c r="F652" s="353"/>
      <c r="I652" s="365"/>
    </row>
    <row r="653" spans="1:9">
      <c r="A653" s="125">
        <f t="shared" si="13"/>
        <v>645</v>
      </c>
      <c r="B653" s="253"/>
      <c r="C653" s="257" t="s">
        <v>730</v>
      </c>
      <c r="D653" s="258"/>
      <c r="E653" s="261"/>
      <c r="F653" s="353"/>
      <c r="I653" s="365"/>
    </row>
    <row r="654" spans="1:9">
      <c r="A654" s="125">
        <f t="shared" si="13"/>
        <v>646</v>
      </c>
      <c r="B654" s="253"/>
      <c r="C654" s="257" t="s">
        <v>734</v>
      </c>
      <c r="D654" s="258"/>
      <c r="E654" s="261"/>
      <c r="F654" s="353"/>
      <c r="I654" s="365"/>
    </row>
    <row r="655" spans="1:9">
      <c r="A655" s="125">
        <f t="shared" si="13"/>
        <v>647</v>
      </c>
      <c r="B655" s="253"/>
      <c r="C655" s="257" t="s">
        <v>736</v>
      </c>
      <c r="D655" s="258"/>
      <c r="E655" s="261"/>
      <c r="F655" s="353"/>
      <c r="I655" s="365"/>
    </row>
    <row r="656" spans="1:9">
      <c r="A656" s="125">
        <f t="shared" si="13"/>
        <v>648</v>
      </c>
      <c r="B656" s="253"/>
      <c r="C656" s="257" t="s">
        <v>738</v>
      </c>
      <c r="D656" s="258"/>
      <c r="E656" s="261"/>
      <c r="F656" s="353"/>
      <c r="I656" s="365"/>
    </row>
    <row r="657" spans="1:9">
      <c r="A657" s="125">
        <f t="shared" si="13"/>
        <v>649</v>
      </c>
      <c r="B657" s="253"/>
      <c r="C657" s="257" t="s">
        <v>740</v>
      </c>
      <c r="D657" s="258"/>
      <c r="E657" s="261"/>
      <c r="F657" s="353"/>
      <c r="I657" s="365"/>
    </row>
    <row r="658" spans="1:9">
      <c r="A658" s="125">
        <f t="shared" si="13"/>
        <v>650</v>
      </c>
      <c r="B658" s="253"/>
      <c r="C658" s="257" t="s">
        <v>385</v>
      </c>
      <c r="D658" s="258" t="s">
        <v>2162</v>
      </c>
      <c r="E658" s="261"/>
      <c r="F658" s="353"/>
      <c r="I658" s="365"/>
    </row>
    <row r="659" spans="1:9">
      <c r="A659" s="125">
        <f t="shared" si="13"/>
        <v>651</v>
      </c>
      <c r="B659" s="253"/>
      <c r="C659" s="257" t="s">
        <v>1072</v>
      </c>
      <c r="D659" s="258"/>
      <c r="E659" s="261"/>
      <c r="F659" s="353"/>
      <c r="I659" s="365"/>
    </row>
    <row r="660" spans="1:9">
      <c r="A660" s="125">
        <f t="shared" si="13"/>
        <v>652</v>
      </c>
      <c r="B660" s="253"/>
      <c r="C660" s="257" t="s">
        <v>742</v>
      </c>
      <c r="D660" s="258"/>
      <c r="E660" s="261"/>
      <c r="F660" s="353"/>
      <c r="I660" s="365"/>
    </row>
    <row r="661" spans="1:9">
      <c r="A661" s="125">
        <f t="shared" si="13"/>
        <v>653</v>
      </c>
      <c r="B661" s="253"/>
      <c r="C661" s="257" t="s">
        <v>744</v>
      </c>
      <c r="D661" s="258"/>
      <c r="E661" s="261"/>
      <c r="F661" s="353"/>
      <c r="I661" s="365"/>
    </row>
    <row r="662" spans="1:9">
      <c r="A662" s="125">
        <f t="shared" si="13"/>
        <v>654</v>
      </c>
      <c r="B662" s="253"/>
      <c r="C662" s="257" t="s">
        <v>746</v>
      </c>
      <c r="D662" s="258"/>
      <c r="E662" s="261"/>
      <c r="F662" s="353"/>
      <c r="I662" s="365"/>
    </row>
    <row r="663" spans="1:9">
      <c r="A663" s="125">
        <f t="shared" si="13"/>
        <v>655</v>
      </c>
      <c r="B663" s="253"/>
      <c r="C663" s="257" t="s">
        <v>1074</v>
      </c>
      <c r="D663" s="258"/>
      <c r="E663" s="261"/>
      <c r="F663" s="353"/>
      <c r="I663" s="365"/>
    </row>
    <row r="664" spans="1:9">
      <c r="A664" s="125">
        <f t="shared" si="13"/>
        <v>656</v>
      </c>
      <c r="B664" s="253"/>
      <c r="C664" s="257" t="s">
        <v>389</v>
      </c>
      <c r="D664" s="258" t="s">
        <v>2163</v>
      </c>
      <c r="E664" s="261"/>
      <c r="F664" s="353"/>
      <c r="I664" s="365"/>
    </row>
    <row r="665" spans="1:9">
      <c r="A665" s="125">
        <f t="shared" si="13"/>
        <v>657</v>
      </c>
      <c r="B665" s="253"/>
      <c r="C665" s="257" t="s">
        <v>748</v>
      </c>
      <c r="D665" s="258"/>
      <c r="E665" s="261"/>
      <c r="F665" s="353"/>
      <c r="I665" s="365"/>
    </row>
    <row r="666" spans="1:9">
      <c r="A666" s="125">
        <f t="shared" si="13"/>
        <v>658</v>
      </c>
      <c r="B666" s="253"/>
      <c r="C666" s="257" t="s">
        <v>750</v>
      </c>
      <c r="D666" s="258"/>
      <c r="E666" s="261"/>
      <c r="F666" s="353"/>
      <c r="I666" s="365"/>
    </row>
    <row r="667" spans="1:9">
      <c r="A667" s="125">
        <f t="shared" si="13"/>
        <v>659</v>
      </c>
      <c r="B667" s="253"/>
      <c r="C667" s="257" t="s">
        <v>387</v>
      </c>
      <c r="D667" s="258" t="s">
        <v>2164</v>
      </c>
      <c r="E667" s="261"/>
      <c r="F667" s="353"/>
      <c r="I667" s="365"/>
    </row>
    <row r="668" spans="1:9">
      <c r="A668" s="125">
        <f t="shared" ref="A668:A699" si="14">A667+1</f>
        <v>660</v>
      </c>
      <c r="B668" s="253"/>
      <c r="C668" s="257" t="s">
        <v>752</v>
      </c>
      <c r="D668" s="258"/>
      <c r="E668" s="261"/>
      <c r="F668" s="353"/>
      <c r="I668" s="365"/>
    </row>
    <row r="669" spans="1:9">
      <c r="A669" s="125">
        <f t="shared" si="14"/>
        <v>661</v>
      </c>
      <c r="B669" s="253"/>
      <c r="C669" s="257" t="s">
        <v>754</v>
      </c>
      <c r="D669" s="258"/>
      <c r="E669" s="261"/>
      <c r="F669" s="353"/>
      <c r="I669" s="365"/>
    </row>
    <row r="670" spans="1:9">
      <c r="A670" s="125">
        <f t="shared" si="14"/>
        <v>662</v>
      </c>
      <c r="B670" s="253"/>
      <c r="C670" s="257" t="s">
        <v>756</v>
      </c>
      <c r="D670" s="258"/>
      <c r="E670" s="261"/>
      <c r="F670" s="353"/>
      <c r="I670" s="365"/>
    </row>
    <row r="671" spans="1:9">
      <c r="A671" s="125">
        <f t="shared" si="14"/>
        <v>663</v>
      </c>
      <c r="B671" s="253"/>
      <c r="C671" s="257" t="s">
        <v>758</v>
      </c>
      <c r="D671" s="258"/>
      <c r="E671" s="261"/>
      <c r="F671" s="353"/>
      <c r="I671" s="365"/>
    </row>
    <row r="672" spans="1:9">
      <c r="A672" s="125">
        <f t="shared" si="14"/>
        <v>664</v>
      </c>
      <c r="B672" s="253"/>
      <c r="C672" s="257" t="s">
        <v>760</v>
      </c>
      <c r="D672" s="258"/>
      <c r="E672" s="261"/>
      <c r="F672" s="353"/>
      <c r="I672" s="365"/>
    </row>
    <row r="673" spans="1:9">
      <c r="A673" s="125">
        <f t="shared" si="14"/>
        <v>665</v>
      </c>
      <c r="B673" s="253"/>
      <c r="C673" s="257" t="s">
        <v>762</v>
      </c>
      <c r="D673" s="258"/>
      <c r="E673" s="261"/>
      <c r="F673" s="353"/>
      <c r="I673" s="365"/>
    </row>
    <row r="674" spans="1:9">
      <c r="A674" s="125">
        <f t="shared" si="14"/>
        <v>666</v>
      </c>
      <c r="B674" s="253"/>
      <c r="C674" s="257" t="s">
        <v>764</v>
      </c>
      <c r="D674" s="258"/>
      <c r="E674" s="261"/>
      <c r="F674" s="353"/>
      <c r="I674" s="365"/>
    </row>
    <row r="675" spans="1:9">
      <c r="A675" s="125">
        <f t="shared" si="14"/>
        <v>667</v>
      </c>
      <c r="B675" s="253"/>
      <c r="C675" s="257" t="s">
        <v>766</v>
      </c>
      <c r="D675" s="258"/>
      <c r="E675" s="261"/>
      <c r="F675" s="353"/>
      <c r="I675" s="365"/>
    </row>
    <row r="676" spans="1:9" ht="25.5">
      <c r="A676" s="125">
        <f t="shared" si="14"/>
        <v>668</v>
      </c>
      <c r="B676" s="253"/>
      <c r="C676" s="257" t="s">
        <v>770</v>
      </c>
      <c r="D676" s="258"/>
      <c r="E676" s="261"/>
      <c r="F676" s="353"/>
      <c r="I676" s="365"/>
    </row>
    <row r="677" spans="1:9">
      <c r="A677" s="125">
        <f t="shared" si="14"/>
        <v>669</v>
      </c>
      <c r="B677" s="253"/>
      <c r="C677" s="257" t="s">
        <v>772</v>
      </c>
      <c r="D677" s="258"/>
      <c r="E677" s="261"/>
      <c r="F677" s="353"/>
      <c r="I677" s="365"/>
    </row>
    <row r="678" spans="1:9">
      <c r="A678" s="125">
        <f t="shared" si="14"/>
        <v>670</v>
      </c>
      <c r="B678" s="253"/>
      <c r="C678" s="257" t="s">
        <v>774</v>
      </c>
      <c r="D678" s="258"/>
      <c r="E678" s="261"/>
      <c r="F678" s="353"/>
      <c r="I678" s="365"/>
    </row>
    <row r="679" spans="1:9">
      <c r="A679" s="125">
        <f t="shared" si="14"/>
        <v>671</v>
      </c>
      <c r="B679" s="253"/>
      <c r="C679" s="257" t="s">
        <v>1076</v>
      </c>
      <c r="D679" s="258" t="s">
        <v>2165</v>
      </c>
      <c r="E679" s="261"/>
      <c r="F679" s="359"/>
      <c r="I679" s="365"/>
    </row>
    <row r="680" spans="1:9">
      <c r="A680" s="125">
        <f t="shared" si="14"/>
        <v>672</v>
      </c>
      <c r="B680" s="253"/>
      <c r="C680" s="257" t="s">
        <v>776</v>
      </c>
      <c r="D680" s="258"/>
      <c r="E680" s="261"/>
      <c r="F680" s="353"/>
      <c r="I680" s="365"/>
    </row>
    <row r="681" spans="1:9" ht="25.5">
      <c r="A681" s="125">
        <f t="shared" si="14"/>
        <v>673</v>
      </c>
      <c r="B681" s="253"/>
      <c r="C681" s="257" t="s">
        <v>778</v>
      </c>
      <c r="D681" s="258"/>
      <c r="E681" s="261"/>
      <c r="F681" s="353"/>
      <c r="I681" s="365"/>
    </row>
    <row r="682" spans="1:9">
      <c r="A682" s="125">
        <f t="shared" si="14"/>
        <v>674</v>
      </c>
      <c r="B682" s="253"/>
      <c r="C682" s="257" t="s">
        <v>1078</v>
      </c>
      <c r="D682" s="258"/>
      <c r="E682" s="261"/>
      <c r="F682" s="353"/>
      <c r="I682" s="365"/>
    </row>
    <row r="683" spans="1:9">
      <c r="A683" s="125">
        <f t="shared" si="14"/>
        <v>675</v>
      </c>
      <c r="B683" s="253" t="s">
        <v>414</v>
      </c>
      <c r="C683" s="257" t="s">
        <v>2166</v>
      </c>
      <c r="D683" s="258" t="s">
        <v>2167</v>
      </c>
      <c r="E683" s="261"/>
      <c r="F683" s="353"/>
      <c r="I683" s="365"/>
    </row>
    <row r="684" spans="1:9">
      <c r="A684" s="125">
        <f t="shared" si="14"/>
        <v>676</v>
      </c>
      <c r="B684" s="253"/>
      <c r="C684" s="257" t="s">
        <v>782</v>
      </c>
      <c r="D684" s="258"/>
      <c r="E684" s="261"/>
      <c r="F684" s="353"/>
      <c r="I684" s="365"/>
    </row>
    <row r="685" spans="1:9" ht="25.5">
      <c r="A685" s="125">
        <f t="shared" si="14"/>
        <v>677</v>
      </c>
      <c r="B685" s="253"/>
      <c r="C685" s="257" t="s">
        <v>784</v>
      </c>
      <c r="D685" s="258"/>
      <c r="E685" s="261"/>
      <c r="F685" s="353"/>
      <c r="I685" s="365"/>
    </row>
    <row r="686" spans="1:9">
      <c r="A686" s="125">
        <f t="shared" si="14"/>
        <v>678</v>
      </c>
      <c r="B686" s="253"/>
      <c r="C686" s="257" t="s">
        <v>1080</v>
      </c>
      <c r="D686" s="258"/>
      <c r="E686" s="261"/>
      <c r="F686" s="353"/>
      <c r="I686" s="365"/>
    </row>
    <row r="687" spans="1:9">
      <c r="A687" s="125">
        <f t="shared" si="14"/>
        <v>679</v>
      </c>
      <c r="B687" s="253"/>
      <c r="C687" s="257" t="s">
        <v>786</v>
      </c>
      <c r="D687" s="258"/>
      <c r="E687" s="261"/>
      <c r="F687" s="353"/>
      <c r="I687" s="365"/>
    </row>
    <row r="688" spans="1:9">
      <c r="A688" s="125">
        <f t="shared" si="14"/>
        <v>680</v>
      </c>
      <c r="B688" s="253"/>
      <c r="C688" s="257" t="s">
        <v>788</v>
      </c>
      <c r="D688" s="258"/>
      <c r="E688" s="261"/>
      <c r="F688" s="353"/>
      <c r="I688" s="365"/>
    </row>
    <row r="689" spans="1:9">
      <c r="A689" s="125">
        <f t="shared" si="14"/>
        <v>681</v>
      </c>
      <c r="B689" s="253"/>
      <c r="C689" s="257" t="s">
        <v>792</v>
      </c>
      <c r="D689" s="258"/>
      <c r="E689" s="261"/>
      <c r="F689" s="353"/>
      <c r="I689" s="365"/>
    </row>
    <row r="690" spans="1:9">
      <c r="A690" s="125">
        <f t="shared" si="14"/>
        <v>682</v>
      </c>
      <c r="B690" s="253"/>
      <c r="C690" s="257" t="s">
        <v>794</v>
      </c>
      <c r="D690" s="258"/>
      <c r="E690" s="261"/>
      <c r="F690" s="353"/>
      <c r="I690" s="365"/>
    </row>
    <row r="691" spans="1:9">
      <c r="A691" s="125">
        <f t="shared" si="14"/>
        <v>683</v>
      </c>
      <c r="B691" s="253"/>
      <c r="C691" s="257" t="s">
        <v>796</v>
      </c>
      <c r="D691" s="258"/>
      <c r="E691" s="261"/>
      <c r="F691" s="353"/>
      <c r="I691" s="365"/>
    </row>
    <row r="692" spans="1:9">
      <c r="A692" s="125">
        <f t="shared" si="14"/>
        <v>684</v>
      </c>
      <c r="B692" s="253"/>
      <c r="C692" s="257" t="s">
        <v>798</v>
      </c>
      <c r="D692" s="258"/>
      <c r="E692" s="261"/>
      <c r="F692" s="353"/>
      <c r="I692" s="365"/>
    </row>
    <row r="693" spans="1:9">
      <c r="A693" s="125">
        <f t="shared" si="14"/>
        <v>685</v>
      </c>
      <c r="B693" s="253"/>
      <c r="C693" s="257" t="s">
        <v>2168</v>
      </c>
      <c r="D693" s="258"/>
      <c r="E693" s="261"/>
      <c r="F693" s="353"/>
      <c r="I693" s="365"/>
    </row>
    <row r="694" spans="1:9" ht="17.25" customHeight="1">
      <c r="A694" s="125">
        <f t="shared" si="14"/>
        <v>686</v>
      </c>
      <c r="B694" s="253"/>
      <c r="C694" s="257" t="s">
        <v>802</v>
      </c>
      <c r="D694" s="258"/>
      <c r="E694" s="261"/>
      <c r="F694" s="353"/>
      <c r="I694" s="365"/>
    </row>
    <row r="695" spans="1:9">
      <c r="A695" s="125">
        <f t="shared" si="14"/>
        <v>687</v>
      </c>
      <c r="B695" s="253"/>
      <c r="C695" s="257" t="s">
        <v>806</v>
      </c>
      <c r="D695" s="258"/>
      <c r="E695" s="261"/>
      <c r="F695" s="353"/>
      <c r="I695" s="365"/>
    </row>
    <row r="696" spans="1:9">
      <c r="A696" s="125">
        <f t="shared" si="14"/>
        <v>688</v>
      </c>
      <c r="B696" s="253"/>
      <c r="C696" s="257" t="s">
        <v>808</v>
      </c>
      <c r="D696" s="258"/>
      <c r="E696" s="261"/>
      <c r="F696" s="353"/>
      <c r="I696" s="365"/>
    </row>
    <row r="697" spans="1:9" ht="17.25" customHeight="1">
      <c r="A697" s="125">
        <f t="shared" si="14"/>
        <v>689</v>
      </c>
      <c r="B697" s="253"/>
      <c r="C697" s="257" t="s">
        <v>1029</v>
      </c>
      <c r="D697" s="258" t="s">
        <v>2156</v>
      </c>
      <c r="E697" s="261"/>
      <c r="F697" s="353"/>
      <c r="I697" s="365"/>
    </row>
    <row r="698" spans="1:9">
      <c r="A698" s="125">
        <f t="shared" si="14"/>
        <v>690</v>
      </c>
      <c r="B698" s="253"/>
      <c r="C698" s="257" t="s">
        <v>1082</v>
      </c>
      <c r="D698" s="258"/>
      <c r="E698" s="261"/>
      <c r="F698" s="353"/>
      <c r="I698" s="365"/>
    </row>
    <row r="699" spans="1:9">
      <c r="A699" s="125">
        <f t="shared" si="14"/>
        <v>691</v>
      </c>
      <c r="B699" s="253"/>
      <c r="C699" s="257" t="s">
        <v>1084</v>
      </c>
      <c r="D699" s="258"/>
      <c r="E699" s="261"/>
      <c r="F699" s="353"/>
      <c r="I699" s="365"/>
    </row>
    <row r="700" spans="1:9">
      <c r="A700" s="125">
        <f t="shared" ref="A700:A731" si="15">A699+1</f>
        <v>692</v>
      </c>
      <c r="B700" s="253"/>
      <c r="C700" s="257" t="s">
        <v>810</v>
      </c>
      <c r="D700" s="258"/>
      <c r="E700" s="261"/>
      <c r="F700" s="353"/>
      <c r="I700" s="365"/>
    </row>
    <row r="701" spans="1:9">
      <c r="A701" s="125">
        <f t="shared" si="15"/>
        <v>693</v>
      </c>
      <c r="B701" s="253"/>
      <c r="C701" s="257" t="s">
        <v>439</v>
      </c>
      <c r="D701" s="258" t="s">
        <v>2169</v>
      </c>
      <c r="E701" s="261"/>
      <c r="F701" s="353"/>
      <c r="I701" s="365"/>
    </row>
    <row r="702" spans="1:9">
      <c r="A702" s="125">
        <f t="shared" si="15"/>
        <v>694</v>
      </c>
      <c r="B702" s="253"/>
      <c r="C702" s="257" t="s">
        <v>2170</v>
      </c>
      <c r="D702" s="258"/>
      <c r="E702" s="261"/>
      <c r="F702" s="353"/>
      <c r="I702" s="365"/>
    </row>
    <row r="703" spans="1:9">
      <c r="A703" s="125">
        <f t="shared" si="15"/>
        <v>695</v>
      </c>
      <c r="B703" s="253"/>
      <c r="C703" s="257" t="s">
        <v>812</v>
      </c>
      <c r="D703" s="258"/>
      <c r="E703" s="261"/>
      <c r="F703" s="353"/>
      <c r="I703" s="365"/>
    </row>
    <row r="704" spans="1:9">
      <c r="A704" s="125">
        <f t="shared" si="15"/>
        <v>696</v>
      </c>
      <c r="B704" s="253"/>
      <c r="C704" s="257" t="s">
        <v>1086</v>
      </c>
      <c r="D704" s="258" t="s">
        <v>2171</v>
      </c>
      <c r="E704" s="261"/>
      <c r="F704" s="353"/>
      <c r="I704" s="365"/>
    </row>
    <row r="705" spans="1:9">
      <c r="A705" s="125">
        <f t="shared" si="15"/>
        <v>697</v>
      </c>
      <c r="B705" s="253"/>
      <c r="C705" s="257" t="s">
        <v>1088</v>
      </c>
      <c r="D705" s="258"/>
      <c r="E705" s="261"/>
      <c r="F705" s="353"/>
      <c r="I705" s="365"/>
    </row>
    <row r="706" spans="1:9">
      <c r="A706" s="125">
        <f t="shared" si="15"/>
        <v>698</v>
      </c>
      <c r="B706" s="253"/>
      <c r="C706" s="257" t="s">
        <v>1090</v>
      </c>
      <c r="D706" s="258"/>
      <c r="E706" s="261"/>
      <c r="F706" s="353"/>
      <c r="I706" s="365"/>
    </row>
    <row r="707" spans="1:9">
      <c r="A707" s="125">
        <f t="shared" si="15"/>
        <v>699</v>
      </c>
      <c r="B707" s="253"/>
      <c r="C707" s="257" t="s">
        <v>814</v>
      </c>
      <c r="D707" s="258"/>
      <c r="E707" s="261"/>
      <c r="F707" s="353"/>
      <c r="I707" s="365"/>
    </row>
    <row r="708" spans="1:9">
      <c r="A708" s="125">
        <f t="shared" si="15"/>
        <v>700</v>
      </c>
      <c r="B708" s="253"/>
      <c r="C708" s="257" t="s">
        <v>816</v>
      </c>
      <c r="D708" s="258"/>
      <c r="E708" s="261"/>
      <c r="F708" s="353"/>
      <c r="I708" s="365"/>
    </row>
    <row r="709" spans="1:9">
      <c r="A709" s="125">
        <f t="shared" si="15"/>
        <v>701</v>
      </c>
      <c r="B709" s="253"/>
      <c r="C709" s="257" t="s">
        <v>818</v>
      </c>
      <c r="D709" s="258"/>
      <c r="E709" s="261"/>
      <c r="F709" s="353"/>
      <c r="I709" s="365"/>
    </row>
    <row r="710" spans="1:9">
      <c r="A710" s="125">
        <f t="shared" si="15"/>
        <v>702</v>
      </c>
      <c r="B710" s="253"/>
      <c r="C710" s="257" t="s">
        <v>1092</v>
      </c>
      <c r="D710" s="258"/>
      <c r="E710" s="261"/>
      <c r="F710" s="353"/>
      <c r="I710" s="365"/>
    </row>
    <row r="711" spans="1:9">
      <c r="A711" s="125">
        <f t="shared" si="15"/>
        <v>703</v>
      </c>
      <c r="B711" s="253"/>
      <c r="C711" s="257" t="s">
        <v>820</v>
      </c>
      <c r="D711" s="258"/>
      <c r="E711" s="261"/>
      <c r="F711" s="353"/>
      <c r="I711" s="365"/>
    </row>
    <row r="712" spans="1:9">
      <c r="A712" s="125">
        <f t="shared" si="15"/>
        <v>704</v>
      </c>
      <c r="B712" s="253"/>
      <c r="C712" s="257" t="s">
        <v>822</v>
      </c>
      <c r="D712" s="258"/>
      <c r="E712" s="261"/>
      <c r="F712" s="353"/>
      <c r="I712" s="365"/>
    </row>
    <row r="713" spans="1:9">
      <c r="A713" s="125">
        <f t="shared" si="15"/>
        <v>705</v>
      </c>
      <c r="B713" s="253"/>
      <c r="C713" s="257" t="s">
        <v>824</v>
      </c>
      <c r="D713" s="258"/>
      <c r="E713" s="261"/>
      <c r="F713" s="353"/>
      <c r="I713" s="365"/>
    </row>
    <row r="714" spans="1:9">
      <c r="A714" s="125">
        <f t="shared" si="15"/>
        <v>706</v>
      </c>
      <c r="B714" s="253"/>
      <c r="C714" s="257" t="s">
        <v>826</v>
      </c>
      <c r="D714" s="258"/>
      <c r="E714" s="261"/>
      <c r="F714" s="353"/>
      <c r="I714" s="365"/>
    </row>
    <row r="715" spans="1:9">
      <c r="A715" s="125">
        <f t="shared" si="15"/>
        <v>707</v>
      </c>
      <c r="B715" s="253"/>
      <c r="C715" s="257" t="s">
        <v>1094</v>
      </c>
      <c r="D715" s="258"/>
      <c r="E715" s="261"/>
      <c r="F715" s="353"/>
      <c r="I715" s="365"/>
    </row>
    <row r="716" spans="1:9">
      <c r="A716" s="125">
        <f t="shared" si="15"/>
        <v>708</v>
      </c>
      <c r="B716" s="253"/>
      <c r="C716" s="257" t="s">
        <v>828</v>
      </c>
      <c r="D716" s="258"/>
      <c r="E716" s="261"/>
      <c r="F716" s="353"/>
      <c r="I716" s="365"/>
    </row>
    <row r="717" spans="1:9">
      <c r="A717" s="125">
        <f t="shared" si="15"/>
        <v>709</v>
      </c>
      <c r="B717" s="253"/>
      <c r="C717" s="257" t="s">
        <v>830</v>
      </c>
      <c r="D717" s="258"/>
      <c r="E717" s="261"/>
      <c r="F717" s="353"/>
      <c r="I717" s="365"/>
    </row>
    <row r="718" spans="1:9">
      <c r="A718" s="125">
        <f t="shared" si="15"/>
        <v>710</v>
      </c>
      <c r="B718" s="253"/>
      <c r="C718" s="257" t="s">
        <v>832</v>
      </c>
      <c r="D718" s="258"/>
      <c r="E718" s="261"/>
      <c r="F718" s="353"/>
      <c r="I718" s="365"/>
    </row>
    <row r="719" spans="1:9">
      <c r="A719" s="125">
        <f t="shared" si="15"/>
        <v>711</v>
      </c>
      <c r="B719" s="253"/>
      <c r="C719" s="257" t="s">
        <v>834</v>
      </c>
      <c r="D719" s="258"/>
      <c r="E719" s="261"/>
      <c r="F719" s="353"/>
      <c r="I719" s="365"/>
    </row>
    <row r="720" spans="1:9">
      <c r="A720" s="125">
        <f t="shared" si="15"/>
        <v>712</v>
      </c>
      <c r="B720" s="253"/>
      <c r="C720" s="257" t="s">
        <v>836</v>
      </c>
      <c r="D720" s="258"/>
      <c r="E720" s="261"/>
      <c r="F720" s="353"/>
      <c r="I720" s="365"/>
    </row>
    <row r="721" spans="1:9">
      <c r="A721" s="125">
        <f t="shared" si="15"/>
        <v>713</v>
      </c>
      <c r="B721" s="253"/>
      <c r="C721" s="257" t="s">
        <v>838</v>
      </c>
      <c r="D721" s="258"/>
      <c r="E721" s="261"/>
      <c r="F721" s="353"/>
      <c r="I721" s="365"/>
    </row>
    <row r="722" spans="1:9">
      <c r="A722" s="125">
        <f t="shared" si="15"/>
        <v>714</v>
      </c>
      <c r="B722" s="253"/>
      <c r="C722" s="257" t="s">
        <v>2172</v>
      </c>
      <c r="D722" s="258"/>
      <c r="E722" s="261"/>
      <c r="F722" s="353"/>
      <c r="I722" s="365"/>
    </row>
    <row r="723" spans="1:9">
      <c r="A723" s="125">
        <f t="shared" si="15"/>
        <v>715</v>
      </c>
      <c r="B723" s="253"/>
      <c r="C723" s="257" t="s">
        <v>455</v>
      </c>
      <c r="D723" s="258" t="s">
        <v>2173</v>
      </c>
      <c r="E723" s="261"/>
      <c r="F723" s="353"/>
      <c r="I723" s="365"/>
    </row>
    <row r="724" spans="1:9">
      <c r="A724" s="125">
        <f t="shared" si="15"/>
        <v>716</v>
      </c>
      <c r="B724" s="253"/>
      <c r="C724" s="257" t="s">
        <v>1033</v>
      </c>
      <c r="D724" s="258" t="s">
        <v>2156</v>
      </c>
      <c r="E724" s="261"/>
      <c r="F724" s="353"/>
      <c r="I724" s="365"/>
    </row>
    <row r="725" spans="1:9">
      <c r="A725" s="125">
        <f t="shared" si="15"/>
        <v>717</v>
      </c>
      <c r="B725" s="253"/>
      <c r="C725" s="257" t="s">
        <v>1096</v>
      </c>
      <c r="D725" s="258"/>
      <c r="E725" s="261"/>
      <c r="F725" s="353"/>
      <c r="I725" s="365"/>
    </row>
    <row r="726" spans="1:9">
      <c r="A726" s="125">
        <f t="shared" si="15"/>
        <v>718</v>
      </c>
      <c r="B726" s="253" t="s">
        <v>456</v>
      </c>
      <c r="C726" s="257" t="s">
        <v>2174</v>
      </c>
      <c r="D726" s="258" t="s">
        <v>2175</v>
      </c>
      <c r="E726" s="261"/>
      <c r="F726" s="353"/>
      <c r="I726" s="365"/>
    </row>
    <row r="727" spans="1:9">
      <c r="A727" s="125">
        <f t="shared" si="15"/>
        <v>719</v>
      </c>
      <c r="B727" s="253"/>
      <c r="C727" s="257" t="s">
        <v>840</v>
      </c>
      <c r="D727" s="258"/>
      <c r="E727" s="261"/>
      <c r="F727" s="353"/>
      <c r="I727" s="365"/>
    </row>
    <row r="728" spans="1:9">
      <c r="A728" s="125">
        <f t="shared" si="15"/>
        <v>720</v>
      </c>
      <c r="B728" s="253"/>
      <c r="C728" s="257" t="s">
        <v>842</v>
      </c>
      <c r="D728" s="258"/>
      <c r="E728" s="261"/>
      <c r="F728" s="353"/>
      <c r="I728" s="365"/>
    </row>
    <row r="729" spans="1:9">
      <c r="A729" s="125">
        <f t="shared" si="15"/>
        <v>721</v>
      </c>
      <c r="B729" s="253"/>
      <c r="C729" s="257" t="s">
        <v>844</v>
      </c>
      <c r="D729" s="258"/>
      <c r="E729" s="261"/>
      <c r="F729" s="353"/>
      <c r="I729" s="365"/>
    </row>
    <row r="730" spans="1:9">
      <c r="A730" s="125">
        <f t="shared" si="15"/>
        <v>722</v>
      </c>
      <c r="B730" s="253"/>
      <c r="C730" s="257" t="s">
        <v>846</v>
      </c>
      <c r="D730" s="258"/>
      <c r="E730" s="261"/>
      <c r="F730" s="353"/>
      <c r="I730" s="365"/>
    </row>
    <row r="731" spans="1:9" ht="16.5" customHeight="1">
      <c r="A731" s="125">
        <f t="shared" si="15"/>
        <v>723</v>
      </c>
      <c r="B731" s="253"/>
      <c r="C731" s="257" t="s">
        <v>848</v>
      </c>
      <c r="D731" s="258"/>
      <c r="E731" s="261"/>
      <c r="F731" s="353"/>
      <c r="I731" s="365"/>
    </row>
    <row r="732" spans="1:9">
      <c r="A732" s="125">
        <f t="shared" ref="A732:A750" si="16">A731+1</f>
        <v>724</v>
      </c>
      <c r="B732" s="253"/>
      <c r="C732" s="257" t="s">
        <v>2176</v>
      </c>
      <c r="D732" s="258"/>
      <c r="E732" s="261"/>
      <c r="F732" s="353"/>
      <c r="I732" s="365"/>
    </row>
    <row r="733" spans="1:9">
      <c r="A733" s="125">
        <f t="shared" si="16"/>
        <v>725</v>
      </c>
      <c r="B733" s="253"/>
      <c r="C733" s="257" t="s">
        <v>850</v>
      </c>
      <c r="D733" s="258"/>
      <c r="E733" s="261"/>
      <c r="F733" s="353"/>
      <c r="I733" s="365"/>
    </row>
    <row r="734" spans="1:9">
      <c r="A734" s="125">
        <f t="shared" si="16"/>
        <v>726</v>
      </c>
      <c r="B734" s="253"/>
      <c r="C734" s="257" t="s">
        <v>852</v>
      </c>
      <c r="D734" s="258"/>
      <c r="E734" s="261"/>
      <c r="F734" s="353"/>
      <c r="I734" s="365"/>
    </row>
    <row r="735" spans="1:9" ht="15" customHeight="1">
      <c r="A735" s="125">
        <f t="shared" si="16"/>
        <v>727</v>
      </c>
      <c r="B735" s="253"/>
      <c r="C735" s="257" t="s">
        <v>854</v>
      </c>
      <c r="D735" s="258"/>
      <c r="E735" s="261"/>
      <c r="F735" s="353"/>
      <c r="I735" s="365"/>
    </row>
    <row r="736" spans="1:9">
      <c r="A736" s="125">
        <f t="shared" si="16"/>
        <v>728</v>
      </c>
      <c r="B736" s="253"/>
      <c r="C736" s="257" t="s">
        <v>856</v>
      </c>
      <c r="D736" s="258"/>
      <c r="E736" s="261"/>
      <c r="F736" s="353"/>
      <c r="I736" s="365"/>
    </row>
    <row r="737" spans="1:9" ht="14.45" customHeight="1">
      <c r="A737" s="125">
        <f t="shared" si="16"/>
        <v>729</v>
      </c>
      <c r="B737" s="253"/>
      <c r="C737" s="257" t="s">
        <v>858</v>
      </c>
      <c r="D737" s="258"/>
      <c r="E737" s="261"/>
      <c r="F737" s="353"/>
      <c r="I737" s="365"/>
    </row>
    <row r="738" spans="1:9">
      <c r="A738" s="125">
        <f t="shared" si="16"/>
        <v>730</v>
      </c>
      <c r="B738" s="253"/>
      <c r="C738" s="257" t="s">
        <v>860</v>
      </c>
      <c r="D738" s="258"/>
      <c r="E738" s="261"/>
      <c r="F738" s="353"/>
      <c r="I738" s="365"/>
    </row>
    <row r="739" spans="1:9">
      <c r="A739" s="125">
        <f t="shared" si="16"/>
        <v>731</v>
      </c>
      <c r="B739" s="253"/>
      <c r="C739" s="257" t="s">
        <v>862</v>
      </c>
      <c r="D739" s="258"/>
      <c r="E739" s="261"/>
      <c r="F739" s="353"/>
      <c r="I739" s="365"/>
    </row>
    <row r="740" spans="1:9">
      <c r="A740" s="125">
        <f t="shared" si="16"/>
        <v>732</v>
      </c>
      <c r="B740" s="253"/>
      <c r="C740" s="257" t="s">
        <v>864</v>
      </c>
      <c r="D740" s="258"/>
      <c r="E740" s="261"/>
      <c r="F740" s="353"/>
      <c r="I740" s="365"/>
    </row>
    <row r="741" spans="1:9">
      <c r="A741" s="125">
        <f t="shared" si="16"/>
        <v>733</v>
      </c>
      <c r="B741" s="253"/>
      <c r="C741" s="257" t="s">
        <v>866</v>
      </c>
      <c r="D741" s="258"/>
      <c r="E741" s="261"/>
      <c r="F741" s="353"/>
      <c r="I741" s="365"/>
    </row>
    <row r="742" spans="1:9">
      <c r="A742" s="125">
        <f t="shared" si="16"/>
        <v>734</v>
      </c>
      <c r="B742" s="253"/>
      <c r="C742" s="257" t="s">
        <v>868</v>
      </c>
      <c r="D742" s="258"/>
      <c r="E742" s="261"/>
      <c r="F742" s="353"/>
      <c r="I742" s="365"/>
    </row>
    <row r="743" spans="1:9">
      <c r="A743" s="125">
        <f t="shared" si="16"/>
        <v>735</v>
      </c>
      <c r="B743" s="253"/>
      <c r="C743" s="257" t="s">
        <v>870</v>
      </c>
      <c r="D743" s="258"/>
      <c r="E743" s="261"/>
      <c r="F743" s="353"/>
      <c r="I743" s="365"/>
    </row>
    <row r="744" spans="1:9">
      <c r="A744" s="125">
        <f t="shared" si="16"/>
        <v>736</v>
      </c>
      <c r="B744" s="253"/>
      <c r="C744" s="257" t="s">
        <v>872</v>
      </c>
      <c r="D744" s="258"/>
      <c r="E744" s="261"/>
      <c r="F744" s="353"/>
      <c r="I744" s="365"/>
    </row>
    <row r="745" spans="1:9">
      <c r="A745" s="125">
        <f t="shared" si="16"/>
        <v>737</v>
      </c>
      <c r="B745" s="253"/>
      <c r="C745" s="257" t="s">
        <v>874</v>
      </c>
      <c r="D745" s="258"/>
      <c r="E745" s="261"/>
      <c r="F745" s="353"/>
      <c r="I745" s="365"/>
    </row>
    <row r="746" spans="1:9">
      <c r="A746" s="125">
        <f t="shared" si="16"/>
        <v>738</v>
      </c>
      <c r="B746" s="253"/>
      <c r="C746" s="257" t="s">
        <v>1098</v>
      </c>
      <c r="D746" s="258"/>
      <c r="E746" s="261"/>
      <c r="F746" s="353"/>
      <c r="I746" s="365"/>
    </row>
    <row r="747" spans="1:9">
      <c r="A747" s="125">
        <f t="shared" si="16"/>
        <v>739</v>
      </c>
      <c r="B747" s="253"/>
      <c r="C747" s="257" t="s">
        <v>878</v>
      </c>
      <c r="D747" s="258" t="s">
        <v>2177</v>
      </c>
      <c r="E747" s="261"/>
      <c r="F747" s="353"/>
      <c r="I747" s="365"/>
    </row>
    <row r="748" spans="1:9">
      <c r="A748" s="125">
        <f t="shared" si="16"/>
        <v>740</v>
      </c>
      <c r="B748" s="253"/>
      <c r="C748" s="257" t="s">
        <v>880</v>
      </c>
      <c r="D748" s="258"/>
      <c r="E748" s="261"/>
      <c r="F748" s="353"/>
      <c r="I748" s="365"/>
    </row>
    <row r="749" spans="1:9">
      <c r="A749" s="125">
        <f t="shared" si="16"/>
        <v>741</v>
      </c>
      <c r="B749" s="253"/>
      <c r="C749" s="257" t="s">
        <v>882</v>
      </c>
      <c r="D749" s="258"/>
      <c r="E749" s="261"/>
      <c r="F749" s="353"/>
      <c r="I749" s="365"/>
    </row>
    <row r="750" spans="1:9">
      <c r="A750" s="125">
        <f t="shared" si="16"/>
        <v>742</v>
      </c>
      <c r="B750" s="253"/>
      <c r="C750" s="257" t="s">
        <v>884</v>
      </c>
      <c r="D750" s="258"/>
      <c r="E750" s="261"/>
      <c r="F750" s="353"/>
      <c r="I750" s="365"/>
    </row>
    <row r="751" spans="1:9">
      <c r="A751" s="125"/>
      <c r="B751" s="253"/>
      <c r="C751" s="257" t="s">
        <v>2178</v>
      </c>
      <c r="D751" s="258" t="s">
        <v>2179</v>
      </c>
      <c r="E751" s="261"/>
      <c r="F751" s="353"/>
      <c r="I751" s="365"/>
    </row>
    <row r="752" spans="1:9">
      <c r="A752" s="125">
        <f>A750+1</f>
        <v>743</v>
      </c>
      <c r="B752" s="253"/>
      <c r="C752" s="257" t="s">
        <v>1100</v>
      </c>
      <c r="D752" s="258"/>
      <c r="E752" s="261"/>
      <c r="F752" s="353"/>
      <c r="I752" s="365"/>
    </row>
    <row r="753" spans="1:9">
      <c r="A753" s="125">
        <f t="shared" ref="A753:A784" si="17">A752+1</f>
        <v>744</v>
      </c>
      <c r="B753" s="253"/>
      <c r="C753" s="257" t="s">
        <v>1102</v>
      </c>
      <c r="D753" s="258"/>
      <c r="E753" s="261"/>
      <c r="F753" s="353"/>
      <c r="I753" s="365"/>
    </row>
    <row r="754" spans="1:9">
      <c r="A754" s="125">
        <f t="shared" si="17"/>
        <v>745</v>
      </c>
      <c r="B754" s="253"/>
      <c r="C754" s="257" t="s">
        <v>1104</v>
      </c>
      <c r="D754" s="258"/>
      <c r="E754" s="261"/>
      <c r="F754" s="353"/>
      <c r="I754" s="365"/>
    </row>
    <row r="755" spans="1:9">
      <c r="A755" s="125">
        <f t="shared" si="17"/>
        <v>746</v>
      </c>
      <c r="B755" s="253"/>
      <c r="C755" s="257" t="s">
        <v>888</v>
      </c>
      <c r="D755" s="258"/>
      <c r="E755" s="261"/>
      <c r="F755" s="353"/>
      <c r="I755" s="365"/>
    </row>
    <row r="756" spans="1:9">
      <c r="A756" s="125">
        <f t="shared" si="17"/>
        <v>747</v>
      </c>
      <c r="B756" s="253"/>
      <c r="C756" s="257" t="s">
        <v>890</v>
      </c>
      <c r="D756" s="258"/>
      <c r="E756" s="261"/>
      <c r="F756" s="353"/>
      <c r="I756" s="365"/>
    </row>
    <row r="757" spans="1:9">
      <c r="A757" s="125">
        <f t="shared" si="17"/>
        <v>748</v>
      </c>
      <c r="B757" s="253"/>
      <c r="C757" s="257" t="s">
        <v>892</v>
      </c>
      <c r="D757" s="258"/>
      <c r="E757" s="261"/>
      <c r="F757" s="353"/>
      <c r="I757" s="365"/>
    </row>
    <row r="758" spans="1:9">
      <c r="A758" s="125">
        <f t="shared" si="17"/>
        <v>749</v>
      </c>
      <c r="B758" s="253"/>
      <c r="C758" s="257" t="s">
        <v>894</v>
      </c>
      <c r="D758" s="258"/>
      <c r="E758" s="261"/>
      <c r="F758" s="353"/>
      <c r="I758" s="365"/>
    </row>
    <row r="759" spans="1:9">
      <c r="A759" s="125">
        <f t="shared" si="17"/>
        <v>750</v>
      </c>
      <c r="B759" s="253"/>
      <c r="C759" s="257" t="s">
        <v>1106</v>
      </c>
      <c r="D759" s="258"/>
      <c r="E759" s="261"/>
      <c r="F759" s="353"/>
      <c r="I759" s="365"/>
    </row>
    <row r="760" spans="1:9">
      <c r="A760" s="125">
        <f t="shared" si="17"/>
        <v>751</v>
      </c>
      <c r="B760" s="253" t="s">
        <v>506</v>
      </c>
      <c r="C760" s="257" t="s">
        <v>2180</v>
      </c>
      <c r="D760" s="258" t="s">
        <v>2181</v>
      </c>
      <c r="E760" s="261"/>
      <c r="F760" s="353"/>
      <c r="I760" s="365"/>
    </row>
    <row r="761" spans="1:9">
      <c r="A761" s="125">
        <f t="shared" si="17"/>
        <v>752</v>
      </c>
      <c r="B761" s="253"/>
      <c r="C761" s="257" t="s">
        <v>898</v>
      </c>
      <c r="D761" s="258"/>
      <c r="E761" s="261"/>
      <c r="F761" s="353"/>
      <c r="I761" s="365"/>
    </row>
    <row r="762" spans="1:9">
      <c r="A762" s="125">
        <f t="shared" si="17"/>
        <v>753</v>
      </c>
      <c r="B762" s="253"/>
      <c r="C762" s="257" t="s">
        <v>1108</v>
      </c>
      <c r="D762" s="258"/>
      <c r="E762" s="261"/>
      <c r="F762" s="353"/>
      <c r="I762" s="365"/>
    </row>
    <row r="763" spans="1:9">
      <c r="A763" s="125">
        <f t="shared" si="17"/>
        <v>754</v>
      </c>
      <c r="B763" s="253"/>
      <c r="C763" s="257" t="s">
        <v>900</v>
      </c>
      <c r="D763" s="258"/>
      <c r="E763" s="261"/>
      <c r="F763" s="353"/>
      <c r="I763" s="365"/>
    </row>
    <row r="764" spans="1:9">
      <c r="A764" s="125">
        <f t="shared" si="17"/>
        <v>755</v>
      </c>
      <c r="B764" s="253"/>
      <c r="C764" s="257" t="s">
        <v>902</v>
      </c>
      <c r="D764" s="258"/>
      <c r="E764" s="261"/>
      <c r="F764" s="353"/>
      <c r="I764" s="365"/>
    </row>
    <row r="765" spans="1:9">
      <c r="A765" s="125">
        <f t="shared" si="17"/>
        <v>756</v>
      </c>
      <c r="B765" s="253"/>
      <c r="C765" s="257" t="s">
        <v>904</v>
      </c>
      <c r="D765" s="258"/>
      <c r="E765" s="261"/>
      <c r="F765" s="353"/>
      <c r="I765" s="365"/>
    </row>
    <row r="766" spans="1:9">
      <c r="A766" s="125">
        <f t="shared" si="17"/>
        <v>757</v>
      </c>
      <c r="B766" s="253"/>
      <c r="C766" s="257" t="s">
        <v>906</v>
      </c>
      <c r="D766" s="258"/>
      <c r="E766" s="261"/>
      <c r="F766" s="353"/>
      <c r="I766" s="365"/>
    </row>
    <row r="767" spans="1:9">
      <c r="A767" s="125">
        <f t="shared" si="17"/>
        <v>758</v>
      </c>
      <c r="B767" s="253"/>
      <c r="C767" s="257" t="s">
        <v>908</v>
      </c>
      <c r="D767" s="258"/>
      <c r="E767" s="261"/>
      <c r="F767" s="353"/>
      <c r="I767" s="365"/>
    </row>
    <row r="768" spans="1:9">
      <c r="A768" s="125">
        <f t="shared" si="17"/>
        <v>759</v>
      </c>
      <c r="B768" s="253"/>
      <c r="C768" s="257" t="s">
        <v>910</v>
      </c>
      <c r="D768" s="258"/>
      <c r="E768" s="261"/>
      <c r="F768" s="353"/>
      <c r="I768" s="365"/>
    </row>
    <row r="769" spans="1:9">
      <c r="A769" s="125">
        <f t="shared" si="17"/>
        <v>760</v>
      </c>
      <c r="B769" s="253"/>
      <c r="C769" s="257" t="s">
        <v>519</v>
      </c>
      <c r="D769" s="258" t="s">
        <v>2182</v>
      </c>
      <c r="E769" s="261"/>
      <c r="F769" s="353"/>
      <c r="I769" s="365"/>
    </row>
    <row r="770" spans="1:9">
      <c r="A770" s="125">
        <f t="shared" si="17"/>
        <v>761</v>
      </c>
      <c r="B770" s="253"/>
      <c r="C770" s="257" t="s">
        <v>912</v>
      </c>
      <c r="D770" s="258"/>
      <c r="E770" s="261"/>
      <c r="F770" s="353"/>
      <c r="I770" s="365"/>
    </row>
    <row r="771" spans="1:9">
      <c r="A771" s="125">
        <f t="shared" si="17"/>
        <v>762</v>
      </c>
      <c r="B771" s="253" t="s">
        <v>520</v>
      </c>
      <c r="C771" s="257" t="s">
        <v>521</v>
      </c>
      <c r="D771" s="258" t="s">
        <v>2183</v>
      </c>
      <c r="E771" s="261"/>
      <c r="F771" s="353"/>
      <c r="I771" s="365"/>
    </row>
    <row r="772" spans="1:9">
      <c r="A772" s="125">
        <f t="shared" si="17"/>
        <v>763</v>
      </c>
      <c r="B772" s="253"/>
      <c r="C772" s="257" t="s">
        <v>914</v>
      </c>
      <c r="D772" s="258"/>
      <c r="E772" s="261"/>
      <c r="F772" s="353"/>
      <c r="I772" s="365"/>
    </row>
    <row r="773" spans="1:9">
      <c r="A773" s="125">
        <f t="shared" si="17"/>
        <v>764</v>
      </c>
      <c r="B773" s="253"/>
      <c r="C773" s="257" t="s">
        <v>2184</v>
      </c>
      <c r="D773" s="258"/>
      <c r="E773" s="261"/>
      <c r="F773" s="353"/>
      <c r="I773" s="365"/>
    </row>
    <row r="774" spans="1:9">
      <c r="A774" s="125">
        <f t="shared" si="17"/>
        <v>765</v>
      </c>
      <c r="B774" s="253"/>
      <c r="C774" s="257" t="s">
        <v>918</v>
      </c>
      <c r="D774" s="258"/>
      <c r="E774" s="261"/>
      <c r="F774" s="353"/>
      <c r="I774" s="365"/>
    </row>
    <row r="775" spans="1:9" ht="13.9" customHeight="1">
      <c r="A775" s="125">
        <f t="shared" si="17"/>
        <v>766</v>
      </c>
      <c r="B775" s="253"/>
      <c r="C775" s="257" t="s">
        <v>920</v>
      </c>
      <c r="D775" s="258"/>
      <c r="E775" s="261"/>
      <c r="F775" s="353"/>
      <c r="I775" s="365"/>
    </row>
    <row r="776" spans="1:9">
      <c r="A776" s="125">
        <f t="shared" si="17"/>
        <v>767</v>
      </c>
      <c r="B776" s="253"/>
      <c r="C776" s="257" t="s">
        <v>922</v>
      </c>
      <c r="D776" s="258"/>
      <c r="E776" s="261"/>
      <c r="F776" s="353"/>
      <c r="I776" s="365"/>
    </row>
    <row r="777" spans="1:9">
      <c r="A777" s="125">
        <f t="shared" si="17"/>
        <v>768</v>
      </c>
      <c r="B777" s="253"/>
      <c r="C777" s="257" t="s">
        <v>924</v>
      </c>
      <c r="D777" s="258"/>
      <c r="E777" s="261"/>
      <c r="F777" s="353"/>
      <c r="I777" s="365"/>
    </row>
    <row r="778" spans="1:9">
      <c r="A778" s="125">
        <f t="shared" si="17"/>
        <v>769</v>
      </c>
      <c r="B778" s="253"/>
      <c r="C778" s="257" t="s">
        <v>926</v>
      </c>
      <c r="D778" s="258"/>
      <c r="E778" s="261"/>
      <c r="F778" s="353"/>
      <c r="I778" s="365"/>
    </row>
    <row r="779" spans="1:9">
      <c r="A779" s="125">
        <f t="shared" si="17"/>
        <v>770</v>
      </c>
      <c r="B779" s="253"/>
      <c r="C779" s="257" t="s">
        <v>1110</v>
      </c>
      <c r="D779" s="258"/>
      <c r="E779" s="261"/>
      <c r="F779" s="353"/>
      <c r="I779" s="365"/>
    </row>
    <row r="780" spans="1:9">
      <c r="A780" s="125">
        <f t="shared" si="17"/>
        <v>771</v>
      </c>
      <c r="B780" s="253" t="s">
        <v>1046</v>
      </c>
      <c r="C780" s="257" t="s">
        <v>2185</v>
      </c>
      <c r="D780" s="258" t="s">
        <v>2186</v>
      </c>
      <c r="E780" s="261"/>
      <c r="F780" s="353"/>
      <c r="I780" s="365"/>
    </row>
    <row r="781" spans="1:9">
      <c r="A781" s="125">
        <f t="shared" si="17"/>
        <v>772</v>
      </c>
      <c r="B781" s="253"/>
      <c r="C781" s="257" t="s">
        <v>928</v>
      </c>
      <c r="D781" s="258"/>
      <c r="E781" s="261"/>
      <c r="F781" s="353"/>
      <c r="I781" s="365"/>
    </row>
    <row r="782" spans="1:9">
      <c r="A782" s="125">
        <f t="shared" si="17"/>
        <v>773</v>
      </c>
      <c r="B782" s="253"/>
      <c r="C782" s="257" t="s">
        <v>930</v>
      </c>
      <c r="D782" s="258"/>
      <c r="E782" s="261"/>
      <c r="F782" s="353"/>
      <c r="I782" s="365"/>
    </row>
    <row r="783" spans="1:9">
      <c r="A783" s="125">
        <f t="shared" si="17"/>
        <v>774</v>
      </c>
      <c r="B783" s="253"/>
      <c r="C783" s="257" t="s">
        <v>535</v>
      </c>
      <c r="D783" s="258" t="s">
        <v>1333</v>
      </c>
      <c r="E783" s="261"/>
      <c r="F783" s="353"/>
      <c r="I783" s="365"/>
    </row>
    <row r="784" spans="1:9">
      <c r="A784" s="125">
        <f t="shared" si="17"/>
        <v>775</v>
      </c>
      <c r="B784" s="253"/>
      <c r="C784" s="257" t="s">
        <v>932</v>
      </c>
      <c r="D784" s="258"/>
      <c r="E784" s="261"/>
      <c r="F784" s="353"/>
      <c r="I784" s="365"/>
    </row>
    <row r="785" spans="1:9">
      <c r="A785" s="125">
        <f t="shared" ref="A785:A816" si="18">A784+1</f>
        <v>776</v>
      </c>
      <c r="B785" s="253"/>
      <c r="C785" s="257" t="s">
        <v>934</v>
      </c>
      <c r="D785" s="258"/>
      <c r="E785" s="261"/>
      <c r="F785" s="353"/>
      <c r="I785" s="365"/>
    </row>
    <row r="786" spans="1:9">
      <c r="A786" s="125">
        <f t="shared" si="18"/>
        <v>777</v>
      </c>
      <c r="B786" s="253"/>
      <c r="C786" s="257" t="s">
        <v>936</v>
      </c>
      <c r="D786" s="258"/>
      <c r="E786" s="261"/>
      <c r="F786" s="353"/>
      <c r="I786" s="365"/>
    </row>
    <row r="787" spans="1:9">
      <c r="A787" s="125">
        <f t="shared" si="18"/>
        <v>778</v>
      </c>
      <c r="B787" s="253"/>
      <c r="C787" s="257" t="s">
        <v>938</v>
      </c>
      <c r="D787" s="258"/>
      <c r="E787" s="261"/>
      <c r="F787" s="353"/>
      <c r="I787" s="365"/>
    </row>
    <row r="788" spans="1:9">
      <c r="A788" s="125">
        <f t="shared" si="18"/>
        <v>779</v>
      </c>
      <c r="B788" s="253"/>
      <c r="C788" s="257" t="s">
        <v>940</v>
      </c>
      <c r="D788" s="258"/>
      <c r="E788" s="261"/>
      <c r="F788" s="353"/>
      <c r="I788" s="365"/>
    </row>
    <row r="789" spans="1:9">
      <c r="A789" s="125">
        <f t="shared" si="18"/>
        <v>780</v>
      </c>
      <c r="B789" s="253" t="s">
        <v>1048</v>
      </c>
      <c r="C789" s="257" t="s">
        <v>2187</v>
      </c>
      <c r="D789" s="258" t="s">
        <v>2188</v>
      </c>
      <c r="E789" s="261"/>
      <c r="F789" s="353"/>
      <c r="I789" s="365"/>
    </row>
    <row r="790" spans="1:9">
      <c r="A790" s="125">
        <f t="shared" si="18"/>
        <v>781</v>
      </c>
      <c r="B790" s="253"/>
      <c r="C790" s="257" t="s">
        <v>942</v>
      </c>
      <c r="D790" s="258"/>
      <c r="E790" s="261"/>
      <c r="F790" s="353"/>
      <c r="I790" s="365"/>
    </row>
    <row r="791" spans="1:9">
      <c r="A791" s="125">
        <f t="shared" si="18"/>
        <v>782</v>
      </c>
      <c r="B791" s="253"/>
      <c r="C791" s="257" t="s">
        <v>946</v>
      </c>
      <c r="D791" s="258"/>
      <c r="E791" s="261"/>
      <c r="F791" s="353"/>
      <c r="I791" s="365"/>
    </row>
    <row r="792" spans="1:9">
      <c r="A792" s="125">
        <f t="shared" si="18"/>
        <v>783</v>
      </c>
      <c r="B792" s="253"/>
      <c r="C792" s="257" t="s">
        <v>571</v>
      </c>
      <c r="D792" s="258" t="s">
        <v>2175</v>
      </c>
      <c r="E792" s="261"/>
      <c r="F792" s="353"/>
      <c r="I792" s="365"/>
    </row>
    <row r="793" spans="1:9">
      <c r="A793" s="125">
        <f t="shared" si="18"/>
        <v>784</v>
      </c>
      <c r="B793" s="253"/>
      <c r="C793" s="257" t="s">
        <v>950</v>
      </c>
      <c r="D793" s="258"/>
      <c r="E793" s="261"/>
      <c r="F793" s="353"/>
      <c r="I793" s="365"/>
    </row>
    <row r="794" spans="1:9">
      <c r="A794" s="125">
        <f t="shared" si="18"/>
        <v>785</v>
      </c>
      <c r="B794" s="253"/>
      <c r="C794" s="257" t="s">
        <v>577</v>
      </c>
      <c r="D794" s="258" t="s">
        <v>2189</v>
      </c>
      <c r="E794" s="261"/>
      <c r="F794" s="353"/>
      <c r="I794" s="365"/>
    </row>
    <row r="795" spans="1:9">
      <c r="A795" s="125">
        <f t="shared" si="18"/>
        <v>786</v>
      </c>
      <c r="B795" s="253"/>
      <c r="C795" s="257" t="s">
        <v>1112</v>
      </c>
      <c r="D795" s="258"/>
      <c r="E795" s="261"/>
      <c r="F795" s="353"/>
      <c r="I795" s="365"/>
    </row>
    <row r="796" spans="1:9">
      <c r="A796" s="125">
        <f t="shared" si="18"/>
        <v>787</v>
      </c>
      <c r="B796" s="253"/>
      <c r="D796" s="258"/>
      <c r="E796" s="261"/>
      <c r="F796" s="353"/>
      <c r="I796" s="365"/>
    </row>
    <row r="797" spans="1:9">
      <c r="A797" s="125">
        <f t="shared" si="18"/>
        <v>788</v>
      </c>
      <c r="B797" s="253"/>
      <c r="C797" s="254" t="s">
        <v>2190</v>
      </c>
      <c r="D797" s="258"/>
      <c r="E797" s="261"/>
      <c r="F797" s="353"/>
      <c r="I797" s="365"/>
    </row>
    <row r="798" spans="1:9" ht="16.5" customHeight="1">
      <c r="A798" s="125">
        <f t="shared" si="18"/>
        <v>789</v>
      </c>
      <c r="B798" s="253"/>
      <c r="C798" s="257" t="s">
        <v>1118</v>
      </c>
      <c r="D798" s="258"/>
      <c r="E798" s="261">
        <v>1</v>
      </c>
      <c r="F798" s="353"/>
      <c r="I798" s="365"/>
    </row>
    <row r="799" spans="1:9" ht="25.5">
      <c r="A799" s="125">
        <f t="shared" si="18"/>
        <v>790</v>
      </c>
      <c r="B799" s="253"/>
      <c r="C799" s="257" t="s">
        <v>1119</v>
      </c>
      <c r="D799" s="258"/>
      <c r="E799" s="261">
        <v>1</v>
      </c>
      <c r="F799" s="353"/>
      <c r="I799" s="365"/>
    </row>
    <row r="800" spans="1:9">
      <c r="A800" s="125">
        <f t="shared" si="18"/>
        <v>791</v>
      </c>
      <c r="B800" s="253"/>
      <c r="D800" s="258"/>
      <c r="E800" s="261"/>
      <c r="F800" s="353"/>
      <c r="I800" s="365"/>
    </row>
    <row r="801" spans="1:9">
      <c r="A801" s="125">
        <f t="shared" si="18"/>
        <v>792</v>
      </c>
      <c r="B801" s="253"/>
      <c r="C801" s="254" t="s">
        <v>2191</v>
      </c>
      <c r="D801" s="258"/>
      <c r="E801" s="261"/>
      <c r="F801" s="353"/>
      <c r="I801" s="365"/>
    </row>
    <row r="802" spans="1:9">
      <c r="A802" s="125">
        <f t="shared" si="18"/>
        <v>793</v>
      </c>
      <c r="B802" s="253"/>
      <c r="C802" s="257" t="s">
        <v>1128</v>
      </c>
      <c r="D802" s="258"/>
      <c r="E802" s="261">
        <v>1</v>
      </c>
      <c r="F802" s="353"/>
      <c r="I802" s="365"/>
    </row>
    <row r="803" spans="1:9">
      <c r="A803" s="125">
        <f t="shared" si="18"/>
        <v>794</v>
      </c>
      <c r="B803" s="253" t="s">
        <v>2192</v>
      </c>
      <c r="C803" s="257" t="s">
        <v>1130</v>
      </c>
      <c r="D803" s="258"/>
      <c r="E803" s="261">
        <v>1</v>
      </c>
      <c r="F803" s="353"/>
      <c r="I803" s="365"/>
    </row>
    <row r="804" spans="1:9">
      <c r="A804" s="125">
        <f t="shared" si="18"/>
        <v>795</v>
      </c>
      <c r="B804" s="253"/>
      <c r="C804" s="257" t="s">
        <v>1132</v>
      </c>
      <c r="D804" s="258"/>
      <c r="E804" s="261">
        <v>1</v>
      </c>
      <c r="F804" s="353"/>
      <c r="I804" s="365"/>
    </row>
    <row r="805" spans="1:9">
      <c r="A805" s="125">
        <f t="shared" si="18"/>
        <v>796</v>
      </c>
      <c r="B805" s="253" t="s">
        <v>1138</v>
      </c>
      <c r="C805" s="257" t="s">
        <v>1139</v>
      </c>
      <c r="D805" s="258" t="s">
        <v>2193</v>
      </c>
      <c r="E805" s="261">
        <v>1</v>
      </c>
      <c r="F805" s="353"/>
      <c r="I805" s="365"/>
    </row>
    <row r="806" spans="1:9">
      <c r="A806" s="125">
        <f t="shared" si="18"/>
        <v>797</v>
      </c>
      <c r="B806" s="253"/>
      <c r="D806" s="258"/>
      <c r="E806" s="261"/>
      <c r="F806" s="353"/>
      <c r="I806" s="365"/>
    </row>
    <row r="807" spans="1:9">
      <c r="A807" s="125">
        <f t="shared" si="18"/>
        <v>798</v>
      </c>
      <c r="B807" s="253"/>
      <c r="C807" s="254" t="s">
        <v>2194</v>
      </c>
      <c r="D807" s="258"/>
      <c r="E807" s="261"/>
      <c r="F807" s="353"/>
      <c r="I807" s="365"/>
    </row>
    <row r="808" spans="1:9" ht="16.5" customHeight="1">
      <c r="A808" s="125">
        <f t="shared" si="18"/>
        <v>799</v>
      </c>
      <c r="B808" s="253" t="s">
        <v>689</v>
      </c>
      <c r="C808" s="257" t="s">
        <v>2195</v>
      </c>
      <c r="D808" s="258" t="s">
        <v>2196</v>
      </c>
      <c r="E808" s="261">
        <v>1</v>
      </c>
      <c r="F808" s="353"/>
      <c r="G808" s="123" t="s">
        <v>2197</v>
      </c>
      <c r="I808" s="365"/>
    </row>
    <row r="809" spans="1:9">
      <c r="A809" s="125">
        <f t="shared" si="18"/>
        <v>800</v>
      </c>
      <c r="B809" s="253" t="s">
        <v>663</v>
      </c>
      <c r="C809" s="257" t="s">
        <v>2198</v>
      </c>
      <c r="D809" s="258" t="s">
        <v>2199</v>
      </c>
      <c r="E809" s="261">
        <v>1</v>
      </c>
      <c r="F809" s="353"/>
      <c r="I809" s="365"/>
    </row>
    <row r="810" spans="1:9">
      <c r="A810" s="125">
        <f t="shared" si="18"/>
        <v>801</v>
      </c>
      <c r="B810" s="253"/>
      <c r="D810" s="258" t="s">
        <v>2200</v>
      </c>
      <c r="E810" s="261">
        <v>1</v>
      </c>
      <c r="F810" s="353"/>
      <c r="I810" s="365"/>
    </row>
    <row r="811" spans="1:9">
      <c r="A811" s="125">
        <f t="shared" si="18"/>
        <v>802</v>
      </c>
      <c r="B811" s="253"/>
      <c r="D811" s="258" t="s">
        <v>2201</v>
      </c>
      <c r="E811" s="261">
        <v>1</v>
      </c>
      <c r="F811" s="353"/>
      <c r="I811" s="365"/>
    </row>
    <row r="812" spans="1:9" ht="17.25" customHeight="1">
      <c r="A812" s="125">
        <f t="shared" si="18"/>
        <v>803</v>
      </c>
      <c r="B812" s="253"/>
      <c r="D812" s="258" t="s">
        <v>2202</v>
      </c>
      <c r="E812" s="261">
        <v>1</v>
      </c>
      <c r="F812" s="353"/>
      <c r="I812" s="365"/>
    </row>
    <row r="813" spans="1:9">
      <c r="A813" s="125">
        <f t="shared" si="18"/>
        <v>804</v>
      </c>
      <c r="B813" s="253"/>
      <c r="D813" s="258" t="s">
        <v>2203</v>
      </c>
      <c r="E813" s="261">
        <v>1</v>
      </c>
      <c r="F813" s="353"/>
      <c r="I813" s="365"/>
    </row>
    <row r="814" spans="1:9">
      <c r="A814" s="125">
        <f t="shared" si="18"/>
        <v>805</v>
      </c>
      <c r="B814" s="253"/>
      <c r="D814" s="258" t="s">
        <v>2204</v>
      </c>
      <c r="E814" s="261">
        <v>1</v>
      </c>
      <c r="F814" s="353"/>
      <c r="I814" s="365"/>
    </row>
    <row r="815" spans="1:9" ht="25.5">
      <c r="A815" s="125">
        <f t="shared" si="18"/>
        <v>806</v>
      </c>
      <c r="B815" s="253" t="s">
        <v>414</v>
      </c>
      <c r="C815" s="257" t="s">
        <v>2166</v>
      </c>
      <c r="D815" s="258" t="s">
        <v>2205</v>
      </c>
      <c r="E815" s="261">
        <v>1</v>
      </c>
      <c r="F815" s="353"/>
      <c r="G815" s="123" t="s">
        <v>2206</v>
      </c>
      <c r="I815" s="365"/>
    </row>
    <row r="816" spans="1:9" ht="25.5">
      <c r="A816" s="125">
        <f t="shared" si="18"/>
        <v>807</v>
      </c>
      <c r="B816" s="253"/>
      <c r="D816" s="258" t="s">
        <v>2207</v>
      </c>
      <c r="E816" s="261">
        <v>1</v>
      </c>
      <c r="F816" s="353"/>
      <c r="I816" s="365"/>
    </row>
    <row r="817" spans="1:9">
      <c r="A817" s="125">
        <f t="shared" ref="A817:A824" si="19">A816+1</f>
        <v>808</v>
      </c>
      <c r="B817" s="253"/>
      <c r="D817" s="258" t="s">
        <v>2208</v>
      </c>
      <c r="E817" s="261">
        <v>1</v>
      </c>
      <c r="F817" s="353"/>
      <c r="I817" s="365"/>
    </row>
    <row r="818" spans="1:9" ht="25.5">
      <c r="A818" s="125">
        <f t="shared" si="19"/>
        <v>809</v>
      </c>
      <c r="B818" s="253" t="s">
        <v>787</v>
      </c>
      <c r="C818" s="257" t="s">
        <v>2209</v>
      </c>
      <c r="D818" s="258" t="s">
        <v>2210</v>
      </c>
      <c r="E818" s="261">
        <v>1</v>
      </c>
      <c r="F818" s="353"/>
      <c r="G818" s="123" t="s">
        <v>2211</v>
      </c>
      <c r="H818" s="123" t="s">
        <v>2212</v>
      </c>
      <c r="I818" s="365"/>
    </row>
    <row r="819" spans="1:9" ht="25.5">
      <c r="A819" s="125">
        <f t="shared" si="19"/>
        <v>810</v>
      </c>
      <c r="B819" s="253"/>
      <c r="D819" s="258" t="s">
        <v>2213</v>
      </c>
      <c r="E819" s="261">
        <v>1</v>
      </c>
      <c r="F819" s="353"/>
      <c r="I819" s="365"/>
    </row>
    <row r="820" spans="1:9">
      <c r="A820" s="125">
        <f t="shared" si="19"/>
        <v>811</v>
      </c>
      <c r="B820" s="253"/>
      <c r="D820" s="258" t="s">
        <v>2203</v>
      </c>
      <c r="E820" s="261">
        <v>1</v>
      </c>
      <c r="F820" s="353"/>
      <c r="I820" s="365"/>
    </row>
    <row r="821" spans="1:9">
      <c r="A821" s="125">
        <f t="shared" si="19"/>
        <v>812</v>
      </c>
      <c r="B821" s="253" t="s">
        <v>793</v>
      </c>
      <c r="C821" s="257" t="s">
        <v>2214</v>
      </c>
      <c r="D821" s="258" t="s">
        <v>2215</v>
      </c>
      <c r="E821" s="261">
        <v>1</v>
      </c>
      <c r="F821" s="353"/>
      <c r="G821" s="123" t="s">
        <v>2216</v>
      </c>
      <c r="H821" s="123" t="s">
        <v>2212</v>
      </c>
      <c r="I821" s="365"/>
    </row>
    <row r="822" spans="1:9" ht="25.5">
      <c r="A822" s="125">
        <f t="shared" si="19"/>
        <v>813</v>
      </c>
      <c r="B822" s="253" t="s">
        <v>857</v>
      </c>
      <c r="C822" s="257" t="s">
        <v>2217</v>
      </c>
      <c r="D822" s="258" t="s">
        <v>2218</v>
      </c>
      <c r="E822" s="261">
        <v>1</v>
      </c>
      <c r="F822" s="353"/>
      <c r="G822" s="123" t="s">
        <v>2219</v>
      </c>
      <c r="H822" s="123" t="s">
        <v>1741</v>
      </c>
      <c r="I822" s="365"/>
    </row>
    <row r="823" spans="1:9" ht="16.149999999999999" customHeight="1">
      <c r="A823" s="125">
        <f t="shared" si="19"/>
        <v>814</v>
      </c>
      <c r="B823" s="253"/>
      <c r="D823" s="258" t="s">
        <v>2220</v>
      </c>
      <c r="E823" s="261">
        <v>1</v>
      </c>
      <c r="F823" s="353"/>
      <c r="G823" s="123" t="s">
        <v>1488</v>
      </c>
      <c r="H823" s="123" t="s">
        <v>1741</v>
      </c>
      <c r="I823" s="365"/>
    </row>
    <row r="824" spans="1:9">
      <c r="A824" s="125">
        <f t="shared" si="19"/>
        <v>815</v>
      </c>
      <c r="B824" s="253"/>
      <c r="D824" s="258" t="s">
        <v>2208</v>
      </c>
      <c r="E824" s="261">
        <v>1</v>
      </c>
      <c r="F824" s="353"/>
      <c r="I824" s="365"/>
    </row>
    <row r="825" spans="1:9" ht="14.45" customHeight="1">
      <c r="A825" s="90"/>
      <c r="B825" s="128"/>
      <c r="C825" s="246"/>
      <c r="D825" s="346"/>
      <c r="E825" s="347"/>
      <c r="F825" s="360"/>
      <c r="G825" s="346"/>
      <c r="H825" s="346"/>
      <c r="I825" s="361"/>
    </row>
    <row r="826" spans="1:9">
      <c r="A826" s="90"/>
      <c r="B826" s="128"/>
      <c r="C826" s="265" t="s">
        <v>2221</v>
      </c>
      <c r="D826" s="361"/>
      <c r="E826" s="347"/>
      <c r="F826" s="347"/>
      <c r="G826" s="347"/>
      <c r="H826" s="364"/>
      <c r="I826" s="347"/>
    </row>
    <row r="827" spans="1:9">
      <c r="A827" s="90"/>
      <c r="B827" s="128"/>
      <c r="C827" s="265" t="s">
        <v>2222</v>
      </c>
      <c r="D827" s="346"/>
      <c r="E827" s="347"/>
      <c r="F827" s="347"/>
      <c r="G827" s="347"/>
      <c r="H827" s="364"/>
      <c r="I827" s="347"/>
    </row>
    <row r="828" spans="1:9">
      <c r="A828" s="90"/>
      <c r="B828" s="128"/>
      <c r="C828" s="265"/>
      <c r="D828" s="346"/>
      <c r="E828" s="347"/>
      <c r="F828" s="347"/>
      <c r="G828" s="347"/>
      <c r="H828" s="364"/>
      <c r="I828" s="347"/>
    </row>
    <row r="829" spans="1:9">
      <c r="A829" s="90"/>
      <c r="B829" s="128"/>
      <c r="C829" s="128" t="s">
        <v>2223</v>
      </c>
      <c r="D829" s="346"/>
      <c r="E829" s="250"/>
      <c r="F829" s="250"/>
      <c r="G829" s="347"/>
      <c r="H829" s="364"/>
      <c r="I829" s="347"/>
    </row>
    <row r="830" spans="1:9">
      <c r="A830" s="90"/>
      <c r="B830" s="128"/>
      <c r="C830" s="128" t="s">
        <v>2224</v>
      </c>
      <c r="D830" s="346"/>
      <c r="E830" s="347"/>
      <c r="F830" s="347"/>
      <c r="G830" s="347"/>
      <c r="H830" s="364"/>
      <c r="I830" s="347"/>
    </row>
    <row r="831" spans="1:9">
      <c r="A831" s="90"/>
      <c r="B831" s="128"/>
      <c r="C831" s="128" t="s">
        <v>2225</v>
      </c>
      <c r="D831" s="346"/>
      <c r="E831" s="347"/>
      <c r="F831" s="347"/>
      <c r="G831" s="347"/>
      <c r="H831" s="364"/>
      <c r="I831" s="347"/>
    </row>
    <row r="832" spans="1:9">
      <c r="A832" s="90"/>
      <c r="B832" s="128"/>
      <c r="C832" s="128" t="s">
        <v>2226</v>
      </c>
      <c r="D832" s="346"/>
      <c r="E832" s="347"/>
      <c r="F832" s="347"/>
      <c r="G832" s="347"/>
      <c r="H832" s="364"/>
      <c r="I832" s="347"/>
    </row>
    <row r="833" spans="1:9">
      <c r="A833" s="90"/>
      <c r="B833" s="128"/>
      <c r="C833" s="128" t="s">
        <v>2227</v>
      </c>
      <c r="D833" s="346"/>
      <c r="E833" s="347"/>
      <c r="F833" s="347"/>
      <c r="G833" s="347"/>
      <c r="H833" s="364"/>
      <c r="I833" s="347"/>
    </row>
    <row r="834" spans="1:9">
      <c r="A834" s="90"/>
      <c r="B834" s="128"/>
      <c r="C834" s="128" t="s">
        <v>2228</v>
      </c>
      <c r="D834" s="346"/>
      <c r="E834" s="347"/>
      <c r="F834" s="347"/>
      <c r="G834" s="347"/>
      <c r="H834" s="364"/>
      <c r="I834" s="347"/>
    </row>
    <row r="835" spans="1:9">
      <c r="A835" s="266"/>
      <c r="B835" s="128"/>
      <c r="C835" s="128" t="s">
        <v>2229</v>
      </c>
      <c r="D835" s="346"/>
      <c r="E835" s="347"/>
      <c r="F835" s="347"/>
      <c r="G835" s="347"/>
      <c r="H835" s="364"/>
      <c r="I835" s="347"/>
    </row>
    <row r="836" spans="1:9" ht="14.45" customHeight="1" thickBot="1">
      <c r="A836" s="267"/>
      <c r="B836" s="91"/>
      <c r="C836" s="657" t="s">
        <v>2230</v>
      </c>
      <c r="D836" s="657"/>
      <c r="E836" s="657"/>
      <c r="F836" s="657"/>
      <c r="G836" s="657"/>
      <c r="H836" s="657"/>
      <c r="I836" s="657"/>
    </row>
  </sheetData>
  <mergeCells count="1">
    <mergeCell ref="C836:I836"/>
  </mergeCells>
  <hyperlinks>
    <hyperlink ref="D1" location="'Cover Sheets'!A16" display="(Back to Worksheet Links)" xr:uid="{181A3054-8429-4102-A19D-C8B1300B70F0}"/>
  </hyperlinks>
  <pageMargins left="0.7" right="0.7" top="0.75" bottom="0.75" header="0.3" footer="0.3"/>
  <pageSetup scale="23"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8A4A-7D5C-4E05-A67B-F02400AB0354}">
  <sheetPr>
    <pageSetUpPr fitToPage="1"/>
  </sheetPr>
  <dimension ref="A1:P179"/>
  <sheetViews>
    <sheetView view="pageBreakPreview" zoomScale="90" zoomScaleNormal="100" zoomScaleSheetLayoutView="90" workbookViewId="0"/>
  </sheetViews>
  <sheetFormatPr defaultColWidth="9.140625" defaultRowHeight="12.75"/>
  <cols>
    <col min="1" max="4" width="9.5703125" style="34" customWidth="1"/>
    <col min="5" max="5" width="33.5703125" style="34" customWidth="1"/>
    <col min="6" max="6" width="32.85546875" style="34" customWidth="1"/>
    <col min="7" max="7" width="16.5703125" style="216" customWidth="1"/>
    <col min="8" max="8" width="12.5703125" style="34" customWidth="1"/>
    <col min="9" max="9" width="12.5703125" style="411" customWidth="1"/>
    <col min="10" max="10" width="12.5703125" style="34" customWidth="1"/>
    <col min="11" max="11" width="12.5703125" style="412" customWidth="1"/>
    <col min="12" max="12" width="13.5703125" style="34" customWidth="1"/>
    <col min="13" max="13" width="11.5703125" style="34" bestFit="1" customWidth="1"/>
    <col min="14" max="14" width="14.5703125" style="34" customWidth="1"/>
    <col min="15" max="16384" width="9.140625" style="34"/>
  </cols>
  <sheetData>
    <row r="1" spans="1:12" ht="15">
      <c r="A1" s="618" t="str">
        <f>'WS1-ATRR RateBase'!A1</f>
        <v>WAPA-UGP 2025 Rate Estimate Calculation</v>
      </c>
      <c r="B1" s="374"/>
      <c r="C1" s="374"/>
      <c r="D1" s="172"/>
      <c r="F1" s="94" t="s">
        <v>53</v>
      </c>
      <c r="G1" s="141"/>
      <c r="H1" s="172"/>
      <c r="I1" s="375"/>
      <c r="J1" s="172"/>
      <c r="K1" s="376"/>
      <c r="L1" s="172"/>
    </row>
    <row r="2" spans="1:12">
      <c r="A2" s="618" t="s">
        <v>2231</v>
      </c>
      <c r="B2" s="374"/>
      <c r="C2" s="374"/>
      <c r="D2" s="172"/>
      <c r="E2" s="172"/>
      <c r="F2" s="172"/>
      <c r="G2" s="141"/>
      <c r="H2" s="172"/>
      <c r="I2" s="375"/>
      <c r="J2" s="172"/>
      <c r="K2" s="376"/>
      <c r="L2" s="172"/>
    </row>
    <row r="3" spans="1:12">
      <c r="A3" s="172" t="str">
        <f>'WS1-ATRR RateBase'!A3</f>
        <v>12 Months Ending 09/30/2025 Estimate</v>
      </c>
      <c r="B3" s="172"/>
      <c r="C3" s="172"/>
      <c r="D3" s="172"/>
      <c r="E3" s="377"/>
      <c r="F3" s="377"/>
      <c r="G3" s="377"/>
      <c r="H3" s="377"/>
      <c r="I3" s="377"/>
      <c r="J3" s="377"/>
      <c r="K3" s="378"/>
      <c r="L3" s="172"/>
    </row>
    <row r="4" spans="1:12">
      <c r="A4" s="225" t="s">
        <v>68</v>
      </c>
      <c r="B4" s="379">
        <v>-1</v>
      </c>
      <c r="C4" s="379">
        <v>-2</v>
      </c>
      <c r="D4" s="379">
        <v>-3</v>
      </c>
      <c r="E4" s="379">
        <v>-4</v>
      </c>
      <c r="F4" s="379">
        <v>-5</v>
      </c>
      <c r="G4" s="379">
        <v>-6</v>
      </c>
      <c r="H4" s="379">
        <v>-7</v>
      </c>
      <c r="I4" s="379">
        <v>-8</v>
      </c>
      <c r="J4" s="379">
        <v>-9</v>
      </c>
      <c r="K4" s="379">
        <v>-10</v>
      </c>
      <c r="L4" s="379">
        <v>-11</v>
      </c>
    </row>
    <row r="5" spans="1:12">
      <c r="A5" s="172"/>
      <c r="B5" s="172"/>
      <c r="C5" s="172"/>
      <c r="D5" s="172"/>
      <c r="E5" s="172"/>
      <c r="F5" s="172"/>
      <c r="G5" s="141"/>
      <c r="H5" s="172"/>
      <c r="I5" s="375"/>
      <c r="J5" s="172"/>
      <c r="K5" s="376"/>
      <c r="L5" s="172"/>
    </row>
    <row r="6" spans="1:12" ht="25.5">
      <c r="A6" s="172"/>
      <c r="B6" s="547" t="s">
        <v>1289</v>
      </c>
      <c r="C6" s="547" t="s">
        <v>56</v>
      </c>
      <c r="D6" s="547" t="s">
        <v>106</v>
      </c>
      <c r="E6" s="226" t="s">
        <v>2232</v>
      </c>
      <c r="F6" s="227"/>
      <c r="G6" s="228" t="s">
        <v>2233</v>
      </c>
      <c r="H6" s="413"/>
      <c r="I6" s="375"/>
      <c r="J6" s="172"/>
      <c r="K6" s="376"/>
      <c r="L6" s="172"/>
    </row>
    <row r="7" spans="1:12">
      <c r="A7" s="380">
        <v>1</v>
      </c>
      <c r="B7" s="380" t="s">
        <v>29</v>
      </c>
      <c r="C7" s="380" t="s">
        <v>77</v>
      </c>
      <c r="D7" s="380" t="s">
        <v>1117</v>
      </c>
      <c r="E7" s="386" t="s">
        <v>1118</v>
      </c>
      <c r="F7" s="377"/>
      <c r="G7" s="414">
        <f>'WS4-TransFac'!F510</f>
        <v>19890751.77</v>
      </c>
      <c r="H7" s="437" t="s">
        <v>1158</v>
      </c>
      <c r="I7" s="375"/>
      <c r="J7" s="172"/>
      <c r="K7" s="376"/>
      <c r="L7" s="172"/>
    </row>
    <row r="8" spans="1:12">
      <c r="A8" s="380">
        <f>A7+1</f>
        <v>2</v>
      </c>
      <c r="B8" s="380" t="s">
        <v>29</v>
      </c>
      <c r="C8" s="380" t="s">
        <v>77</v>
      </c>
      <c r="D8" s="380" t="s">
        <v>1117</v>
      </c>
      <c r="E8" s="386" t="s">
        <v>1119</v>
      </c>
      <c r="F8" s="377"/>
      <c r="G8" s="414">
        <f>'WS4-TransFac'!F511</f>
        <v>3832627.63</v>
      </c>
      <c r="H8" s="437" t="s">
        <v>1158</v>
      </c>
      <c r="I8" s="375"/>
      <c r="J8" s="172"/>
      <c r="K8" s="376"/>
      <c r="L8" s="172"/>
    </row>
    <row r="9" spans="1:12" ht="13.5" thickBot="1">
      <c r="A9" s="382">
        <f>A8+1</f>
        <v>3</v>
      </c>
      <c r="B9" s="380"/>
      <c r="C9" s="380"/>
      <c r="D9" s="381"/>
      <c r="E9" s="235" t="s">
        <v>89</v>
      </c>
      <c r="F9" s="219"/>
      <c r="G9" s="142">
        <f>SUM(G7:G8)</f>
        <v>23723379.399999999</v>
      </c>
      <c r="H9" s="437"/>
      <c r="I9" s="377"/>
      <c r="J9" s="377"/>
      <c r="K9" s="214"/>
      <c r="L9" s="172"/>
    </row>
    <row r="10" spans="1:12" ht="14.25" thickTop="1" thickBot="1">
      <c r="A10" s="380">
        <f>A9+1</f>
        <v>4</v>
      </c>
      <c r="B10" s="380"/>
      <c r="C10" s="380"/>
      <c r="D10" s="381"/>
      <c r="E10" s="415"/>
      <c r="F10" s="416"/>
      <c r="G10" s="416"/>
      <c r="H10" s="122"/>
      <c r="I10" s="377"/>
      <c r="J10" s="377"/>
      <c r="K10" s="214"/>
      <c r="L10" s="172"/>
    </row>
    <row r="11" spans="1:12" ht="14.25" thickTop="1" thickBot="1">
      <c r="A11" s="382">
        <f>A10+1</f>
        <v>5</v>
      </c>
      <c r="B11" s="380"/>
      <c r="C11" s="380"/>
      <c r="D11" s="381"/>
      <c r="E11" s="415"/>
      <c r="F11" s="416"/>
      <c r="G11" s="416"/>
      <c r="H11" s="122"/>
      <c r="I11" s="377"/>
      <c r="J11" s="377"/>
      <c r="K11" s="214"/>
      <c r="L11" s="591" t="s">
        <v>2415</v>
      </c>
    </row>
    <row r="12" spans="1:12" ht="39" thickTop="1">
      <c r="A12" s="380">
        <f t="shared" ref="A12:A23" si="0">A11+1</f>
        <v>6</v>
      </c>
      <c r="B12" s="383"/>
      <c r="C12" s="383"/>
      <c r="D12" s="384"/>
      <c r="E12" s="551" t="s">
        <v>2234</v>
      </c>
      <c r="F12" s="554" t="s">
        <v>2235</v>
      </c>
      <c r="G12" s="228" t="s">
        <v>2236</v>
      </c>
      <c r="H12" s="379" t="s">
        <v>2237</v>
      </c>
      <c r="I12" s="229" t="s">
        <v>2238</v>
      </c>
      <c r="J12" s="229" t="s">
        <v>2239</v>
      </c>
      <c r="K12" s="229" t="s">
        <v>2240</v>
      </c>
      <c r="L12" s="619" t="s">
        <v>2406</v>
      </c>
    </row>
    <row r="13" spans="1:12">
      <c r="A13" s="382">
        <f t="shared" si="0"/>
        <v>7</v>
      </c>
      <c r="B13" s="382"/>
      <c r="C13" s="382"/>
      <c r="D13" s="385"/>
      <c r="E13" s="386" t="s">
        <v>2241</v>
      </c>
      <c r="F13" s="625">
        <v>0.3</v>
      </c>
      <c r="G13" s="98">
        <f>I175</f>
        <v>834748.35000000009</v>
      </c>
      <c r="H13" s="417">
        <f>G13/G$9</f>
        <v>3.5186738614482564E-2</v>
      </c>
      <c r="I13" s="418">
        <f>AVERAGE(G37,G38,G39,G40,G43,G44,G47,G48,G136,G137,G138,G139)</f>
        <v>34.75</v>
      </c>
      <c r="J13" s="419">
        <f>1/I13</f>
        <v>2.8776978417266189E-2</v>
      </c>
      <c r="K13" s="422">
        <f>1/(I13*(1-F13))</f>
        <v>4.1109969167523124E-2</v>
      </c>
      <c r="L13" s="620">
        <f>(K13-J13)*G13</f>
        <v>10294.943679342239</v>
      </c>
    </row>
    <row r="14" spans="1:12">
      <c r="A14" s="380">
        <f t="shared" si="0"/>
        <v>8</v>
      </c>
      <c r="B14" s="382"/>
      <c r="C14" s="382"/>
      <c r="D14" s="385"/>
      <c r="E14" s="34" t="s">
        <v>2242</v>
      </c>
      <c r="F14" s="625">
        <v>0.3</v>
      </c>
      <c r="G14" s="98">
        <f>J175</f>
        <v>224032.51</v>
      </c>
      <c r="H14" s="387">
        <f t="shared" ref="H14:H16" si="1">G14/G$9</f>
        <v>9.443532737161385E-3</v>
      </c>
      <c r="I14" s="418">
        <f>AVERAGE(G97,G98,G99,G100,G101,G105,G106,G107,G108)</f>
        <v>39.333333333333336</v>
      </c>
      <c r="J14" s="419">
        <f>1/I14</f>
        <v>2.542372881355932E-2</v>
      </c>
      <c r="K14" s="422">
        <f>1/(I14*(1-F14))</f>
        <v>3.6319612590799029E-2</v>
      </c>
      <c r="L14" s="621">
        <f>(K14-J14)*G14</f>
        <v>2441.0321912832928</v>
      </c>
    </row>
    <row r="15" spans="1:12">
      <c r="A15" s="382">
        <f t="shared" si="0"/>
        <v>9</v>
      </c>
      <c r="B15" s="382"/>
      <c r="C15" s="382"/>
      <c r="D15" s="385"/>
      <c r="E15" s="389" t="s">
        <v>2243</v>
      </c>
      <c r="F15" s="626">
        <v>0.3</v>
      </c>
      <c r="G15" s="420">
        <f>K175</f>
        <v>6724616.2650622409</v>
      </c>
      <c r="H15" s="390">
        <f t="shared" si="1"/>
        <v>0.28345945793297228</v>
      </c>
      <c r="I15" s="421">
        <f>AVERAGE(G49,G50,G55,G56,G57,G58,G74,G75,G76,G77,G78,G79,G80,G81,G82,G83,G84,G85,G102,G103,G104,G109,G110,G111,G112,G117,G118,G119,G124,G125,G126,G127,G155,G164,G170)</f>
        <v>27.8</v>
      </c>
      <c r="J15" s="422">
        <f>1/I15</f>
        <v>3.5971223021582732E-2</v>
      </c>
      <c r="K15" s="422">
        <f>1/(I15*(1-F15))</f>
        <v>5.1387461459403906E-2</v>
      </c>
      <c r="L15" s="621">
        <f>(K15-J15)*G15</f>
        <v>103668.28774504998</v>
      </c>
    </row>
    <row r="16" spans="1:12" ht="13.5" thickBot="1">
      <c r="A16" s="380">
        <f t="shared" si="0"/>
        <v>10</v>
      </c>
      <c r="B16" s="382"/>
      <c r="C16" s="382"/>
      <c r="D16" s="385"/>
      <c r="E16" s="391" t="s">
        <v>2244</v>
      </c>
      <c r="F16" s="392"/>
      <c r="G16" s="393">
        <f>SUM(G13:G15)</f>
        <v>7783397.1250622412</v>
      </c>
      <c r="H16" s="394">
        <f t="shared" si="1"/>
        <v>0.32808972928461622</v>
      </c>
      <c r="I16" s="423"/>
      <c r="J16" s="237"/>
      <c r="K16" s="237"/>
      <c r="L16" s="634">
        <f>SUM(L13:L15)</f>
        <v>116404.26361567552</v>
      </c>
    </row>
    <row r="17" spans="1:14" ht="14.25" thickTop="1" thickBot="1">
      <c r="A17" s="382">
        <f t="shared" si="0"/>
        <v>11</v>
      </c>
      <c r="B17" s="382"/>
      <c r="C17" s="382"/>
      <c r="D17" s="385"/>
      <c r="E17" s="386" t="s">
        <v>2245</v>
      </c>
      <c r="F17" s="377"/>
      <c r="G17" s="414"/>
      <c r="H17" s="417"/>
      <c r="I17" s="377"/>
      <c r="J17" s="388"/>
      <c r="K17" s="622"/>
      <c r="L17" s="627">
        <v>0</v>
      </c>
    </row>
    <row r="18" spans="1:14" ht="13.5" thickBot="1">
      <c r="A18" s="380">
        <f t="shared" si="0"/>
        <v>12</v>
      </c>
      <c r="B18" s="382"/>
      <c r="C18" s="382"/>
      <c r="D18" s="385"/>
      <c r="E18" s="555" t="s">
        <v>2246</v>
      </c>
      <c r="F18" s="392"/>
      <c r="G18" s="393"/>
      <c r="H18" s="394"/>
      <c r="I18" s="392"/>
      <c r="J18" s="395"/>
      <c r="K18" s="395"/>
      <c r="L18" s="635">
        <f>L17+L16</f>
        <v>116404.26361567552</v>
      </c>
    </row>
    <row r="19" spans="1:14" ht="13.5" thickTop="1">
      <c r="A19" s="382">
        <f t="shared" si="0"/>
        <v>13</v>
      </c>
      <c r="B19" s="382"/>
      <c r="C19" s="382"/>
      <c r="D19" s="385"/>
      <c r="E19" s="386"/>
      <c r="F19" s="377"/>
      <c r="G19" s="98"/>
      <c r="H19" s="387"/>
      <c r="I19" s="377"/>
      <c r="J19" s="377"/>
      <c r="K19" s="214"/>
      <c r="L19" s="172"/>
    </row>
    <row r="20" spans="1:14">
      <c r="A20" s="380">
        <f t="shared" si="0"/>
        <v>14</v>
      </c>
      <c r="B20" s="380"/>
      <c r="C20" s="380"/>
      <c r="D20" s="381"/>
      <c r="E20" s="386" t="s">
        <v>2247</v>
      </c>
      <c r="F20" s="377" t="s">
        <v>81</v>
      </c>
      <c r="G20" s="424">
        <f>G9-G16</f>
        <v>15939982.274937756</v>
      </c>
      <c r="H20" s="390">
        <f t="shared" ref="H20" si="2">G20/G$9</f>
        <v>0.67191027071538367</v>
      </c>
      <c r="I20" s="377"/>
      <c r="J20" s="377"/>
      <c r="K20" s="214"/>
      <c r="L20" s="172"/>
      <c r="N20" s="396"/>
    </row>
    <row r="21" spans="1:14" ht="13.5" thickBot="1">
      <c r="A21" s="382">
        <f t="shared" si="0"/>
        <v>15</v>
      </c>
      <c r="B21" s="380"/>
      <c r="C21" s="380"/>
      <c r="D21" s="381"/>
      <c r="E21" s="386"/>
      <c r="F21" s="377"/>
      <c r="G21" s="393">
        <f>G16+G20</f>
        <v>23723379.399999999</v>
      </c>
      <c r="H21" s="394">
        <f>H16+H20</f>
        <v>0.99999999999999989</v>
      </c>
      <c r="I21" s="377"/>
      <c r="J21" s="377"/>
      <c r="K21" s="214"/>
      <c r="L21" s="172"/>
      <c r="N21" s="396"/>
    </row>
    <row r="22" spans="1:14" ht="13.5" thickTop="1">
      <c r="A22" s="380">
        <f t="shared" si="0"/>
        <v>16</v>
      </c>
      <c r="B22" s="380"/>
      <c r="C22" s="380"/>
      <c r="D22" s="381"/>
      <c r="E22" s="386"/>
      <c r="F22" s="377"/>
      <c r="G22" s="98"/>
      <c r="H22" s="377"/>
      <c r="I22" s="377"/>
      <c r="J22" s="377"/>
      <c r="K22" s="214"/>
      <c r="L22" s="172"/>
    </row>
    <row r="23" spans="1:14" ht="13.5" customHeight="1">
      <c r="A23" s="382">
        <f t="shared" si="0"/>
        <v>17</v>
      </c>
      <c r="B23" s="380"/>
      <c r="C23" s="380"/>
      <c r="D23" s="381"/>
      <c r="E23" s="658" t="s">
        <v>2248</v>
      </c>
      <c r="F23" s="658"/>
      <c r="G23" s="658"/>
      <c r="H23" s="658"/>
      <c r="I23" s="658"/>
      <c r="J23" s="658"/>
      <c r="K23" s="658"/>
      <c r="L23" s="658"/>
    </row>
    <row r="24" spans="1:14" ht="14.45" customHeight="1">
      <c r="A24" s="380">
        <f>A23+1</f>
        <v>18</v>
      </c>
      <c r="B24" s="380"/>
      <c r="C24" s="380"/>
      <c r="D24" s="381"/>
      <c r="E24" s="659" t="s">
        <v>2249</v>
      </c>
      <c r="F24" s="659"/>
      <c r="G24" s="659"/>
      <c r="H24" s="659"/>
      <c r="I24" s="659"/>
      <c r="J24" s="659"/>
      <c r="K24" s="659"/>
      <c r="L24" s="659"/>
    </row>
    <row r="25" spans="1:14" ht="14.45" customHeight="1">
      <c r="A25" s="382">
        <f>A24+1</f>
        <v>19</v>
      </c>
      <c r="B25" s="380"/>
      <c r="C25" s="380"/>
      <c r="D25" s="381"/>
      <c r="E25" s="659"/>
      <c r="F25" s="659"/>
      <c r="G25" s="659"/>
      <c r="H25" s="659"/>
      <c r="I25" s="659"/>
      <c r="J25" s="659"/>
      <c r="K25" s="659"/>
      <c r="L25" s="659"/>
    </row>
    <row r="26" spans="1:14" ht="14.45" customHeight="1">
      <c r="A26" s="382">
        <f t="shared" ref="A26:A28" si="3">A25+1</f>
        <v>20</v>
      </c>
      <c r="B26" s="380"/>
      <c r="C26" s="380"/>
      <c r="D26" s="381"/>
      <c r="E26" s="628" t="s">
        <v>2448</v>
      </c>
      <c r="F26" s="550"/>
      <c r="G26" s="550"/>
      <c r="H26" s="550"/>
      <c r="I26" s="550"/>
      <c r="J26" s="550"/>
      <c r="K26" s="550"/>
      <c r="L26" s="550"/>
    </row>
    <row r="27" spans="1:14">
      <c r="A27" s="382">
        <f t="shared" si="3"/>
        <v>21</v>
      </c>
      <c r="B27" s="225"/>
      <c r="C27" s="225"/>
      <c r="D27" s="547"/>
      <c r="E27" s="226"/>
      <c r="F27" s="227"/>
      <c r="G27" s="398"/>
      <c r="H27" s="228"/>
      <c r="I27" s="229"/>
      <c r="J27" s="229"/>
      <c r="K27" s="229"/>
      <c r="L27" s="228"/>
    </row>
    <row r="28" spans="1:14">
      <c r="A28" s="382">
        <f t="shared" si="3"/>
        <v>22</v>
      </c>
      <c r="B28" s="382"/>
      <c r="C28" s="382"/>
      <c r="D28" s="385"/>
      <c r="E28" s="386"/>
      <c r="F28" s="377"/>
      <c r="G28" s="377"/>
      <c r="H28" s="414"/>
      <c r="I28" s="377"/>
      <c r="J28" s="377"/>
      <c r="K28" s="377"/>
      <c r="L28" s="214"/>
    </row>
    <row r="29" spans="1:14">
      <c r="A29" s="380">
        <f t="shared" ref="A29:A39" si="4">A28+1</f>
        <v>23</v>
      </c>
      <c r="B29" s="382"/>
      <c r="C29" s="382"/>
      <c r="D29" s="385"/>
      <c r="E29" s="386"/>
      <c r="F29" s="377"/>
      <c r="G29" s="377"/>
      <c r="H29" s="414"/>
      <c r="I29" s="377"/>
      <c r="J29" s="377"/>
      <c r="K29" s="377"/>
      <c r="L29" s="214"/>
    </row>
    <row r="30" spans="1:14">
      <c r="A30" s="382">
        <f t="shared" si="4"/>
        <v>24</v>
      </c>
      <c r="B30" s="382"/>
      <c r="C30" s="382"/>
      <c r="D30" s="171"/>
      <c r="E30" s="415"/>
      <c r="F30" s="416"/>
      <c r="G30" s="416"/>
      <c r="H30" s="122"/>
      <c r="I30" s="171"/>
      <c r="J30" s="425"/>
      <c r="K30" s="425"/>
      <c r="L30" s="426"/>
    </row>
    <row r="31" spans="1:14" ht="14.45" customHeight="1">
      <c r="A31" s="380">
        <f t="shared" si="4"/>
        <v>25</v>
      </c>
      <c r="B31" s="380"/>
      <c r="C31" s="380"/>
      <c r="D31" s="381"/>
      <c r="E31" s="397"/>
      <c r="F31" s="377"/>
      <c r="G31" s="98"/>
      <c r="H31" s="377"/>
      <c r="I31" s="377"/>
      <c r="J31" s="377"/>
      <c r="K31" s="214"/>
      <c r="L31" s="172"/>
    </row>
    <row r="32" spans="1:14" ht="38.1" customHeight="1">
      <c r="A32" s="382">
        <f t="shared" si="4"/>
        <v>26</v>
      </c>
      <c r="B32" s="382"/>
      <c r="C32" s="382"/>
      <c r="D32" s="230" t="s">
        <v>106</v>
      </c>
      <c r="E32" s="551" t="s">
        <v>2409</v>
      </c>
      <c r="F32" s="552" t="s">
        <v>2250</v>
      </c>
      <c r="G32" s="553" t="s">
        <v>2251</v>
      </c>
      <c r="H32" s="573" t="s">
        <v>1296</v>
      </c>
      <c r="I32" s="399" t="s">
        <v>2362</v>
      </c>
      <c r="J32" s="400" t="s">
        <v>2363</v>
      </c>
      <c r="K32" s="401" t="s">
        <v>2364</v>
      </c>
      <c r="L32" s="574" t="s">
        <v>2413</v>
      </c>
    </row>
    <row r="33" spans="1:12">
      <c r="A33" s="380">
        <f t="shared" si="4"/>
        <v>27</v>
      </c>
      <c r="B33" s="382"/>
      <c r="C33" s="382"/>
      <c r="D33" s="224" t="s">
        <v>1117</v>
      </c>
      <c r="E33" s="558" t="s">
        <v>2252</v>
      </c>
      <c r="F33" s="172" t="s">
        <v>2253</v>
      </c>
      <c r="G33" s="561">
        <v>25</v>
      </c>
      <c r="H33" s="567">
        <v>202756.93</v>
      </c>
      <c r="I33" s="172"/>
      <c r="J33" s="172"/>
      <c r="K33" s="402"/>
      <c r="L33" s="575">
        <f t="shared" ref="L33:L96" si="5">IF(H33&lt;0,H33,0)</f>
        <v>0</v>
      </c>
    </row>
    <row r="34" spans="1:12">
      <c r="A34" s="382">
        <f t="shared" si="4"/>
        <v>28</v>
      </c>
      <c r="B34" s="382"/>
      <c r="C34" s="382"/>
      <c r="D34" s="224" t="s">
        <v>1117</v>
      </c>
      <c r="E34" s="557" t="s">
        <v>1302</v>
      </c>
      <c r="F34" s="172" t="s">
        <v>1302</v>
      </c>
      <c r="G34" s="561">
        <v>38</v>
      </c>
      <c r="H34" s="567">
        <v>5868.55</v>
      </c>
      <c r="I34" s="172"/>
      <c r="J34" s="172"/>
      <c r="K34" s="402"/>
      <c r="L34" s="575">
        <f t="shared" si="5"/>
        <v>0</v>
      </c>
    </row>
    <row r="35" spans="1:12">
      <c r="A35" s="380">
        <f t="shared" si="4"/>
        <v>29</v>
      </c>
      <c r="B35" s="382"/>
      <c r="C35" s="382"/>
      <c r="D35" s="224" t="s">
        <v>1117</v>
      </c>
      <c r="E35" s="403" t="s">
        <v>1322</v>
      </c>
      <c r="F35" s="172" t="s">
        <v>1322</v>
      </c>
      <c r="G35" s="561">
        <v>10</v>
      </c>
      <c r="H35" s="567">
        <v>20209.580000000002</v>
      </c>
      <c r="I35" s="172"/>
      <c r="J35" s="172"/>
      <c r="K35" s="172"/>
      <c r="L35" s="575">
        <f t="shared" si="5"/>
        <v>0</v>
      </c>
    </row>
    <row r="36" spans="1:12">
      <c r="A36" s="382">
        <f t="shared" si="4"/>
        <v>30</v>
      </c>
      <c r="B36" s="382"/>
      <c r="C36" s="382"/>
      <c r="D36" s="224" t="s">
        <v>1117</v>
      </c>
      <c r="E36" s="403" t="s">
        <v>1302</v>
      </c>
      <c r="F36" s="172" t="s">
        <v>1306</v>
      </c>
      <c r="G36" s="561">
        <v>38</v>
      </c>
      <c r="H36" s="567">
        <v>1775.38</v>
      </c>
      <c r="I36" s="172"/>
      <c r="J36" s="172"/>
      <c r="K36" s="172"/>
      <c r="L36" s="575">
        <f t="shared" si="5"/>
        <v>0</v>
      </c>
    </row>
    <row r="37" spans="1:12">
      <c r="A37" s="380">
        <f t="shared" si="4"/>
        <v>31</v>
      </c>
      <c r="B37" s="380"/>
      <c r="C37" s="380"/>
      <c r="D37" s="224" t="s">
        <v>1117</v>
      </c>
      <c r="E37" s="404" t="s">
        <v>2254</v>
      </c>
      <c r="F37" s="405" t="s">
        <v>2255</v>
      </c>
      <c r="G37" s="562">
        <v>35</v>
      </c>
      <c r="H37" s="567">
        <v>193025.8</v>
      </c>
      <c r="I37" s="402">
        <f>H37</f>
        <v>193025.8</v>
      </c>
      <c r="J37" s="172"/>
      <c r="K37" s="172"/>
      <c r="L37" s="575">
        <f t="shared" si="5"/>
        <v>0</v>
      </c>
    </row>
    <row r="38" spans="1:12">
      <c r="A38" s="382">
        <f t="shared" si="4"/>
        <v>32</v>
      </c>
      <c r="B38" s="380"/>
      <c r="C38" s="380"/>
      <c r="D38" s="224" t="s">
        <v>1117</v>
      </c>
      <c r="E38" s="404" t="s">
        <v>1302</v>
      </c>
      <c r="F38" s="405" t="s">
        <v>1306</v>
      </c>
      <c r="G38" s="562">
        <v>38</v>
      </c>
      <c r="H38" s="567">
        <v>4469.51</v>
      </c>
      <c r="I38" s="402">
        <f>H38</f>
        <v>4469.51</v>
      </c>
      <c r="J38" s="172"/>
      <c r="K38" s="172"/>
      <c r="L38" s="575">
        <f t="shared" si="5"/>
        <v>0</v>
      </c>
    </row>
    <row r="39" spans="1:12">
      <c r="A39" s="380">
        <f t="shared" si="4"/>
        <v>33</v>
      </c>
      <c r="B39" s="380"/>
      <c r="C39" s="380"/>
      <c r="D39" s="224" t="s">
        <v>1117</v>
      </c>
      <c r="E39" s="404" t="s">
        <v>1302</v>
      </c>
      <c r="F39" s="405" t="s">
        <v>1302</v>
      </c>
      <c r="G39" s="562">
        <v>38</v>
      </c>
      <c r="H39" s="567">
        <v>3904.59</v>
      </c>
      <c r="I39" s="402">
        <f>H39</f>
        <v>3904.59</v>
      </c>
      <c r="J39" s="172"/>
      <c r="K39" s="172"/>
      <c r="L39" s="575">
        <f t="shared" si="5"/>
        <v>0</v>
      </c>
    </row>
    <row r="40" spans="1:12">
      <c r="A40" s="380">
        <f>A39+1</f>
        <v>34</v>
      </c>
      <c r="B40" s="380"/>
      <c r="C40" s="380"/>
      <c r="D40" s="224" t="s">
        <v>1117</v>
      </c>
      <c r="E40" s="404" t="s">
        <v>2254</v>
      </c>
      <c r="F40" s="405" t="s">
        <v>2256</v>
      </c>
      <c r="G40" s="562">
        <v>35</v>
      </c>
      <c r="H40" s="567">
        <v>190247.17</v>
      </c>
      <c r="I40" s="402">
        <f>H40</f>
        <v>190247.17</v>
      </c>
      <c r="J40" s="172"/>
      <c r="K40" s="172"/>
      <c r="L40" s="575">
        <f t="shared" si="5"/>
        <v>0</v>
      </c>
    </row>
    <row r="41" spans="1:12">
      <c r="A41" s="382">
        <f>A40+1</f>
        <v>35</v>
      </c>
      <c r="B41" s="380"/>
      <c r="C41" s="380"/>
      <c r="D41" s="224" t="s">
        <v>1117</v>
      </c>
      <c r="E41" s="559" t="s">
        <v>2252</v>
      </c>
      <c r="F41" s="172" t="s">
        <v>2252</v>
      </c>
      <c r="G41" s="561">
        <v>25</v>
      </c>
      <c r="H41" s="568">
        <v>150927.09</v>
      </c>
      <c r="I41" s="172"/>
      <c r="J41" s="172"/>
      <c r="K41" s="402"/>
      <c r="L41" s="575">
        <f t="shared" si="5"/>
        <v>0</v>
      </c>
    </row>
    <row r="42" spans="1:12">
      <c r="A42" s="380">
        <f>A41+1</f>
        <v>36</v>
      </c>
      <c r="B42" s="380"/>
      <c r="C42" s="380"/>
      <c r="D42" s="224" t="s">
        <v>1117</v>
      </c>
      <c r="E42" s="558" t="s">
        <v>1322</v>
      </c>
      <c r="F42" s="172" t="s">
        <v>1322</v>
      </c>
      <c r="G42" s="561">
        <v>10</v>
      </c>
      <c r="H42" s="568">
        <v>15489.79</v>
      </c>
      <c r="I42" s="172"/>
      <c r="J42" s="172"/>
      <c r="K42" s="172"/>
      <c r="L42" s="575">
        <f t="shared" si="5"/>
        <v>0</v>
      </c>
    </row>
    <row r="43" spans="1:12">
      <c r="A43" s="382">
        <f>A42+1</f>
        <v>37</v>
      </c>
      <c r="B43" s="380"/>
      <c r="C43" s="380"/>
      <c r="D43" s="224" t="s">
        <v>1117</v>
      </c>
      <c r="E43" s="404" t="s">
        <v>2254</v>
      </c>
      <c r="F43" s="405" t="s">
        <v>2254</v>
      </c>
      <c r="G43" s="562">
        <v>35</v>
      </c>
      <c r="H43" s="568">
        <v>125024.26</v>
      </c>
      <c r="I43" s="402"/>
      <c r="J43" s="172"/>
      <c r="K43" s="172"/>
      <c r="L43" s="575">
        <f t="shared" si="5"/>
        <v>0</v>
      </c>
    </row>
    <row r="44" spans="1:12">
      <c r="A44" s="380">
        <f t="shared" ref="A44:A107" si="6">A43+1</f>
        <v>38</v>
      </c>
      <c r="B44" s="380"/>
      <c r="C44" s="380"/>
      <c r="D44" s="224" t="s">
        <v>1117</v>
      </c>
      <c r="E44" s="404" t="s">
        <v>2254</v>
      </c>
      <c r="F44" s="405" t="s">
        <v>2254</v>
      </c>
      <c r="G44" s="562">
        <v>35</v>
      </c>
      <c r="H44" s="568">
        <v>126831.45</v>
      </c>
      <c r="I44" s="402"/>
      <c r="J44" s="172"/>
      <c r="K44" s="172"/>
      <c r="L44" s="575">
        <f t="shared" si="5"/>
        <v>0</v>
      </c>
    </row>
    <row r="45" spans="1:12">
      <c r="A45" s="382">
        <f t="shared" si="6"/>
        <v>39</v>
      </c>
      <c r="B45" s="380"/>
      <c r="C45" s="380"/>
      <c r="D45" s="224" t="s">
        <v>1117</v>
      </c>
      <c r="E45" s="560" t="s">
        <v>2257</v>
      </c>
      <c r="F45" s="172" t="s">
        <v>2257</v>
      </c>
      <c r="G45" s="380">
        <v>25</v>
      </c>
      <c r="H45" s="569">
        <v>-150927.09</v>
      </c>
      <c r="I45" s="172"/>
      <c r="J45" s="172"/>
      <c r="K45" s="402"/>
      <c r="L45" s="575">
        <f t="shared" si="5"/>
        <v>-150927.09</v>
      </c>
    </row>
    <row r="46" spans="1:12">
      <c r="A46" s="380">
        <f t="shared" si="6"/>
        <v>40</v>
      </c>
      <c r="B46" s="172"/>
      <c r="C46" s="172"/>
      <c r="D46" s="224" t="s">
        <v>1117</v>
      </c>
      <c r="E46" s="172" t="s">
        <v>2258</v>
      </c>
      <c r="F46" s="172" t="s">
        <v>2258</v>
      </c>
      <c r="G46" s="563">
        <v>10</v>
      </c>
      <c r="H46" s="570">
        <v>-15489.79</v>
      </c>
      <c r="I46" s="172"/>
      <c r="J46" s="172"/>
      <c r="K46" s="172"/>
      <c r="L46" s="575">
        <f t="shared" si="5"/>
        <v>-15489.79</v>
      </c>
    </row>
    <row r="47" spans="1:12">
      <c r="A47" s="382">
        <f t="shared" si="6"/>
        <v>41</v>
      </c>
      <c r="B47" s="172"/>
      <c r="C47" s="172"/>
      <c r="D47" s="224" t="s">
        <v>1117</v>
      </c>
      <c r="E47" s="405" t="s">
        <v>2254</v>
      </c>
      <c r="F47" s="405" t="s">
        <v>2254</v>
      </c>
      <c r="G47" s="564">
        <v>35</v>
      </c>
      <c r="H47" s="570">
        <v>-125024.26</v>
      </c>
      <c r="I47" s="402"/>
      <c r="J47" s="172"/>
      <c r="K47" s="172"/>
      <c r="L47" s="575">
        <f t="shared" si="5"/>
        <v>-125024.26</v>
      </c>
    </row>
    <row r="48" spans="1:12">
      <c r="A48" s="380">
        <f t="shared" si="6"/>
        <v>42</v>
      </c>
      <c r="B48" s="172"/>
      <c r="C48" s="172"/>
      <c r="D48" s="224" t="s">
        <v>1117</v>
      </c>
      <c r="E48" s="405" t="s">
        <v>2254</v>
      </c>
      <c r="F48" s="405" t="s">
        <v>2254</v>
      </c>
      <c r="G48" s="564">
        <v>35</v>
      </c>
      <c r="H48" s="570">
        <v>-126831.45</v>
      </c>
      <c r="I48" s="402"/>
      <c r="J48" s="172"/>
      <c r="K48" s="172"/>
      <c r="L48" s="575">
        <f t="shared" si="5"/>
        <v>-126831.45</v>
      </c>
    </row>
    <row r="49" spans="1:12">
      <c r="A49" s="382">
        <f t="shared" si="6"/>
        <v>43</v>
      </c>
      <c r="B49" s="172"/>
      <c r="C49" s="172"/>
      <c r="D49" s="224" t="s">
        <v>1117</v>
      </c>
      <c r="E49" s="406" t="s">
        <v>2259</v>
      </c>
      <c r="F49" s="406" t="s">
        <v>2260</v>
      </c>
      <c r="G49" s="565">
        <v>35</v>
      </c>
      <c r="H49" s="570">
        <v>-31993.95</v>
      </c>
      <c r="I49" s="172"/>
      <c r="J49" s="172"/>
      <c r="K49" s="402"/>
      <c r="L49" s="575">
        <f t="shared" si="5"/>
        <v>-31993.95</v>
      </c>
    </row>
    <row r="50" spans="1:12">
      <c r="A50" s="380">
        <f t="shared" si="6"/>
        <v>44</v>
      </c>
      <c r="B50" s="172"/>
      <c r="C50" s="172"/>
      <c r="D50" s="224" t="s">
        <v>1117</v>
      </c>
      <c r="E50" s="406" t="s">
        <v>2259</v>
      </c>
      <c r="F50" s="406" t="s">
        <v>2261</v>
      </c>
      <c r="G50" s="565">
        <v>35</v>
      </c>
      <c r="H50" s="570">
        <v>31993.95</v>
      </c>
      <c r="I50" s="172"/>
      <c r="J50" s="172"/>
      <c r="K50" s="402"/>
      <c r="L50" s="575">
        <f t="shared" si="5"/>
        <v>0</v>
      </c>
    </row>
    <row r="51" spans="1:12">
      <c r="A51" s="382">
        <f t="shared" si="6"/>
        <v>45</v>
      </c>
      <c r="B51" s="172"/>
      <c r="C51" s="172"/>
      <c r="D51" s="224" t="s">
        <v>1117</v>
      </c>
      <c r="E51" s="172" t="s">
        <v>2262</v>
      </c>
      <c r="F51" s="172" t="s">
        <v>2263</v>
      </c>
      <c r="G51" s="380">
        <v>15</v>
      </c>
      <c r="H51" s="570">
        <v>62742.09</v>
      </c>
      <c r="I51" s="172"/>
      <c r="J51" s="172"/>
      <c r="K51" s="172"/>
      <c r="L51" s="575">
        <f t="shared" si="5"/>
        <v>0</v>
      </c>
    </row>
    <row r="52" spans="1:12">
      <c r="A52" s="380">
        <f t="shared" si="6"/>
        <v>46</v>
      </c>
      <c r="B52" s="172"/>
      <c r="C52" s="172"/>
      <c r="D52" s="224" t="s">
        <v>1117</v>
      </c>
      <c r="E52" s="172" t="s">
        <v>2262</v>
      </c>
      <c r="F52" s="172" t="s">
        <v>2264</v>
      </c>
      <c r="G52" s="380">
        <v>15</v>
      </c>
      <c r="H52" s="570">
        <v>-62742.09</v>
      </c>
      <c r="I52" s="172"/>
      <c r="J52" s="172"/>
      <c r="K52" s="172"/>
      <c r="L52" s="575">
        <f t="shared" si="5"/>
        <v>-62742.09</v>
      </c>
    </row>
    <row r="53" spans="1:12">
      <c r="A53" s="382">
        <f t="shared" si="6"/>
        <v>47</v>
      </c>
      <c r="B53" s="172"/>
      <c r="C53" s="172"/>
      <c r="D53" s="224" t="s">
        <v>1117</v>
      </c>
      <c r="E53" s="172" t="s">
        <v>1302</v>
      </c>
      <c r="F53" s="172" t="s">
        <v>1302</v>
      </c>
      <c r="G53" s="380">
        <v>38</v>
      </c>
      <c r="H53" s="571">
        <v>2012.13</v>
      </c>
      <c r="I53" s="172"/>
      <c r="J53" s="172"/>
      <c r="K53" s="172"/>
      <c r="L53" s="575">
        <f t="shared" si="5"/>
        <v>0</v>
      </c>
    </row>
    <row r="54" spans="1:12">
      <c r="A54" s="382">
        <f t="shared" si="6"/>
        <v>48</v>
      </c>
      <c r="B54" s="172"/>
      <c r="C54" s="172"/>
      <c r="D54" s="224" t="s">
        <v>1117</v>
      </c>
      <c r="E54" s="172" t="s">
        <v>2262</v>
      </c>
      <c r="F54" s="172" t="s">
        <v>2265</v>
      </c>
      <c r="G54" s="380">
        <v>15</v>
      </c>
      <c r="H54" s="571">
        <v>103388.43</v>
      </c>
      <c r="I54" s="172"/>
      <c r="J54" s="172"/>
      <c r="K54" s="172"/>
      <c r="L54" s="575">
        <f t="shared" si="5"/>
        <v>0</v>
      </c>
    </row>
    <row r="55" spans="1:12">
      <c r="A55" s="382">
        <f t="shared" si="6"/>
        <v>49</v>
      </c>
      <c r="B55" s="172"/>
      <c r="C55" s="172"/>
      <c r="D55" s="224" t="s">
        <v>1117</v>
      </c>
      <c r="E55" s="406" t="s">
        <v>2252</v>
      </c>
      <c r="F55" s="406" t="s">
        <v>2266</v>
      </c>
      <c r="G55" s="565">
        <v>25</v>
      </c>
      <c r="H55" s="570">
        <v>123264.66</v>
      </c>
      <c r="I55" s="172"/>
      <c r="J55" s="172"/>
      <c r="K55" s="402"/>
      <c r="L55" s="575">
        <f t="shared" si="5"/>
        <v>0</v>
      </c>
    </row>
    <row r="56" spans="1:12">
      <c r="A56" s="382">
        <f t="shared" si="6"/>
        <v>50</v>
      </c>
      <c r="B56" s="172"/>
      <c r="C56" s="172"/>
      <c r="D56" s="224" t="s">
        <v>1117</v>
      </c>
      <c r="E56" s="406" t="s">
        <v>2252</v>
      </c>
      <c r="F56" s="406" t="s">
        <v>2267</v>
      </c>
      <c r="G56" s="565">
        <v>25</v>
      </c>
      <c r="H56" s="570">
        <v>-123264.66</v>
      </c>
      <c r="I56" s="172"/>
      <c r="J56" s="172"/>
      <c r="K56" s="402"/>
      <c r="L56" s="575">
        <f t="shared" si="5"/>
        <v>-123264.66</v>
      </c>
    </row>
    <row r="57" spans="1:12">
      <c r="A57" s="382">
        <f t="shared" si="6"/>
        <v>51</v>
      </c>
      <c r="B57" s="172"/>
      <c r="C57" s="172"/>
      <c r="D57" s="224" t="s">
        <v>1117</v>
      </c>
      <c r="E57" s="406" t="s">
        <v>1302</v>
      </c>
      <c r="F57" s="406" t="s">
        <v>1302</v>
      </c>
      <c r="G57" s="565">
        <v>38</v>
      </c>
      <c r="H57" s="571">
        <v>9743.48</v>
      </c>
      <c r="I57" s="172"/>
      <c r="J57" s="172"/>
      <c r="K57" s="402">
        <f>H57</f>
        <v>9743.48</v>
      </c>
      <c r="L57" s="575">
        <f t="shared" si="5"/>
        <v>0</v>
      </c>
    </row>
    <row r="58" spans="1:12">
      <c r="A58" s="382">
        <f t="shared" si="6"/>
        <v>52</v>
      </c>
      <c r="B58" s="172"/>
      <c r="C58" s="172"/>
      <c r="D58" s="224" t="s">
        <v>1117</v>
      </c>
      <c r="E58" s="406" t="s">
        <v>2252</v>
      </c>
      <c r="F58" s="406" t="s">
        <v>2268</v>
      </c>
      <c r="G58" s="565">
        <v>25</v>
      </c>
      <c r="H58" s="571">
        <v>184897</v>
      </c>
      <c r="I58" s="172"/>
      <c r="J58" s="172"/>
      <c r="K58" s="402">
        <f>H58</f>
        <v>184897</v>
      </c>
      <c r="L58" s="575">
        <f t="shared" si="5"/>
        <v>0</v>
      </c>
    </row>
    <row r="59" spans="1:12">
      <c r="A59" s="382">
        <f t="shared" si="6"/>
        <v>53</v>
      </c>
      <c r="B59" s="172"/>
      <c r="C59" s="172"/>
      <c r="D59" s="224" t="s">
        <v>1117</v>
      </c>
      <c r="E59" s="172" t="s">
        <v>1318</v>
      </c>
      <c r="F59" s="172" t="s">
        <v>2269</v>
      </c>
      <c r="G59" s="380">
        <v>20</v>
      </c>
      <c r="H59" s="571">
        <v>52003.66</v>
      </c>
      <c r="I59" s="172"/>
      <c r="J59" s="172"/>
      <c r="K59" s="172"/>
      <c r="L59" s="575">
        <f t="shared" si="5"/>
        <v>0</v>
      </c>
    </row>
    <row r="60" spans="1:12">
      <c r="A60" s="382">
        <f t="shared" si="6"/>
        <v>54</v>
      </c>
      <c r="B60" s="172"/>
      <c r="C60" s="172"/>
      <c r="D60" s="224" t="s">
        <v>1117</v>
      </c>
      <c r="E60" s="172" t="s">
        <v>2270</v>
      </c>
      <c r="F60" s="172" t="s">
        <v>2271</v>
      </c>
      <c r="G60" s="380">
        <v>28</v>
      </c>
      <c r="H60" s="571">
        <v>57220.65</v>
      </c>
      <c r="I60" s="172"/>
      <c r="J60" s="172"/>
      <c r="K60" s="172"/>
      <c r="L60" s="575">
        <f t="shared" si="5"/>
        <v>0</v>
      </c>
    </row>
    <row r="61" spans="1:12">
      <c r="A61" s="382">
        <f t="shared" si="6"/>
        <v>55</v>
      </c>
      <c r="B61" s="172"/>
      <c r="C61" s="172"/>
      <c r="D61" s="224" t="s">
        <v>1117</v>
      </c>
      <c r="E61" s="172" t="s">
        <v>1302</v>
      </c>
      <c r="F61" s="172" t="s">
        <v>1302</v>
      </c>
      <c r="G61" s="380">
        <v>38</v>
      </c>
      <c r="H61" s="571">
        <v>2241.69</v>
      </c>
      <c r="I61" s="172"/>
      <c r="J61" s="172"/>
      <c r="K61" s="172"/>
      <c r="L61" s="575">
        <f t="shared" si="5"/>
        <v>0</v>
      </c>
    </row>
    <row r="62" spans="1:12">
      <c r="A62" s="382">
        <f t="shared" si="6"/>
        <v>56</v>
      </c>
      <c r="B62" s="172"/>
      <c r="C62" s="172"/>
      <c r="D62" s="224" t="s">
        <v>1117</v>
      </c>
      <c r="E62" s="172" t="s">
        <v>1318</v>
      </c>
      <c r="F62" s="172" t="s">
        <v>2272</v>
      </c>
      <c r="G62" s="380">
        <v>20</v>
      </c>
      <c r="H62" s="570">
        <v>34669.5</v>
      </c>
      <c r="I62" s="172"/>
      <c r="J62" s="172"/>
      <c r="K62" s="172"/>
      <c r="L62" s="575">
        <f t="shared" si="5"/>
        <v>0</v>
      </c>
    </row>
    <row r="63" spans="1:12">
      <c r="A63" s="382">
        <f t="shared" si="6"/>
        <v>57</v>
      </c>
      <c r="B63" s="172"/>
      <c r="C63" s="172"/>
      <c r="D63" s="224" t="s">
        <v>1117</v>
      </c>
      <c r="E63" s="172" t="s">
        <v>1318</v>
      </c>
      <c r="F63" s="172" t="s">
        <v>2273</v>
      </c>
      <c r="G63" s="380">
        <v>20</v>
      </c>
      <c r="H63" s="570">
        <v>-34669.5</v>
      </c>
      <c r="I63" s="172"/>
      <c r="J63" s="172"/>
      <c r="K63" s="172"/>
      <c r="L63" s="575">
        <f t="shared" si="5"/>
        <v>-34669.5</v>
      </c>
    </row>
    <row r="64" spans="1:12">
      <c r="A64" s="382">
        <f t="shared" si="6"/>
        <v>58</v>
      </c>
      <c r="B64" s="172"/>
      <c r="C64" s="172"/>
      <c r="D64" s="224" t="s">
        <v>1117</v>
      </c>
      <c r="E64" s="172" t="s">
        <v>1317</v>
      </c>
      <c r="F64" s="172" t="s">
        <v>2274</v>
      </c>
      <c r="G64" s="380">
        <v>28</v>
      </c>
      <c r="H64" s="570">
        <v>38147.1</v>
      </c>
      <c r="I64" s="172"/>
      <c r="J64" s="172"/>
      <c r="K64" s="172"/>
      <c r="L64" s="575">
        <f t="shared" si="5"/>
        <v>0</v>
      </c>
    </row>
    <row r="65" spans="1:12">
      <c r="A65" s="382">
        <f t="shared" si="6"/>
        <v>59</v>
      </c>
      <c r="B65" s="172"/>
      <c r="C65" s="172"/>
      <c r="D65" s="224" t="s">
        <v>1117</v>
      </c>
      <c r="E65" s="172" t="s">
        <v>1317</v>
      </c>
      <c r="F65" s="172" t="s">
        <v>2274</v>
      </c>
      <c r="G65" s="380">
        <v>28</v>
      </c>
      <c r="H65" s="570">
        <v>-38147.1</v>
      </c>
      <c r="I65" s="172"/>
      <c r="J65" s="172"/>
      <c r="K65" s="172"/>
      <c r="L65" s="575">
        <f t="shared" si="5"/>
        <v>-38147.1</v>
      </c>
    </row>
    <row r="66" spans="1:12">
      <c r="A66" s="382">
        <f t="shared" si="6"/>
        <v>60</v>
      </c>
      <c r="B66" s="172"/>
      <c r="C66" s="172"/>
      <c r="D66" s="224" t="s">
        <v>1117</v>
      </c>
      <c r="E66" s="172" t="s">
        <v>1302</v>
      </c>
      <c r="F66" s="172" t="s">
        <v>1302</v>
      </c>
      <c r="G66" s="380">
        <v>38</v>
      </c>
      <c r="H66" s="571">
        <v>736.04</v>
      </c>
      <c r="I66" s="172"/>
      <c r="J66" s="172"/>
      <c r="K66" s="172"/>
      <c r="L66" s="575">
        <f t="shared" si="5"/>
        <v>0</v>
      </c>
    </row>
    <row r="67" spans="1:12">
      <c r="A67" s="382">
        <f t="shared" si="6"/>
        <v>61</v>
      </c>
      <c r="B67" s="172"/>
      <c r="C67" s="172"/>
      <c r="D67" s="224" t="s">
        <v>1117</v>
      </c>
      <c r="E67" s="172" t="s">
        <v>2275</v>
      </c>
      <c r="F67" s="172" t="s">
        <v>2276</v>
      </c>
      <c r="G67" s="380">
        <v>31</v>
      </c>
      <c r="H67" s="571">
        <v>35862.9</v>
      </c>
      <c r="I67" s="172"/>
      <c r="J67" s="172"/>
      <c r="K67" s="172"/>
      <c r="L67" s="575">
        <f t="shared" si="5"/>
        <v>0</v>
      </c>
    </row>
    <row r="68" spans="1:12">
      <c r="A68" s="382">
        <f t="shared" si="6"/>
        <v>62</v>
      </c>
      <c r="B68" s="172"/>
      <c r="C68" s="172"/>
      <c r="D68" s="224" t="s">
        <v>1117</v>
      </c>
      <c r="E68" s="172" t="s">
        <v>2275</v>
      </c>
      <c r="F68" s="172" t="s">
        <v>2276</v>
      </c>
      <c r="G68" s="380">
        <v>31</v>
      </c>
      <c r="H68" s="570">
        <v>23908.44</v>
      </c>
      <c r="I68" s="172"/>
      <c r="J68" s="172"/>
      <c r="K68" s="172"/>
      <c r="L68" s="575">
        <f t="shared" si="5"/>
        <v>0</v>
      </c>
    </row>
    <row r="69" spans="1:12">
      <c r="A69" s="382">
        <f t="shared" si="6"/>
        <v>63</v>
      </c>
      <c r="B69" s="172"/>
      <c r="C69" s="172"/>
      <c r="D69" s="224" t="s">
        <v>1117</v>
      </c>
      <c r="E69" s="172" t="s">
        <v>2275</v>
      </c>
      <c r="F69" s="172" t="s">
        <v>2277</v>
      </c>
      <c r="G69" s="380">
        <v>31</v>
      </c>
      <c r="H69" s="570">
        <v>-23908.44</v>
      </c>
      <c r="I69" s="172"/>
      <c r="J69" s="172"/>
      <c r="K69" s="172"/>
      <c r="L69" s="575">
        <f t="shared" si="5"/>
        <v>-23908.44</v>
      </c>
    </row>
    <row r="70" spans="1:12">
      <c r="A70" s="382">
        <f t="shared" si="6"/>
        <v>64</v>
      </c>
      <c r="B70" s="172"/>
      <c r="C70" s="172"/>
      <c r="D70" s="224" t="s">
        <v>1117</v>
      </c>
      <c r="E70" s="172" t="s">
        <v>1302</v>
      </c>
      <c r="F70" s="172" t="s">
        <v>1302</v>
      </c>
      <c r="G70" s="380">
        <v>38</v>
      </c>
      <c r="H70" s="571">
        <v>1267.5999999999999</v>
      </c>
      <c r="I70" s="172"/>
      <c r="J70" s="172"/>
      <c r="K70" s="172"/>
      <c r="L70" s="575">
        <f t="shared" si="5"/>
        <v>0</v>
      </c>
    </row>
    <row r="71" spans="1:12">
      <c r="A71" s="382">
        <f t="shared" si="6"/>
        <v>65</v>
      </c>
      <c r="B71" s="172"/>
      <c r="C71" s="172"/>
      <c r="D71" s="224" t="s">
        <v>1117</v>
      </c>
      <c r="E71" s="172" t="s">
        <v>2262</v>
      </c>
      <c r="F71" s="172" t="s">
        <v>2278</v>
      </c>
      <c r="G71" s="380">
        <v>15</v>
      </c>
      <c r="H71" s="571">
        <v>61533.02</v>
      </c>
      <c r="I71" s="172"/>
      <c r="J71" s="172"/>
      <c r="K71" s="172"/>
      <c r="L71" s="575">
        <f t="shared" si="5"/>
        <v>0</v>
      </c>
    </row>
    <row r="72" spans="1:12">
      <c r="A72" s="382">
        <f t="shared" si="6"/>
        <v>66</v>
      </c>
      <c r="B72" s="172"/>
      <c r="C72" s="172"/>
      <c r="D72" s="224" t="s">
        <v>1117</v>
      </c>
      <c r="E72" s="172" t="s">
        <v>2262</v>
      </c>
      <c r="F72" s="172" t="s">
        <v>2278</v>
      </c>
      <c r="G72" s="380">
        <v>15</v>
      </c>
      <c r="H72" s="570">
        <v>36186.61</v>
      </c>
      <c r="I72" s="172"/>
      <c r="J72" s="172"/>
      <c r="K72" s="172"/>
      <c r="L72" s="575">
        <f t="shared" si="5"/>
        <v>0</v>
      </c>
    </row>
    <row r="73" spans="1:12">
      <c r="A73" s="382">
        <f t="shared" si="6"/>
        <v>67</v>
      </c>
      <c r="B73" s="172"/>
      <c r="C73" s="172"/>
      <c r="D73" s="224" t="s">
        <v>1117</v>
      </c>
      <c r="E73" s="172" t="s">
        <v>2262</v>
      </c>
      <c r="F73" s="172" t="s">
        <v>2279</v>
      </c>
      <c r="G73" s="380">
        <v>15</v>
      </c>
      <c r="H73" s="570">
        <v>-36186.61</v>
      </c>
      <c r="I73" s="172"/>
      <c r="J73" s="172"/>
      <c r="K73" s="172"/>
      <c r="L73" s="575">
        <f t="shared" si="5"/>
        <v>-36186.61</v>
      </c>
    </row>
    <row r="74" spans="1:12">
      <c r="A74" s="382">
        <f t="shared" si="6"/>
        <v>68</v>
      </c>
      <c r="B74" s="172"/>
      <c r="C74" s="172"/>
      <c r="D74" s="224" t="s">
        <v>1117</v>
      </c>
      <c r="E74" s="406" t="s">
        <v>2252</v>
      </c>
      <c r="F74" s="406" t="s">
        <v>2280</v>
      </c>
      <c r="G74" s="565">
        <v>25</v>
      </c>
      <c r="H74" s="570">
        <v>111173.25</v>
      </c>
      <c r="I74" s="172"/>
      <c r="J74" s="172"/>
      <c r="K74" s="402"/>
      <c r="L74" s="575">
        <f t="shared" si="5"/>
        <v>0</v>
      </c>
    </row>
    <row r="75" spans="1:12">
      <c r="A75" s="382">
        <f t="shared" si="6"/>
        <v>69</v>
      </c>
      <c r="B75" s="172"/>
      <c r="C75" s="172"/>
      <c r="D75" s="224" t="s">
        <v>1117</v>
      </c>
      <c r="E75" s="406" t="s">
        <v>2252</v>
      </c>
      <c r="F75" s="406" t="s">
        <v>2281</v>
      </c>
      <c r="G75" s="565">
        <v>25</v>
      </c>
      <c r="H75" s="570">
        <v>-111173.25</v>
      </c>
      <c r="I75" s="172"/>
      <c r="J75" s="172"/>
      <c r="K75" s="402"/>
      <c r="L75" s="575">
        <f t="shared" si="5"/>
        <v>-111173.25</v>
      </c>
    </row>
    <row r="76" spans="1:12">
      <c r="A76" s="382">
        <f t="shared" si="6"/>
        <v>70</v>
      </c>
      <c r="B76" s="172"/>
      <c r="C76" s="172"/>
      <c r="D76" s="224" t="s">
        <v>1117</v>
      </c>
      <c r="E76" s="406" t="s">
        <v>2252</v>
      </c>
      <c r="F76" s="406" t="s">
        <v>2282</v>
      </c>
      <c r="G76" s="565">
        <v>25</v>
      </c>
      <c r="H76" s="571">
        <v>166759.75</v>
      </c>
      <c r="I76" s="172"/>
      <c r="J76" s="172"/>
      <c r="K76" s="402">
        <f t="shared" ref="K76:K81" si="7">H76</f>
        <v>166759.75</v>
      </c>
      <c r="L76" s="575">
        <f t="shared" si="5"/>
        <v>0</v>
      </c>
    </row>
    <row r="77" spans="1:12">
      <c r="A77" s="382">
        <f t="shared" si="6"/>
        <v>71</v>
      </c>
      <c r="B77" s="172"/>
      <c r="C77" s="172"/>
      <c r="D77" s="224" t="s">
        <v>1117</v>
      </c>
      <c r="E77" s="406" t="s">
        <v>1302</v>
      </c>
      <c r="F77" s="406" t="s">
        <v>1302</v>
      </c>
      <c r="G77" s="565">
        <v>38</v>
      </c>
      <c r="H77" s="571">
        <v>11213.72</v>
      </c>
      <c r="I77" s="172"/>
      <c r="J77" s="172"/>
      <c r="K77" s="402">
        <f t="shared" si="7"/>
        <v>11213.72</v>
      </c>
      <c r="L77" s="575">
        <f t="shared" si="5"/>
        <v>0</v>
      </c>
    </row>
    <row r="78" spans="1:12">
      <c r="A78" s="382">
        <f t="shared" si="6"/>
        <v>72</v>
      </c>
      <c r="B78" s="172"/>
      <c r="C78" s="172"/>
      <c r="D78" s="224" t="s">
        <v>1117</v>
      </c>
      <c r="E78" s="406" t="s">
        <v>2252</v>
      </c>
      <c r="F78" s="406" t="s">
        <v>2283</v>
      </c>
      <c r="G78" s="565">
        <v>25</v>
      </c>
      <c r="H78" s="571">
        <v>136235.35999999999</v>
      </c>
      <c r="I78" s="172"/>
      <c r="J78" s="172"/>
      <c r="K78" s="402">
        <f t="shared" si="7"/>
        <v>136235.35999999999</v>
      </c>
      <c r="L78" s="575">
        <f t="shared" si="5"/>
        <v>0</v>
      </c>
    </row>
    <row r="79" spans="1:12">
      <c r="A79" s="382">
        <f t="shared" si="6"/>
        <v>73</v>
      </c>
      <c r="B79" s="172"/>
      <c r="C79" s="172"/>
      <c r="D79" s="224" t="s">
        <v>1117</v>
      </c>
      <c r="E79" s="406" t="s">
        <v>1302</v>
      </c>
      <c r="F79" s="406" t="s">
        <v>1302</v>
      </c>
      <c r="G79" s="565">
        <v>38</v>
      </c>
      <c r="H79" s="571">
        <v>8445.73</v>
      </c>
      <c r="I79" s="172"/>
      <c r="J79" s="172"/>
      <c r="K79" s="402">
        <f t="shared" si="7"/>
        <v>8445.73</v>
      </c>
      <c r="L79" s="575">
        <f t="shared" si="5"/>
        <v>0</v>
      </c>
    </row>
    <row r="80" spans="1:12">
      <c r="A80" s="382">
        <f t="shared" si="6"/>
        <v>74</v>
      </c>
      <c r="B80" s="172"/>
      <c r="C80" s="172"/>
      <c r="D80" s="224" t="s">
        <v>1117</v>
      </c>
      <c r="E80" s="406" t="s">
        <v>1302</v>
      </c>
      <c r="F80" s="406" t="s">
        <v>1302</v>
      </c>
      <c r="G80" s="565">
        <v>38</v>
      </c>
      <c r="H80" s="571">
        <v>2950.26</v>
      </c>
      <c r="I80" s="172"/>
      <c r="J80" s="172"/>
      <c r="K80" s="402">
        <f t="shared" si="7"/>
        <v>2950.26</v>
      </c>
      <c r="L80" s="575">
        <f t="shared" si="5"/>
        <v>0</v>
      </c>
    </row>
    <row r="81" spans="1:12">
      <c r="A81" s="382">
        <f t="shared" si="6"/>
        <v>75</v>
      </c>
      <c r="B81" s="172"/>
      <c r="C81" s="172"/>
      <c r="D81" s="224" t="s">
        <v>1117</v>
      </c>
      <c r="E81" s="406" t="s">
        <v>2252</v>
      </c>
      <c r="F81" s="406" t="s">
        <v>2284</v>
      </c>
      <c r="G81" s="565">
        <v>25</v>
      </c>
      <c r="H81" s="571">
        <v>175193.68</v>
      </c>
      <c r="I81" s="172"/>
      <c r="J81" s="172"/>
      <c r="K81" s="402">
        <f t="shared" si="7"/>
        <v>175193.68</v>
      </c>
      <c r="L81" s="575">
        <f t="shared" si="5"/>
        <v>0</v>
      </c>
    </row>
    <row r="82" spans="1:12">
      <c r="A82" s="382">
        <f t="shared" si="6"/>
        <v>76</v>
      </c>
      <c r="B82" s="172"/>
      <c r="C82" s="172"/>
      <c r="D82" s="224" t="s">
        <v>1117</v>
      </c>
      <c r="E82" s="406" t="s">
        <v>2252</v>
      </c>
      <c r="F82" s="406" t="s">
        <v>2285</v>
      </c>
      <c r="G82" s="565">
        <v>25</v>
      </c>
      <c r="H82" s="570">
        <v>116795.96</v>
      </c>
      <c r="I82" s="172"/>
      <c r="J82" s="172"/>
      <c r="K82" s="402"/>
      <c r="L82" s="575">
        <f t="shared" si="5"/>
        <v>0</v>
      </c>
    </row>
    <row r="83" spans="1:12">
      <c r="A83" s="382">
        <f t="shared" si="6"/>
        <v>77</v>
      </c>
      <c r="B83" s="172"/>
      <c r="C83" s="172"/>
      <c r="D83" s="224" t="s">
        <v>1117</v>
      </c>
      <c r="E83" s="406" t="s">
        <v>2252</v>
      </c>
      <c r="F83" s="406" t="s">
        <v>2286</v>
      </c>
      <c r="G83" s="565">
        <v>25</v>
      </c>
      <c r="H83" s="570">
        <v>-116795.96</v>
      </c>
      <c r="I83" s="172"/>
      <c r="J83" s="172"/>
      <c r="K83" s="402"/>
      <c r="L83" s="575">
        <f t="shared" si="5"/>
        <v>-116795.96</v>
      </c>
    </row>
    <row r="84" spans="1:12">
      <c r="A84" s="382">
        <f t="shared" si="6"/>
        <v>78</v>
      </c>
      <c r="B84" s="172"/>
      <c r="C84" s="172"/>
      <c r="D84" s="224" t="s">
        <v>1117</v>
      </c>
      <c r="E84" s="406" t="s">
        <v>2252</v>
      </c>
      <c r="F84" s="406" t="s">
        <v>2287</v>
      </c>
      <c r="G84" s="565">
        <v>25</v>
      </c>
      <c r="H84" s="570">
        <v>90823.64</v>
      </c>
      <c r="I84" s="172"/>
      <c r="J84" s="172"/>
      <c r="K84" s="402"/>
      <c r="L84" s="575">
        <f t="shared" si="5"/>
        <v>0</v>
      </c>
    </row>
    <row r="85" spans="1:12">
      <c r="A85" s="382">
        <f t="shared" si="6"/>
        <v>79</v>
      </c>
      <c r="B85" s="172"/>
      <c r="C85" s="172"/>
      <c r="D85" s="224" t="s">
        <v>1117</v>
      </c>
      <c r="E85" s="406" t="s">
        <v>2252</v>
      </c>
      <c r="F85" s="406" t="s">
        <v>2288</v>
      </c>
      <c r="G85" s="565">
        <v>25</v>
      </c>
      <c r="H85" s="570">
        <v>-90823.64</v>
      </c>
      <c r="I85" s="172"/>
      <c r="J85" s="172"/>
      <c r="K85" s="402"/>
      <c r="L85" s="575">
        <f t="shared" si="5"/>
        <v>-90823.64</v>
      </c>
    </row>
    <row r="86" spans="1:12">
      <c r="A86" s="382">
        <f t="shared" si="6"/>
        <v>80</v>
      </c>
      <c r="B86" s="172"/>
      <c r="C86" s="172"/>
      <c r="D86" s="224" t="s">
        <v>1117</v>
      </c>
      <c r="E86" s="172" t="s">
        <v>2289</v>
      </c>
      <c r="F86" s="172" t="s">
        <v>2290</v>
      </c>
      <c r="G86" s="380">
        <v>15</v>
      </c>
      <c r="H86" s="571">
        <v>36596.839999999997</v>
      </c>
      <c r="I86" s="172"/>
      <c r="J86" s="172"/>
      <c r="K86" s="172"/>
      <c r="L86" s="575">
        <f t="shared" si="5"/>
        <v>0</v>
      </c>
    </row>
    <row r="87" spans="1:12">
      <c r="A87" s="382">
        <f t="shared" si="6"/>
        <v>81</v>
      </c>
      <c r="B87" s="172"/>
      <c r="C87" s="172"/>
      <c r="D87" s="224" t="s">
        <v>1117</v>
      </c>
      <c r="E87" s="172" t="s">
        <v>2291</v>
      </c>
      <c r="F87" s="172" t="s">
        <v>2292</v>
      </c>
      <c r="G87" s="380">
        <v>20</v>
      </c>
      <c r="H87" s="571">
        <v>18334.419999999998</v>
      </c>
      <c r="I87" s="172"/>
      <c r="J87" s="172"/>
      <c r="K87" s="172"/>
      <c r="L87" s="575">
        <f t="shared" si="5"/>
        <v>0</v>
      </c>
    </row>
    <row r="88" spans="1:12">
      <c r="A88" s="382">
        <f t="shared" si="6"/>
        <v>82</v>
      </c>
      <c r="B88" s="172"/>
      <c r="C88" s="172"/>
      <c r="D88" s="224" t="s">
        <v>1117</v>
      </c>
      <c r="E88" s="172" t="s">
        <v>1302</v>
      </c>
      <c r="F88" s="172" t="s">
        <v>1302</v>
      </c>
      <c r="G88" s="380">
        <v>38</v>
      </c>
      <c r="H88" s="571">
        <v>2004.91</v>
      </c>
      <c r="I88" s="172"/>
      <c r="J88" s="172"/>
      <c r="K88" s="172"/>
      <c r="L88" s="575">
        <f t="shared" si="5"/>
        <v>0</v>
      </c>
    </row>
    <row r="89" spans="1:12">
      <c r="A89" s="382">
        <f t="shared" si="6"/>
        <v>83</v>
      </c>
      <c r="B89" s="172"/>
      <c r="C89" s="172"/>
      <c r="D89" s="224" t="s">
        <v>1117</v>
      </c>
      <c r="E89" s="172" t="s">
        <v>2289</v>
      </c>
      <c r="F89" s="556" t="s">
        <v>2293</v>
      </c>
      <c r="G89" s="380">
        <v>15</v>
      </c>
      <c r="H89" s="570">
        <v>23525.83</v>
      </c>
      <c r="I89" s="172"/>
      <c r="J89" s="172"/>
      <c r="K89" s="172"/>
      <c r="L89" s="575">
        <f t="shared" si="5"/>
        <v>0</v>
      </c>
    </row>
    <row r="90" spans="1:12">
      <c r="A90" s="382">
        <f t="shared" si="6"/>
        <v>84</v>
      </c>
      <c r="B90" s="172"/>
      <c r="C90" s="172"/>
      <c r="D90" s="224" t="s">
        <v>1117</v>
      </c>
      <c r="E90" s="172" t="s">
        <v>2289</v>
      </c>
      <c r="F90" s="556" t="s">
        <v>2294</v>
      </c>
      <c r="G90" s="380">
        <v>15</v>
      </c>
      <c r="H90" s="570">
        <v>-23525.83</v>
      </c>
      <c r="I90" s="172"/>
      <c r="J90" s="172"/>
      <c r="K90" s="172"/>
      <c r="L90" s="575">
        <f t="shared" si="5"/>
        <v>-23525.83</v>
      </c>
    </row>
    <row r="91" spans="1:12">
      <c r="A91" s="382">
        <f t="shared" si="6"/>
        <v>85</v>
      </c>
      <c r="B91" s="172"/>
      <c r="C91" s="172"/>
      <c r="D91" s="224" t="s">
        <v>1117</v>
      </c>
      <c r="E91" s="172" t="s">
        <v>2291</v>
      </c>
      <c r="F91" s="556" t="s">
        <v>2295</v>
      </c>
      <c r="G91" s="380">
        <v>20</v>
      </c>
      <c r="H91" s="570">
        <v>12223.28</v>
      </c>
      <c r="I91" s="172"/>
      <c r="J91" s="172"/>
      <c r="K91" s="172"/>
      <c r="L91" s="575">
        <f t="shared" si="5"/>
        <v>0</v>
      </c>
    </row>
    <row r="92" spans="1:12">
      <c r="A92" s="382">
        <f t="shared" si="6"/>
        <v>86</v>
      </c>
      <c r="B92" s="172"/>
      <c r="C92" s="172"/>
      <c r="D92" s="224" t="s">
        <v>1117</v>
      </c>
      <c r="E92" s="172" t="s">
        <v>2291</v>
      </c>
      <c r="F92" s="556" t="s">
        <v>2296</v>
      </c>
      <c r="G92" s="380">
        <v>20</v>
      </c>
      <c r="H92" s="570">
        <v>-12223.28</v>
      </c>
      <c r="I92" s="172"/>
      <c r="J92" s="172"/>
      <c r="K92" s="172"/>
      <c r="L92" s="575">
        <f t="shared" si="5"/>
        <v>-12223.28</v>
      </c>
    </row>
    <row r="93" spans="1:12">
      <c r="A93" s="382">
        <f t="shared" si="6"/>
        <v>87</v>
      </c>
      <c r="B93" s="172"/>
      <c r="C93" s="172"/>
      <c r="D93" s="224" t="s">
        <v>1117</v>
      </c>
      <c r="E93" s="172" t="s">
        <v>2297</v>
      </c>
      <c r="F93" s="172" t="s">
        <v>2298</v>
      </c>
      <c r="G93" s="380">
        <v>10</v>
      </c>
      <c r="H93" s="571">
        <v>47121.32</v>
      </c>
      <c r="I93" s="172"/>
      <c r="J93" s="172"/>
      <c r="K93" s="172"/>
      <c r="L93" s="575">
        <f t="shared" si="5"/>
        <v>0</v>
      </c>
    </row>
    <row r="94" spans="1:12">
      <c r="A94" s="382">
        <f t="shared" si="6"/>
        <v>88</v>
      </c>
      <c r="B94" s="172"/>
      <c r="C94" s="172"/>
      <c r="D94" s="224" t="s">
        <v>1117</v>
      </c>
      <c r="E94" s="172" t="s">
        <v>1302</v>
      </c>
      <c r="F94" s="172" t="s">
        <v>1302</v>
      </c>
      <c r="G94" s="380">
        <v>38</v>
      </c>
      <c r="H94" s="571">
        <v>3098.92</v>
      </c>
      <c r="I94" s="172"/>
      <c r="J94" s="172"/>
      <c r="K94" s="172"/>
      <c r="L94" s="575">
        <f t="shared" si="5"/>
        <v>0</v>
      </c>
    </row>
    <row r="95" spans="1:12">
      <c r="A95" s="382">
        <f t="shared" si="6"/>
        <v>89</v>
      </c>
      <c r="B95" s="172"/>
      <c r="C95" s="172"/>
      <c r="D95" s="224" t="s">
        <v>1117</v>
      </c>
      <c r="E95" s="172" t="s">
        <v>2297</v>
      </c>
      <c r="F95" s="556" t="s">
        <v>2299</v>
      </c>
      <c r="G95" s="380">
        <v>10</v>
      </c>
      <c r="H95" s="570">
        <v>31414.02</v>
      </c>
      <c r="I95" s="172"/>
      <c r="J95" s="172"/>
      <c r="K95" s="172"/>
      <c r="L95" s="575">
        <f t="shared" si="5"/>
        <v>0</v>
      </c>
    </row>
    <row r="96" spans="1:12">
      <c r="A96" s="382">
        <f t="shared" si="6"/>
        <v>90</v>
      </c>
      <c r="B96" s="172"/>
      <c r="C96" s="172"/>
      <c r="D96" s="224" t="s">
        <v>1117</v>
      </c>
      <c r="E96" s="172" t="s">
        <v>2297</v>
      </c>
      <c r="F96" s="556" t="s">
        <v>2300</v>
      </c>
      <c r="G96" s="380">
        <v>10</v>
      </c>
      <c r="H96" s="570">
        <v>-31414.02</v>
      </c>
      <c r="I96" s="172"/>
      <c r="J96" s="172"/>
      <c r="K96" s="172"/>
      <c r="L96" s="575">
        <f t="shared" si="5"/>
        <v>-31414.02</v>
      </c>
    </row>
    <row r="97" spans="1:12">
      <c r="A97" s="382">
        <f t="shared" si="6"/>
        <v>91</v>
      </c>
      <c r="B97" s="172"/>
      <c r="C97" s="172"/>
      <c r="D97" s="224" t="s">
        <v>1117</v>
      </c>
      <c r="E97" s="407" t="s">
        <v>2301</v>
      </c>
      <c r="F97" s="407" t="s">
        <v>2302</v>
      </c>
      <c r="G97" s="566">
        <v>40</v>
      </c>
      <c r="H97" s="571">
        <v>212966.48</v>
      </c>
      <c r="I97" s="172"/>
      <c r="J97" s="402">
        <f>H97</f>
        <v>212966.48</v>
      </c>
      <c r="K97" s="172"/>
      <c r="L97" s="575">
        <f t="shared" ref="L97:L160" si="8">IF(H97&lt;0,H97,0)</f>
        <v>0</v>
      </c>
    </row>
    <row r="98" spans="1:12">
      <c r="A98" s="382">
        <f t="shared" si="6"/>
        <v>92</v>
      </c>
      <c r="B98" s="172"/>
      <c r="C98" s="172"/>
      <c r="D98" s="224" t="s">
        <v>1117</v>
      </c>
      <c r="E98" s="407" t="s">
        <v>1302</v>
      </c>
      <c r="F98" s="407" t="s">
        <v>1302</v>
      </c>
      <c r="G98" s="566">
        <v>38</v>
      </c>
      <c r="H98" s="571">
        <v>3902.93</v>
      </c>
      <c r="I98" s="172"/>
      <c r="J98" s="402">
        <f>H98</f>
        <v>3902.93</v>
      </c>
      <c r="K98" s="172"/>
      <c r="L98" s="575">
        <f t="shared" si="8"/>
        <v>0</v>
      </c>
    </row>
    <row r="99" spans="1:12">
      <c r="A99" s="382">
        <f t="shared" si="6"/>
        <v>93</v>
      </c>
      <c r="B99" s="172"/>
      <c r="C99" s="172"/>
      <c r="D99" s="224" t="s">
        <v>1117</v>
      </c>
      <c r="E99" s="407" t="s">
        <v>2301</v>
      </c>
      <c r="F99" s="407" t="s">
        <v>2303</v>
      </c>
      <c r="G99" s="566">
        <v>40</v>
      </c>
      <c r="H99" s="570">
        <v>141977.70000000001</v>
      </c>
      <c r="I99" s="172"/>
      <c r="J99" s="402"/>
      <c r="K99" s="172"/>
      <c r="L99" s="575">
        <f t="shared" si="8"/>
        <v>0</v>
      </c>
    </row>
    <row r="100" spans="1:12">
      <c r="A100" s="382">
        <f t="shared" si="6"/>
        <v>94</v>
      </c>
      <c r="B100" s="172"/>
      <c r="C100" s="172"/>
      <c r="D100" s="224" t="s">
        <v>1117</v>
      </c>
      <c r="E100" s="407" t="s">
        <v>2301</v>
      </c>
      <c r="F100" s="407" t="s">
        <v>2304</v>
      </c>
      <c r="G100" s="566">
        <v>40</v>
      </c>
      <c r="H100" s="570">
        <v>-141977.70000000001</v>
      </c>
      <c r="I100" s="172"/>
      <c r="J100" s="402"/>
      <c r="K100" s="172"/>
      <c r="L100" s="575">
        <f t="shared" si="8"/>
        <v>-141977.70000000001</v>
      </c>
    </row>
    <row r="101" spans="1:12">
      <c r="A101" s="382">
        <f t="shared" si="6"/>
        <v>95</v>
      </c>
      <c r="B101" s="172"/>
      <c r="C101" s="172"/>
      <c r="D101" s="224" t="s">
        <v>1117</v>
      </c>
      <c r="E101" s="407" t="s">
        <v>1302</v>
      </c>
      <c r="F101" s="407" t="s">
        <v>1302</v>
      </c>
      <c r="G101" s="566">
        <v>38</v>
      </c>
      <c r="H101" s="571">
        <v>7163.1</v>
      </c>
      <c r="I101" s="172"/>
      <c r="J101" s="402">
        <f>H101</f>
        <v>7163.1</v>
      </c>
      <c r="K101" s="172"/>
      <c r="L101" s="575">
        <f t="shared" si="8"/>
        <v>0</v>
      </c>
    </row>
    <row r="102" spans="1:12">
      <c r="A102" s="382">
        <f t="shared" si="6"/>
        <v>96</v>
      </c>
      <c r="B102" s="172"/>
      <c r="C102" s="172"/>
      <c r="D102" s="224" t="s">
        <v>1117</v>
      </c>
      <c r="E102" s="406" t="s">
        <v>2252</v>
      </c>
      <c r="F102" s="579" t="s">
        <v>2366</v>
      </c>
      <c r="G102" s="565">
        <v>25</v>
      </c>
      <c r="H102" s="571">
        <v>149048.01999999999</v>
      </c>
      <c r="I102" s="172"/>
      <c r="J102" s="172"/>
      <c r="K102" s="402">
        <f>H102</f>
        <v>149048.01999999999</v>
      </c>
      <c r="L102" s="575">
        <f t="shared" si="8"/>
        <v>0</v>
      </c>
    </row>
    <row r="103" spans="1:12">
      <c r="A103" s="382">
        <f t="shared" si="6"/>
        <v>97</v>
      </c>
      <c r="B103" s="172"/>
      <c r="C103" s="172"/>
      <c r="D103" s="224" t="s">
        <v>1117</v>
      </c>
      <c r="E103" s="406" t="s">
        <v>2252</v>
      </c>
      <c r="F103" s="579" t="s">
        <v>2367</v>
      </c>
      <c r="G103" s="565">
        <v>25</v>
      </c>
      <c r="H103" s="570">
        <v>99366.96</v>
      </c>
      <c r="I103" s="172"/>
      <c r="J103" s="172"/>
      <c r="K103" s="402"/>
      <c r="L103" s="575">
        <f t="shared" si="8"/>
        <v>0</v>
      </c>
    </row>
    <row r="104" spans="1:12">
      <c r="A104" s="382">
        <f t="shared" si="6"/>
        <v>98</v>
      </c>
      <c r="B104" s="172"/>
      <c r="C104" s="172"/>
      <c r="D104" s="224" t="s">
        <v>1117</v>
      </c>
      <c r="E104" s="406" t="s">
        <v>2252</v>
      </c>
      <c r="F104" s="579" t="s">
        <v>2368</v>
      </c>
      <c r="G104" s="565">
        <v>25</v>
      </c>
      <c r="H104" s="570">
        <v>-99366.96</v>
      </c>
      <c r="I104" s="172"/>
      <c r="J104" s="172"/>
      <c r="K104" s="402"/>
      <c r="L104" s="575">
        <f t="shared" si="8"/>
        <v>-99366.96</v>
      </c>
    </row>
    <row r="105" spans="1:12">
      <c r="A105" s="382">
        <f t="shared" si="6"/>
        <v>99</v>
      </c>
      <c r="B105" s="172"/>
      <c r="C105" s="172"/>
      <c r="D105" s="224" t="s">
        <v>1117</v>
      </c>
      <c r="E105" s="407" t="s">
        <v>2301</v>
      </c>
      <c r="F105" s="407" t="s">
        <v>2305</v>
      </c>
      <c r="G105" s="566">
        <v>40</v>
      </c>
      <c r="H105" s="570">
        <v>-155895.28</v>
      </c>
      <c r="I105" s="402"/>
      <c r="J105" s="172"/>
      <c r="K105" s="172"/>
      <c r="L105" s="575">
        <f t="shared" si="8"/>
        <v>-155895.28</v>
      </c>
    </row>
    <row r="106" spans="1:12">
      <c r="A106" s="382">
        <f t="shared" si="6"/>
        <v>100</v>
      </c>
      <c r="B106" s="172"/>
      <c r="C106" s="172"/>
      <c r="D106" s="224" t="s">
        <v>1117</v>
      </c>
      <c r="E106" s="407" t="s">
        <v>2301</v>
      </c>
      <c r="F106" s="407" t="s">
        <v>2306</v>
      </c>
      <c r="G106" s="566">
        <v>40</v>
      </c>
      <c r="H106" s="571">
        <v>233841.96</v>
      </c>
      <c r="I106" s="402">
        <f>H106</f>
        <v>233841.96</v>
      </c>
      <c r="J106" s="172"/>
      <c r="K106" s="172"/>
      <c r="L106" s="575">
        <f t="shared" si="8"/>
        <v>0</v>
      </c>
    </row>
    <row r="107" spans="1:12">
      <c r="A107" s="382">
        <f t="shared" si="6"/>
        <v>101</v>
      </c>
      <c r="B107" s="172"/>
      <c r="C107" s="172"/>
      <c r="D107" s="224" t="s">
        <v>1117</v>
      </c>
      <c r="E107" s="407" t="s">
        <v>1302</v>
      </c>
      <c r="F107" s="407" t="s">
        <v>1302</v>
      </c>
      <c r="G107" s="566">
        <v>38</v>
      </c>
      <c r="H107" s="571">
        <v>2953.42</v>
      </c>
      <c r="I107" s="402">
        <f>H107</f>
        <v>2953.42</v>
      </c>
      <c r="J107" s="172"/>
      <c r="K107" s="172"/>
      <c r="L107" s="575">
        <f t="shared" si="8"/>
        <v>0</v>
      </c>
    </row>
    <row r="108" spans="1:12">
      <c r="A108" s="382">
        <f t="shared" ref="A108:A171" si="9">A107+1</f>
        <v>102</v>
      </c>
      <c r="B108" s="172"/>
      <c r="C108" s="172"/>
      <c r="D108" s="224" t="s">
        <v>1117</v>
      </c>
      <c r="E108" s="407" t="s">
        <v>2301</v>
      </c>
      <c r="F108" s="407" t="s">
        <v>2307</v>
      </c>
      <c r="G108" s="566">
        <v>40</v>
      </c>
      <c r="H108" s="570">
        <v>155895.28</v>
      </c>
      <c r="I108" s="402"/>
      <c r="J108" s="172"/>
      <c r="K108" s="172"/>
      <c r="L108" s="575">
        <f t="shared" si="8"/>
        <v>0</v>
      </c>
    </row>
    <row r="109" spans="1:12">
      <c r="A109" s="382">
        <f t="shared" si="9"/>
        <v>103</v>
      </c>
      <c r="B109" s="172"/>
      <c r="C109" s="172"/>
      <c r="D109" s="224" t="s">
        <v>1117</v>
      </c>
      <c r="E109" s="406" t="s">
        <v>2252</v>
      </c>
      <c r="F109" s="406" t="s">
        <v>2308</v>
      </c>
      <c r="G109" s="565">
        <v>25</v>
      </c>
      <c r="H109" s="570">
        <v>108914.78</v>
      </c>
      <c r="I109" s="172"/>
      <c r="J109" s="172"/>
      <c r="K109" s="402"/>
      <c r="L109" s="575">
        <f t="shared" si="8"/>
        <v>0</v>
      </c>
    </row>
    <row r="110" spans="1:12">
      <c r="A110" s="382">
        <f t="shared" si="9"/>
        <v>104</v>
      </c>
      <c r="B110" s="172"/>
      <c r="C110" s="172"/>
      <c r="D110" s="224" t="s">
        <v>1117</v>
      </c>
      <c r="E110" s="406" t="s">
        <v>2252</v>
      </c>
      <c r="F110" s="579" t="s">
        <v>2369</v>
      </c>
      <c r="G110" s="565">
        <v>25</v>
      </c>
      <c r="H110" s="570">
        <v>-108914.78</v>
      </c>
      <c r="I110" s="172"/>
      <c r="J110" s="172"/>
      <c r="K110" s="402"/>
      <c r="L110" s="575">
        <f t="shared" si="8"/>
        <v>-108914.78</v>
      </c>
    </row>
    <row r="111" spans="1:12">
      <c r="A111" s="382">
        <f t="shared" si="9"/>
        <v>105</v>
      </c>
      <c r="B111" s="172"/>
      <c r="C111" s="172"/>
      <c r="D111" s="224" t="s">
        <v>1117</v>
      </c>
      <c r="E111" s="406" t="s">
        <v>1302</v>
      </c>
      <c r="F111" s="406" t="s">
        <v>1302</v>
      </c>
      <c r="G111" s="565">
        <v>38</v>
      </c>
      <c r="H111" s="571">
        <v>2063.39</v>
      </c>
      <c r="I111" s="172"/>
      <c r="J111" s="172"/>
      <c r="K111" s="402">
        <f>H111</f>
        <v>2063.39</v>
      </c>
      <c r="L111" s="575">
        <f t="shared" si="8"/>
        <v>0</v>
      </c>
    </row>
    <row r="112" spans="1:12">
      <c r="A112" s="382">
        <f t="shared" si="9"/>
        <v>106</v>
      </c>
      <c r="B112" s="172"/>
      <c r="C112" s="172"/>
      <c r="D112" s="224" t="s">
        <v>1117</v>
      </c>
      <c r="E112" s="406" t="s">
        <v>2252</v>
      </c>
      <c r="F112" s="406" t="s">
        <v>2309</v>
      </c>
      <c r="G112" s="565">
        <v>25</v>
      </c>
      <c r="H112" s="571">
        <v>163372.13</v>
      </c>
      <c r="I112" s="172"/>
      <c r="J112" s="172"/>
      <c r="K112" s="402">
        <f>H112</f>
        <v>163372.13</v>
      </c>
      <c r="L112" s="575">
        <f t="shared" si="8"/>
        <v>0</v>
      </c>
    </row>
    <row r="113" spans="1:12">
      <c r="A113" s="382">
        <f t="shared" si="9"/>
        <v>107</v>
      </c>
      <c r="B113" s="172"/>
      <c r="C113" s="172"/>
      <c r="D113" s="224" t="s">
        <v>1117</v>
      </c>
      <c r="E113" s="172" t="s">
        <v>2310</v>
      </c>
      <c r="F113" s="172" t="s">
        <v>2311</v>
      </c>
      <c r="G113" s="380">
        <v>28</v>
      </c>
      <c r="H113" s="571">
        <v>245700.75</v>
      </c>
      <c r="I113" s="172"/>
      <c r="J113" s="172"/>
      <c r="K113" s="172"/>
      <c r="L113" s="575">
        <f t="shared" si="8"/>
        <v>0</v>
      </c>
    </row>
    <row r="114" spans="1:12">
      <c r="A114" s="382">
        <f t="shared" si="9"/>
        <v>108</v>
      </c>
      <c r="B114" s="172"/>
      <c r="C114" s="172"/>
      <c r="D114" s="224" t="s">
        <v>1117</v>
      </c>
      <c r="E114" s="172" t="s">
        <v>1302</v>
      </c>
      <c r="F114" s="172" t="s">
        <v>1302</v>
      </c>
      <c r="G114" s="380">
        <v>38</v>
      </c>
      <c r="H114" s="571">
        <v>6505.63</v>
      </c>
      <c r="I114" s="172"/>
      <c r="J114" s="172"/>
      <c r="K114" s="172"/>
      <c r="L114" s="575">
        <f t="shared" si="8"/>
        <v>0</v>
      </c>
    </row>
    <row r="115" spans="1:12">
      <c r="A115" s="382">
        <f t="shared" si="9"/>
        <v>109</v>
      </c>
      <c r="B115" s="172"/>
      <c r="C115" s="172"/>
      <c r="D115" s="224" t="s">
        <v>1117</v>
      </c>
      <c r="E115" s="172" t="s">
        <v>2312</v>
      </c>
      <c r="F115" s="172" t="s">
        <v>2313</v>
      </c>
      <c r="G115" s="380">
        <v>28</v>
      </c>
      <c r="H115" s="571">
        <v>415589.81</v>
      </c>
      <c r="I115" s="172"/>
      <c r="J115" s="172"/>
      <c r="K115" s="172"/>
      <c r="L115" s="575">
        <f t="shared" si="8"/>
        <v>0</v>
      </c>
    </row>
    <row r="116" spans="1:12">
      <c r="A116" s="382">
        <f t="shared" si="9"/>
        <v>110</v>
      </c>
      <c r="B116" s="172"/>
      <c r="C116" s="172"/>
      <c r="D116" s="224" t="s">
        <v>1117</v>
      </c>
      <c r="E116" s="172" t="s">
        <v>1302</v>
      </c>
      <c r="F116" s="172" t="s">
        <v>1302</v>
      </c>
      <c r="G116" s="380">
        <v>38</v>
      </c>
      <c r="H116" s="571">
        <v>18109.29</v>
      </c>
      <c r="I116" s="172"/>
      <c r="J116" s="172"/>
      <c r="K116" s="172"/>
      <c r="L116" s="575">
        <f t="shared" si="8"/>
        <v>0</v>
      </c>
    </row>
    <row r="117" spans="1:12">
      <c r="A117" s="382">
        <f t="shared" si="9"/>
        <v>111</v>
      </c>
      <c r="B117" s="172"/>
      <c r="C117" s="172"/>
      <c r="D117" s="224" t="s">
        <v>1117</v>
      </c>
      <c r="E117" s="406" t="s">
        <v>2252</v>
      </c>
      <c r="F117" s="406" t="s">
        <v>2314</v>
      </c>
      <c r="G117" s="565">
        <v>25</v>
      </c>
      <c r="H117" s="571">
        <v>83712.679999999993</v>
      </c>
      <c r="I117" s="172"/>
      <c r="J117" s="172"/>
      <c r="K117" s="402">
        <f>H117</f>
        <v>83712.679999999993</v>
      </c>
      <c r="L117" s="575">
        <f t="shared" si="8"/>
        <v>0</v>
      </c>
    </row>
    <row r="118" spans="1:12">
      <c r="A118" s="382">
        <f t="shared" si="9"/>
        <v>112</v>
      </c>
      <c r="B118" s="172"/>
      <c r="C118" s="172"/>
      <c r="D118" s="224" t="s">
        <v>1117</v>
      </c>
      <c r="E118" s="406" t="s">
        <v>2252</v>
      </c>
      <c r="F118" s="406" t="s">
        <v>2315</v>
      </c>
      <c r="G118" s="565">
        <v>25</v>
      </c>
      <c r="H118" s="571">
        <v>83712.679999999993</v>
      </c>
      <c r="I118" s="172"/>
      <c r="J118" s="172"/>
      <c r="K118" s="402">
        <f>H118</f>
        <v>83712.679999999993</v>
      </c>
      <c r="L118" s="575">
        <f t="shared" si="8"/>
        <v>0</v>
      </c>
    </row>
    <row r="119" spans="1:12">
      <c r="A119" s="382">
        <f t="shared" si="9"/>
        <v>113</v>
      </c>
      <c r="B119" s="172"/>
      <c r="C119" s="172"/>
      <c r="D119" s="224" t="s">
        <v>1117</v>
      </c>
      <c r="E119" s="406" t="s">
        <v>1302</v>
      </c>
      <c r="F119" s="406" t="s">
        <v>1302</v>
      </c>
      <c r="G119" s="565">
        <v>38</v>
      </c>
      <c r="H119" s="571">
        <v>2114.58</v>
      </c>
      <c r="I119" s="172"/>
      <c r="J119" s="172"/>
      <c r="K119" s="402">
        <f>H119</f>
        <v>2114.58</v>
      </c>
      <c r="L119" s="575">
        <f t="shared" si="8"/>
        <v>0</v>
      </c>
    </row>
    <row r="120" spans="1:12">
      <c r="A120" s="382">
        <f t="shared" si="9"/>
        <v>114</v>
      </c>
      <c r="B120" s="172"/>
      <c r="C120" s="172"/>
      <c r="D120" s="224" t="s">
        <v>1117</v>
      </c>
      <c r="E120" s="172" t="s">
        <v>2310</v>
      </c>
      <c r="F120" s="556" t="s">
        <v>2316</v>
      </c>
      <c r="G120" s="380">
        <v>28</v>
      </c>
      <c r="H120" s="570">
        <v>163800.49</v>
      </c>
      <c r="I120" s="172"/>
      <c r="J120" s="172"/>
      <c r="K120" s="172"/>
      <c r="L120" s="575">
        <f t="shared" si="8"/>
        <v>0</v>
      </c>
    </row>
    <row r="121" spans="1:12">
      <c r="A121" s="382">
        <f t="shared" si="9"/>
        <v>115</v>
      </c>
      <c r="B121" s="172"/>
      <c r="C121" s="172"/>
      <c r="D121" s="224" t="s">
        <v>1117</v>
      </c>
      <c r="E121" s="172" t="s">
        <v>2310</v>
      </c>
      <c r="F121" s="556" t="s">
        <v>2317</v>
      </c>
      <c r="G121" s="380">
        <v>28</v>
      </c>
      <c r="H121" s="570">
        <v>-163800.49</v>
      </c>
      <c r="I121" s="172"/>
      <c r="J121" s="172"/>
      <c r="K121" s="172"/>
      <c r="L121" s="575">
        <f t="shared" si="8"/>
        <v>-163800.49</v>
      </c>
    </row>
    <row r="122" spans="1:12">
      <c r="A122" s="382">
        <f t="shared" si="9"/>
        <v>116</v>
      </c>
      <c r="B122" s="172"/>
      <c r="C122" s="172"/>
      <c r="D122" s="224" t="s">
        <v>1117</v>
      </c>
      <c r="E122" s="172" t="s">
        <v>2312</v>
      </c>
      <c r="F122" s="556" t="s">
        <v>2318</v>
      </c>
      <c r="G122" s="380">
        <v>28</v>
      </c>
      <c r="H122" s="570">
        <v>277059.64</v>
      </c>
      <c r="I122" s="172"/>
      <c r="J122" s="172"/>
      <c r="K122" s="172"/>
      <c r="L122" s="575">
        <f t="shared" si="8"/>
        <v>0</v>
      </c>
    </row>
    <row r="123" spans="1:12">
      <c r="A123" s="382">
        <f t="shared" si="9"/>
        <v>117</v>
      </c>
      <c r="B123" s="172"/>
      <c r="C123" s="172"/>
      <c r="D123" s="224" t="s">
        <v>1117</v>
      </c>
      <c r="E123" s="172" t="s">
        <v>2312</v>
      </c>
      <c r="F123" s="556" t="s">
        <v>2319</v>
      </c>
      <c r="G123" s="380">
        <v>28</v>
      </c>
      <c r="H123" s="570">
        <v>-277059.64</v>
      </c>
      <c r="I123" s="172"/>
      <c r="J123" s="172"/>
      <c r="K123" s="172"/>
      <c r="L123" s="575">
        <f t="shared" si="8"/>
        <v>-277059.64</v>
      </c>
    </row>
    <row r="124" spans="1:12">
      <c r="A124" s="382">
        <f t="shared" si="9"/>
        <v>118</v>
      </c>
      <c r="B124" s="172"/>
      <c r="C124" s="172"/>
      <c r="D124" s="224" t="s">
        <v>1117</v>
      </c>
      <c r="E124" s="406" t="s">
        <v>2252</v>
      </c>
      <c r="F124" s="406" t="s">
        <v>2320</v>
      </c>
      <c r="G124" s="565">
        <v>25</v>
      </c>
      <c r="H124" s="570">
        <v>55808.45</v>
      </c>
      <c r="I124" s="172"/>
      <c r="J124" s="172"/>
      <c r="K124" s="402"/>
      <c r="L124" s="575">
        <f t="shared" si="8"/>
        <v>0</v>
      </c>
    </row>
    <row r="125" spans="1:12">
      <c r="A125" s="382">
        <f t="shared" si="9"/>
        <v>119</v>
      </c>
      <c r="B125" s="172"/>
      <c r="C125" s="172"/>
      <c r="D125" s="224" t="s">
        <v>1117</v>
      </c>
      <c r="E125" s="406" t="s">
        <v>2257</v>
      </c>
      <c r="F125" s="406" t="s">
        <v>2321</v>
      </c>
      <c r="G125" s="565">
        <v>25</v>
      </c>
      <c r="H125" s="570">
        <v>-55808.45</v>
      </c>
      <c r="I125" s="172"/>
      <c r="J125" s="172"/>
      <c r="K125" s="402"/>
      <c r="L125" s="575">
        <f t="shared" si="8"/>
        <v>-55808.45</v>
      </c>
    </row>
    <row r="126" spans="1:12">
      <c r="A126" s="382">
        <f t="shared" si="9"/>
        <v>120</v>
      </c>
      <c r="B126" s="172"/>
      <c r="C126" s="172"/>
      <c r="D126" s="224" t="s">
        <v>1117</v>
      </c>
      <c r="E126" s="406" t="s">
        <v>2252</v>
      </c>
      <c r="F126" s="406" t="s">
        <v>2322</v>
      </c>
      <c r="G126" s="565">
        <v>25</v>
      </c>
      <c r="H126" s="570">
        <v>55808.45</v>
      </c>
      <c r="I126" s="172"/>
      <c r="J126" s="172"/>
      <c r="K126" s="402"/>
      <c r="L126" s="575">
        <f t="shared" si="8"/>
        <v>0</v>
      </c>
    </row>
    <row r="127" spans="1:12">
      <c r="A127" s="382">
        <f t="shared" si="9"/>
        <v>121</v>
      </c>
      <c r="B127" s="172"/>
      <c r="C127" s="172"/>
      <c r="D127" s="224" t="s">
        <v>1117</v>
      </c>
      <c r="E127" s="406" t="s">
        <v>2257</v>
      </c>
      <c r="F127" s="406" t="s">
        <v>2323</v>
      </c>
      <c r="G127" s="565">
        <v>25</v>
      </c>
      <c r="H127" s="570">
        <v>-55808.45</v>
      </c>
      <c r="I127" s="172"/>
      <c r="J127" s="172"/>
      <c r="K127" s="402"/>
      <c r="L127" s="575">
        <f t="shared" si="8"/>
        <v>-55808.45</v>
      </c>
    </row>
    <row r="128" spans="1:12">
      <c r="A128" s="382">
        <f t="shared" si="9"/>
        <v>122</v>
      </c>
      <c r="B128" s="172"/>
      <c r="C128" s="172"/>
      <c r="D128" s="224" t="s">
        <v>1117</v>
      </c>
      <c r="E128" s="172" t="s">
        <v>2324</v>
      </c>
      <c r="F128" s="172" t="s">
        <v>2325</v>
      </c>
      <c r="G128" s="380">
        <v>10</v>
      </c>
      <c r="H128" s="571">
        <v>32883.1</v>
      </c>
      <c r="I128" s="172"/>
      <c r="J128" s="172"/>
      <c r="K128" s="172"/>
      <c r="L128" s="575">
        <f t="shared" si="8"/>
        <v>0</v>
      </c>
    </row>
    <row r="129" spans="1:12">
      <c r="A129" s="382">
        <f t="shared" si="9"/>
        <v>123</v>
      </c>
      <c r="B129" s="172"/>
      <c r="C129" s="172"/>
      <c r="D129" s="224" t="s">
        <v>1117</v>
      </c>
      <c r="E129" s="172" t="s">
        <v>1302</v>
      </c>
      <c r="F129" s="172" t="s">
        <v>1302</v>
      </c>
      <c r="G129" s="380">
        <v>38</v>
      </c>
      <c r="H129" s="571">
        <v>727.97</v>
      </c>
      <c r="I129" s="172"/>
      <c r="J129" s="172"/>
      <c r="K129" s="172"/>
      <c r="L129" s="575">
        <f t="shared" si="8"/>
        <v>0</v>
      </c>
    </row>
    <row r="130" spans="1:12">
      <c r="A130" s="382">
        <f t="shared" si="9"/>
        <v>124</v>
      </c>
      <c r="B130" s="172"/>
      <c r="C130" s="172"/>
      <c r="D130" s="224" t="s">
        <v>1117</v>
      </c>
      <c r="E130" s="172" t="s">
        <v>2324</v>
      </c>
      <c r="F130" s="35" t="s">
        <v>2326</v>
      </c>
      <c r="G130" s="380">
        <v>10</v>
      </c>
      <c r="H130" s="570">
        <v>21922.13</v>
      </c>
      <c r="I130" s="172"/>
      <c r="J130" s="172"/>
      <c r="K130" s="172"/>
      <c r="L130" s="575">
        <f t="shared" si="8"/>
        <v>0</v>
      </c>
    </row>
    <row r="131" spans="1:12">
      <c r="A131" s="382">
        <f t="shared" si="9"/>
        <v>125</v>
      </c>
      <c r="B131" s="172"/>
      <c r="C131" s="172"/>
      <c r="D131" s="224" t="s">
        <v>1117</v>
      </c>
      <c r="E131" s="172" t="s">
        <v>2324</v>
      </c>
      <c r="F131" s="35" t="s">
        <v>2327</v>
      </c>
      <c r="G131" s="380">
        <v>10</v>
      </c>
      <c r="H131" s="570">
        <v>-21922.13</v>
      </c>
      <c r="I131" s="172"/>
      <c r="J131" s="172"/>
      <c r="K131" s="172"/>
      <c r="L131" s="575">
        <f t="shared" si="8"/>
        <v>-21922.13</v>
      </c>
    </row>
    <row r="132" spans="1:12">
      <c r="A132" s="382">
        <f t="shared" si="9"/>
        <v>126</v>
      </c>
      <c r="B132" s="172"/>
      <c r="C132" s="172"/>
      <c r="D132" s="224" t="s">
        <v>1117</v>
      </c>
      <c r="E132" s="172" t="s">
        <v>2328</v>
      </c>
      <c r="F132" s="172" t="s">
        <v>2329</v>
      </c>
      <c r="G132" s="380">
        <v>35</v>
      </c>
      <c r="H132" s="570">
        <v>-60049.7</v>
      </c>
      <c r="I132" s="172"/>
      <c r="J132" s="172"/>
      <c r="K132" s="172"/>
      <c r="L132" s="575">
        <f t="shared" si="8"/>
        <v>-60049.7</v>
      </c>
    </row>
    <row r="133" spans="1:12">
      <c r="A133" s="382">
        <f t="shared" si="9"/>
        <v>127</v>
      </c>
      <c r="B133" s="172"/>
      <c r="C133" s="172"/>
      <c r="D133" s="224" t="s">
        <v>1117</v>
      </c>
      <c r="E133" s="172" t="s">
        <v>2328</v>
      </c>
      <c r="F133" s="172" t="s">
        <v>2330</v>
      </c>
      <c r="G133" s="380">
        <v>35</v>
      </c>
      <c r="H133" s="571">
        <v>93331.09</v>
      </c>
      <c r="I133" s="172"/>
      <c r="J133" s="172"/>
      <c r="K133" s="172"/>
      <c r="L133" s="575">
        <f t="shared" si="8"/>
        <v>0</v>
      </c>
    </row>
    <row r="134" spans="1:12">
      <c r="A134" s="382">
        <f t="shared" si="9"/>
        <v>128</v>
      </c>
      <c r="B134" s="172"/>
      <c r="C134" s="172"/>
      <c r="D134" s="224" t="s">
        <v>1117</v>
      </c>
      <c r="E134" s="172" t="s">
        <v>1302</v>
      </c>
      <c r="F134" s="172" t="s">
        <v>1302</v>
      </c>
      <c r="G134" s="380">
        <v>38</v>
      </c>
      <c r="H134" s="571">
        <v>1178.77</v>
      </c>
      <c r="I134" s="172"/>
      <c r="J134" s="172"/>
      <c r="K134" s="172"/>
      <c r="L134" s="575">
        <f t="shared" si="8"/>
        <v>0</v>
      </c>
    </row>
    <row r="135" spans="1:12">
      <c r="A135" s="382">
        <f t="shared" si="9"/>
        <v>129</v>
      </c>
      <c r="B135" s="172"/>
      <c r="C135" s="172"/>
      <c r="D135" s="224" t="s">
        <v>1117</v>
      </c>
      <c r="E135" s="172" t="s">
        <v>2328</v>
      </c>
      <c r="F135" s="172" t="s">
        <v>2331</v>
      </c>
      <c r="G135" s="380">
        <v>35</v>
      </c>
      <c r="H135" s="570">
        <v>60049.7</v>
      </c>
      <c r="I135" s="172"/>
      <c r="J135" s="172"/>
      <c r="K135" s="172"/>
      <c r="L135" s="575">
        <f t="shared" si="8"/>
        <v>0</v>
      </c>
    </row>
    <row r="136" spans="1:12">
      <c r="A136" s="382">
        <f t="shared" si="9"/>
        <v>130</v>
      </c>
      <c r="B136" s="172"/>
      <c r="C136" s="172"/>
      <c r="D136" s="224" t="s">
        <v>1117</v>
      </c>
      <c r="E136" s="405" t="s">
        <v>2332</v>
      </c>
      <c r="F136" s="405" t="s">
        <v>2333</v>
      </c>
      <c r="G136" s="564">
        <v>31</v>
      </c>
      <c r="H136" s="570">
        <v>133129.14000000001</v>
      </c>
      <c r="I136" s="402"/>
      <c r="J136" s="172"/>
      <c r="K136" s="172"/>
      <c r="L136" s="575">
        <f t="shared" si="8"/>
        <v>0</v>
      </c>
    </row>
    <row r="137" spans="1:12">
      <c r="A137" s="382">
        <f t="shared" si="9"/>
        <v>131</v>
      </c>
      <c r="B137" s="172"/>
      <c r="C137" s="172"/>
      <c r="D137" s="224" t="s">
        <v>1117</v>
      </c>
      <c r="E137" s="405" t="s">
        <v>2332</v>
      </c>
      <c r="F137" s="405" t="s">
        <v>2333</v>
      </c>
      <c r="G137" s="564">
        <v>31</v>
      </c>
      <c r="H137" s="570">
        <v>-133129.14000000001</v>
      </c>
      <c r="I137" s="402"/>
      <c r="J137" s="172"/>
      <c r="K137" s="172"/>
      <c r="L137" s="575">
        <f t="shared" si="8"/>
        <v>-133129.14000000001</v>
      </c>
    </row>
    <row r="138" spans="1:12">
      <c r="A138" s="382">
        <f t="shared" si="9"/>
        <v>132</v>
      </c>
      <c r="B138" s="172"/>
      <c r="C138" s="172"/>
      <c r="D138" s="224" t="s">
        <v>1117</v>
      </c>
      <c r="E138" s="405" t="s">
        <v>2332</v>
      </c>
      <c r="F138" s="405" t="s">
        <v>2334</v>
      </c>
      <c r="G138" s="564">
        <v>31</v>
      </c>
      <c r="H138" s="571">
        <v>199693.54</v>
      </c>
      <c r="I138" s="402">
        <f>H138</f>
        <v>199693.54</v>
      </c>
      <c r="J138" s="172"/>
      <c r="K138" s="172"/>
      <c r="L138" s="575">
        <f t="shared" si="8"/>
        <v>0</v>
      </c>
    </row>
    <row r="139" spans="1:12">
      <c r="A139" s="382">
        <f t="shared" si="9"/>
        <v>133</v>
      </c>
      <c r="B139" s="172"/>
      <c r="C139" s="172"/>
      <c r="D139" s="224" t="s">
        <v>1117</v>
      </c>
      <c r="E139" s="405" t="s">
        <v>1302</v>
      </c>
      <c r="F139" s="405" t="s">
        <v>2335</v>
      </c>
      <c r="G139" s="564">
        <v>38</v>
      </c>
      <c r="H139" s="571">
        <v>6612.36</v>
      </c>
      <c r="I139" s="402">
        <f>H139</f>
        <v>6612.36</v>
      </c>
      <c r="J139" s="172"/>
      <c r="K139" s="172"/>
      <c r="L139" s="575">
        <f t="shared" si="8"/>
        <v>0</v>
      </c>
    </row>
    <row r="140" spans="1:12">
      <c r="A140" s="382">
        <f t="shared" si="9"/>
        <v>134</v>
      </c>
      <c r="B140" s="172"/>
      <c r="C140" s="172"/>
      <c r="D140" s="224" t="s">
        <v>1117</v>
      </c>
      <c r="E140" s="172" t="s">
        <v>2336</v>
      </c>
      <c r="F140" s="172" t="s">
        <v>2337</v>
      </c>
      <c r="G140" s="380">
        <v>10</v>
      </c>
      <c r="H140" s="571">
        <v>64811.55</v>
      </c>
      <c r="I140" s="172"/>
      <c r="J140" s="172"/>
      <c r="K140" s="172"/>
      <c r="L140" s="575">
        <f t="shared" si="8"/>
        <v>0</v>
      </c>
    </row>
    <row r="141" spans="1:12">
      <c r="A141" s="382">
        <f t="shared" si="9"/>
        <v>135</v>
      </c>
      <c r="B141" s="172"/>
      <c r="C141" s="172"/>
      <c r="D141" s="224" t="s">
        <v>1117</v>
      </c>
      <c r="E141" s="172" t="s">
        <v>1302</v>
      </c>
      <c r="F141" s="172" t="s">
        <v>1302</v>
      </c>
      <c r="G141" s="380">
        <v>38</v>
      </c>
      <c r="H141" s="571">
        <v>816.99</v>
      </c>
      <c r="I141" s="172"/>
      <c r="J141" s="172"/>
      <c r="K141" s="172"/>
      <c r="L141" s="575">
        <f t="shared" si="8"/>
        <v>0</v>
      </c>
    </row>
    <row r="142" spans="1:12">
      <c r="A142" s="382">
        <f t="shared" si="9"/>
        <v>136</v>
      </c>
      <c r="B142" s="172"/>
      <c r="C142" s="172"/>
      <c r="D142" s="224" t="s">
        <v>1117</v>
      </c>
      <c r="E142" s="172" t="s">
        <v>1339</v>
      </c>
      <c r="F142" s="172" t="s">
        <v>2338</v>
      </c>
      <c r="G142" s="380">
        <v>10</v>
      </c>
      <c r="H142" s="571">
        <v>58667</v>
      </c>
      <c r="I142" s="172"/>
      <c r="J142" s="172"/>
      <c r="K142" s="172"/>
      <c r="L142" s="575">
        <f t="shared" si="8"/>
        <v>0</v>
      </c>
    </row>
    <row r="143" spans="1:12">
      <c r="A143" s="382">
        <f t="shared" si="9"/>
        <v>137</v>
      </c>
      <c r="B143" s="172"/>
      <c r="C143" s="172"/>
      <c r="D143" s="224" t="s">
        <v>1117</v>
      </c>
      <c r="E143" s="172" t="s">
        <v>1302</v>
      </c>
      <c r="F143" s="172" t="s">
        <v>1302</v>
      </c>
      <c r="G143" s="380">
        <v>38</v>
      </c>
      <c r="H143" s="571">
        <v>2029.39</v>
      </c>
      <c r="I143" s="172"/>
      <c r="J143" s="172"/>
      <c r="K143" s="172"/>
      <c r="L143" s="575">
        <f t="shared" si="8"/>
        <v>0</v>
      </c>
    </row>
    <row r="144" spans="1:12">
      <c r="A144" s="382">
        <f t="shared" si="9"/>
        <v>138</v>
      </c>
      <c r="B144" s="172"/>
      <c r="C144" s="172"/>
      <c r="D144" s="224" t="s">
        <v>1117</v>
      </c>
      <c r="E144" s="172" t="s">
        <v>1302</v>
      </c>
      <c r="F144" s="172" t="s">
        <v>1302</v>
      </c>
      <c r="G144" s="380">
        <v>38</v>
      </c>
      <c r="H144" s="571">
        <v>1138051.08</v>
      </c>
      <c r="I144" s="172"/>
      <c r="J144" s="172"/>
      <c r="K144" s="172"/>
      <c r="L144" s="575">
        <f t="shared" si="8"/>
        <v>0</v>
      </c>
    </row>
    <row r="145" spans="1:12">
      <c r="A145" s="382">
        <f t="shared" si="9"/>
        <v>139</v>
      </c>
      <c r="B145" s="172"/>
      <c r="C145" s="172"/>
      <c r="D145" s="224" t="s">
        <v>1117</v>
      </c>
      <c r="E145" s="172" t="s">
        <v>1303</v>
      </c>
      <c r="F145" s="172" t="s">
        <v>1303</v>
      </c>
      <c r="G145" s="380">
        <v>1</v>
      </c>
      <c r="H145" s="571">
        <v>100652.95</v>
      </c>
      <c r="I145" s="172"/>
      <c r="J145" s="172"/>
      <c r="K145" s="172"/>
      <c r="L145" s="575">
        <f t="shared" si="8"/>
        <v>0</v>
      </c>
    </row>
    <row r="146" spans="1:12">
      <c r="A146" s="382">
        <f t="shared" si="9"/>
        <v>140</v>
      </c>
      <c r="B146" s="172"/>
      <c r="C146" s="172"/>
      <c r="D146" s="224" t="s">
        <v>1117</v>
      </c>
      <c r="E146" s="172" t="s">
        <v>2339</v>
      </c>
      <c r="F146" s="172" t="s">
        <v>2339</v>
      </c>
      <c r="G146" s="380">
        <v>45</v>
      </c>
      <c r="H146" s="571">
        <v>19589.14</v>
      </c>
      <c r="I146" s="172"/>
      <c r="J146" s="172"/>
      <c r="K146" s="172"/>
      <c r="L146" s="575">
        <f t="shared" si="8"/>
        <v>0</v>
      </c>
    </row>
    <row r="147" spans="1:12">
      <c r="A147" s="382">
        <f t="shared" si="9"/>
        <v>141</v>
      </c>
      <c r="B147" s="172"/>
      <c r="C147" s="172"/>
      <c r="D147" s="224" t="s">
        <v>1117</v>
      </c>
      <c r="E147" s="172" t="s">
        <v>1302</v>
      </c>
      <c r="F147" s="172" t="s">
        <v>1302</v>
      </c>
      <c r="G147" s="380">
        <v>38</v>
      </c>
      <c r="H147" s="571">
        <v>1437.9</v>
      </c>
      <c r="I147" s="172"/>
      <c r="J147" s="172"/>
      <c r="K147" s="172"/>
      <c r="L147" s="575">
        <f t="shared" si="8"/>
        <v>0</v>
      </c>
    </row>
    <row r="148" spans="1:12">
      <c r="A148" s="382">
        <f t="shared" si="9"/>
        <v>142</v>
      </c>
      <c r="B148" s="172"/>
      <c r="C148" s="172"/>
      <c r="D148" s="224" t="s">
        <v>1117</v>
      </c>
      <c r="E148" s="172" t="s">
        <v>2340</v>
      </c>
      <c r="F148" s="172" t="s">
        <v>2340</v>
      </c>
      <c r="G148" s="380">
        <v>31</v>
      </c>
      <c r="H148" s="571">
        <v>21828.02</v>
      </c>
      <c r="I148" s="172"/>
      <c r="J148" s="172"/>
      <c r="K148" s="172"/>
      <c r="L148" s="575">
        <f t="shared" si="8"/>
        <v>0</v>
      </c>
    </row>
    <row r="149" spans="1:12">
      <c r="A149" s="382">
        <f t="shared" si="9"/>
        <v>143</v>
      </c>
      <c r="B149" s="172"/>
      <c r="C149" s="172"/>
      <c r="D149" s="224" t="s">
        <v>1117</v>
      </c>
      <c r="E149" s="172" t="s">
        <v>2341</v>
      </c>
      <c r="F149" s="172" t="s">
        <v>2341</v>
      </c>
      <c r="G149" s="380">
        <v>50</v>
      </c>
      <c r="H149" s="571">
        <v>1177070.23</v>
      </c>
      <c r="I149" s="172"/>
      <c r="J149" s="172"/>
      <c r="K149" s="172"/>
      <c r="L149" s="575">
        <f t="shared" si="8"/>
        <v>0</v>
      </c>
    </row>
    <row r="150" spans="1:12">
      <c r="A150" s="382">
        <f t="shared" si="9"/>
        <v>144</v>
      </c>
      <c r="B150" s="172"/>
      <c r="C150" s="172"/>
      <c r="D150" s="224" t="s">
        <v>1117</v>
      </c>
      <c r="E150" s="172" t="s">
        <v>2342</v>
      </c>
      <c r="F150" s="172" t="s">
        <v>2342</v>
      </c>
      <c r="G150" s="380">
        <v>15</v>
      </c>
      <c r="H150" s="571">
        <v>50800.39</v>
      </c>
      <c r="I150" s="172"/>
      <c r="J150" s="172"/>
      <c r="K150" s="172"/>
      <c r="L150" s="575">
        <f t="shared" si="8"/>
        <v>0</v>
      </c>
    </row>
    <row r="151" spans="1:12">
      <c r="A151" s="382">
        <f t="shared" si="9"/>
        <v>145</v>
      </c>
      <c r="B151" s="172"/>
      <c r="C151" s="172"/>
      <c r="D151" s="224" t="s">
        <v>1117</v>
      </c>
      <c r="E151" s="172" t="s">
        <v>1302</v>
      </c>
      <c r="F151" s="172" t="s">
        <v>1302</v>
      </c>
      <c r="G151" s="380">
        <v>38</v>
      </c>
      <c r="H151" s="571">
        <v>22847.89</v>
      </c>
      <c r="I151" s="172"/>
      <c r="J151" s="172"/>
      <c r="K151" s="172"/>
      <c r="L151" s="575">
        <f t="shared" si="8"/>
        <v>0</v>
      </c>
    </row>
    <row r="152" spans="1:12">
      <c r="A152" s="382">
        <f t="shared" si="9"/>
        <v>146</v>
      </c>
      <c r="B152" s="172"/>
      <c r="C152" s="172"/>
      <c r="D152" s="224" t="s">
        <v>1117</v>
      </c>
      <c r="E152" s="172" t="s">
        <v>2343</v>
      </c>
      <c r="F152" s="172" t="s">
        <v>2343</v>
      </c>
      <c r="G152" s="380">
        <v>50</v>
      </c>
      <c r="H152" s="571">
        <v>178309.19</v>
      </c>
      <c r="I152" s="172"/>
      <c r="J152" s="172"/>
      <c r="K152" s="172"/>
      <c r="L152" s="575">
        <f t="shared" si="8"/>
        <v>0</v>
      </c>
    </row>
    <row r="153" spans="1:12">
      <c r="A153" s="382">
        <f t="shared" si="9"/>
        <v>147</v>
      </c>
      <c r="B153" s="172"/>
      <c r="C153" s="172"/>
      <c r="D153" s="224" t="s">
        <v>1117</v>
      </c>
      <c r="E153" s="172" t="s">
        <v>2344</v>
      </c>
      <c r="F153" s="172" t="s">
        <v>2344</v>
      </c>
      <c r="G153" s="380">
        <v>50</v>
      </c>
      <c r="H153" s="571">
        <v>5064.49</v>
      </c>
      <c r="I153" s="172"/>
      <c r="J153" s="172"/>
      <c r="K153" s="172"/>
      <c r="L153" s="575">
        <f t="shared" si="8"/>
        <v>0</v>
      </c>
    </row>
    <row r="154" spans="1:12">
      <c r="A154" s="382">
        <f t="shared" si="9"/>
        <v>148</v>
      </c>
      <c r="B154" s="172"/>
      <c r="C154" s="172"/>
      <c r="D154" s="224" t="s">
        <v>1117</v>
      </c>
      <c r="E154" s="172" t="s">
        <v>2345</v>
      </c>
      <c r="F154" s="172" t="s">
        <v>2346</v>
      </c>
      <c r="G154" s="380">
        <v>28</v>
      </c>
      <c r="H154" s="571">
        <v>2278686.5099999998</v>
      </c>
      <c r="I154" s="172"/>
      <c r="J154" s="172"/>
      <c r="K154" s="172"/>
      <c r="L154" s="575">
        <f t="shared" si="8"/>
        <v>0</v>
      </c>
    </row>
    <row r="155" spans="1:12">
      <c r="A155" s="382">
        <f t="shared" si="9"/>
        <v>149</v>
      </c>
      <c r="B155" s="172"/>
      <c r="C155" s="172"/>
      <c r="D155" s="224" t="s">
        <v>1117</v>
      </c>
      <c r="E155" s="406" t="s">
        <v>2416</v>
      </c>
      <c r="F155" s="406" t="s">
        <v>2411</v>
      </c>
      <c r="G155" s="565">
        <v>25</v>
      </c>
      <c r="H155" s="571">
        <v>14685517.220000001</v>
      </c>
      <c r="I155" s="172"/>
      <c r="J155" s="172"/>
      <c r="K155" s="402">
        <f>H155*91/(91+150)</f>
        <v>5545153.8050622409</v>
      </c>
      <c r="L155" s="575">
        <f t="shared" si="8"/>
        <v>0</v>
      </c>
    </row>
    <row r="156" spans="1:12">
      <c r="A156" s="382">
        <f t="shared" si="9"/>
        <v>150</v>
      </c>
      <c r="B156" s="172"/>
      <c r="C156" s="172"/>
      <c r="D156" s="224" t="s">
        <v>1117</v>
      </c>
      <c r="E156" s="172" t="s">
        <v>2347</v>
      </c>
      <c r="F156" s="172" t="s">
        <v>2348</v>
      </c>
      <c r="G156" s="380">
        <v>40</v>
      </c>
      <c r="H156" s="571">
        <v>9425.77</v>
      </c>
      <c r="I156" s="172"/>
      <c r="J156" s="172"/>
      <c r="K156" s="172"/>
      <c r="L156" s="575">
        <f t="shared" si="8"/>
        <v>0</v>
      </c>
    </row>
    <row r="157" spans="1:12">
      <c r="A157" s="382">
        <f t="shared" si="9"/>
        <v>151</v>
      </c>
      <c r="B157" s="172"/>
      <c r="C157" s="172"/>
      <c r="D157" s="224" t="s">
        <v>1117</v>
      </c>
      <c r="E157" s="172" t="s">
        <v>1302</v>
      </c>
      <c r="F157" s="172" t="s">
        <v>1302</v>
      </c>
      <c r="G157" s="380">
        <v>38</v>
      </c>
      <c r="H157" s="571">
        <v>333.89</v>
      </c>
      <c r="I157" s="172"/>
      <c r="J157" s="172"/>
      <c r="K157" s="172"/>
      <c r="L157" s="575">
        <f t="shared" si="8"/>
        <v>0</v>
      </c>
    </row>
    <row r="158" spans="1:12">
      <c r="A158" s="382">
        <f t="shared" si="9"/>
        <v>152</v>
      </c>
      <c r="B158" s="172"/>
      <c r="C158" s="172"/>
      <c r="D158" s="224" t="s">
        <v>1117</v>
      </c>
      <c r="E158" s="172" t="s">
        <v>1302</v>
      </c>
      <c r="F158" s="172" t="s">
        <v>1302</v>
      </c>
      <c r="G158" s="380">
        <v>38</v>
      </c>
      <c r="H158" s="571">
        <v>11462.48</v>
      </c>
      <c r="I158" s="172"/>
      <c r="J158" s="172"/>
      <c r="K158" s="172"/>
      <c r="L158" s="575">
        <f t="shared" si="8"/>
        <v>0</v>
      </c>
    </row>
    <row r="159" spans="1:12">
      <c r="A159" s="382">
        <f t="shared" si="9"/>
        <v>153</v>
      </c>
      <c r="B159" s="172"/>
      <c r="C159" s="172"/>
      <c r="D159" s="224" t="s">
        <v>1117</v>
      </c>
      <c r="E159" s="172" t="s">
        <v>2259</v>
      </c>
      <c r="F159" s="172" t="s">
        <v>2259</v>
      </c>
      <c r="G159" s="380">
        <v>35</v>
      </c>
      <c r="H159" s="571">
        <v>79396.320000000007</v>
      </c>
      <c r="I159" s="172"/>
      <c r="J159" s="172"/>
      <c r="K159" s="172"/>
      <c r="L159" s="575">
        <f t="shared" si="8"/>
        <v>0</v>
      </c>
    </row>
    <row r="160" spans="1:12">
      <c r="A160" s="382">
        <f t="shared" si="9"/>
        <v>154</v>
      </c>
      <c r="B160" s="172"/>
      <c r="C160" s="172"/>
      <c r="D160" s="224" t="s">
        <v>1117</v>
      </c>
      <c r="E160" s="172" t="s">
        <v>2339</v>
      </c>
      <c r="F160" s="172" t="s">
        <v>2349</v>
      </c>
      <c r="G160" s="380">
        <v>45</v>
      </c>
      <c r="H160" s="570">
        <v>48089.919999999998</v>
      </c>
      <c r="I160" s="172"/>
      <c r="J160" s="172"/>
      <c r="K160" s="172"/>
      <c r="L160" s="575">
        <f t="shared" si="8"/>
        <v>0</v>
      </c>
    </row>
    <row r="161" spans="1:12">
      <c r="A161" s="382">
        <f t="shared" si="9"/>
        <v>155</v>
      </c>
      <c r="B161" s="172"/>
      <c r="C161" s="172"/>
      <c r="D161" s="224" t="s">
        <v>1117</v>
      </c>
      <c r="E161" s="172" t="s">
        <v>1303</v>
      </c>
      <c r="F161" s="172" t="s">
        <v>1303</v>
      </c>
      <c r="G161" s="380">
        <v>1</v>
      </c>
      <c r="H161" s="570">
        <v>67101.960000000006</v>
      </c>
      <c r="I161" s="172"/>
      <c r="J161" s="172"/>
      <c r="K161" s="172"/>
      <c r="L161" s="575">
        <f t="shared" ref="L161:L174" si="10">IF(H161&lt;0,H161,0)</f>
        <v>0</v>
      </c>
    </row>
    <row r="162" spans="1:12">
      <c r="A162" s="382">
        <f t="shared" si="9"/>
        <v>156</v>
      </c>
      <c r="B162" s="172"/>
      <c r="C162" s="172"/>
      <c r="D162" s="224" t="s">
        <v>1117</v>
      </c>
      <c r="E162" s="172" t="s">
        <v>2341</v>
      </c>
      <c r="F162" s="172" t="s">
        <v>2341</v>
      </c>
      <c r="G162" s="380">
        <v>50</v>
      </c>
      <c r="H162" s="570">
        <v>784713.49</v>
      </c>
      <c r="I162" s="172"/>
      <c r="J162" s="172"/>
      <c r="K162" s="172"/>
      <c r="L162" s="575">
        <f t="shared" si="10"/>
        <v>0</v>
      </c>
    </row>
    <row r="163" spans="1:12">
      <c r="A163" s="382">
        <f t="shared" si="9"/>
        <v>157</v>
      </c>
      <c r="B163" s="172"/>
      <c r="C163" s="172"/>
      <c r="D163" s="224" t="s">
        <v>1117</v>
      </c>
      <c r="E163" s="172" t="s">
        <v>2345</v>
      </c>
      <c r="F163" s="172" t="s">
        <v>2346</v>
      </c>
      <c r="G163" s="380">
        <v>28</v>
      </c>
      <c r="H163" s="570">
        <v>1524607.18</v>
      </c>
      <c r="I163" s="172"/>
      <c r="J163" s="172"/>
      <c r="K163" s="172"/>
      <c r="L163" s="575">
        <f t="shared" si="10"/>
        <v>0</v>
      </c>
    </row>
    <row r="164" spans="1:12">
      <c r="A164" s="382">
        <f t="shared" si="9"/>
        <v>158</v>
      </c>
      <c r="B164" s="172"/>
      <c r="C164" s="172"/>
      <c r="D164" s="224" t="s">
        <v>1117</v>
      </c>
      <c r="E164" s="406" t="s">
        <v>2411</v>
      </c>
      <c r="F164" s="406" t="s">
        <v>2411</v>
      </c>
      <c r="G164" s="565">
        <v>25</v>
      </c>
      <c r="H164" s="570">
        <v>8362221.8099999996</v>
      </c>
      <c r="I164" s="172"/>
      <c r="J164" s="172"/>
      <c r="K164" s="172"/>
      <c r="L164" s="575">
        <f t="shared" si="10"/>
        <v>0</v>
      </c>
    </row>
    <row r="165" spans="1:12">
      <c r="A165" s="382">
        <f t="shared" si="9"/>
        <v>159</v>
      </c>
      <c r="B165" s="172"/>
      <c r="C165" s="172"/>
      <c r="D165" s="224" t="s">
        <v>1117</v>
      </c>
      <c r="E165" s="172" t="s">
        <v>2342</v>
      </c>
      <c r="F165" s="172" t="s">
        <v>2342</v>
      </c>
      <c r="G165" s="380">
        <v>15</v>
      </c>
      <c r="H165" s="570">
        <v>33866.93</v>
      </c>
      <c r="I165" s="172"/>
      <c r="J165" s="172"/>
      <c r="K165" s="172"/>
      <c r="L165" s="575">
        <f t="shared" si="10"/>
        <v>0</v>
      </c>
    </row>
    <row r="166" spans="1:12">
      <c r="A166" s="382">
        <f t="shared" si="9"/>
        <v>160</v>
      </c>
      <c r="B166" s="172"/>
      <c r="C166" s="172"/>
      <c r="D166" s="224" t="s">
        <v>1117</v>
      </c>
      <c r="E166" s="172" t="s">
        <v>2339</v>
      </c>
      <c r="F166" s="172" t="s">
        <v>2350</v>
      </c>
      <c r="G166" s="380">
        <v>45</v>
      </c>
      <c r="H166" s="570">
        <v>-48089.919999999998</v>
      </c>
      <c r="I166" s="172"/>
      <c r="J166" s="172"/>
      <c r="K166" s="172"/>
      <c r="L166" s="575">
        <f t="shared" si="10"/>
        <v>-48089.919999999998</v>
      </c>
    </row>
    <row r="167" spans="1:12">
      <c r="A167" s="382">
        <f t="shared" si="9"/>
        <v>161</v>
      </c>
      <c r="B167" s="172"/>
      <c r="C167" s="172"/>
      <c r="D167" s="224" t="s">
        <v>1117</v>
      </c>
      <c r="E167" s="172" t="s">
        <v>2351</v>
      </c>
      <c r="F167" s="172" t="s">
        <v>2352</v>
      </c>
      <c r="G167" s="380">
        <v>1</v>
      </c>
      <c r="H167" s="570">
        <v>-67101.960000000006</v>
      </c>
      <c r="I167" s="172"/>
      <c r="J167" s="172"/>
      <c r="K167" s="172"/>
      <c r="L167" s="575">
        <f t="shared" si="10"/>
        <v>-67101.960000000006</v>
      </c>
    </row>
    <row r="168" spans="1:12">
      <c r="A168" s="382">
        <f t="shared" si="9"/>
        <v>162</v>
      </c>
      <c r="B168" s="172"/>
      <c r="C168" s="172"/>
      <c r="D168" s="224" t="s">
        <v>1117</v>
      </c>
      <c r="E168" s="172" t="s">
        <v>2341</v>
      </c>
      <c r="F168" s="172" t="s">
        <v>2353</v>
      </c>
      <c r="G168" s="380">
        <v>50</v>
      </c>
      <c r="H168" s="570">
        <v>-784713.49</v>
      </c>
      <c r="I168" s="172"/>
      <c r="J168" s="172"/>
      <c r="K168" s="172"/>
      <c r="L168" s="575">
        <f t="shared" si="10"/>
        <v>-784713.49</v>
      </c>
    </row>
    <row r="169" spans="1:12">
      <c r="A169" s="382">
        <f t="shared" si="9"/>
        <v>163</v>
      </c>
      <c r="B169" s="172"/>
      <c r="C169" s="172"/>
      <c r="D169" s="224" t="s">
        <v>1117</v>
      </c>
      <c r="E169" s="172" t="s">
        <v>2354</v>
      </c>
      <c r="F169" s="172" t="s">
        <v>2355</v>
      </c>
      <c r="G169" s="380">
        <v>28</v>
      </c>
      <c r="H169" s="570">
        <v>-1524607.18</v>
      </c>
      <c r="I169" s="172"/>
      <c r="J169" s="172"/>
      <c r="K169" s="172"/>
      <c r="L169" s="575">
        <f t="shared" si="10"/>
        <v>-1524607.18</v>
      </c>
    </row>
    <row r="170" spans="1:12">
      <c r="A170" s="382">
        <f t="shared" si="9"/>
        <v>164</v>
      </c>
      <c r="B170" s="172"/>
      <c r="C170" s="172"/>
      <c r="D170" s="224" t="s">
        <v>1117</v>
      </c>
      <c r="E170" s="406" t="s">
        <v>2411</v>
      </c>
      <c r="F170" s="406" t="s">
        <v>2412</v>
      </c>
      <c r="G170" s="565">
        <v>25</v>
      </c>
      <c r="H170" s="570">
        <v>-8362221.8099999996</v>
      </c>
      <c r="I170" s="172"/>
      <c r="J170" s="172"/>
      <c r="K170" s="172"/>
      <c r="L170" s="575">
        <f>IF(H170&lt;0,H170,0)</f>
        <v>-8362221.8099999996</v>
      </c>
    </row>
    <row r="171" spans="1:12">
      <c r="A171" s="382">
        <f t="shared" si="9"/>
        <v>165</v>
      </c>
      <c r="B171" s="172"/>
      <c r="C171" s="172"/>
      <c r="D171" s="224" t="s">
        <v>1117</v>
      </c>
      <c r="E171" s="172" t="s">
        <v>2356</v>
      </c>
      <c r="F171" s="172" t="s">
        <v>2357</v>
      </c>
      <c r="G171" s="380">
        <v>15</v>
      </c>
      <c r="H171" s="570">
        <v>-33866.93</v>
      </c>
      <c r="I171" s="172"/>
      <c r="J171" s="172"/>
      <c r="K171" s="172"/>
      <c r="L171" s="575">
        <f t="shared" si="10"/>
        <v>-33866.93</v>
      </c>
    </row>
    <row r="172" spans="1:12">
      <c r="A172" s="382">
        <f t="shared" ref="A172:A174" si="11">A171+1</f>
        <v>166</v>
      </c>
      <c r="B172" s="172"/>
      <c r="C172" s="172"/>
      <c r="D172" s="224" t="s">
        <v>1117</v>
      </c>
      <c r="E172" s="172" t="s">
        <v>2358</v>
      </c>
      <c r="F172" s="172" t="s">
        <v>2359</v>
      </c>
      <c r="G172" s="380">
        <v>28</v>
      </c>
      <c r="H172" s="571">
        <v>47647.16</v>
      </c>
      <c r="I172" s="172"/>
      <c r="J172" s="172"/>
      <c r="K172" s="172"/>
      <c r="L172" s="575">
        <f t="shared" si="10"/>
        <v>0</v>
      </c>
    </row>
    <row r="173" spans="1:12">
      <c r="A173" s="382">
        <f t="shared" si="11"/>
        <v>167</v>
      </c>
      <c r="B173" s="172"/>
      <c r="C173" s="172"/>
      <c r="D173" s="224" t="s">
        <v>1117</v>
      </c>
      <c r="E173" s="172" t="s">
        <v>2301</v>
      </c>
      <c r="F173" s="172" t="s">
        <v>2360</v>
      </c>
      <c r="G173" s="380">
        <v>40</v>
      </c>
      <c r="H173" s="571">
        <v>49757.29</v>
      </c>
      <c r="I173" s="172"/>
      <c r="J173" s="172"/>
      <c r="K173" s="172"/>
      <c r="L173" s="575">
        <f t="shared" si="10"/>
        <v>0</v>
      </c>
    </row>
    <row r="174" spans="1:12">
      <c r="A174" s="382">
        <f t="shared" si="11"/>
        <v>168</v>
      </c>
      <c r="B174" s="172"/>
      <c r="C174" s="172"/>
      <c r="D174" s="224" t="s">
        <v>1117</v>
      </c>
      <c r="E174" s="172" t="s">
        <v>1302</v>
      </c>
      <c r="F174" s="66" t="s">
        <v>2361</v>
      </c>
      <c r="G174" s="380">
        <v>38</v>
      </c>
      <c r="H174" s="571">
        <v>12873.85</v>
      </c>
      <c r="I174" s="66"/>
      <c r="J174" s="66"/>
      <c r="K174" s="66"/>
      <c r="L174" s="576">
        <f t="shared" si="10"/>
        <v>0</v>
      </c>
    </row>
    <row r="175" spans="1:12" ht="13.5" thickBot="1">
      <c r="A175" s="382">
        <f>A174+1</f>
        <v>169</v>
      </c>
      <c r="B175" s="172"/>
      <c r="C175" s="172"/>
      <c r="D175" s="172"/>
      <c r="E175" s="176" t="s">
        <v>89</v>
      </c>
      <c r="F175" s="78"/>
      <c r="G175" s="78"/>
      <c r="H175" s="572">
        <f>SUM(H33:H174)</f>
        <v>23723379.400000002</v>
      </c>
      <c r="I175" s="427">
        <f>SUM(I33:I174)</f>
        <v>834748.35000000009</v>
      </c>
      <c r="J175" s="428">
        <f t="shared" ref="J175" si="12">SUM(J33:J174)</f>
        <v>224032.51</v>
      </c>
      <c r="K175" s="429">
        <f>SUM(K33:K174)</f>
        <v>6724616.2650622409</v>
      </c>
      <c r="L175" s="577">
        <f>SUM(L33:L174)</f>
        <v>-13249474.93</v>
      </c>
    </row>
    <row r="176" spans="1:12" ht="13.5" thickTop="1">
      <c r="A176" s="438" t="s">
        <v>2410</v>
      </c>
      <c r="B176" s="439"/>
      <c r="C176" s="172"/>
      <c r="D176" s="172"/>
      <c r="E176" s="172"/>
      <c r="F176" s="172"/>
      <c r="G176" s="172"/>
      <c r="H176" s="172"/>
      <c r="I176" s="172"/>
      <c r="J176" s="172"/>
      <c r="K176" s="172"/>
      <c r="L176" s="172"/>
    </row>
    <row r="177" spans="1:16">
      <c r="A177" s="578" t="s">
        <v>2365</v>
      </c>
      <c r="B177" s="439"/>
      <c r="C177" s="172"/>
      <c r="D177" s="172"/>
      <c r="E177" s="172"/>
      <c r="F177" s="172"/>
      <c r="G177" s="34"/>
      <c r="H177" s="172"/>
      <c r="I177" s="172"/>
      <c r="J177" s="172"/>
      <c r="K177" s="172"/>
      <c r="L177" s="172"/>
    </row>
    <row r="178" spans="1:16">
      <c r="A178" s="438" t="s">
        <v>2414</v>
      </c>
      <c r="B178" s="439"/>
      <c r="C178" s="172"/>
      <c r="D178" s="172"/>
      <c r="E178" s="172"/>
      <c r="F178" s="172"/>
      <c r="G178" s="172"/>
      <c r="H178" s="172"/>
      <c r="I178" s="172"/>
      <c r="J178" s="172"/>
      <c r="K178" s="172"/>
      <c r="L178" s="172"/>
    </row>
    <row r="179" spans="1:16">
      <c r="G179" s="34"/>
      <c r="I179" s="34"/>
      <c r="K179" s="34"/>
      <c r="L179" s="10"/>
      <c r="M179" s="408"/>
      <c r="N179" s="409"/>
      <c r="O179" s="409"/>
      <c r="P179" s="410"/>
    </row>
  </sheetData>
  <mergeCells count="2">
    <mergeCell ref="E23:L23"/>
    <mergeCell ref="E24:L25"/>
  </mergeCells>
  <hyperlinks>
    <hyperlink ref="F1" location="'Cover Sheets'!A18" display="(Back to Worksheet Links)" xr:uid="{A3743F36-7323-413F-AC7D-F047CF837FAE}"/>
  </hyperlinks>
  <pageMargins left="0.7" right="0.7" top="0.75" bottom="0.75" header="0.3" footer="0.3"/>
  <pageSetup paperSize="17" scale="89" fitToHeight="3" orientation="landscape" r:id="rId1"/>
  <headerFooter>
    <oddFooter>&amp;R&amp;A</oddFooter>
  </headerFooter>
  <rowBreaks count="1" manualBreakCount="1">
    <brk id="115"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28D0B71819E8428140FBAD1F99BE6C" ma:contentTypeVersion="4" ma:contentTypeDescription="Create a new document." ma:contentTypeScope="" ma:versionID="7c9ff42cc775f3f601e456908dd156f9">
  <xsd:schema xmlns:xsd="http://www.w3.org/2001/XMLSchema" xmlns:xs="http://www.w3.org/2001/XMLSchema" xmlns:p="http://schemas.microsoft.com/office/2006/metadata/properties" xmlns:ns2="de49e813-0761-4863-a94b-82295b623672" targetNamespace="http://schemas.microsoft.com/office/2006/metadata/properties" ma:root="true" ma:fieldsID="a9b6e2be1f7b2b46683f1a4e2c6add9b" ns2:_="">
    <xsd:import namespace="de49e813-0761-4863-a94b-82295b6236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9e813-0761-4863-a94b-82295b623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B17CCC-31AA-4946-B7B1-CB27C14ED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9e813-0761-4863-a94b-82295b623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CA563F-287F-4C85-86AA-779F85D14B49}">
  <ds:schemaRefs>
    <ds:schemaRef ds:uri="http://schemas.microsoft.com/sharepoint/v3/contenttype/forms"/>
  </ds:schemaRefs>
</ds:datastoreItem>
</file>

<file path=customXml/itemProps3.xml><?xml version="1.0" encoding="utf-8"?>
<ds:datastoreItem xmlns:ds="http://schemas.openxmlformats.org/officeDocument/2006/customXml" ds:itemID="{4373B081-7BA3-4A85-B85D-B02FAE868C3A}">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de49e813-0761-4863-a94b-82295b62367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Sheets</vt:lpstr>
      <vt:lpstr>Summary-Est</vt:lpstr>
      <vt:lpstr>Rev Log</vt:lpstr>
      <vt:lpstr>WS1-ATRR RateBase</vt:lpstr>
      <vt:lpstr>WS2-RevCredits</vt:lpstr>
      <vt:lpstr>WS3-CostData</vt:lpstr>
      <vt:lpstr>WS4-TransFac</vt:lpstr>
      <vt:lpstr>WS5-FacDetail</vt:lpstr>
      <vt:lpstr>WS6-AI Detail</vt:lpstr>
      <vt:lpstr>WS7-IMEU</vt:lpstr>
      <vt:lpstr>'Cover Sheets'!Print_Area</vt:lpstr>
      <vt:lpstr>'Rev Log'!Print_Area</vt:lpstr>
      <vt:lpstr>'Summary-Est'!Print_Area</vt:lpstr>
      <vt:lpstr>'WS1-ATRR RateBase'!Print_Area</vt:lpstr>
      <vt:lpstr>'WS2-RevCredits'!Print_Area</vt:lpstr>
      <vt:lpstr>'WS3-CostData'!Print_Area</vt:lpstr>
      <vt:lpstr>'WS4-TransFac'!Print_Area</vt:lpstr>
      <vt:lpstr>'WS5-FacDetail'!Print_Area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Baker, Sara</cp:lastModifiedBy>
  <cp:revision/>
  <cp:lastPrinted>2025-07-08T13:09:28Z</cp:lastPrinted>
  <dcterms:created xsi:type="dcterms:W3CDTF">2016-09-02T15:10:22Z</dcterms:created>
  <dcterms:modified xsi:type="dcterms:W3CDTF">2025-07-08T19:28:49Z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0x0101003C28D0B71819E8428140FBAD1F99BE6C</vt:lpwstr>
  </property>
  <property fmtid="{D5CDD505-2E9C-101B-9397-08002B2CF9AE}" pid="3" name="Order">
    <vt:r8>18700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